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defaultThemeVersion="166925"/>
  <mc:AlternateContent xmlns:mc="http://schemas.openxmlformats.org/markup-compatibility/2006">
    <mc:Choice Requires="x15">
      <x15ac:absPath xmlns:x15ac="http://schemas.microsoft.com/office/spreadsheetml/2010/11/ac" url="https://aepenergy.sharepoint.com/sites/regsvcs/Regulatory Base Cases/Kentucky Power/2023-00159 Base Case/07 Discovery/Staff/2nd Set/Attachments/"/>
    </mc:Choice>
  </mc:AlternateContent>
  <xr:revisionPtr revIDLastSave="14" documentId="8_{4BE5C89C-7CB2-4348-92EB-0235102E0547}" xr6:coauthVersionLast="47" xr6:coauthVersionMax="47" xr10:uidLastSave="{6A00B89B-E7CA-414D-B54C-CED5C85B61A3}"/>
  <bookViews>
    <workbookView xWindow="-110" yWindow="-110" windowWidth="19420" windowHeight="10420" tabRatio="799" xr2:uid="{00000000-000D-0000-FFFF-FFFF00000000}"/>
  </bookViews>
  <sheets>
    <sheet name="Index" sheetId="1" r:id="rId1"/>
    <sheet name="W02_PG_1_of_4" sheetId="5" r:id="rId2"/>
    <sheet name="W02_PG_2_of_4" sheetId="6" r:id="rId3"/>
    <sheet name="W02_PG_3_of_4" sheetId="7" r:id="rId4"/>
    <sheet name="W02_PG_4_of_4" sheetId="8" r:id="rId5"/>
    <sheet name="W09_PG_1_of_5" sheetId="52" r:id="rId6"/>
    <sheet name="W09_PG_2_of_5" sheetId="53" r:id="rId7"/>
    <sheet name="W09_PG_3_of_5" sheetId="54" r:id="rId8"/>
    <sheet name="W09_PG_4_of_5" sheetId="55" r:id="rId9"/>
    <sheet name="W09_PG_5_of_5" sheetId="56" r:id="rId10"/>
    <sheet name="W10_PG_1_of_2" sheetId="9" r:id="rId11"/>
    <sheet name="W10_PG_2_of_2" sheetId="10" r:id="rId12"/>
    <sheet name="W11_PG_1_of_1" sheetId="11" r:id="rId13"/>
    <sheet name="WP12_PG_1_of_1" sheetId="12" r:id="rId14"/>
    <sheet name="W15_PG_1_of_2" sheetId="13" r:id="rId15"/>
    <sheet name="W15_PG_2_of_2" sheetId="14" r:id="rId16"/>
    <sheet name="W16_PG_1_of_2" sheetId="15" r:id="rId17"/>
    <sheet name="W16_PG_2_of_2" sheetId="64" r:id="rId18"/>
    <sheet name="W17_PG_1_of_1" sheetId="16" r:id="rId19"/>
    <sheet name="W17_PG_2_of_2" sheetId="17" r:id="rId20"/>
    <sheet name="W20_PG_1_of_3" sheetId="18" r:id="rId21"/>
    <sheet name="W20_PG_2_of_3" sheetId="19" r:id="rId22"/>
    <sheet name="W20_PG_3_of_3" sheetId="20" r:id="rId23"/>
    <sheet name="W21_PG_1_of_2" sheetId="21" r:id="rId24"/>
    <sheet name="W21_PG_2_of_2" sheetId="22" r:id="rId25"/>
    <sheet name="W22_PG_1_of_6" sheetId="58" r:id="rId26"/>
    <sheet name="W22_PG_2_of_6" sheetId="59" r:id="rId27"/>
    <sheet name="W22_PG_3_of_6" sheetId="60" r:id="rId28"/>
    <sheet name="W22_PG_4_of_6" sheetId="61" r:id="rId29"/>
    <sheet name="W22_PG_5_of_6" sheetId="62" r:id="rId30"/>
    <sheet name="W22_PG_6_of_6" sheetId="63" r:id="rId31"/>
    <sheet name="W24_PG_1_of_4" sheetId="23" r:id="rId32"/>
    <sheet name="W24_PG_2_of_4" sheetId="24" r:id="rId33"/>
    <sheet name="W24_PG_3_of_4" sheetId="25" r:id="rId34"/>
    <sheet name="W24_PG_4_of_4" sheetId="26" r:id="rId35"/>
    <sheet name="W25_PG_1_of_1" sheetId="27" r:id="rId36"/>
    <sheet name="W26_PG_1_of_3" sheetId="28" r:id="rId37"/>
    <sheet name="W26_PG_2_of_3" sheetId="29" r:id="rId38"/>
    <sheet name="W26_PG_3_of_3" sheetId="30" r:id="rId39"/>
    <sheet name="W27_W32_PG_1_of_1" sheetId="65" r:id="rId40"/>
    <sheet name="W27_PG_1_of_3" sheetId="66" r:id="rId41"/>
    <sheet name="W27_PG_2_of_3" sheetId="67" r:id="rId42"/>
    <sheet name="W27_PG_3_of_3" sheetId="68" r:id="rId43"/>
    <sheet name="W28_PG_1_of_4" sheetId="69" r:id="rId44"/>
    <sheet name="W28_PG_2_of_4" sheetId="70" r:id="rId45"/>
    <sheet name="W28_PG_3_of_4" sheetId="71" r:id="rId46"/>
    <sheet name="W28_PG_4_of_4" sheetId="72" r:id="rId47"/>
    <sheet name="W29_PG_1_of_2" sheetId="73" r:id="rId48"/>
    <sheet name="W29_PG_2_of_2" sheetId="74" r:id="rId49"/>
    <sheet name="W31_PG_1_of_3" sheetId="75" r:id="rId50"/>
    <sheet name="W31_PG_2_of_3" sheetId="76" r:id="rId51"/>
    <sheet name="W31_PG_3_of_3" sheetId="77" r:id="rId52"/>
    <sheet name="W32_PG_1_of_2" sheetId="78" r:id="rId53"/>
    <sheet name="W32_PG_2_of_2" sheetId="79" r:id="rId54"/>
    <sheet name="W34_PG_1_of_3" sheetId="2" r:id="rId55"/>
    <sheet name="W34_PG_2_of_3" sheetId="3" r:id="rId56"/>
    <sheet name="W34_PG_3_of_3" sheetId="4" r:id="rId57"/>
    <sheet name="W35_PG_1_of_1" sheetId="31" r:id="rId58"/>
    <sheet name="W36_PG_1_of_1" sheetId="32" r:id="rId59"/>
    <sheet name="W39_PG_1_of_1" sheetId="33" r:id="rId60"/>
    <sheet name="W44_PG_1_of_1" sheetId="34" r:id="rId61"/>
    <sheet name="W45_PG_1_of_1" sheetId="35" r:id="rId62"/>
    <sheet name="W46_PG_1_of_1" sheetId="36" r:id="rId63"/>
    <sheet name="W47_PG_1_of_1" sheetId="57" r:id="rId64"/>
    <sheet name="W48_PG_1_of_1" sheetId="37" r:id="rId65"/>
    <sheet name="W53_PG_1_of_1" sheetId="38" r:id="rId66"/>
    <sheet name="W57_PG_1_of_1" sheetId="39" r:id="rId67"/>
    <sheet name="W58_PG_1_of_1" sheetId="40" r:id="rId68"/>
    <sheet name="W59_PG_1_of_4" sheetId="41" r:id="rId69"/>
    <sheet name="W59_PG_2_of_4" sheetId="42" r:id="rId70"/>
    <sheet name="W59_PG_3_of_4" sheetId="43" r:id="rId71"/>
    <sheet name="W59_PG_4_of_4" sheetId="44" r:id="rId72"/>
    <sheet name="W61_PG_1_of_7" sheetId="45" r:id="rId73"/>
    <sheet name="W61_PG_2_of_7" sheetId="46" r:id="rId74"/>
    <sheet name="W61_PG_3_of_7" sheetId="47" r:id="rId75"/>
    <sheet name="W61_PG_4_of_7" sheetId="48" r:id="rId76"/>
    <sheet name="W61_PG_5_of_7" sheetId="49" r:id="rId77"/>
    <sheet name="W61_PG_6_of_7" sheetId="50" r:id="rId78"/>
    <sheet name="W61_PG_7_of_7" sheetId="51" r:id="rId79"/>
  </sheets>
  <externalReferences>
    <externalReference r:id="rId80"/>
  </externalReferences>
  <definedNames>
    <definedName name="_xlnm._FilterDatabase" localSheetId="50" hidden="1">W31_PG_2_of_3!$A$6:$G$6</definedName>
    <definedName name="_xlnm._FilterDatabase" localSheetId="54" hidden="1">W34_PG_1_of_3!$A$7:$E$26</definedName>
    <definedName name="Katy">#REF!</definedName>
    <definedName name="Marshall_Rate">'[1]Property Tax'!$B$2</definedName>
    <definedName name="PC_Percent">'[1]Property Tax'!$B$6</definedName>
    <definedName name="_xlnm.Print_Area" localSheetId="5">W09_PG_1_of_5!$A$1:$D$16</definedName>
    <definedName name="_xlnm.Print_Area" localSheetId="7">W09_PG_3_of_5!$A$6:$S$78</definedName>
    <definedName name="_xlnm.Print_Area" localSheetId="9">W09_PG_5_of_5!$A$7:$L$139</definedName>
    <definedName name="_xlnm.Print_Area" localSheetId="28">W22_PG_4_of_6!$A$1:$F$5</definedName>
    <definedName name="_xlnm.Print_Area" localSheetId="29">W22_PG_5_of_6!$A$1:$J$35</definedName>
    <definedName name="_xlnm.Print_Titles" localSheetId="9">W09_PG_5_of_5!$7:$14</definedName>
    <definedName name="_xlnm.Print_Titles" localSheetId="41">W27_PG_2_of_3!$2:$5</definedName>
    <definedName name="_xlnm.Print_Titles" localSheetId="42">W27_PG_3_of_3!$2:$5</definedName>
    <definedName name="tim" localSheetId="9">#REF!</definedName>
    <definedName name="tim">#REF!</definedName>
    <definedName name="WV_List">'[1]Property Tax'!$B$4</definedName>
    <definedName name="Z_0BD4BC22_E7A2_4140_8384_5A5B3339DEED_.wvu.PrintArea" localSheetId="9" hidden="1">W09_PG_5_of_5!$A$7:$L$139</definedName>
    <definedName name="Z_0BD4BC22_E7A2_4140_8384_5A5B3339DEED_.wvu.PrintTitles" localSheetId="9" hidden="1">W09_PG_5_of_5!$7:$14</definedName>
    <definedName name="Z_4EF176FC_448F_4BD8_8859_C810312E84E7_.wvu.PrintArea" localSheetId="9" hidden="1">W09_PG_5_of_5!$A$7:$L$139</definedName>
    <definedName name="Z_4EF176FC_448F_4BD8_8859_C810312E84E7_.wvu.PrintTitles" localSheetId="9" hidden="1">W09_PG_5_of_5!$7:$14</definedName>
    <definedName name="Z_4EF176FC_448F_4BD8_8859_C810312E84E7_.wvu.Rows" localSheetId="9" hidden="1">W09_PG_5_of_5!$86:$137</definedName>
    <definedName name="Z_567BA860_460A_4CE0_A629_0EA7372574F1_.wvu.PrintArea" localSheetId="9" hidden="1">W09_PG_5_of_5!$A$7:$L$139</definedName>
    <definedName name="Z_567BA860_460A_4CE0_A629_0EA7372574F1_.wvu.PrintTitles" localSheetId="9" hidden="1">W09_PG_5_of_5!$7:$14</definedName>
    <definedName name="Z_567BA860_460A_4CE0_A629_0EA7372574F1_.wvu.Rows" localSheetId="9" hidden="1">W09_PG_5_of_5!$86:$137</definedName>
    <definedName name="Z_84ADAC68_0B9A_4C5D_9EB6_75866437195D_.wvu.FilterData" localSheetId="50" hidden="1">W31_PG_2_of_3!$A$6:$G$6</definedName>
    <definedName name="Z_E9A95073_CC85_43FF_8954_6BA03BCE080C_.wvu.FilterData" localSheetId="50" hidden="1">W31_PG_2_of_3!$A$6:$G$6</definedName>
  </definedNames>
  <calcPr calcId="191029" iterate="1"/>
  <pivotCaches>
    <pivotCache cacheId="0" r:id="rId8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5" i="79" l="1"/>
  <c r="D53" i="79"/>
  <c r="E53" i="79" s="1"/>
  <c r="D51" i="79"/>
  <c r="E51" i="79" s="1"/>
  <c r="D49" i="79"/>
  <c r="E49" i="79" s="1"/>
  <c r="D47" i="79"/>
  <c r="E47" i="79" s="1"/>
  <c r="D45" i="79"/>
  <c r="E45" i="79" s="1"/>
  <c r="D43" i="79"/>
  <c r="E43" i="79" s="1"/>
  <c r="D41" i="79"/>
  <c r="E41" i="79" s="1"/>
  <c r="D39" i="79"/>
  <c r="E39" i="79" s="1"/>
  <c r="D37" i="79"/>
  <c r="E37" i="79" s="1"/>
  <c r="D35" i="79"/>
  <c r="E35" i="79" s="1"/>
  <c r="D33" i="79"/>
  <c r="E33" i="79" s="1"/>
  <c r="D31" i="79"/>
  <c r="E31" i="79" s="1"/>
  <c r="D29" i="79"/>
  <c r="E29" i="79" s="1"/>
  <c r="D27" i="79"/>
  <c r="E27" i="79" s="1"/>
  <c r="D25" i="79"/>
  <c r="E25" i="79" s="1"/>
  <c r="D23" i="79"/>
  <c r="E23" i="79" s="1"/>
  <c r="D21" i="79"/>
  <c r="E21" i="79" s="1"/>
  <c r="D19" i="79"/>
  <c r="E19" i="79" s="1"/>
  <c r="E18" i="79"/>
  <c r="E17" i="79"/>
  <c r="E16" i="79"/>
  <c r="E15" i="79"/>
  <c r="E14" i="79"/>
  <c r="E13" i="79"/>
  <c r="E12" i="79"/>
  <c r="E11" i="79"/>
  <c r="D9" i="79"/>
  <c r="E9" i="79" s="1"/>
  <c r="E8" i="79"/>
  <c r="D8" i="79"/>
  <c r="D7" i="79"/>
  <c r="D52" i="79" s="1"/>
  <c r="E52" i="79" s="1"/>
  <c r="A20" i="78"/>
  <c r="A21" i="78" s="1"/>
  <c r="A22" i="78" s="1"/>
  <c r="G13" i="78"/>
  <c r="I13" i="78" s="1"/>
  <c r="A11" i="78"/>
  <c r="A12" i="78" s="1"/>
  <c r="A13" i="78" s="1"/>
  <c r="A15" i="78" s="1"/>
  <c r="A16" i="78" s="1"/>
  <c r="A17" i="78" s="1"/>
  <c r="I8" i="78"/>
  <c r="I15" i="78" s="1"/>
  <c r="I17" i="78" s="1"/>
  <c r="B16" i="77"/>
  <c r="H16" i="75" s="1"/>
  <c r="B12" i="77"/>
  <c r="F54" i="76"/>
  <c r="F53" i="76"/>
  <c r="F52" i="76"/>
  <c r="F51" i="76"/>
  <c r="F50" i="76"/>
  <c r="F49" i="76"/>
  <c r="F48" i="76"/>
  <c r="F47" i="76"/>
  <c r="F46" i="76"/>
  <c r="F45" i="76"/>
  <c r="F44" i="76"/>
  <c r="F43" i="76"/>
  <c r="F42" i="76"/>
  <c r="F41" i="76"/>
  <c r="F40" i="76"/>
  <c r="F39" i="76"/>
  <c r="F38" i="76"/>
  <c r="F37" i="76"/>
  <c r="F36" i="76"/>
  <c r="F35" i="76"/>
  <c r="F34" i="76"/>
  <c r="F33" i="76"/>
  <c r="F32" i="76"/>
  <c r="F31" i="76"/>
  <c r="F30" i="76"/>
  <c r="F29" i="76"/>
  <c r="F28" i="76"/>
  <c r="F27" i="76"/>
  <c r="F26" i="76"/>
  <c r="F25" i="76"/>
  <c r="F24" i="76"/>
  <c r="F23" i="76"/>
  <c r="F22" i="76"/>
  <c r="F21" i="76"/>
  <c r="F20" i="76"/>
  <c r="F19" i="76"/>
  <c r="F18" i="76"/>
  <c r="F17" i="76"/>
  <c r="F16" i="76"/>
  <c r="F15" i="76"/>
  <c r="F14" i="76"/>
  <c r="F13" i="76"/>
  <c r="F12" i="76"/>
  <c r="F11" i="76"/>
  <c r="F10" i="76"/>
  <c r="F9" i="76"/>
  <c r="F8" i="76"/>
  <c r="F7" i="76"/>
  <c r="H15" i="75"/>
  <c r="A9" i="75"/>
  <c r="A10" i="75" s="1"/>
  <c r="A11" i="75" s="1"/>
  <c r="A12" i="75" s="1"/>
  <c r="A13" i="75" s="1"/>
  <c r="A15" i="75" s="1"/>
  <c r="A16" i="75" s="1"/>
  <c r="A17" i="75" s="1"/>
  <c r="A18" i="75" s="1"/>
  <c r="A20" i="75" s="1"/>
  <c r="A21" i="75" s="1"/>
  <c r="A22" i="75" s="1"/>
  <c r="A24" i="75" s="1"/>
  <c r="A25" i="75" s="1"/>
  <c r="B46" i="74"/>
  <c r="B44" i="74"/>
  <c r="C37" i="73"/>
  <c r="C36" i="73"/>
  <c r="C35" i="73"/>
  <c r="C34" i="73"/>
  <c r="C33" i="73"/>
  <c r="C32" i="73"/>
  <c r="C31" i="73"/>
  <c r="C30" i="73"/>
  <c r="C29" i="73"/>
  <c r="C28" i="73"/>
  <c r="C27" i="73"/>
  <c r="C26" i="73"/>
  <c r="C25" i="73"/>
  <c r="C24" i="73"/>
  <c r="C23" i="73"/>
  <c r="C22" i="73"/>
  <c r="C21" i="73"/>
  <c r="C20" i="73"/>
  <c r="C19" i="73"/>
  <c r="C18" i="73"/>
  <c r="C17" i="73"/>
  <c r="C16" i="73"/>
  <c r="C15" i="73"/>
  <c r="C14" i="73"/>
  <c r="C13" i="73"/>
  <c r="C12" i="73"/>
  <c r="C11" i="73"/>
  <c r="A11" i="73"/>
  <c r="A12" i="73" s="1"/>
  <c r="A13" i="73" s="1"/>
  <c r="A14" i="73" s="1"/>
  <c r="A15" i="73" s="1"/>
  <c r="A16" i="73" s="1"/>
  <c r="A17" i="73" s="1"/>
  <c r="A18" i="73" s="1"/>
  <c r="A19" i="73" s="1"/>
  <c r="A20" i="73" s="1"/>
  <c r="A21" i="73" s="1"/>
  <c r="A22" i="73" s="1"/>
  <c r="A23" i="73" s="1"/>
  <c r="A24" i="73" s="1"/>
  <c r="A25" i="73" s="1"/>
  <c r="A26" i="73" s="1"/>
  <c r="A27" i="73" s="1"/>
  <c r="A28" i="73" s="1"/>
  <c r="A29" i="73" s="1"/>
  <c r="A30" i="73" s="1"/>
  <c r="A31" i="73" s="1"/>
  <c r="A32" i="73" s="1"/>
  <c r="A33" i="73" s="1"/>
  <c r="A34" i="73" s="1"/>
  <c r="A35" i="73" s="1"/>
  <c r="A36" i="73" s="1"/>
  <c r="A37" i="73" s="1"/>
  <c r="C10" i="73"/>
  <c r="B32" i="72"/>
  <c r="E31" i="72"/>
  <c r="E30" i="72"/>
  <c r="E29" i="72"/>
  <c r="E32" i="72" s="1"/>
  <c r="E17" i="72"/>
  <c r="E16" i="72"/>
  <c r="E15" i="72"/>
  <c r="E14" i="72"/>
  <c r="E13" i="72"/>
  <c r="E12" i="72"/>
  <c r="E11" i="72"/>
  <c r="E10" i="72"/>
  <c r="E9" i="72"/>
  <c r="B59" i="71"/>
  <c r="B55" i="70"/>
  <c r="C44" i="69" s="1"/>
  <c r="B54" i="70"/>
  <c r="B53" i="70"/>
  <c r="B52" i="70"/>
  <c r="B51" i="70"/>
  <c r="B50" i="70"/>
  <c r="B49" i="70"/>
  <c r="C38" i="69" s="1"/>
  <c r="B48" i="70"/>
  <c r="B47" i="70"/>
  <c r="B46" i="70"/>
  <c r="B45" i="70"/>
  <c r="B44" i="70"/>
  <c r="B43" i="70"/>
  <c r="B42" i="70"/>
  <c r="B41" i="70"/>
  <c r="B40" i="70"/>
  <c r="B39" i="70"/>
  <c r="C28" i="69" s="1"/>
  <c r="B38" i="70"/>
  <c r="B37" i="70"/>
  <c r="B36" i="70"/>
  <c r="B35" i="70"/>
  <c r="B34" i="70"/>
  <c r="B33" i="70"/>
  <c r="B32" i="70"/>
  <c r="B31" i="70"/>
  <c r="B30" i="70"/>
  <c r="B29" i="70"/>
  <c r="B28" i="70"/>
  <c r="B27" i="70"/>
  <c r="B26" i="70"/>
  <c r="B25" i="70"/>
  <c r="B24" i="70"/>
  <c r="B23" i="70"/>
  <c r="B22" i="70"/>
  <c r="B21" i="70"/>
  <c r="B20" i="70"/>
  <c r="B19" i="70"/>
  <c r="B18" i="70"/>
  <c r="B17" i="70"/>
  <c r="B16" i="70"/>
  <c r="B15" i="70"/>
  <c r="B14" i="70"/>
  <c r="B13" i="70"/>
  <c r="B12" i="70"/>
  <c r="B11" i="70"/>
  <c r="B10" i="70"/>
  <c r="B9" i="70"/>
  <c r="B8" i="70"/>
  <c r="C43" i="69"/>
  <c r="C42" i="69"/>
  <c r="C41" i="69"/>
  <c r="C40" i="69"/>
  <c r="C39" i="69"/>
  <c r="C37" i="69"/>
  <c r="C35" i="69"/>
  <c r="C33" i="69"/>
  <c r="C32" i="69"/>
  <c r="C31" i="69"/>
  <c r="C30" i="69"/>
  <c r="C29" i="69"/>
  <c r="C27" i="69"/>
  <c r="C26" i="69"/>
  <c r="C25" i="69"/>
  <c r="C24" i="69"/>
  <c r="C23" i="69"/>
  <c r="C21" i="69"/>
  <c r="C19" i="69"/>
  <c r="C17" i="69"/>
  <c r="C16" i="69"/>
  <c r="C15" i="69"/>
  <c r="C14" i="69"/>
  <c r="C13" i="69"/>
  <c r="C11" i="69"/>
  <c r="C10" i="69"/>
  <c r="A10" i="69"/>
  <c r="A11" i="69" s="1"/>
  <c r="A12" i="69" s="1"/>
  <c r="A13" i="69" s="1"/>
  <c r="A14" i="69" s="1"/>
  <c r="A15" i="69" s="1"/>
  <c r="A16" i="69" s="1"/>
  <c r="A17" i="69" s="1"/>
  <c r="A18" i="69" s="1"/>
  <c r="A19" i="69" s="1"/>
  <c r="A20" i="69" s="1"/>
  <c r="A21" i="69" s="1"/>
  <c r="A22" i="69" s="1"/>
  <c r="A23" i="69" s="1"/>
  <c r="A24" i="69" s="1"/>
  <c r="A25" i="69" s="1"/>
  <c r="A26" i="69" s="1"/>
  <c r="A27" i="69" s="1"/>
  <c r="A28" i="69" s="1"/>
  <c r="A29" i="69" s="1"/>
  <c r="A30" i="69" s="1"/>
  <c r="A31" i="69" s="1"/>
  <c r="A32" i="69" s="1"/>
  <c r="A33" i="69" s="1"/>
  <c r="A34" i="69" s="1"/>
  <c r="A35" i="69" s="1"/>
  <c r="A36" i="69" s="1"/>
  <c r="A37" i="69" s="1"/>
  <c r="A38" i="69" s="1"/>
  <c r="A39" i="69" s="1"/>
  <c r="A40" i="69" s="1"/>
  <c r="A41" i="69" s="1"/>
  <c r="A42" i="69" s="1"/>
  <c r="A43" i="69" s="1"/>
  <c r="A44" i="69" s="1"/>
  <c r="A45" i="69" s="1"/>
  <c r="A47" i="69" s="1"/>
  <c r="A48" i="69" s="1"/>
  <c r="C9" i="69"/>
  <c r="B149" i="68"/>
  <c r="B148" i="68"/>
  <c r="B147" i="68"/>
  <c r="B146" i="68"/>
  <c r="B145" i="68"/>
  <c r="B144" i="68"/>
  <c r="B143" i="68"/>
  <c r="B142" i="68"/>
  <c r="B141" i="68"/>
  <c r="B140" i="68"/>
  <c r="B139" i="68"/>
  <c r="B138" i="68"/>
  <c r="B137" i="68"/>
  <c r="B136" i="68"/>
  <c r="B135" i="68"/>
  <c r="B134" i="68"/>
  <c r="B133" i="68"/>
  <c r="B132" i="68"/>
  <c r="B131" i="68"/>
  <c r="B130" i="68"/>
  <c r="B129" i="68"/>
  <c r="B128" i="68"/>
  <c r="B127" i="68"/>
  <c r="B126" i="68"/>
  <c r="B125" i="68"/>
  <c r="B124" i="68"/>
  <c r="B123" i="68"/>
  <c r="B122" i="68"/>
  <c r="B121" i="68"/>
  <c r="B120" i="68"/>
  <c r="B119" i="68"/>
  <c r="B118" i="68"/>
  <c r="B117" i="68"/>
  <c r="C149" i="68" s="1"/>
  <c r="B116" i="68"/>
  <c r="B115" i="68"/>
  <c r="B114" i="68"/>
  <c r="B113" i="68"/>
  <c r="B112" i="68"/>
  <c r="B111" i="68"/>
  <c r="B110" i="68"/>
  <c r="B109" i="68"/>
  <c r="B108" i="68"/>
  <c r="B107" i="68"/>
  <c r="B106" i="68"/>
  <c r="B102" i="68"/>
  <c r="B150" i="68" s="1"/>
  <c r="C101" i="68"/>
  <c r="B54" i="68"/>
  <c r="C53" i="68"/>
  <c r="G156" i="67"/>
  <c r="G106" i="67"/>
  <c r="F57" i="67"/>
  <c r="F56" i="67"/>
  <c r="C43" i="66" s="1"/>
  <c r="F55" i="67"/>
  <c r="F54" i="67"/>
  <c r="F53" i="67"/>
  <c r="C40" i="66" s="1"/>
  <c r="F52" i="67"/>
  <c r="F51" i="67"/>
  <c r="F50" i="67"/>
  <c r="F49" i="67"/>
  <c r="F48" i="67"/>
  <c r="F47" i="67"/>
  <c r="F46" i="67"/>
  <c r="F45" i="67"/>
  <c r="F44" i="67"/>
  <c r="F43" i="67"/>
  <c r="F42" i="67"/>
  <c r="F41" i="67"/>
  <c r="F40" i="67"/>
  <c r="F39" i="67"/>
  <c r="F38" i="67"/>
  <c r="F37" i="67"/>
  <c r="F36" i="67"/>
  <c r="F35" i="67"/>
  <c r="F34" i="67"/>
  <c r="F33" i="67"/>
  <c r="F32" i="67"/>
  <c r="F31" i="67"/>
  <c r="F30" i="67"/>
  <c r="F29" i="67"/>
  <c r="F28" i="67"/>
  <c r="F27" i="67"/>
  <c r="F26" i="67"/>
  <c r="F25" i="67"/>
  <c r="F24" i="67"/>
  <c r="F23" i="67"/>
  <c r="F22" i="67"/>
  <c r="F21" i="67"/>
  <c r="F20" i="67"/>
  <c r="F19" i="67"/>
  <c r="F18" i="67"/>
  <c r="F17" i="67"/>
  <c r="F16" i="67"/>
  <c r="F15" i="67"/>
  <c r="F14" i="67"/>
  <c r="F13" i="67"/>
  <c r="F12" i="67"/>
  <c r="F11" i="67"/>
  <c r="H43" i="66"/>
  <c r="G43" i="66"/>
  <c r="E43" i="66"/>
  <c r="D43" i="66"/>
  <c r="H42" i="66"/>
  <c r="I42" i="66" s="1"/>
  <c r="G42" i="66"/>
  <c r="D42" i="66"/>
  <c r="E42" i="66" s="1"/>
  <c r="C42" i="66"/>
  <c r="H41" i="66"/>
  <c r="G41" i="66"/>
  <c r="E41" i="66"/>
  <c r="D41" i="66"/>
  <c r="C41" i="66"/>
  <c r="H40" i="66"/>
  <c r="I40" i="66" s="1"/>
  <c r="K40" i="66" s="1"/>
  <c r="G40" i="66"/>
  <c r="E40" i="66"/>
  <c r="D40" i="66"/>
  <c r="H39" i="66"/>
  <c r="G39" i="66"/>
  <c r="D39" i="66"/>
  <c r="C39" i="66"/>
  <c r="E39" i="66" s="1"/>
  <c r="H38" i="66"/>
  <c r="I38" i="66" s="1"/>
  <c r="G38" i="66"/>
  <c r="D38" i="66"/>
  <c r="C38" i="66"/>
  <c r="I37" i="66"/>
  <c r="H37" i="66"/>
  <c r="G37" i="66"/>
  <c r="E37" i="66"/>
  <c r="K37" i="66" s="1"/>
  <c r="L37" i="66" s="1"/>
  <c r="H42" i="65" s="1"/>
  <c r="D37" i="66"/>
  <c r="C37" i="66"/>
  <c r="H36" i="66"/>
  <c r="G36" i="66"/>
  <c r="I36" i="66" s="1"/>
  <c r="D36" i="66"/>
  <c r="E36" i="66" s="1"/>
  <c r="K36" i="66" s="1"/>
  <c r="C36" i="66"/>
  <c r="H35" i="66"/>
  <c r="G35" i="66"/>
  <c r="E35" i="66"/>
  <c r="D35" i="66"/>
  <c r="C35" i="66"/>
  <c r="I34" i="66"/>
  <c r="H34" i="66"/>
  <c r="G34" i="66"/>
  <c r="D34" i="66"/>
  <c r="E34" i="66" s="1"/>
  <c r="K34" i="66" s="1"/>
  <c r="L34" i="66" s="1"/>
  <c r="H38" i="65" s="1"/>
  <c r="C34" i="66"/>
  <c r="H33" i="66"/>
  <c r="I33" i="66" s="1"/>
  <c r="G33" i="66"/>
  <c r="D33" i="66"/>
  <c r="E33" i="66" s="1"/>
  <c r="C33" i="66"/>
  <c r="I32" i="66"/>
  <c r="H32" i="66"/>
  <c r="G32" i="66"/>
  <c r="E32" i="66"/>
  <c r="K32" i="66" s="1"/>
  <c r="D32" i="66"/>
  <c r="C32" i="66"/>
  <c r="H31" i="66"/>
  <c r="G31" i="66"/>
  <c r="D31" i="66"/>
  <c r="C31" i="66"/>
  <c r="E31" i="66" s="1"/>
  <c r="H30" i="66"/>
  <c r="I30" i="66" s="1"/>
  <c r="G30" i="66"/>
  <c r="D30" i="66"/>
  <c r="C30" i="66"/>
  <c r="I29" i="66"/>
  <c r="H29" i="66"/>
  <c r="G29" i="66"/>
  <c r="D29" i="66"/>
  <c r="E29" i="66" s="1"/>
  <c r="K29" i="66" s="1"/>
  <c r="C29" i="66"/>
  <c r="H28" i="66"/>
  <c r="G28" i="66"/>
  <c r="I28" i="66" s="1"/>
  <c r="D28" i="66"/>
  <c r="E28" i="66" s="1"/>
  <c r="K28" i="66" s="1"/>
  <c r="C28" i="66"/>
  <c r="H27" i="66"/>
  <c r="G27" i="66"/>
  <c r="E27" i="66"/>
  <c r="D27" i="66"/>
  <c r="C27" i="66"/>
  <c r="H26" i="66"/>
  <c r="I26" i="66" s="1"/>
  <c r="G26" i="66"/>
  <c r="D26" i="66"/>
  <c r="E26" i="66" s="1"/>
  <c r="C26" i="66"/>
  <c r="H25" i="66"/>
  <c r="I25" i="66" s="1"/>
  <c r="G25" i="66"/>
  <c r="D25" i="66"/>
  <c r="E25" i="66" s="1"/>
  <c r="K25" i="66" s="1"/>
  <c r="C25" i="66"/>
  <c r="I24" i="66"/>
  <c r="K24" i="66" s="1"/>
  <c r="H24" i="66"/>
  <c r="G24" i="66"/>
  <c r="E24" i="66"/>
  <c r="D24" i="66"/>
  <c r="C24" i="66"/>
  <c r="H23" i="66"/>
  <c r="G23" i="66"/>
  <c r="D23" i="66"/>
  <c r="C23" i="66"/>
  <c r="E23" i="66" s="1"/>
  <c r="H22" i="66"/>
  <c r="I22" i="66" s="1"/>
  <c r="G22" i="66"/>
  <c r="D22" i="66"/>
  <c r="C22" i="66"/>
  <c r="I21" i="66"/>
  <c r="H21" i="66"/>
  <c r="G21" i="66"/>
  <c r="D21" i="66"/>
  <c r="E21" i="66" s="1"/>
  <c r="K21" i="66" s="1"/>
  <c r="C21" i="66"/>
  <c r="H20" i="66"/>
  <c r="G20" i="66"/>
  <c r="D20" i="66"/>
  <c r="E20" i="66" s="1"/>
  <c r="C20" i="66"/>
  <c r="H19" i="66"/>
  <c r="G19" i="66"/>
  <c r="E19" i="66"/>
  <c r="D19" i="66"/>
  <c r="C19" i="66"/>
  <c r="H18" i="66"/>
  <c r="I18" i="66" s="1"/>
  <c r="G18" i="66"/>
  <c r="D18" i="66"/>
  <c r="E18" i="66" s="1"/>
  <c r="C18" i="66"/>
  <c r="H17" i="66"/>
  <c r="I17" i="66" s="1"/>
  <c r="K17" i="66" s="1"/>
  <c r="L17" i="66" s="1"/>
  <c r="H17" i="65" s="1"/>
  <c r="G17" i="66"/>
  <c r="D17" i="66"/>
  <c r="E17" i="66" s="1"/>
  <c r="C17" i="66"/>
  <c r="I16" i="66"/>
  <c r="H16" i="66"/>
  <c r="G16" i="66"/>
  <c r="E16" i="66"/>
  <c r="K16" i="66" s="1"/>
  <c r="L16" i="66" s="1"/>
  <c r="H16" i="65" s="1"/>
  <c r="D16" i="66"/>
  <c r="C16" i="66"/>
  <c r="H15" i="66"/>
  <c r="G15" i="66"/>
  <c r="D15" i="66"/>
  <c r="C15" i="66"/>
  <c r="H14" i="66"/>
  <c r="I14" i="66" s="1"/>
  <c r="G14" i="66"/>
  <c r="D14" i="66"/>
  <c r="C14" i="66"/>
  <c r="I13" i="66"/>
  <c r="H13" i="66"/>
  <c r="G13" i="66"/>
  <c r="D13" i="66"/>
  <c r="E13" i="66" s="1"/>
  <c r="K13" i="66" s="1"/>
  <c r="L13" i="66" s="1"/>
  <c r="H13" i="65" s="1"/>
  <c r="C13" i="66"/>
  <c r="H12" i="66"/>
  <c r="G12" i="66"/>
  <c r="D12" i="66"/>
  <c r="E12" i="66" s="1"/>
  <c r="C12" i="66"/>
  <c r="H11" i="66"/>
  <c r="G11" i="66"/>
  <c r="E11" i="66"/>
  <c r="D11" i="66"/>
  <c r="C11" i="66"/>
  <c r="A11" i="66"/>
  <c r="A12" i="66" s="1"/>
  <c r="A13" i="66" s="1"/>
  <c r="A14" i="66" s="1"/>
  <c r="A15" i="66" s="1"/>
  <c r="A16" i="66" s="1"/>
  <c r="A17" i="66" s="1"/>
  <c r="A18" i="66" s="1"/>
  <c r="A19" i="66" s="1"/>
  <c r="A20" i="66" s="1"/>
  <c r="A21" i="66" s="1"/>
  <c r="A22" i="66" s="1"/>
  <c r="A23" i="66" s="1"/>
  <c r="A24" i="66" s="1"/>
  <c r="A25" i="66" s="1"/>
  <c r="A26" i="66" s="1"/>
  <c r="A27" i="66" s="1"/>
  <c r="A28" i="66" s="1"/>
  <c r="A29" i="66" s="1"/>
  <c r="A30" i="66" s="1"/>
  <c r="A31" i="66" s="1"/>
  <c r="A32" i="66" s="1"/>
  <c r="A33" i="66" s="1"/>
  <c r="A34" i="66" s="1"/>
  <c r="A35" i="66" s="1"/>
  <c r="A36" i="66" s="1"/>
  <c r="A37" i="66" s="1"/>
  <c r="A38" i="66" s="1"/>
  <c r="A39" i="66" s="1"/>
  <c r="A40" i="66" s="1"/>
  <c r="A41" i="66" s="1"/>
  <c r="A42" i="66" s="1"/>
  <c r="A43" i="66" s="1"/>
  <c r="A44" i="66" s="1"/>
  <c r="A46" i="66" s="1"/>
  <c r="H10" i="66"/>
  <c r="I10" i="66" s="1"/>
  <c r="G10" i="66"/>
  <c r="D10" i="66"/>
  <c r="E10" i="66" s="1"/>
  <c r="C10" i="66"/>
  <c r="A10" i="66"/>
  <c r="I9" i="66"/>
  <c r="H9" i="66"/>
  <c r="G9" i="66"/>
  <c r="D9" i="66"/>
  <c r="E9" i="66" s="1"/>
  <c r="K9" i="66" s="1"/>
  <c r="C9" i="66"/>
  <c r="I49" i="65"/>
  <c r="C49" i="65"/>
  <c r="I47" i="65"/>
  <c r="H47" i="65"/>
  <c r="C47" i="65"/>
  <c r="B47" i="65"/>
  <c r="J45" i="65"/>
  <c r="I45" i="65"/>
  <c r="H45" i="65"/>
  <c r="D45" i="65"/>
  <c r="C45" i="65"/>
  <c r="B45" i="65"/>
  <c r="E45" i="65" s="1"/>
  <c r="I44" i="65"/>
  <c r="C44" i="65"/>
  <c r="J43" i="65"/>
  <c r="I43" i="65"/>
  <c r="H43" i="65"/>
  <c r="K43" i="65" s="1"/>
  <c r="D43" i="65"/>
  <c r="C43" i="65"/>
  <c r="B43" i="65"/>
  <c r="B42" i="65"/>
  <c r="J40" i="65"/>
  <c r="I40" i="65"/>
  <c r="H40" i="65"/>
  <c r="D40" i="65"/>
  <c r="C40" i="65"/>
  <c r="B40" i="65"/>
  <c r="B38" i="65"/>
  <c r="J33" i="65"/>
  <c r="I33" i="65"/>
  <c r="H33" i="65"/>
  <c r="D33" i="65"/>
  <c r="C33" i="65"/>
  <c r="B33" i="65"/>
  <c r="E33" i="65" s="1"/>
  <c r="I32" i="65"/>
  <c r="C32" i="65"/>
  <c r="I28" i="65"/>
  <c r="C28" i="65"/>
  <c r="I27" i="65"/>
  <c r="C27" i="65"/>
  <c r="I23" i="65"/>
  <c r="C23" i="65"/>
  <c r="J22" i="65"/>
  <c r="I22" i="65"/>
  <c r="H22" i="65"/>
  <c r="K22" i="65" s="1"/>
  <c r="D22" i="65"/>
  <c r="E22" i="65" s="1"/>
  <c r="C22" i="65"/>
  <c r="B22" i="65"/>
  <c r="I21" i="65"/>
  <c r="C21" i="65"/>
  <c r="J20" i="65"/>
  <c r="I20" i="65"/>
  <c r="H20" i="65"/>
  <c r="K20" i="65" s="1"/>
  <c r="D20" i="65"/>
  <c r="E20" i="65" s="1"/>
  <c r="C20" i="65"/>
  <c r="B20" i="65"/>
  <c r="J19" i="65"/>
  <c r="I19" i="65"/>
  <c r="H19" i="65"/>
  <c r="K19" i="65" s="1"/>
  <c r="D19" i="65"/>
  <c r="C19" i="65"/>
  <c r="B19" i="65"/>
  <c r="E19" i="65" s="1"/>
  <c r="B17" i="65"/>
  <c r="B16" i="65"/>
  <c r="B9" i="65"/>
  <c r="L25" i="66" l="1"/>
  <c r="H28" i="65" s="1"/>
  <c r="B28" i="65"/>
  <c r="K20" i="66"/>
  <c r="L36" i="66"/>
  <c r="H41" i="65" s="1"/>
  <c r="B41" i="65"/>
  <c r="B13" i="65"/>
  <c r="K33" i="66"/>
  <c r="L9" i="66"/>
  <c r="L21" i="66"/>
  <c r="H24" i="65" s="1"/>
  <c r="B24" i="65"/>
  <c r="K23" i="66"/>
  <c r="L28" i="66"/>
  <c r="H31" i="65" s="1"/>
  <c r="B31" i="65"/>
  <c r="L29" i="66"/>
  <c r="H32" i="65" s="1"/>
  <c r="B32" i="65"/>
  <c r="L24" i="66"/>
  <c r="H27" i="65" s="1"/>
  <c r="B27" i="65"/>
  <c r="B48" i="65"/>
  <c r="L40" i="66"/>
  <c r="H48" i="65" s="1"/>
  <c r="L32" i="66"/>
  <c r="H36" i="65" s="1"/>
  <c r="B36" i="65"/>
  <c r="G44" i="66"/>
  <c r="H44" i="66"/>
  <c r="I20" i="66"/>
  <c r="K35" i="66"/>
  <c r="I41" i="66"/>
  <c r="K41" i="66" s="1"/>
  <c r="E40" i="65"/>
  <c r="K18" i="66"/>
  <c r="K33" i="65"/>
  <c r="K45" i="65"/>
  <c r="I19" i="66"/>
  <c r="K19" i="66" s="1"/>
  <c r="E22" i="66"/>
  <c r="K22" i="66" s="1"/>
  <c r="I23" i="66"/>
  <c r="I35" i="66"/>
  <c r="E38" i="66"/>
  <c r="K38" i="66" s="1"/>
  <c r="I39" i="66"/>
  <c r="K39" i="66" s="1"/>
  <c r="D44" i="66"/>
  <c r="C22" i="69"/>
  <c r="C33" i="70"/>
  <c r="E33" i="70" s="1"/>
  <c r="E43" i="65"/>
  <c r="K42" i="66"/>
  <c r="K40" i="65"/>
  <c r="K11" i="66"/>
  <c r="I12" i="66"/>
  <c r="K12" i="66" s="1"/>
  <c r="E15" i="66"/>
  <c r="K27" i="66"/>
  <c r="K10" i="66"/>
  <c r="K26" i="66"/>
  <c r="I11" i="66"/>
  <c r="E14" i="66"/>
  <c r="K14" i="66" s="1"/>
  <c r="I15" i="66"/>
  <c r="I27" i="66"/>
  <c r="E30" i="66"/>
  <c r="K30" i="66" s="1"/>
  <c r="I31" i="66"/>
  <c r="K31" i="66" s="1"/>
  <c r="C12" i="70"/>
  <c r="E12" i="70" s="1"/>
  <c r="F12" i="70" s="1"/>
  <c r="C44" i="66"/>
  <c r="G56" i="67"/>
  <c r="H14" i="70"/>
  <c r="C46" i="70"/>
  <c r="D50" i="70"/>
  <c r="H10" i="70"/>
  <c r="C29" i="70"/>
  <c r="C18" i="69"/>
  <c r="C49" i="70"/>
  <c r="E49" i="70" s="1"/>
  <c r="C52" i="70"/>
  <c r="C16" i="70"/>
  <c r="C44" i="70"/>
  <c r="C47" i="70"/>
  <c r="C36" i="69"/>
  <c r="B58" i="70"/>
  <c r="C12" i="69"/>
  <c r="C45" i="70"/>
  <c r="E45" i="70" s="1"/>
  <c r="C34" i="69"/>
  <c r="C45" i="69" s="1"/>
  <c r="I43" i="66"/>
  <c r="K43" i="66" s="1"/>
  <c r="B56" i="70"/>
  <c r="C8" i="70"/>
  <c r="C23" i="70"/>
  <c r="E23" i="70" s="1"/>
  <c r="C28" i="70"/>
  <c r="E28" i="70" s="1"/>
  <c r="C31" i="70"/>
  <c r="C20" i="69"/>
  <c r="D32" i="70"/>
  <c r="C38" i="70"/>
  <c r="D48" i="70"/>
  <c r="C54" i="70"/>
  <c r="D28" i="70"/>
  <c r="C34" i="70"/>
  <c r="E34" i="70" s="1"/>
  <c r="D44" i="70"/>
  <c r="C50" i="70"/>
  <c r="E18" i="72"/>
  <c r="H17" i="75"/>
  <c r="H18" i="75" s="1"/>
  <c r="D8" i="70"/>
  <c r="D12" i="70"/>
  <c r="D16" i="70"/>
  <c r="D18" i="70"/>
  <c r="C24" i="70"/>
  <c r="D34" i="70"/>
  <c r="C40" i="70"/>
  <c r="H53" i="70"/>
  <c r="H49" i="70"/>
  <c r="H45" i="70"/>
  <c r="H41" i="70"/>
  <c r="H37" i="70"/>
  <c r="H33" i="70"/>
  <c r="H29" i="70"/>
  <c r="H25" i="70"/>
  <c r="H21" i="70"/>
  <c r="H17" i="70"/>
  <c r="H55" i="70"/>
  <c r="H51" i="70"/>
  <c r="H47" i="70"/>
  <c r="H43" i="70"/>
  <c r="H39" i="70"/>
  <c r="H35" i="70"/>
  <c r="H31" i="70"/>
  <c r="H27" i="70"/>
  <c r="H23" i="70"/>
  <c r="H19" i="70"/>
  <c r="D55" i="70"/>
  <c r="D51" i="70"/>
  <c r="D47" i="70"/>
  <c r="D43" i="70"/>
  <c r="D39" i="70"/>
  <c r="D35" i="70"/>
  <c r="D31" i="70"/>
  <c r="D27" i="70"/>
  <c r="D23" i="70"/>
  <c r="D19" i="70"/>
  <c r="B36" i="72"/>
  <c r="D53" i="70"/>
  <c r="D49" i="70"/>
  <c r="D45" i="70"/>
  <c r="D41" i="70"/>
  <c r="D37" i="70"/>
  <c r="D33" i="70"/>
  <c r="D29" i="70"/>
  <c r="D25" i="70"/>
  <c r="D21" i="70"/>
  <c r="D17" i="70"/>
  <c r="H8" i="70"/>
  <c r="D10" i="70"/>
  <c r="H12" i="70"/>
  <c r="D14" i="70"/>
  <c r="H16" i="70"/>
  <c r="D26" i="70"/>
  <c r="H30" i="70"/>
  <c r="C32" i="70"/>
  <c r="D42" i="70"/>
  <c r="H46" i="70"/>
  <c r="C48" i="70"/>
  <c r="E48" i="70" s="1"/>
  <c r="C38" i="73"/>
  <c r="D10" i="79"/>
  <c r="E10" i="79" s="1"/>
  <c r="D22" i="79"/>
  <c r="E22" i="79" s="1"/>
  <c r="D26" i="79"/>
  <c r="E26" i="79" s="1"/>
  <c r="D30" i="79"/>
  <c r="E30" i="79" s="1"/>
  <c r="D34" i="79"/>
  <c r="E34" i="79" s="1"/>
  <c r="D38" i="79"/>
  <c r="E38" i="79" s="1"/>
  <c r="D42" i="79"/>
  <c r="E42" i="79" s="1"/>
  <c r="D46" i="79"/>
  <c r="E46" i="79" s="1"/>
  <c r="D50" i="79"/>
  <c r="E50" i="79" s="1"/>
  <c r="D54" i="79"/>
  <c r="E54" i="79" s="1"/>
  <c r="D20" i="79"/>
  <c r="E20" i="79" s="1"/>
  <c r="E55" i="79" s="1"/>
  <c r="E56" i="79" s="1"/>
  <c r="K19" i="78" s="1"/>
  <c r="K20" i="78" s="1"/>
  <c r="D24" i="79"/>
  <c r="E24" i="79" s="1"/>
  <c r="D28" i="79"/>
  <c r="E28" i="79" s="1"/>
  <c r="D32" i="79"/>
  <c r="E32" i="79" s="1"/>
  <c r="D36" i="79"/>
  <c r="E36" i="79" s="1"/>
  <c r="D40" i="79"/>
  <c r="E40" i="79" s="1"/>
  <c r="D44" i="79"/>
  <c r="E44" i="79" s="1"/>
  <c r="D48" i="79"/>
  <c r="E48" i="79" s="1"/>
  <c r="L19" i="66" l="1"/>
  <c r="H21" i="65" s="1"/>
  <c r="B21" i="65"/>
  <c r="B35" i="65"/>
  <c r="L31" i="66"/>
  <c r="H35" i="65" s="1"/>
  <c r="B46" i="65"/>
  <c r="L39" i="66"/>
  <c r="H46" i="65" s="1"/>
  <c r="L12" i="66"/>
  <c r="H12" i="65" s="1"/>
  <c r="B12" i="65"/>
  <c r="L43" i="66"/>
  <c r="H51" i="65" s="1"/>
  <c r="B51" i="65"/>
  <c r="K22" i="78"/>
  <c r="P18" i="65" s="1"/>
  <c r="O18" i="65"/>
  <c r="L38" i="66"/>
  <c r="H44" i="65" s="1"/>
  <c r="B44" i="65"/>
  <c r="I44" i="66"/>
  <c r="H9" i="75" s="1"/>
  <c r="H9" i="65"/>
  <c r="F54" i="79"/>
  <c r="G54" i="79" s="1"/>
  <c r="L22" i="66"/>
  <c r="H25" i="65" s="1"/>
  <c r="B25" i="65"/>
  <c r="L41" i="66"/>
  <c r="H49" i="65" s="1"/>
  <c r="B49" i="65"/>
  <c r="L23" i="66"/>
  <c r="H26" i="65" s="1"/>
  <c r="B26" i="65"/>
  <c r="F34" i="70"/>
  <c r="D23" i="69"/>
  <c r="E23" i="69" s="1"/>
  <c r="L11" i="66"/>
  <c r="H11" i="65" s="1"/>
  <c r="B11" i="65"/>
  <c r="D55" i="79"/>
  <c r="E36" i="72"/>
  <c r="G52" i="70"/>
  <c r="G48" i="70"/>
  <c r="G44" i="70"/>
  <c r="G40" i="70"/>
  <c r="G36" i="70"/>
  <c r="G32" i="70"/>
  <c r="I32" i="70" s="1"/>
  <c r="G28" i="70"/>
  <c r="G24" i="70"/>
  <c r="G20" i="70"/>
  <c r="G54" i="70"/>
  <c r="G50" i="70"/>
  <c r="I50" i="70" s="1"/>
  <c r="G46" i="70"/>
  <c r="I46" i="70" s="1"/>
  <c r="G42" i="70"/>
  <c r="G38" i="70"/>
  <c r="I38" i="70" s="1"/>
  <c r="G34" i="70"/>
  <c r="G30" i="70"/>
  <c r="I30" i="70" s="1"/>
  <c r="G26" i="70"/>
  <c r="G22" i="70"/>
  <c r="G18" i="70"/>
  <c r="G49" i="70"/>
  <c r="I49" i="70" s="1"/>
  <c r="G33" i="70"/>
  <c r="I33" i="70" s="1"/>
  <c r="G17" i="70"/>
  <c r="I17" i="70" s="1"/>
  <c r="G41" i="70"/>
  <c r="I41" i="70" s="1"/>
  <c r="G25" i="70"/>
  <c r="I25" i="70" s="1"/>
  <c r="D19" i="72"/>
  <c r="D8" i="74" s="1"/>
  <c r="G51" i="70"/>
  <c r="I51" i="70" s="1"/>
  <c r="G35" i="70"/>
  <c r="I35" i="70" s="1"/>
  <c r="G19" i="70"/>
  <c r="I19" i="70" s="1"/>
  <c r="G14" i="70"/>
  <c r="I14" i="70" s="1"/>
  <c r="G10" i="70"/>
  <c r="I10" i="70" s="1"/>
  <c r="G55" i="70"/>
  <c r="I55" i="70" s="1"/>
  <c r="G39" i="70"/>
  <c r="I39" i="70" s="1"/>
  <c r="G23" i="70"/>
  <c r="I23" i="70" s="1"/>
  <c r="G13" i="70"/>
  <c r="G9" i="70"/>
  <c r="G45" i="70"/>
  <c r="I45" i="70" s="1"/>
  <c r="G53" i="70"/>
  <c r="I53" i="70" s="1"/>
  <c r="G27" i="70"/>
  <c r="I27" i="70" s="1"/>
  <c r="G16" i="70"/>
  <c r="I16" i="70" s="1"/>
  <c r="G29" i="70"/>
  <c r="I29" i="70" s="1"/>
  <c r="G43" i="70"/>
  <c r="I43" i="70" s="1"/>
  <c r="G11" i="70"/>
  <c r="G8" i="70"/>
  <c r="G21" i="70"/>
  <c r="I21" i="70" s="1"/>
  <c r="G31" i="70"/>
  <c r="I31" i="70" s="1"/>
  <c r="G15" i="70"/>
  <c r="I15" i="70" s="1"/>
  <c r="G12" i="70"/>
  <c r="I12" i="70" s="1"/>
  <c r="G37" i="70"/>
  <c r="I37" i="70" s="1"/>
  <c r="G47" i="70"/>
  <c r="I47" i="70" s="1"/>
  <c r="F49" i="70"/>
  <c r="D38" i="69"/>
  <c r="E38" i="69" s="1"/>
  <c r="L14" i="66"/>
  <c r="H14" i="65" s="1"/>
  <c r="B14" i="65"/>
  <c r="L27" i="66"/>
  <c r="H30" i="65" s="1"/>
  <c r="B30" i="65"/>
  <c r="F33" i="70"/>
  <c r="D22" i="69"/>
  <c r="E22" i="69" s="1"/>
  <c r="L35" i="66"/>
  <c r="H39" i="65" s="1"/>
  <c r="B39" i="65"/>
  <c r="E32" i="70"/>
  <c r="E50" i="70"/>
  <c r="E47" i="70"/>
  <c r="K15" i="66"/>
  <c r="L26" i="66"/>
  <c r="H29" i="65" s="1"/>
  <c r="B29" i="65"/>
  <c r="E31" i="70"/>
  <c r="E44" i="70"/>
  <c r="E29" i="70"/>
  <c r="E44" i="66"/>
  <c r="H8" i="75" s="1"/>
  <c r="F28" i="70"/>
  <c r="D17" i="69"/>
  <c r="E17" i="69" s="1"/>
  <c r="E16" i="70"/>
  <c r="F16" i="70" s="1"/>
  <c r="L18" i="66"/>
  <c r="H18" i="65" s="1"/>
  <c r="B18" i="65"/>
  <c r="L20" i="66"/>
  <c r="H23" i="65" s="1"/>
  <c r="B23" i="65"/>
  <c r="F23" i="70"/>
  <c r="D12" i="69"/>
  <c r="E12" i="69" s="1"/>
  <c r="E8" i="70"/>
  <c r="F45" i="70"/>
  <c r="D34" i="69"/>
  <c r="E34" i="69" s="1"/>
  <c r="B34" i="65"/>
  <c r="L30" i="66"/>
  <c r="H34" i="65" s="1"/>
  <c r="L10" i="66"/>
  <c r="H10" i="65" s="1"/>
  <c r="B10" i="65"/>
  <c r="L42" i="66"/>
  <c r="H50" i="65" s="1"/>
  <c r="B50" i="65"/>
  <c r="L33" i="66"/>
  <c r="H37" i="65" s="1"/>
  <c r="B37" i="65"/>
  <c r="F48" i="70"/>
  <c r="D37" i="69"/>
  <c r="E37" i="69" s="1"/>
  <c r="C30" i="70"/>
  <c r="C26" i="70"/>
  <c r="E26" i="70" s="1"/>
  <c r="C22" i="70"/>
  <c r="C18" i="70"/>
  <c r="E18" i="70" s="1"/>
  <c r="F18" i="70" s="1"/>
  <c r="C20" i="70"/>
  <c r="H54" i="70"/>
  <c r="C53" i="70"/>
  <c r="E53" i="70" s="1"/>
  <c r="H38" i="70"/>
  <c r="C37" i="70"/>
  <c r="E37" i="70" s="1"/>
  <c r="H22" i="70"/>
  <c r="C21" i="70"/>
  <c r="E21" i="70" s="1"/>
  <c r="H48" i="70"/>
  <c r="H32" i="70"/>
  <c r="D54" i="70"/>
  <c r="E54" i="70" s="1"/>
  <c r="H52" i="70"/>
  <c r="C51" i="70"/>
  <c r="E51" i="70" s="1"/>
  <c r="H36" i="70"/>
  <c r="C35" i="70"/>
  <c r="E35" i="70" s="1"/>
  <c r="H20" i="70"/>
  <c r="C19" i="70"/>
  <c r="E19" i="70" s="1"/>
  <c r="F19" i="70" s="1"/>
  <c r="C15" i="70"/>
  <c r="C11" i="70"/>
  <c r="H18" i="70"/>
  <c r="D15" i="70"/>
  <c r="H50" i="70"/>
  <c r="H42" i="70"/>
  <c r="D40" i="70"/>
  <c r="E40" i="70" s="1"/>
  <c r="C25" i="70"/>
  <c r="E25" i="70" s="1"/>
  <c r="H13" i="70"/>
  <c r="D9" i="70"/>
  <c r="D56" i="70" s="1"/>
  <c r="D52" i="70"/>
  <c r="E52" i="70" s="1"/>
  <c r="C39" i="70"/>
  <c r="E39" i="70" s="1"/>
  <c r="H34" i="70"/>
  <c r="C13" i="70"/>
  <c r="C56" i="70" s="1"/>
  <c r="H11" i="70"/>
  <c r="C10" i="70"/>
  <c r="E10" i="70" s="1"/>
  <c r="F10" i="70" s="1"/>
  <c r="C41" i="70"/>
  <c r="E41" i="70" s="1"/>
  <c r="H26" i="70"/>
  <c r="D24" i="70"/>
  <c r="E24" i="70" s="1"/>
  <c r="D46" i="70"/>
  <c r="E46" i="70" s="1"/>
  <c r="D36" i="70"/>
  <c r="C17" i="70"/>
  <c r="E17" i="70" s="1"/>
  <c r="F17" i="70" s="1"/>
  <c r="H15" i="70"/>
  <c r="C14" i="70"/>
  <c r="E14" i="70" s="1"/>
  <c r="F14" i="70" s="1"/>
  <c r="D11" i="70"/>
  <c r="C43" i="70"/>
  <c r="E43" i="70" s="1"/>
  <c r="H40" i="70"/>
  <c r="D38" i="70"/>
  <c r="E38" i="70" s="1"/>
  <c r="H28" i="70"/>
  <c r="H9" i="70"/>
  <c r="H56" i="70" s="1"/>
  <c r="C9" i="70"/>
  <c r="D30" i="70"/>
  <c r="D20" i="70"/>
  <c r="H24" i="70"/>
  <c r="H44" i="70"/>
  <c r="C27" i="70"/>
  <c r="E27" i="70" s="1"/>
  <c r="D22" i="70"/>
  <c r="D13" i="70"/>
  <c r="C55" i="70"/>
  <c r="E55" i="70" s="1"/>
  <c r="C36" i="70"/>
  <c r="E36" i="70" s="1"/>
  <c r="C42" i="70"/>
  <c r="E42" i="70" s="1"/>
  <c r="F38" i="70" l="1"/>
  <c r="D27" i="69"/>
  <c r="E27" i="69" s="1"/>
  <c r="F46" i="70"/>
  <c r="D35" i="69"/>
  <c r="E35" i="69" s="1"/>
  <c r="F52" i="70"/>
  <c r="D41" i="69"/>
  <c r="E41" i="69" s="1"/>
  <c r="F54" i="70"/>
  <c r="D43" i="69"/>
  <c r="E43" i="69" s="1"/>
  <c r="F24" i="70"/>
  <c r="D13" i="69"/>
  <c r="E13" i="69" s="1"/>
  <c r="F40" i="70"/>
  <c r="D29" i="69"/>
  <c r="E29" i="69" s="1"/>
  <c r="H58" i="70"/>
  <c r="J17" i="70"/>
  <c r="K17" i="70"/>
  <c r="D16" i="69"/>
  <c r="E16" i="69" s="1"/>
  <c r="F27" i="70"/>
  <c r="F39" i="70"/>
  <c r="D28" i="69"/>
  <c r="E28" i="69" s="1"/>
  <c r="F51" i="70"/>
  <c r="D40" i="69"/>
  <c r="E40" i="69" s="1"/>
  <c r="F8" i="70"/>
  <c r="F29" i="70"/>
  <c r="D18" i="69"/>
  <c r="E18" i="69" s="1"/>
  <c r="K21" i="70"/>
  <c r="G10" i="69"/>
  <c r="J21" i="70"/>
  <c r="K45" i="70"/>
  <c r="G34" i="69"/>
  <c r="H34" i="69" s="1"/>
  <c r="J45" i="70"/>
  <c r="J19" i="70"/>
  <c r="K19" i="70"/>
  <c r="G38" i="69"/>
  <c r="H38" i="69" s="1"/>
  <c r="J49" i="70"/>
  <c r="K49" i="70"/>
  <c r="K46" i="70"/>
  <c r="J46" i="70"/>
  <c r="G35" i="69"/>
  <c r="H35" i="69" s="1"/>
  <c r="I40" i="70"/>
  <c r="L44" i="66"/>
  <c r="K50" i="70"/>
  <c r="J50" i="70"/>
  <c r="G39" i="69"/>
  <c r="L15" i="66"/>
  <c r="H15" i="65" s="1"/>
  <c r="B15" i="65"/>
  <c r="I9" i="70"/>
  <c r="I44" i="70"/>
  <c r="D32" i="69"/>
  <c r="E32" i="69" s="1"/>
  <c r="F43" i="70"/>
  <c r="E11" i="70"/>
  <c r="F11" i="70" s="1"/>
  <c r="F31" i="70"/>
  <c r="D20" i="69"/>
  <c r="E20" i="69" s="1"/>
  <c r="F47" i="70"/>
  <c r="D36" i="69"/>
  <c r="E36" i="69" s="1"/>
  <c r="I11" i="70"/>
  <c r="I13" i="70"/>
  <c r="K51" i="70"/>
  <c r="J51" i="70"/>
  <c r="G40" i="69"/>
  <c r="G58" i="70"/>
  <c r="I22" i="70"/>
  <c r="I54" i="70"/>
  <c r="I48" i="70"/>
  <c r="F50" i="70"/>
  <c r="D39" i="69"/>
  <c r="E39" i="69" s="1"/>
  <c r="G36" i="69"/>
  <c r="K47" i="70"/>
  <c r="J47" i="70"/>
  <c r="J43" i="70"/>
  <c r="G32" i="69"/>
  <c r="H32" i="69" s="1"/>
  <c r="K43" i="70"/>
  <c r="G12" i="69"/>
  <c r="H12" i="69" s="1"/>
  <c r="I12" i="69" s="1"/>
  <c r="K23" i="70"/>
  <c r="J23" i="70"/>
  <c r="C42" i="74"/>
  <c r="D36" i="73" s="1"/>
  <c r="C34" i="74"/>
  <c r="D28" i="73" s="1"/>
  <c r="C26" i="74"/>
  <c r="D20" i="73" s="1"/>
  <c r="C18" i="74"/>
  <c r="D12" i="73" s="1"/>
  <c r="C10" i="74"/>
  <c r="C41" i="74"/>
  <c r="D35" i="73" s="1"/>
  <c r="C33" i="74"/>
  <c r="D27" i="73" s="1"/>
  <c r="C25" i="74"/>
  <c r="D19" i="73" s="1"/>
  <c r="C17" i="74"/>
  <c r="D11" i="73" s="1"/>
  <c r="C9" i="74"/>
  <c r="C40" i="74"/>
  <c r="D34" i="73" s="1"/>
  <c r="C32" i="74"/>
  <c r="D26" i="73" s="1"/>
  <c r="C24" i="74"/>
  <c r="D18" i="73" s="1"/>
  <c r="C16" i="74"/>
  <c r="C39" i="74"/>
  <c r="D33" i="73" s="1"/>
  <c r="C31" i="74"/>
  <c r="D25" i="73" s="1"/>
  <c r="C23" i="74"/>
  <c r="D17" i="73" s="1"/>
  <c r="C15" i="74"/>
  <c r="C38" i="74"/>
  <c r="D32" i="73" s="1"/>
  <c r="C30" i="74"/>
  <c r="D24" i="73" s="1"/>
  <c r="C22" i="74"/>
  <c r="D16" i="73" s="1"/>
  <c r="C14" i="74"/>
  <c r="C37" i="74"/>
  <c r="D31" i="73" s="1"/>
  <c r="C29" i="74"/>
  <c r="D23" i="73" s="1"/>
  <c r="C21" i="74"/>
  <c r="D15" i="73" s="1"/>
  <c r="C13" i="74"/>
  <c r="C36" i="74"/>
  <c r="D30" i="73" s="1"/>
  <c r="C28" i="74"/>
  <c r="D22" i="73" s="1"/>
  <c r="C20" i="74"/>
  <c r="D14" i="73" s="1"/>
  <c r="C12" i="74"/>
  <c r="C43" i="74"/>
  <c r="D37" i="73" s="1"/>
  <c r="C35" i="74"/>
  <c r="D29" i="73" s="1"/>
  <c r="C27" i="74"/>
  <c r="D21" i="73" s="1"/>
  <c r="C19" i="74"/>
  <c r="D13" i="73" s="1"/>
  <c r="C11" i="74"/>
  <c r="I26" i="70"/>
  <c r="I20" i="70"/>
  <c r="I52" i="70"/>
  <c r="I38" i="69"/>
  <c r="J35" i="70"/>
  <c r="G24" i="69"/>
  <c r="H24" i="69" s="1"/>
  <c r="K35" i="70"/>
  <c r="F42" i="70"/>
  <c r="D31" i="69"/>
  <c r="E31" i="69" s="1"/>
  <c r="E15" i="70"/>
  <c r="F15" i="70" s="1"/>
  <c r="E20" i="70"/>
  <c r="F25" i="70"/>
  <c r="D14" i="69"/>
  <c r="E14" i="69" s="1"/>
  <c r="K37" i="70"/>
  <c r="G26" i="69"/>
  <c r="H26" i="69" s="1"/>
  <c r="J37" i="70"/>
  <c r="K29" i="70"/>
  <c r="G18" i="69"/>
  <c r="H18" i="69" s="1"/>
  <c r="J29" i="70"/>
  <c r="G28" i="69"/>
  <c r="H28" i="69" s="1"/>
  <c r="K39" i="70"/>
  <c r="J39" i="70"/>
  <c r="G14" i="69"/>
  <c r="H14" i="69" s="1"/>
  <c r="J25" i="70"/>
  <c r="K25" i="70"/>
  <c r="K30" i="70"/>
  <c r="G19" i="69"/>
  <c r="I24" i="70"/>
  <c r="E13" i="70"/>
  <c r="F13" i="70" s="1"/>
  <c r="F53" i="70"/>
  <c r="D42" i="69"/>
  <c r="E42" i="69" s="1"/>
  <c r="B52" i="65"/>
  <c r="F44" i="70"/>
  <c r="D33" i="69"/>
  <c r="E33" i="69" s="1"/>
  <c r="G56" i="70"/>
  <c r="I8" i="70"/>
  <c r="I18" i="70"/>
  <c r="F41" i="70"/>
  <c r="D30" i="69"/>
  <c r="E30" i="69" s="1"/>
  <c r="F36" i="70"/>
  <c r="D25" i="69"/>
  <c r="E25" i="69" s="1"/>
  <c r="F55" i="70"/>
  <c r="D44" i="69"/>
  <c r="E44" i="69" s="1"/>
  <c r="E9" i="70"/>
  <c r="F9" i="70" s="1"/>
  <c r="F21" i="70"/>
  <c r="D10" i="69"/>
  <c r="E10" i="69" s="1"/>
  <c r="E22" i="70"/>
  <c r="C58" i="70"/>
  <c r="F32" i="70"/>
  <c r="D21" i="69"/>
  <c r="E21" i="69" s="1"/>
  <c r="K12" i="70"/>
  <c r="J12" i="70"/>
  <c r="K16" i="70"/>
  <c r="J16" i="70"/>
  <c r="J55" i="70"/>
  <c r="G44" i="69"/>
  <c r="H44" i="69" s="1"/>
  <c r="K55" i="70"/>
  <c r="G30" i="69"/>
  <c r="J41" i="70"/>
  <c r="K41" i="70"/>
  <c r="I34" i="70"/>
  <c r="I28" i="70"/>
  <c r="F26" i="70"/>
  <c r="D15" i="69"/>
  <c r="E15" i="69" s="1"/>
  <c r="J32" i="70"/>
  <c r="K32" i="70"/>
  <c r="G21" i="69"/>
  <c r="H21" i="69" s="1"/>
  <c r="F35" i="70"/>
  <c r="D24" i="69"/>
  <c r="E24" i="69" s="1"/>
  <c r="I34" i="69"/>
  <c r="J15" i="70"/>
  <c r="K15" i="70"/>
  <c r="J27" i="70"/>
  <c r="G16" i="69"/>
  <c r="H16" i="69" s="1"/>
  <c r="K27" i="70"/>
  <c r="K10" i="70"/>
  <c r="J10" i="70"/>
  <c r="K38" i="70"/>
  <c r="J38" i="70"/>
  <c r="G27" i="69"/>
  <c r="D58" i="70"/>
  <c r="D26" i="69"/>
  <c r="E26" i="69" s="1"/>
  <c r="F37" i="70"/>
  <c r="E30" i="70"/>
  <c r="G20" i="69"/>
  <c r="H20" i="69" s="1"/>
  <c r="K31" i="70"/>
  <c r="J31" i="70"/>
  <c r="K53" i="70"/>
  <c r="G42" i="69"/>
  <c r="J53" i="70"/>
  <c r="K14" i="70"/>
  <c r="J14" i="70"/>
  <c r="G22" i="69"/>
  <c r="H22" i="69" s="1"/>
  <c r="I22" i="69" s="1"/>
  <c r="J33" i="70"/>
  <c r="K33" i="70"/>
  <c r="I42" i="70"/>
  <c r="I36" i="70"/>
  <c r="K44" i="66"/>
  <c r="H52" i="65"/>
  <c r="J12" i="69" l="1"/>
  <c r="J12" i="65" s="1"/>
  <c r="D12" i="65"/>
  <c r="J22" i="69"/>
  <c r="J25" i="65" s="1"/>
  <c r="D25" i="65"/>
  <c r="F30" i="70"/>
  <c r="D19" i="69"/>
  <c r="E19" i="69" s="1"/>
  <c r="J38" i="69"/>
  <c r="J44" i="65" s="1"/>
  <c r="K44" i="65" s="1"/>
  <c r="D44" i="65"/>
  <c r="E44" i="65" s="1"/>
  <c r="E15" i="73"/>
  <c r="F15" i="73"/>
  <c r="I14" i="65" s="1"/>
  <c r="C14" i="65"/>
  <c r="F36" i="73"/>
  <c r="I50" i="65" s="1"/>
  <c r="E36" i="73"/>
  <c r="C50" i="65"/>
  <c r="I27" i="69"/>
  <c r="I26" i="69"/>
  <c r="J28" i="70"/>
  <c r="K28" i="70"/>
  <c r="G17" i="69"/>
  <c r="H17" i="69" s="1"/>
  <c r="I17" i="69" s="1"/>
  <c r="J24" i="70"/>
  <c r="K24" i="70"/>
  <c r="G13" i="69"/>
  <c r="H13" i="69" s="1"/>
  <c r="F37" i="73"/>
  <c r="I51" i="65" s="1"/>
  <c r="C51" i="65"/>
  <c r="E37" i="73"/>
  <c r="F31" i="73"/>
  <c r="I39" i="65" s="1"/>
  <c r="E31" i="73"/>
  <c r="C39" i="65"/>
  <c r="F33" i="73"/>
  <c r="I42" i="65" s="1"/>
  <c r="C42" i="65"/>
  <c r="E33" i="73"/>
  <c r="E27" i="73"/>
  <c r="F27" i="73"/>
  <c r="I35" i="65" s="1"/>
  <c r="C35" i="65"/>
  <c r="J9" i="70"/>
  <c r="K9" i="70"/>
  <c r="H10" i="69"/>
  <c r="I10" i="69" s="1"/>
  <c r="F22" i="70"/>
  <c r="F58" i="70" s="1"/>
  <c r="E58" i="70"/>
  <c r="D11" i="69"/>
  <c r="E11" i="69" s="1"/>
  <c r="J52" i="70"/>
  <c r="K52" i="70"/>
  <c r="G41" i="69"/>
  <c r="H41" i="69" s="1"/>
  <c r="I41" i="69" s="1"/>
  <c r="F35" i="73"/>
  <c r="I48" i="65" s="1"/>
  <c r="E35" i="73"/>
  <c r="C48" i="65"/>
  <c r="I30" i="69"/>
  <c r="J30" i="70"/>
  <c r="J20" i="70"/>
  <c r="K20" i="70"/>
  <c r="G9" i="69"/>
  <c r="F14" i="73"/>
  <c r="I13" i="65" s="1"/>
  <c r="C13" i="65"/>
  <c r="E14" i="73"/>
  <c r="F16" i="73"/>
  <c r="I15" i="65" s="1"/>
  <c r="E16" i="73"/>
  <c r="C15" i="65"/>
  <c r="F18" i="73"/>
  <c r="I17" i="65" s="1"/>
  <c r="C17" i="65"/>
  <c r="E18" i="73"/>
  <c r="J13" i="70"/>
  <c r="K13" i="70"/>
  <c r="K34" i="70"/>
  <c r="J34" i="70"/>
  <c r="G23" i="69"/>
  <c r="H23" i="69" s="1"/>
  <c r="I23" i="69" s="1"/>
  <c r="H19" i="69"/>
  <c r="D10" i="73"/>
  <c r="C46" i="74"/>
  <c r="K26" i="70"/>
  <c r="J26" i="70"/>
  <c r="G15" i="69"/>
  <c r="H15" i="69" s="1"/>
  <c r="F22" i="73"/>
  <c r="I26" i="65" s="1"/>
  <c r="C26" i="65"/>
  <c r="E22" i="73"/>
  <c r="F24" i="73"/>
  <c r="I30" i="65" s="1"/>
  <c r="E24" i="73"/>
  <c r="C30" i="65"/>
  <c r="F26" i="73"/>
  <c r="I34" i="65" s="1"/>
  <c r="C34" i="65"/>
  <c r="E26" i="73"/>
  <c r="F12" i="73"/>
  <c r="I11" i="65" s="1"/>
  <c r="E12" i="73"/>
  <c r="C11" i="65"/>
  <c r="J48" i="70"/>
  <c r="K48" i="70"/>
  <c r="G37" i="69"/>
  <c r="H37" i="69" s="1"/>
  <c r="I37" i="69" s="1"/>
  <c r="J11" i="70"/>
  <c r="K11" i="70"/>
  <c r="J40" i="70"/>
  <c r="K40" i="70"/>
  <c r="G29" i="69"/>
  <c r="H29" i="69" s="1"/>
  <c r="I18" i="69"/>
  <c r="H27" i="69"/>
  <c r="I15" i="69"/>
  <c r="H30" i="69"/>
  <c r="K18" i="70"/>
  <c r="J18" i="70"/>
  <c r="I14" i="69"/>
  <c r="F30" i="73"/>
  <c r="I38" i="65" s="1"/>
  <c r="C38" i="65"/>
  <c r="E38" i="65" s="1"/>
  <c r="E30" i="73"/>
  <c r="F32" i="73"/>
  <c r="I41" i="65" s="1"/>
  <c r="E32" i="73"/>
  <c r="C41" i="65"/>
  <c r="F34" i="73"/>
  <c r="I46" i="65" s="1"/>
  <c r="C46" i="65"/>
  <c r="E34" i="73"/>
  <c r="F20" i="73"/>
  <c r="I24" i="65" s="1"/>
  <c r="E20" i="73"/>
  <c r="C24" i="65"/>
  <c r="K54" i="70"/>
  <c r="J54" i="70"/>
  <c r="G43" i="69"/>
  <c r="H43" i="69" s="1"/>
  <c r="I43" i="69" s="1"/>
  <c r="H39" i="69"/>
  <c r="I39" i="69" s="1"/>
  <c r="I28" i="69"/>
  <c r="I29" i="69"/>
  <c r="I35" i="69"/>
  <c r="J36" i="70"/>
  <c r="K36" i="70"/>
  <c r="G25" i="69"/>
  <c r="H25" i="69" s="1"/>
  <c r="H42" i="69"/>
  <c r="I42" i="69" s="1"/>
  <c r="I21" i="69"/>
  <c r="I44" i="69"/>
  <c r="I56" i="70"/>
  <c r="K8" i="70"/>
  <c r="J8" i="70"/>
  <c r="F13" i="73"/>
  <c r="I12" i="65" s="1"/>
  <c r="K12" i="65" s="1"/>
  <c r="C12" i="65"/>
  <c r="E13" i="73"/>
  <c r="C44" i="74"/>
  <c r="F28" i="73"/>
  <c r="I36" i="65" s="1"/>
  <c r="E28" i="73"/>
  <c r="C36" i="65"/>
  <c r="K22" i="70"/>
  <c r="J22" i="70"/>
  <c r="I58" i="70"/>
  <c r="G11" i="69"/>
  <c r="H11" i="69" s="1"/>
  <c r="I32" i="69"/>
  <c r="K42" i="70"/>
  <c r="J42" i="70"/>
  <c r="G31" i="69"/>
  <c r="H31" i="69" s="1"/>
  <c r="I31" i="69" s="1"/>
  <c r="J34" i="69"/>
  <c r="J38" i="65" s="1"/>
  <c r="D38" i="65"/>
  <c r="E11" i="73"/>
  <c r="F11" i="73"/>
  <c r="I10" i="65" s="1"/>
  <c r="C10" i="65"/>
  <c r="F20" i="70"/>
  <c r="D9" i="69"/>
  <c r="F21" i="73"/>
  <c r="I25" i="65" s="1"/>
  <c r="K25" i="65" s="1"/>
  <c r="C25" i="65"/>
  <c r="E25" i="65" s="1"/>
  <c r="E21" i="73"/>
  <c r="F17" i="73"/>
  <c r="I16" i="65" s="1"/>
  <c r="C16" i="65"/>
  <c r="E17" i="73"/>
  <c r="F56" i="70"/>
  <c r="I13" i="69"/>
  <c r="I24" i="69"/>
  <c r="I25" i="69"/>
  <c r="F29" i="73"/>
  <c r="I37" i="65" s="1"/>
  <c r="C37" i="65"/>
  <c r="E29" i="73"/>
  <c r="E23" i="73"/>
  <c r="F23" i="73"/>
  <c r="I29" i="65" s="1"/>
  <c r="C29" i="65"/>
  <c r="F25" i="73"/>
  <c r="I31" i="65" s="1"/>
  <c r="C31" i="65"/>
  <c r="E25" i="73"/>
  <c r="E19" i="73"/>
  <c r="F19" i="73"/>
  <c r="I18" i="65" s="1"/>
  <c r="C18" i="65"/>
  <c r="H36" i="69"/>
  <c r="I36" i="69" s="1"/>
  <c r="H40" i="69"/>
  <c r="I40" i="69" s="1"/>
  <c r="I20" i="69"/>
  <c r="J44" i="70"/>
  <c r="K44" i="70"/>
  <c r="G33" i="69"/>
  <c r="H33" i="69" s="1"/>
  <c r="I33" i="69" s="1"/>
  <c r="E56" i="70"/>
  <c r="I16" i="69"/>
  <c r="J33" i="69" l="1"/>
  <c r="J37" i="65" s="1"/>
  <c r="D37" i="65"/>
  <c r="J31" i="69"/>
  <c r="J35" i="65" s="1"/>
  <c r="D35" i="65"/>
  <c r="J40" i="69"/>
  <c r="J47" i="65" s="1"/>
  <c r="K47" i="65" s="1"/>
  <c r="D47" i="65"/>
  <c r="E47" i="65" s="1"/>
  <c r="J10" i="69"/>
  <c r="J10" i="65" s="1"/>
  <c r="K10" i="65" s="1"/>
  <c r="D10" i="65"/>
  <c r="D48" i="65"/>
  <c r="E48" i="65" s="1"/>
  <c r="J41" i="69"/>
  <c r="J48" i="65" s="1"/>
  <c r="J39" i="69"/>
  <c r="J46" i="65" s="1"/>
  <c r="D46" i="65"/>
  <c r="J36" i="69"/>
  <c r="J41" i="65" s="1"/>
  <c r="D41" i="65"/>
  <c r="D49" i="65"/>
  <c r="E49" i="65" s="1"/>
  <c r="J42" i="69"/>
  <c r="J49" i="65" s="1"/>
  <c r="K49" i="65" s="1"/>
  <c r="D50" i="65"/>
  <c r="E50" i="65" s="1"/>
  <c r="J43" i="69"/>
  <c r="J50" i="65" s="1"/>
  <c r="J20" i="69"/>
  <c r="J23" i="65" s="1"/>
  <c r="K23" i="65" s="1"/>
  <c r="D23" i="65"/>
  <c r="E23" i="65" s="1"/>
  <c r="J25" i="69"/>
  <c r="J28" i="65" s="1"/>
  <c r="K28" i="65" s="1"/>
  <c r="D28" i="65"/>
  <c r="E28" i="65" s="1"/>
  <c r="J58" i="70"/>
  <c r="D29" i="65"/>
  <c r="E29" i="65" s="1"/>
  <c r="J26" i="69"/>
  <c r="J29" i="65" s="1"/>
  <c r="K29" i="65" s="1"/>
  <c r="E36" i="65"/>
  <c r="J35" i="69"/>
  <c r="J39" i="65" s="1"/>
  <c r="D39" i="65"/>
  <c r="D42" i="65"/>
  <c r="J37" i="69"/>
  <c r="J42" i="65" s="1"/>
  <c r="K42" i="65" s="1"/>
  <c r="K34" i="65"/>
  <c r="G45" i="69"/>
  <c r="H9" i="69"/>
  <c r="H45" i="69" s="1"/>
  <c r="H11" i="75" s="1"/>
  <c r="K48" i="65"/>
  <c r="I19" i="69"/>
  <c r="K41" i="65"/>
  <c r="D26" i="65"/>
  <c r="J23" i="69"/>
  <c r="J26" i="65" s="1"/>
  <c r="K26" i="65" s="1"/>
  <c r="J16" i="69"/>
  <c r="J16" i="65" s="1"/>
  <c r="D16" i="65"/>
  <c r="K24" i="65"/>
  <c r="E39" i="65"/>
  <c r="K58" i="70"/>
  <c r="J13" i="69"/>
  <c r="J13" i="65" s="1"/>
  <c r="K13" i="65" s="1"/>
  <c r="D13" i="65"/>
  <c r="E13" i="65" s="1"/>
  <c r="E9" i="69"/>
  <c r="D45" i="69"/>
  <c r="J29" i="69"/>
  <c r="J32" i="65" s="1"/>
  <c r="K32" i="65" s="1"/>
  <c r="D32" i="65"/>
  <c r="E32" i="65" s="1"/>
  <c r="K18" i="65"/>
  <c r="E10" i="65"/>
  <c r="J32" i="69"/>
  <c r="J36" i="65" s="1"/>
  <c r="D36" i="65"/>
  <c r="K36" i="65"/>
  <c r="J44" i="69"/>
  <c r="J51" i="65" s="1"/>
  <c r="K51" i="65" s="1"/>
  <c r="D51" i="65"/>
  <c r="J28" i="69"/>
  <c r="J31" i="65" s="1"/>
  <c r="K31" i="65" s="1"/>
  <c r="D31" i="65"/>
  <c r="K38" i="65"/>
  <c r="J18" i="69"/>
  <c r="J18" i="65" s="1"/>
  <c r="D18" i="65"/>
  <c r="K50" i="65"/>
  <c r="J24" i="69"/>
  <c r="J27" i="65" s="1"/>
  <c r="K27" i="65" s="1"/>
  <c r="D27" i="65"/>
  <c r="E27" i="65" s="1"/>
  <c r="J56" i="70"/>
  <c r="J15" i="69"/>
  <c r="J15" i="65" s="1"/>
  <c r="K15" i="65" s="1"/>
  <c r="D15" i="65"/>
  <c r="E15" i="65" s="1"/>
  <c r="E42" i="65"/>
  <c r="J27" i="69"/>
  <c r="J30" i="65" s="1"/>
  <c r="D30" i="65"/>
  <c r="E30" i="65" s="1"/>
  <c r="K56" i="70"/>
  <c r="E18" i="65"/>
  <c r="E37" i="65"/>
  <c r="E16" i="65"/>
  <c r="J21" i="69"/>
  <c r="J24" i="65" s="1"/>
  <c r="D24" i="65"/>
  <c r="E24" i="65" s="1"/>
  <c r="E46" i="65"/>
  <c r="J14" i="69"/>
  <c r="J14" i="65" s="1"/>
  <c r="D14" i="65"/>
  <c r="E14" i="65" s="1"/>
  <c r="K30" i="65"/>
  <c r="E35" i="65"/>
  <c r="K39" i="65"/>
  <c r="J17" i="69"/>
  <c r="J17" i="65" s="1"/>
  <c r="K17" i="65" s="1"/>
  <c r="D17" i="65"/>
  <c r="E17" i="65" s="1"/>
  <c r="K16" i="65"/>
  <c r="K37" i="65"/>
  <c r="K46" i="65"/>
  <c r="J30" i="69"/>
  <c r="J34" i="65" s="1"/>
  <c r="D34" i="65"/>
  <c r="E34" i="65" s="1"/>
  <c r="I11" i="69"/>
  <c r="K35" i="65"/>
  <c r="K14" i="65"/>
  <c r="E31" i="65"/>
  <c r="E12" i="65"/>
  <c r="E41" i="65"/>
  <c r="E26" i="65"/>
  <c r="D38" i="73"/>
  <c r="H12" i="75" s="1"/>
  <c r="F10" i="73"/>
  <c r="C9" i="65"/>
  <c r="E10" i="73"/>
  <c r="E38" i="73" s="1"/>
  <c r="E51" i="65"/>
  <c r="C52" i="65" l="1"/>
  <c r="E45" i="69"/>
  <c r="H10" i="75" s="1"/>
  <c r="H13" i="75" s="1"/>
  <c r="H20" i="75" s="1"/>
  <c r="H22" i="75" s="1"/>
  <c r="I9" i="69"/>
  <c r="J19" i="69"/>
  <c r="J21" i="65" s="1"/>
  <c r="K21" i="65" s="1"/>
  <c r="D21" i="65"/>
  <c r="E21" i="65" s="1"/>
  <c r="J11" i="69"/>
  <c r="J11" i="65" s="1"/>
  <c r="K11" i="65" s="1"/>
  <c r="D11" i="65"/>
  <c r="E11" i="65" s="1"/>
  <c r="F38" i="73"/>
  <c r="I9" i="65"/>
  <c r="J9" i="69" l="1"/>
  <c r="I45" i="69"/>
  <c r="D9" i="65"/>
  <c r="H25" i="75"/>
  <c r="P17" i="65" s="1"/>
  <c r="P19" i="65" s="1"/>
  <c r="O17" i="65"/>
  <c r="O19" i="65" s="1"/>
  <c r="I52" i="65"/>
  <c r="D52" i="65" l="1"/>
  <c r="E9" i="65"/>
  <c r="E52" i="65" s="1"/>
  <c r="J45" i="69"/>
  <c r="J9" i="65"/>
  <c r="J52" i="65" l="1"/>
  <c r="K9" i="65"/>
  <c r="K52" i="65" s="1"/>
  <c r="D15" i="64" l="1"/>
  <c r="C15" i="64"/>
  <c r="B15" i="64"/>
  <c r="F13" i="64"/>
  <c r="F14" i="64"/>
  <c r="F15" i="64"/>
  <c r="F8" i="64"/>
  <c r="F7" i="64"/>
  <c r="F9" i="64"/>
  <c r="D9" i="64"/>
  <c r="C9" i="64"/>
  <c r="B9" i="64"/>
  <c r="D85" i="63"/>
  <c r="D72" i="63"/>
  <c r="I61" i="63"/>
  <c r="D59" i="63"/>
  <c r="I52" i="63"/>
  <c r="D46" i="63"/>
  <c r="I43" i="63"/>
  <c r="I34" i="63"/>
  <c r="D33" i="63"/>
  <c r="I25" i="63"/>
  <c r="D20" i="63"/>
  <c r="I16" i="63"/>
  <c r="E14" i="60"/>
  <c r="F14" i="60"/>
  <c r="G14" i="60"/>
  <c r="H14" i="60"/>
  <c r="I14" i="60"/>
  <c r="E15" i="60"/>
  <c r="F15" i="60"/>
  <c r="G15" i="60"/>
  <c r="H15" i="60"/>
  <c r="I15" i="60"/>
  <c r="E16" i="60"/>
  <c r="F16" i="60"/>
  <c r="G16" i="60"/>
  <c r="H16" i="60"/>
  <c r="I16" i="60"/>
  <c r="E17" i="60"/>
  <c r="F17" i="60"/>
  <c r="G17" i="60"/>
  <c r="H17" i="60"/>
  <c r="I17" i="60"/>
  <c r="E19" i="60"/>
  <c r="F19" i="60"/>
  <c r="G19" i="60"/>
  <c r="H19" i="60"/>
  <c r="I19" i="60"/>
  <c r="E20" i="60"/>
  <c r="F20" i="60"/>
  <c r="G20" i="60"/>
  <c r="H20" i="60"/>
  <c r="I20" i="60"/>
  <c r="E21" i="60"/>
  <c r="F21" i="60"/>
  <c r="G21" i="60"/>
  <c r="H21" i="60"/>
  <c r="I21" i="60"/>
  <c r="E22" i="60"/>
  <c r="F22" i="60"/>
  <c r="G22" i="60"/>
  <c r="H22" i="60"/>
  <c r="I22" i="60"/>
  <c r="E24" i="60"/>
  <c r="F24" i="60"/>
  <c r="G24" i="60"/>
  <c r="H24" i="60"/>
  <c r="I24" i="60"/>
  <c r="E25" i="60"/>
  <c r="F25" i="60"/>
  <c r="G25" i="60"/>
  <c r="H25" i="60"/>
  <c r="I25" i="60"/>
  <c r="E26" i="60"/>
  <c r="F26" i="60"/>
  <c r="G26" i="60"/>
  <c r="H26" i="60"/>
  <c r="I26" i="60"/>
  <c r="E27" i="60"/>
  <c r="F27" i="60"/>
  <c r="G27" i="60"/>
  <c r="H27" i="60"/>
  <c r="I27" i="60"/>
  <c r="E29" i="60"/>
  <c r="F29" i="60"/>
  <c r="G29" i="60"/>
  <c r="H29" i="60"/>
  <c r="I29" i="60"/>
  <c r="E30" i="60"/>
  <c r="F30" i="60"/>
  <c r="G30" i="60"/>
  <c r="H30" i="60"/>
  <c r="I30" i="60"/>
  <c r="E31" i="60"/>
  <c r="F31" i="60"/>
  <c r="G31" i="60"/>
  <c r="H31" i="60"/>
  <c r="I31" i="60"/>
  <c r="E32" i="60"/>
  <c r="F32" i="60"/>
  <c r="G32" i="60"/>
  <c r="H32" i="60"/>
  <c r="I32" i="60"/>
  <c r="E34" i="60"/>
  <c r="F34" i="60"/>
  <c r="G34" i="60"/>
  <c r="H34" i="60"/>
  <c r="I34" i="60"/>
  <c r="E35" i="60"/>
  <c r="F35" i="60"/>
  <c r="G35" i="60"/>
  <c r="H35" i="60"/>
  <c r="I35" i="60"/>
  <c r="E36" i="60"/>
  <c r="F36" i="60"/>
  <c r="G36" i="60"/>
  <c r="H36" i="60"/>
  <c r="I36" i="60"/>
  <c r="E37" i="60"/>
  <c r="F37" i="60"/>
  <c r="G37" i="60"/>
  <c r="H37" i="60"/>
  <c r="I37" i="60"/>
  <c r="E39" i="60"/>
  <c r="G39" i="60"/>
  <c r="I39" i="60"/>
  <c r="E40" i="60"/>
  <c r="G40" i="60"/>
  <c r="I40" i="60"/>
  <c r="E45" i="60"/>
  <c r="G45" i="60"/>
  <c r="I45" i="60"/>
  <c r="G48" i="60"/>
  <c r="I48" i="60"/>
  <c r="G49" i="60"/>
  <c r="I49" i="60"/>
  <c r="G50" i="60"/>
  <c r="I50" i="60"/>
  <c r="I52" i="60"/>
  <c r="I54" i="60"/>
  <c r="A13" i="60"/>
  <c r="A14" i="60"/>
  <c r="A15" i="60"/>
  <c r="A16" i="60"/>
  <c r="A17" i="60"/>
  <c r="A18" i="60"/>
  <c r="A19" i="60"/>
  <c r="A20" i="60"/>
  <c r="A21" i="60"/>
  <c r="A22" i="60"/>
  <c r="A23" i="60"/>
  <c r="A24" i="60"/>
  <c r="A25" i="60"/>
  <c r="A26" i="60"/>
  <c r="A27" i="60"/>
  <c r="A28" i="60"/>
  <c r="A29" i="60"/>
  <c r="A30" i="60"/>
  <c r="A31" i="60"/>
  <c r="A32" i="60"/>
  <c r="A33" i="60"/>
  <c r="A34" i="60"/>
  <c r="A35" i="60"/>
  <c r="A36" i="60"/>
  <c r="A37" i="60"/>
  <c r="A39" i="60"/>
  <c r="A40" i="60"/>
  <c r="A42" i="60"/>
  <c r="A45" i="60"/>
  <c r="A47" i="60"/>
  <c r="A48" i="60"/>
  <c r="A49" i="60"/>
  <c r="A50" i="60"/>
  <c r="A52" i="60"/>
  <c r="A54" i="60"/>
  <c r="G14" i="59"/>
  <c r="H14" i="59"/>
  <c r="I14" i="59"/>
  <c r="E15" i="59"/>
  <c r="G15" i="59"/>
  <c r="H15" i="59"/>
  <c r="I15" i="59"/>
  <c r="E16" i="59"/>
  <c r="G16" i="59"/>
  <c r="H16" i="59"/>
  <c r="I16" i="59"/>
  <c r="E17" i="59"/>
  <c r="G17" i="59"/>
  <c r="H17" i="59"/>
  <c r="I17" i="59"/>
  <c r="G19" i="59"/>
  <c r="H19" i="59"/>
  <c r="I19" i="59"/>
  <c r="E20" i="59"/>
  <c r="G20" i="59"/>
  <c r="H20" i="59"/>
  <c r="I20" i="59"/>
  <c r="E21" i="59"/>
  <c r="G21" i="59"/>
  <c r="H21" i="59"/>
  <c r="I21" i="59"/>
  <c r="E22" i="59"/>
  <c r="G22" i="59"/>
  <c r="H22" i="59"/>
  <c r="I22" i="59"/>
  <c r="G24" i="59"/>
  <c r="H24" i="59"/>
  <c r="I24" i="59"/>
  <c r="E25" i="59"/>
  <c r="G25" i="59"/>
  <c r="H25" i="59"/>
  <c r="I25" i="59"/>
  <c r="E26" i="59"/>
  <c r="G26" i="59"/>
  <c r="H26" i="59"/>
  <c r="I26" i="59"/>
  <c r="E27" i="59"/>
  <c r="G27" i="59"/>
  <c r="H27" i="59"/>
  <c r="I27" i="59"/>
  <c r="G29" i="59"/>
  <c r="H29" i="59"/>
  <c r="I29" i="59"/>
  <c r="E30" i="59"/>
  <c r="G30" i="59"/>
  <c r="H30" i="59"/>
  <c r="I30" i="59"/>
  <c r="E31" i="59"/>
  <c r="G31" i="59"/>
  <c r="H31" i="59"/>
  <c r="I31" i="59"/>
  <c r="E32" i="59"/>
  <c r="G32" i="59"/>
  <c r="H32" i="59"/>
  <c r="I32" i="59"/>
  <c r="G34" i="59"/>
  <c r="H34" i="59"/>
  <c r="I34" i="59"/>
  <c r="G35" i="59"/>
  <c r="H35" i="59"/>
  <c r="I35" i="59"/>
  <c r="G36" i="59"/>
  <c r="H36" i="59"/>
  <c r="I36" i="59"/>
  <c r="G37" i="59"/>
  <c r="H37" i="59"/>
  <c r="I37" i="59"/>
  <c r="G39" i="59"/>
  <c r="I39" i="59"/>
  <c r="G40" i="59"/>
  <c r="I40" i="59"/>
  <c r="G45" i="59"/>
  <c r="I45" i="59"/>
  <c r="I48" i="59"/>
  <c r="I49" i="59"/>
  <c r="I50" i="59"/>
  <c r="I52" i="59"/>
  <c r="A13" i="59"/>
  <c r="A14" i="59"/>
  <c r="A15" i="59"/>
  <c r="A16" i="59"/>
  <c r="A17" i="59"/>
  <c r="A18" i="59"/>
  <c r="A19" i="59"/>
  <c r="A20" i="59"/>
  <c r="A21" i="59"/>
  <c r="A22" i="59"/>
  <c r="A23" i="59"/>
  <c r="A24" i="59"/>
  <c r="A25" i="59"/>
  <c r="A26" i="59"/>
  <c r="A27" i="59"/>
  <c r="A28" i="59"/>
  <c r="A29" i="59"/>
  <c r="A30" i="59"/>
  <c r="A31" i="59"/>
  <c r="A32" i="59"/>
  <c r="A33" i="59"/>
  <c r="A34" i="59"/>
  <c r="A35" i="59"/>
  <c r="A36" i="59"/>
  <c r="A37" i="59"/>
  <c r="A38" i="59"/>
  <c r="A39" i="59"/>
  <c r="A40" i="59"/>
  <c r="A42" i="59"/>
  <c r="A45" i="59"/>
  <c r="A47" i="59"/>
  <c r="A48" i="59"/>
  <c r="A49" i="59"/>
  <c r="A50" i="59"/>
  <c r="A52" i="59"/>
  <c r="G15" i="58"/>
  <c r="G19" i="58"/>
  <c r="G23" i="58"/>
  <c r="G27" i="58"/>
  <c r="G29" i="58"/>
  <c r="A13" i="58"/>
  <c r="A14" i="58"/>
  <c r="A15" i="58"/>
  <c r="A16" i="58"/>
  <c r="A17" i="58"/>
  <c r="A18" i="58"/>
  <c r="A19" i="58"/>
  <c r="A20" i="58"/>
  <c r="A21" i="58"/>
  <c r="A22" i="58"/>
  <c r="A23" i="58"/>
  <c r="A24" i="58"/>
  <c r="A25" i="58"/>
  <c r="A26" i="58"/>
  <c r="A27" i="58"/>
  <c r="A28" i="58"/>
  <c r="A29" i="58"/>
  <c r="G67" i="57"/>
  <c r="G68" i="57"/>
  <c r="G69" i="57"/>
  <c r="F64" i="57"/>
  <c r="E64" i="57"/>
  <c r="A1" i="56"/>
  <c r="A2" i="56"/>
  <c r="A4" i="56"/>
  <c r="D7" i="56"/>
  <c r="D8" i="56"/>
  <c r="D9" i="56"/>
  <c r="P10" i="56"/>
  <c r="T10" i="56"/>
  <c r="P11" i="56"/>
  <c r="T11" i="56"/>
  <c r="I15" i="56"/>
  <c r="C16" i="56"/>
  <c r="E16" i="56"/>
  <c r="F16" i="56"/>
  <c r="G16" i="56"/>
  <c r="H16" i="56"/>
  <c r="I16" i="56"/>
  <c r="L16" i="56"/>
  <c r="C17" i="56"/>
  <c r="E17" i="56"/>
  <c r="F17" i="56"/>
  <c r="G17" i="56"/>
  <c r="H17" i="56"/>
  <c r="I17" i="56"/>
  <c r="J17" i="56"/>
  <c r="L17" i="56"/>
  <c r="C18" i="56"/>
  <c r="E18" i="56"/>
  <c r="F18" i="56"/>
  <c r="G18" i="56"/>
  <c r="H18" i="56"/>
  <c r="I18" i="56"/>
  <c r="J18" i="56"/>
  <c r="L18" i="56"/>
  <c r="C19" i="56"/>
  <c r="E19" i="56"/>
  <c r="F19" i="56"/>
  <c r="G19" i="56"/>
  <c r="H19" i="56"/>
  <c r="I19" i="56"/>
  <c r="J19" i="56"/>
  <c r="L19" i="56"/>
  <c r="C20" i="56"/>
  <c r="E20" i="56"/>
  <c r="F20" i="56"/>
  <c r="G20" i="56"/>
  <c r="H20" i="56"/>
  <c r="I20" i="56"/>
  <c r="J20" i="56"/>
  <c r="L20" i="56"/>
  <c r="C21" i="56"/>
  <c r="E21" i="56"/>
  <c r="F21" i="56"/>
  <c r="G21" i="56"/>
  <c r="H21" i="56"/>
  <c r="I21" i="56"/>
  <c r="J21" i="56"/>
  <c r="L21" i="56"/>
  <c r="C22" i="56"/>
  <c r="E22" i="56"/>
  <c r="F22" i="56"/>
  <c r="G22" i="56"/>
  <c r="H22" i="56"/>
  <c r="I22" i="56"/>
  <c r="J22" i="56"/>
  <c r="L22" i="56"/>
  <c r="C23" i="56"/>
  <c r="E23" i="56"/>
  <c r="F23" i="56"/>
  <c r="G23" i="56"/>
  <c r="H23" i="56"/>
  <c r="I23" i="56"/>
  <c r="J23" i="56"/>
  <c r="L23" i="56"/>
  <c r="C24" i="56"/>
  <c r="E24" i="56"/>
  <c r="F24" i="56"/>
  <c r="G24" i="56"/>
  <c r="H24" i="56"/>
  <c r="I24" i="56"/>
  <c r="J24" i="56"/>
  <c r="L24" i="56"/>
  <c r="C25" i="56"/>
  <c r="E25" i="56"/>
  <c r="F25" i="56"/>
  <c r="G25" i="56"/>
  <c r="H25" i="56"/>
  <c r="I25" i="56"/>
  <c r="J25" i="56"/>
  <c r="L25" i="56"/>
  <c r="C26" i="56"/>
  <c r="E26" i="56"/>
  <c r="F26" i="56"/>
  <c r="G26" i="56"/>
  <c r="H26" i="56"/>
  <c r="I26" i="56"/>
  <c r="J26" i="56"/>
  <c r="L26" i="56"/>
  <c r="C27" i="56"/>
  <c r="E27" i="56"/>
  <c r="F27" i="56"/>
  <c r="G27" i="56"/>
  <c r="H27" i="56"/>
  <c r="I27" i="56"/>
  <c r="J27" i="56"/>
  <c r="L27" i="56"/>
  <c r="C28" i="56"/>
  <c r="E28" i="56"/>
  <c r="F28" i="56"/>
  <c r="G28" i="56"/>
  <c r="H28" i="56"/>
  <c r="I28" i="56"/>
  <c r="J28" i="56"/>
  <c r="L28" i="56"/>
  <c r="C29" i="56"/>
  <c r="E29" i="56"/>
  <c r="F29" i="56"/>
  <c r="G29" i="56"/>
  <c r="H29" i="56"/>
  <c r="I29" i="56"/>
  <c r="J29" i="56"/>
  <c r="L29" i="56"/>
  <c r="C30" i="56"/>
  <c r="E30" i="56"/>
  <c r="F30" i="56"/>
  <c r="G30" i="56"/>
  <c r="H30" i="56"/>
  <c r="I30" i="56"/>
  <c r="J30" i="56"/>
  <c r="L30" i="56"/>
  <c r="C31" i="56"/>
  <c r="E31" i="56"/>
  <c r="F31" i="56"/>
  <c r="G31" i="56"/>
  <c r="H31" i="56"/>
  <c r="I31" i="56"/>
  <c r="J31" i="56"/>
  <c r="L31" i="56"/>
  <c r="C32" i="56"/>
  <c r="E32" i="56"/>
  <c r="F32" i="56"/>
  <c r="G32" i="56"/>
  <c r="H32" i="56"/>
  <c r="I32" i="56"/>
  <c r="J32" i="56"/>
  <c r="L32" i="56"/>
  <c r="C33" i="56"/>
  <c r="E33" i="56"/>
  <c r="F33" i="56"/>
  <c r="G33" i="56"/>
  <c r="H33" i="56"/>
  <c r="I33" i="56"/>
  <c r="J33" i="56"/>
  <c r="L33" i="56"/>
  <c r="C34" i="56"/>
  <c r="E34" i="56"/>
  <c r="F34" i="56"/>
  <c r="G34" i="56"/>
  <c r="H34" i="56"/>
  <c r="I34" i="56"/>
  <c r="J34" i="56"/>
  <c r="L34" i="56"/>
  <c r="C35" i="56"/>
  <c r="E35" i="56"/>
  <c r="F35" i="56"/>
  <c r="G35" i="56"/>
  <c r="H35" i="56"/>
  <c r="I35" i="56"/>
  <c r="J35" i="56"/>
  <c r="L35" i="56"/>
  <c r="C36" i="56"/>
  <c r="E36" i="56"/>
  <c r="F36" i="56"/>
  <c r="G36" i="56"/>
  <c r="H36" i="56"/>
  <c r="I36" i="56"/>
  <c r="J36" i="56"/>
  <c r="L36" i="56"/>
  <c r="C37" i="56"/>
  <c r="E37" i="56"/>
  <c r="F37" i="56"/>
  <c r="G37" i="56"/>
  <c r="H37" i="56"/>
  <c r="I37" i="56"/>
  <c r="J37" i="56"/>
  <c r="L37" i="56"/>
  <c r="C38" i="56"/>
  <c r="E38" i="56"/>
  <c r="F38" i="56"/>
  <c r="G38" i="56"/>
  <c r="H38" i="56"/>
  <c r="I38" i="56"/>
  <c r="J38" i="56"/>
  <c r="L38" i="56"/>
  <c r="C39" i="56"/>
  <c r="E39" i="56"/>
  <c r="F39" i="56"/>
  <c r="G39" i="56"/>
  <c r="H39" i="56"/>
  <c r="I39" i="56"/>
  <c r="J39" i="56"/>
  <c r="L39" i="56"/>
  <c r="C40" i="56"/>
  <c r="E40" i="56"/>
  <c r="F40" i="56"/>
  <c r="G40" i="56"/>
  <c r="H40" i="56"/>
  <c r="I40" i="56"/>
  <c r="J40" i="56"/>
  <c r="L40" i="56"/>
  <c r="C41" i="56"/>
  <c r="E41" i="56"/>
  <c r="F41" i="56"/>
  <c r="G41" i="56"/>
  <c r="H41" i="56"/>
  <c r="I41" i="56"/>
  <c r="J41" i="56"/>
  <c r="L41" i="56"/>
  <c r="C42" i="56"/>
  <c r="E42" i="56"/>
  <c r="F42" i="56"/>
  <c r="G42" i="56"/>
  <c r="H42" i="56"/>
  <c r="I42" i="56"/>
  <c r="J42" i="56"/>
  <c r="L42" i="56"/>
  <c r="C43" i="56"/>
  <c r="E43" i="56"/>
  <c r="F43" i="56"/>
  <c r="G43" i="56"/>
  <c r="H43" i="56"/>
  <c r="I43" i="56"/>
  <c r="J43" i="56"/>
  <c r="L43" i="56"/>
  <c r="C44" i="56"/>
  <c r="E44" i="56"/>
  <c r="F44" i="56"/>
  <c r="G44" i="56"/>
  <c r="H44" i="56"/>
  <c r="I44" i="56"/>
  <c r="J44" i="56"/>
  <c r="L44" i="56"/>
  <c r="C45" i="56"/>
  <c r="E45" i="56"/>
  <c r="F45" i="56"/>
  <c r="G45" i="56"/>
  <c r="H45" i="56"/>
  <c r="I45" i="56"/>
  <c r="J45" i="56"/>
  <c r="L45" i="56"/>
  <c r="C46" i="56"/>
  <c r="E46" i="56"/>
  <c r="F46" i="56"/>
  <c r="G46" i="56"/>
  <c r="H46" i="56"/>
  <c r="I46" i="56"/>
  <c r="J46" i="56"/>
  <c r="L46" i="56"/>
  <c r="C47" i="56"/>
  <c r="E47" i="56"/>
  <c r="F47" i="56"/>
  <c r="G47" i="56"/>
  <c r="H47" i="56"/>
  <c r="I47" i="56"/>
  <c r="J47" i="56"/>
  <c r="L47" i="56"/>
  <c r="C48" i="56"/>
  <c r="E48" i="56"/>
  <c r="F48" i="56"/>
  <c r="G48" i="56"/>
  <c r="H48" i="56"/>
  <c r="I48" i="56"/>
  <c r="J48" i="56"/>
  <c r="L48" i="56"/>
  <c r="C49" i="56"/>
  <c r="E49" i="56"/>
  <c r="F49" i="56"/>
  <c r="G49" i="56"/>
  <c r="H49" i="56"/>
  <c r="I49" i="56"/>
  <c r="J49" i="56"/>
  <c r="L49" i="56"/>
  <c r="C50" i="56"/>
  <c r="E50" i="56"/>
  <c r="F50" i="56"/>
  <c r="G50" i="56"/>
  <c r="H50" i="56"/>
  <c r="I50" i="56"/>
  <c r="J50" i="56"/>
  <c r="L50" i="56"/>
  <c r="C51" i="56"/>
  <c r="E51" i="56"/>
  <c r="F51" i="56"/>
  <c r="G51" i="56"/>
  <c r="H51" i="56"/>
  <c r="I51" i="56"/>
  <c r="J51" i="56"/>
  <c r="L51" i="56"/>
  <c r="J52" i="56"/>
  <c r="L52" i="56"/>
  <c r="C53" i="56"/>
  <c r="E53" i="56"/>
  <c r="F53" i="56"/>
  <c r="G53" i="56"/>
  <c r="H53" i="56"/>
  <c r="I53" i="56"/>
  <c r="J53" i="56"/>
  <c r="L53" i="56"/>
  <c r="C54" i="56"/>
  <c r="E54" i="56"/>
  <c r="F54" i="56"/>
  <c r="G54" i="56"/>
  <c r="H54" i="56"/>
  <c r="I54" i="56"/>
  <c r="J54" i="56"/>
  <c r="L54" i="56"/>
  <c r="C55" i="56"/>
  <c r="E55" i="56"/>
  <c r="F55" i="56"/>
  <c r="G55" i="56"/>
  <c r="H55" i="56"/>
  <c r="I55" i="56"/>
  <c r="J55" i="56"/>
  <c r="L55" i="56"/>
  <c r="C56" i="56"/>
  <c r="E56" i="56"/>
  <c r="F56" i="56"/>
  <c r="G56" i="56"/>
  <c r="H56" i="56"/>
  <c r="I56" i="56"/>
  <c r="J56" i="56"/>
  <c r="L56" i="56"/>
  <c r="C57" i="56"/>
  <c r="E57" i="56"/>
  <c r="F57" i="56"/>
  <c r="G57" i="56"/>
  <c r="H57" i="56"/>
  <c r="I57" i="56"/>
  <c r="J57" i="56"/>
  <c r="L57" i="56"/>
  <c r="C58" i="56"/>
  <c r="E58" i="56"/>
  <c r="F58" i="56"/>
  <c r="G58" i="56"/>
  <c r="H58" i="56"/>
  <c r="I58" i="56"/>
  <c r="J58" i="56"/>
  <c r="L58" i="56"/>
  <c r="C59" i="56"/>
  <c r="E59" i="56"/>
  <c r="F59" i="56"/>
  <c r="G59" i="56"/>
  <c r="H59" i="56"/>
  <c r="I59" i="56"/>
  <c r="J59" i="56"/>
  <c r="L59" i="56"/>
  <c r="C60" i="56"/>
  <c r="E60" i="56"/>
  <c r="F60" i="56"/>
  <c r="G60" i="56"/>
  <c r="H60" i="56"/>
  <c r="I60" i="56"/>
  <c r="J60" i="56"/>
  <c r="L60" i="56"/>
  <c r="C61" i="56"/>
  <c r="E61" i="56"/>
  <c r="F61" i="56"/>
  <c r="G61" i="56"/>
  <c r="H61" i="56"/>
  <c r="I61" i="56"/>
  <c r="J61" i="56"/>
  <c r="L61" i="56"/>
  <c r="C62" i="56"/>
  <c r="E62" i="56"/>
  <c r="F62" i="56"/>
  <c r="G62" i="56"/>
  <c r="H62" i="56"/>
  <c r="I62" i="56"/>
  <c r="J62" i="56"/>
  <c r="L62" i="56"/>
  <c r="C63" i="56"/>
  <c r="E63" i="56"/>
  <c r="F63" i="56"/>
  <c r="G63" i="56"/>
  <c r="H63" i="56"/>
  <c r="I63" i="56"/>
  <c r="J63" i="56"/>
  <c r="L63" i="56"/>
  <c r="C64" i="56"/>
  <c r="E64" i="56"/>
  <c r="F64" i="56"/>
  <c r="G64" i="56"/>
  <c r="H64" i="56"/>
  <c r="I64" i="56"/>
  <c r="J64" i="56"/>
  <c r="L64" i="56"/>
  <c r="C65" i="56"/>
  <c r="E65" i="56"/>
  <c r="F65" i="56"/>
  <c r="G65" i="56"/>
  <c r="H65" i="56"/>
  <c r="I65" i="56"/>
  <c r="J65" i="56"/>
  <c r="L65" i="56"/>
  <c r="C66" i="56"/>
  <c r="E66" i="56"/>
  <c r="F66" i="56"/>
  <c r="G66" i="56"/>
  <c r="H66" i="56"/>
  <c r="I66" i="56"/>
  <c r="J66" i="56"/>
  <c r="L66" i="56"/>
  <c r="C67" i="56"/>
  <c r="E67" i="56"/>
  <c r="F67" i="56"/>
  <c r="G67" i="56"/>
  <c r="H67" i="56"/>
  <c r="I67" i="56"/>
  <c r="J67" i="56"/>
  <c r="L67" i="56"/>
  <c r="C68" i="56"/>
  <c r="E68" i="56"/>
  <c r="F68" i="56"/>
  <c r="G68" i="56"/>
  <c r="H68" i="56"/>
  <c r="I68" i="56"/>
  <c r="J68" i="56"/>
  <c r="L68" i="56"/>
  <c r="C69" i="56"/>
  <c r="E69" i="56"/>
  <c r="F69" i="56"/>
  <c r="G69" i="56"/>
  <c r="H69" i="56"/>
  <c r="I69" i="56"/>
  <c r="J69" i="56"/>
  <c r="L69" i="56"/>
  <c r="C70" i="56"/>
  <c r="E70" i="56"/>
  <c r="F70" i="56"/>
  <c r="G70" i="56"/>
  <c r="H70" i="56"/>
  <c r="I70" i="56"/>
  <c r="J70" i="56"/>
  <c r="L70" i="56"/>
  <c r="C71" i="56"/>
  <c r="E71" i="56"/>
  <c r="F71" i="56"/>
  <c r="G71" i="56"/>
  <c r="H71" i="56"/>
  <c r="I71" i="56"/>
  <c r="J71" i="56"/>
  <c r="L71" i="56"/>
  <c r="C72" i="56"/>
  <c r="E72" i="56"/>
  <c r="F72" i="56"/>
  <c r="G72" i="56"/>
  <c r="H72" i="56"/>
  <c r="I72" i="56"/>
  <c r="J72" i="56"/>
  <c r="L72" i="56"/>
  <c r="C73" i="56"/>
  <c r="C74" i="56"/>
  <c r="C75" i="56"/>
  <c r="C76" i="56"/>
  <c r="E76" i="56"/>
  <c r="E75" i="56"/>
  <c r="E74" i="56"/>
  <c r="E73" i="56"/>
  <c r="F73" i="56"/>
  <c r="F74" i="56"/>
  <c r="F75" i="56"/>
  <c r="F76" i="56"/>
  <c r="U72" i="56"/>
  <c r="C18" i="54"/>
  <c r="K19" i="54"/>
  <c r="M19" i="54"/>
  <c r="R19" i="54"/>
  <c r="C19" i="54"/>
  <c r="K20" i="54"/>
  <c r="L20" i="54"/>
  <c r="M20" i="54"/>
  <c r="R20" i="54"/>
  <c r="C20" i="54"/>
  <c r="K21" i="54"/>
  <c r="L21" i="54"/>
  <c r="M21" i="54"/>
  <c r="R21" i="54"/>
  <c r="C21" i="54"/>
  <c r="K22" i="54"/>
  <c r="L22" i="54"/>
  <c r="M22" i="54"/>
  <c r="R22" i="54"/>
  <c r="C22" i="54"/>
  <c r="K23" i="54"/>
  <c r="L23" i="54"/>
  <c r="M23" i="54"/>
  <c r="R23" i="54"/>
  <c r="C23" i="54"/>
  <c r="K24" i="54"/>
  <c r="L24" i="54"/>
  <c r="M24" i="54"/>
  <c r="R24" i="54"/>
  <c r="C24" i="54"/>
  <c r="K25" i="54"/>
  <c r="L25" i="54"/>
  <c r="M25" i="54"/>
  <c r="R25" i="54"/>
  <c r="C25" i="54"/>
  <c r="K26" i="54"/>
  <c r="L26" i="54"/>
  <c r="M26" i="54"/>
  <c r="R26" i="54"/>
  <c r="C26" i="54"/>
  <c r="K27" i="54"/>
  <c r="L27" i="54"/>
  <c r="M27" i="54"/>
  <c r="R27" i="54"/>
  <c r="C27" i="54"/>
  <c r="K28" i="54"/>
  <c r="L28" i="54"/>
  <c r="M28" i="54"/>
  <c r="R28" i="54"/>
  <c r="C28" i="54"/>
  <c r="K29" i="54"/>
  <c r="L29" i="54"/>
  <c r="M29" i="54"/>
  <c r="R29" i="54"/>
  <c r="C29" i="54"/>
  <c r="K30" i="54"/>
  <c r="L30" i="54"/>
  <c r="M30" i="54"/>
  <c r="R30" i="54"/>
  <c r="C30" i="54"/>
  <c r="K31" i="54"/>
  <c r="L31" i="54"/>
  <c r="M31" i="54"/>
  <c r="R31" i="54"/>
  <c r="C31" i="54"/>
  <c r="K32" i="54"/>
  <c r="L32" i="54"/>
  <c r="M32" i="54"/>
  <c r="R32" i="54"/>
  <c r="C32" i="54"/>
  <c r="K33" i="54"/>
  <c r="L33" i="54"/>
  <c r="M33" i="54"/>
  <c r="R33" i="54"/>
  <c r="C33" i="54"/>
  <c r="K34" i="54"/>
  <c r="L34" i="54"/>
  <c r="M34" i="54"/>
  <c r="R34" i="54"/>
  <c r="C34" i="54"/>
  <c r="K35" i="54"/>
  <c r="L35" i="54"/>
  <c r="M35" i="54"/>
  <c r="R35" i="54"/>
  <c r="C35" i="54"/>
  <c r="K36" i="54"/>
  <c r="L36" i="54"/>
  <c r="M36" i="54"/>
  <c r="R36" i="54"/>
  <c r="C36" i="54"/>
  <c r="K37" i="54"/>
  <c r="L37" i="54"/>
  <c r="M37" i="54"/>
  <c r="R37" i="54"/>
  <c r="C37" i="54"/>
  <c r="K38" i="54"/>
  <c r="L38" i="54"/>
  <c r="M38" i="54"/>
  <c r="R38" i="54"/>
  <c r="C38" i="54"/>
  <c r="K39" i="54"/>
  <c r="L39" i="54"/>
  <c r="M39" i="54"/>
  <c r="R39" i="54"/>
  <c r="C39" i="54"/>
  <c r="K40" i="54"/>
  <c r="L40" i="54"/>
  <c r="M40" i="54"/>
  <c r="R40" i="54"/>
  <c r="C40" i="54"/>
  <c r="K41" i="54"/>
  <c r="L41" i="54"/>
  <c r="M41" i="54"/>
  <c r="R41" i="54"/>
  <c r="C41" i="54"/>
  <c r="K42" i="54"/>
  <c r="L42" i="54"/>
  <c r="M42" i="54"/>
  <c r="R42" i="54"/>
  <c r="C42" i="54"/>
  <c r="K43" i="54"/>
  <c r="L43" i="54"/>
  <c r="M43" i="54"/>
  <c r="R43" i="54"/>
  <c r="C43" i="54"/>
  <c r="K44" i="54"/>
  <c r="L44" i="54"/>
  <c r="M44" i="54"/>
  <c r="R44" i="54"/>
  <c r="C44" i="54"/>
  <c r="K45" i="54"/>
  <c r="L45" i="54"/>
  <c r="M45" i="54"/>
  <c r="R45" i="54"/>
  <c r="C45" i="54"/>
  <c r="K46" i="54"/>
  <c r="L46" i="54"/>
  <c r="M46" i="54"/>
  <c r="R46" i="54"/>
  <c r="C46" i="54"/>
  <c r="K47" i="54"/>
  <c r="L47" i="54"/>
  <c r="M47" i="54"/>
  <c r="R47" i="54"/>
  <c r="C47" i="54"/>
  <c r="K48" i="54"/>
  <c r="L48" i="54"/>
  <c r="M48" i="54"/>
  <c r="R48" i="54"/>
  <c r="C48" i="54"/>
  <c r="K49" i="54"/>
  <c r="L49" i="54"/>
  <c r="M49" i="54"/>
  <c r="R49" i="54"/>
  <c r="C49" i="54"/>
  <c r="K50" i="54"/>
  <c r="L50" i="54"/>
  <c r="M50" i="54"/>
  <c r="R50" i="54"/>
  <c r="C50" i="54"/>
  <c r="K51" i="54"/>
  <c r="L51" i="54"/>
  <c r="M51" i="54"/>
  <c r="R51" i="54"/>
  <c r="C51" i="54"/>
  <c r="K52" i="54"/>
  <c r="L52" i="54"/>
  <c r="M52" i="54"/>
  <c r="R52" i="54"/>
  <c r="C52" i="54"/>
  <c r="K53" i="54"/>
  <c r="L53" i="54"/>
  <c r="M53" i="54"/>
  <c r="R53" i="54"/>
  <c r="C53" i="54"/>
  <c r="K54" i="54"/>
  <c r="L54" i="54"/>
  <c r="M54" i="54"/>
  <c r="R54" i="54"/>
  <c r="M55" i="54"/>
  <c r="R55" i="54"/>
  <c r="C54" i="54"/>
  <c r="C55" i="54"/>
  <c r="K56" i="54"/>
  <c r="L56" i="54"/>
  <c r="M56" i="54"/>
  <c r="R56" i="54"/>
  <c r="C56" i="54"/>
  <c r="K57" i="54"/>
  <c r="L57" i="54"/>
  <c r="M57" i="54"/>
  <c r="R57" i="54"/>
  <c r="C57" i="54"/>
  <c r="K58" i="54"/>
  <c r="L58" i="54"/>
  <c r="M58" i="54"/>
  <c r="R58" i="54"/>
  <c r="C58" i="54"/>
  <c r="K59" i="54"/>
  <c r="L59" i="54"/>
  <c r="M59" i="54"/>
  <c r="R59" i="54"/>
  <c r="C59" i="54"/>
  <c r="K60" i="54"/>
  <c r="L60" i="54"/>
  <c r="M60" i="54"/>
  <c r="R60" i="54"/>
  <c r="C60" i="54"/>
  <c r="K61" i="54"/>
  <c r="L61" i="54"/>
  <c r="M61" i="54"/>
  <c r="R61" i="54"/>
  <c r="C61" i="54"/>
  <c r="K62" i="54"/>
  <c r="L62" i="54"/>
  <c r="M62" i="54"/>
  <c r="R62" i="54"/>
  <c r="C62" i="54"/>
  <c r="K63" i="54"/>
  <c r="L63" i="54"/>
  <c r="M63" i="54"/>
  <c r="R63" i="54"/>
  <c r="C63" i="54"/>
  <c r="K64" i="54"/>
  <c r="L64" i="54"/>
  <c r="M64" i="54"/>
  <c r="R64" i="54"/>
  <c r="C64" i="54"/>
  <c r="K65" i="54"/>
  <c r="L65" i="54"/>
  <c r="M65" i="54"/>
  <c r="R65" i="54"/>
  <c r="C65" i="54"/>
  <c r="K66" i="54"/>
  <c r="L66" i="54"/>
  <c r="M66" i="54"/>
  <c r="R66" i="54"/>
  <c r="C66" i="54"/>
  <c r="K67" i="54"/>
  <c r="L67" i="54"/>
  <c r="M67" i="54"/>
  <c r="R67" i="54"/>
  <c r="C67" i="54"/>
  <c r="K68" i="54"/>
  <c r="L68" i="54"/>
  <c r="M68" i="54"/>
  <c r="R68" i="54"/>
  <c r="C68" i="54"/>
  <c r="K69" i="54"/>
  <c r="L69" i="54"/>
  <c r="M69" i="54"/>
  <c r="R69" i="54"/>
  <c r="C69" i="54"/>
  <c r="K70" i="54"/>
  <c r="L70" i="54"/>
  <c r="M70" i="54"/>
  <c r="R70" i="54"/>
  <c r="C70" i="54"/>
  <c r="K71" i="54"/>
  <c r="L71" i="54"/>
  <c r="M71" i="54"/>
  <c r="R71" i="54"/>
  <c r="C71" i="54"/>
  <c r="K72" i="54"/>
  <c r="L72" i="54"/>
  <c r="M72" i="54"/>
  <c r="R72" i="54"/>
  <c r="C72" i="54"/>
  <c r="K73" i="54"/>
  <c r="L73" i="54"/>
  <c r="M73" i="54"/>
  <c r="R73" i="54"/>
  <c r="C73" i="54"/>
  <c r="K74" i="54"/>
  <c r="L74" i="54"/>
  <c r="M74" i="54"/>
  <c r="R74" i="54"/>
  <c r="C74" i="54"/>
  <c r="K75" i="54"/>
  <c r="L75" i="54"/>
  <c r="M75" i="54"/>
  <c r="R75" i="54"/>
  <c r="C75" i="54"/>
  <c r="K76" i="54"/>
  <c r="L76" i="54"/>
  <c r="M76" i="54"/>
  <c r="R76" i="54"/>
  <c r="C76" i="54"/>
  <c r="K77" i="54"/>
  <c r="L77" i="54"/>
  <c r="M77" i="54"/>
  <c r="R77" i="54"/>
  <c r="C77" i="54"/>
  <c r="K78" i="54"/>
  <c r="L78" i="54"/>
  <c r="M78" i="54"/>
  <c r="R78" i="54"/>
  <c r="R79" i="54"/>
  <c r="V72" i="56"/>
  <c r="S19" i="54"/>
  <c r="S20" i="54"/>
  <c r="S21" i="54"/>
  <c r="S22" i="54"/>
  <c r="S23" i="54"/>
  <c r="S24" i="54"/>
  <c r="S25" i="54"/>
  <c r="S26" i="54"/>
  <c r="S27" i="54"/>
  <c r="S28" i="54"/>
  <c r="S29" i="54"/>
  <c r="S30" i="54"/>
  <c r="S31" i="54"/>
  <c r="S32" i="54"/>
  <c r="S33" i="54"/>
  <c r="S34" i="54"/>
  <c r="S35" i="54"/>
  <c r="S36" i="54"/>
  <c r="S37" i="54"/>
  <c r="S38" i="54"/>
  <c r="S39" i="54"/>
  <c r="S40" i="54"/>
  <c r="S41" i="54"/>
  <c r="S42" i="54"/>
  <c r="S43" i="54"/>
  <c r="S44" i="54"/>
  <c r="S45" i="54"/>
  <c r="S46" i="54"/>
  <c r="S47" i="54"/>
  <c r="S48" i="54"/>
  <c r="S49" i="54"/>
  <c r="S50" i="54"/>
  <c r="S51" i="54"/>
  <c r="S52" i="54"/>
  <c r="S53" i="54"/>
  <c r="S54" i="54"/>
  <c r="S55" i="54"/>
  <c r="S56" i="54"/>
  <c r="S57" i="54"/>
  <c r="S58" i="54"/>
  <c r="S59" i="54"/>
  <c r="S60" i="54"/>
  <c r="S61" i="54"/>
  <c r="S62" i="54"/>
  <c r="S63" i="54"/>
  <c r="S64" i="54"/>
  <c r="S65" i="54"/>
  <c r="S66" i="54"/>
  <c r="S67" i="54"/>
  <c r="S68" i="54"/>
  <c r="S69" i="54"/>
  <c r="S70" i="54"/>
  <c r="S71" i="54"/>
  <c r="S72" i="54"/>
  <c r="S73" i="54"/>
  <c r="S74" i="54"/>
  <c r="S75" i="54"/>
  <c r="S76" i="54"/>
  <c r="S77" i="54"/>
  <c r="S78" i="54"/>
  <c r="S79" i="54"/>
  <c r="W72" i="56"/>
  <c r="X72" i="56"/>
  <c r="J73" i="56"/>
  <c r="L73" i="56"/>
  <c r="G73" i="56"/>
  <c r="H73" i="56"/>
  <c r="I73" i="56"/>
  <c r="J74" i="56"/>
  <c r="L74" i="56"/>
  <c r="G74" i="56"/>
  <c r="H74" i="56"/>
  <c r="I74" i="56"/>
  <c r="J75" i="56"/>
  <c r="L75" i="56"/>
  <c r="G75" i="56"/>
  <c r="H75" i="56"/>
  <c r="I75" i="56"/>
  <c r="J76" i="56"/>
  <c r="L76" i="56"/>
  <c r="Y72" i="56"/>
  <c r="AA72" i="56"/>
  <c r="AB72" i="56"/>
  <c r="AC72" i="56"/>
  <c r="U73" i="56"/>
  <c r="V73" i="56"/>
  <c r="W73" i="56"/>
  <c r="X73" i="56"/>
  <c r="G76" i="56"/>
  <c r="H76" i="56"/>
  <c r="I76" i="56"/>
  <c r="D77" i="56"/>
  <c r="E77" i="56"/>
  <c r="G77" i="56"/>
  <c r="H77" i="56"/>
  <c r="K77" i="56"/>
  <c r="L77" i="56"/>
  <c r="I77" i="56"/>
  <c r="N77" i="56"/>
  <c r="O77" i="56"/>
  <c r="P77" i="56"/>
  <c r="Q77" i="56"/>
  <c r="S77" i="56"/>
  <c r="U77" i="56"/>
  <c r="V77" i="56"/>
  <c r="W77" i="56"/>
  <c r="X77" i="56"/>
  <c r="Y77" i="56"/>
  <c r="AA77" i="56"/>
  <c r="AB77" i="56"/>
  <c r="AC77" i="56"/>
  <c r="D78" i="56"/>
  <c r="E78" i="56"/>
  <c r="G78" i="56"/>
  <c r="H78" i="56"/>
  <c r="K78" i="56"/>
  <c r="L78" i="56"/>
  <c r="I78" i="56"/>
  <c r="N78" i="56"/>
  <c r="O78" i="56"/>
  <c r="P78" i="56"/>
  <c r="Q78" i="56"/>
  <c r="S78" i="56"/>
  <c r="U78" i="56"/>
  <c r="V78" i="56"/>
  <c r="W78" i="56"/>
  <c r="X78" i="56"/>
  <c r="Y78" i="56"/>
  <c r="AA78" i="56"/>
  <c r="AB78" i="56"/>
  <c r="AC78" i="56"/>
  <c r="D79" i="56"/>
  <c r="E79" i="56"/>
  <c r="G79" i="56"/>
  <c r="H79" i="56"/>
  <c r="K79" i="56"/>
  <c r="L79" i="56"/>
  <c r="I79" i="56"/>
  <c r="N79" i="56"/>
  <c r="O79" i="56"/>
  <c r="P79" i="56"/>
  <c r="Q79" i="56"/>
  <c r="S79" i="56"/>
  <c r="U79" i="56"/>
  <c r="V79" i="56"/>
  <c r="W79" i="56"/>
  <c r="X79" i="56"/>
  <c r="Y79" i="56"/>
  <c r="AA79" i="56"/>
  <c r="AB79" i="56"/>
  <c r="AC79" i="56"/>
  <c r="D80" i="56"/>
  <c r="E80" i="56"/>
  <c r="G80" i="56"/>
  <c r="H80" i="56"/>
  <c r="K80" i="56"/>
  <c r="L80" i="56"/>
  <c r="I80" i="56"/>
  <c r="N80" i="56"/>
  <c r="O80" i="56"/>
  <c r="P80" i="56"/>
  <c r="Q80" i="56"/>
  <c r="S80" i="56"/>
  <c r="U80" i="56"/>
  <c r="V80" i="56"/>
  <c r="W80" i="56"/>
  <c r="X80" i="56"/>
  <c r="Y80" i="56"/>
  <c r="AA80" i="56"/>
  <c r="AB80" i="56"/>
  <c r="AC80" i="56"/>
  <c r="D81" i="56"/>
  <c r="E81" i="56"/>
  <c r="G81" i="56"/>
  <c r="H81" i="56"/>
  <c r="K81" i="56"/>
  <c r="L81" i="56"/>
  <c r="I81" i="56"/>
  <c r="N81" i="56"/>
  <c r="O81" i="56"/>
  <c r="P81" i="56"/>
  <c r="Q81" i="56"/>
  <c r="S81" i="56"/>
  <c r="U81" i="56"/>
  <c r="V81" i="56"/>
  <c r="W81" i="56"/>
  <c r="X81" i="56"/>
  <c r="Y81" i="56"/>
  <c r="AA81" i="56"/>
  <c r="AB81" i="56"/>
  <c r="AC81" i="56"/>
  <c r="D82" i="56"/>
  <c r="E82" i="56"/>
  <c r="G82" i="56"/>
  <c r="H82" i="56"/>
  <c r="K82" i="56"/>
  <c r="L82" i="56"/>
  <c r="I82" i="56"/>
  <c r="N82" i="56"/>
  <c r="O82" i="56"/>
  <c r="P82" i="56"/>
  <c r="Q82" i="56"/>
  <c r="S82" i="56"/>
  <c r="U82" i="56"/>
  <c r="V82" i="56"/>
  <c r="W82" i="56"/>
  <c r="X82" i="56"/>
  <c r="Y82" i="56"/>
  <c r="AA82" i="56"/>
  <c r="AB82" i="56"/>
  <c r="AC82" i="56"/>
  <c r="D83" i="56"/>
  <c r="E83" i="56"/>
  <c r="G83" i="56"/>
  <c r="H83" i="56"/>
  <c r="K83" i="56"/>
  <c r="L83" i="56"/>
  <c r="I83" i="56"/>
  <c r="N83" i="56"/>
  <c r="O83" i="56"/>
  <c r="P83" i="56"/>
  <c r="Q83" i="56"/>
  <c r="S83" i="56"/>
  <c r="U83" i="56"/>
  <c r="V83" i="56"/>
  <c r="W83" i="56"/>
  <c r="X83" i="56"/>
  <c r="Y83" i="56"/>
  <c r="AA83" i="56"/>
  <c r="AB83" i="56"/>
  <c r="AC83" i="56"/>
  <c r="D84" i="56"/>
  <c r="E84" i="56"/>
  <c r="G84" i="56"/>
  <c r="H84" i="56"/>
  <c r="K84" i="56"/>
  <c r="L84" i="56"/>
  <c r="I84" i="56"/>
  <c r="N84" i="56"/>
  <c r="O84" i="56"/>
  <c r="P84" i="56"/>
  <c r="Q84" i="56"/>
  <c r="S84" i="56"/>
  <c r="U84" i="56"/>
  <c r="V84" i="56"/>
  <c r="W84" i="56"/>
  <c r="X84" i="56"/>
  <c r="Y84" i="56"/>
  <c r="AA84" i="56"/>
  <c r="AB84" i="56"/>
  <c r="AC84" i="56"/>
  <c r="D85" i="56"/>
  <c r="E85" i="56"/>
  <c r="G85" i="56"/>
  <c r="H85" i="56"/>
  <c r="K85" i="56"/>
  <c r="L85" i="56"/>
  <c r="I85" i="56"/>
  <c r="N85" i="56"/>
  <c r="O85" i="56"/>
  <c r="P85" i="56"/>
  <c r="Q85" i="56"/>
  <c r="S85" i="56"/>
  <c r="U85" i="56"/>
  <c r="V85" i="56"/>
  <c r="W85" i="56"/>
  <c r="X85" i="56"/>
  <c r="Y85" i="56"/>
  <c r="AA85" i="56"/>
  <c r="AB85" i="56"/>
  <c r="AC85" i="56"/>
  <c r="D86" i="56"/>
  <c r="E86" i="56"/>
  <c r="G86" i="56"/>
  <c r="H86" i="56"/>
  <c r="K86" i="56"/>
  <c r="L86" i="56"/>
  <c r="I86" i="56"/>
  <c r="N86" i="56"/>
  <c r="O86" i="56"/>
  <c r="P86" i="56"/>
  <c r="Q86" i="56"/>
  <c r="S86" i="56"/>
  <c r="U86" i="56"/>
  <c r="V86" i="56"/>
  <c r="W86" i="56"/>
  <c r="X86" i="56"/>
  <c r="Y86" i="56"/>
  <c r="AA86" i="56"/>
  <c r="AB86" i="56"/>
  <c r="AC86" i="56"/>
  <c r="D87" i="56"/>
  <c r="E87" i="56"/>
  <c r="G87" i="56"/>
  <c r="H87" i="56"/>
  <c r="K87" i="56"/>
  <c r="L87" i="56"/>
  <c r="I87" i="56"/>
  <c r="N87" i="56"/>
  <c r="O87" i="56"/>
  <c r="P87" i="56"/>
  <c r="Q87" i="56"/>
  <c r="S87" i="56"/>
  <c r="U87" i="56"/>
  <c r="V87" i="56"/>
  <c r="W87" i="56"/>
  <c r="X87" i="56"/>
  <c r="Y87" i="56"/>
  <c r="AA87" i="56"/>
  <c r="AB87" i="56"/>
  <c r="AC87" i="56"/>
  <c r="D88" i="56"/>
  <c r="E88" i="56"/>
  <c r="G88" i="56"/>
  <c r="H88" i="56"/>
  <c r="K88" i="56"/>
  <c r="L88" i="56"/>
  <c r="I88" i="56"/>
  <c r="N88" i="56"/>
  <c r="O88" i="56"/>
  <c r="P88" i="56"/>
  <c r="Q88" i="56"/>
  <c r="S88" i="56"/>
  <c r="U88" i="56"/>
  <c r="V88" i="56"/>
  <c r="W88" i="56"/>
  <c r="X88" i="56"/>
  <c r="Y88" i="56"/>
  <c r="AA88" i="56"/>
  <c r="AB88" i="56"/>
  <c r="AC88" i="56"/>
  <c r="D89" i="56"/>
  <c r="E89" i="56"/>
  <c r="G89" i="56"/>
  <c r="H89" i="56"/>
  <c r="K89" i="56"/>
  <c r="L89" i="56"/>
  <c r="I89" i="56"/>
  <c r="N89" i="56"/>
  <c r="O89" i="56"/>
  <c r="P89" i="56"/>
  <c r="Q89" i="56"/>
  <c r="S89" i="56"/>
  <c r="U89" i="56"/>
  <c r="V89" i="56"/>
  <c r="W89" i="56"/>
  <c r="X89" i="56"/>
  <c r="Y89" i="56"/>
  <c r="AA89" i="56"/>
  <c r="AB89" i="56"/>
  <c r="AC89" i="56"/>
  <c r="D90" i="56"/>
  <c r="E90" i="56"/>
  <c r="G90" i="56"/>
  <c r="H90" i="56"/>
  <c r="K90" i="56"/>
  <c r="L90" i="56"/>
  <c r="I90" i="56"/>
  <c r="N90" i="56"/>
  <c r="O90" i="56"/>
  <c r="P90" i="56"/>
  <c r="Q90" i="56"/>
  <c r="S90" i="56"/>
  <c r="U90" i="56"/>
  <c r="V90" i="56"/>
  <c r="W90" i="56"/>
  <c r="X90" i="56"/>
  <c r="Y90" i="56"/>
  <c r="AA90" i="56"/>
  <c r="AB90" i="56"/>
  <c r="AC90" i="56"/>
  <c r="D91" i="56"/>
  <c r="E91" i="56"/>
  <c r="G91" i="56"/>
  <c r="H91" i="56"/>
  <c r="K91" i="56"/>
  <c r="L91" i="56"/>
  <c r="I91" i="56"/>
  <c r="N91" i="56"/>
  <c r="O91" i="56"/>
  <c r="P91" i="56"/>
  <c r="Q91" i="56"/>
  <c r="S91" i="56"/>
  <c r="U91" i="56"/>
  <c r="V91" i="56"/>
  <c r="W91" i="56"/>
  <c r="X91" i="56"/>
  <c r="Y91" i="56"/>
  <c r="AA91" i="56"/>
  <c r="AB91" i="56"/>
  <c r="AC91" i="56"/>
  <c r="D92" i="56"/>
  <c r="E92" i="56"/>
  <c r="G92" i="56"/>
  <c r="H92" i="56"/>
  <c r="K92" i="56"/>
  <c r="L92" i="56"/>
  <c r="I92" i="56"/>
  <c r="N92" i="56"/>
  <c r="O92" i="56"/>
  <c r="P92" i="56"/>
  <c r="Q92" i="56"/>
  <c r="S92" i="56"/>
  <c r="U92" i="56"/>
  <c r="V92" i="56"/>
  <c r="W92" i="56"/>
  <c r="X92" i="56"/>
  <c r="Y92" i="56"/>
  <c r="AA92" i="56"/>
  <c r="AB92" i="56"/>
  <c r="AC92" i="56"/>
  <c r="D93" i="56"/>
  <c r="E93" i="56"/>
  <c r="G93" i="56"/>
  <c r="H93" i="56"/>
  <c r="K93" i="56"/>
  <c r="L93" i="56"/>
  <c r="I93" i="56"/>
  <c r="N93" i="56"/>
  <c r="O93" i="56"/>
  <c r="P93" i="56"/>
  <c r="Q93" i="56"/>
  <c r="S93" i="56"/>
  <c r="U93" i="56"/>
  <c r="V93" i="56"/>
  <c r="W93" i="56"/>
  <c r="X93" i="56"/>
  <c r="Y93" i="56"/>
  <c r="AA93" i="56"/>
  <c r="AB93" i="56"/>
  <c r="AC93" i="56"/>
  <c r="D94" i="56"/>
  <c r="E94" i="56"/>
  <c r="G94" i="56"/>
  <c r="H94" i="56"/>
  <c r="K94" i="56"/>
  <c r="L94" i="56"/>
  <c r="I94" i="56"/>
  <c r="N94" i="56"/>
  <c r="O94" i="56"/>
  <c r="P94" i="56"/>
  <c r="Q94" i="56"/>
  <c r="S94" i="56"/>
  <c r="U94" i="56"/>
  <c r="V94" i="56"/>
  <c r="W94" i="56"/>
  <c r="X94" i="56"/>
  <c r="Y94" i="56"/>
  <c r="AA94" i="56"/>
  <c r="AB94" i="56"/>
  <c r="AC94" i="56"/>
  <c r="D95" i="56"/>
  <c r="E95" i="56"/>
  <c r="G95" i="56"/>
  <c r="H95" i="56"/>
  <c r="K95" i="56"/>
  <c r="L95" i="56"/>
  <c r="I95" i="56"/>
  <c r="N95" i="56"/>
  <c r="O95" i="56"/>
  <c r="P95" i="56"/>
  <c r="Q95" i="56"/>
  <c r="S95" i="56"/>
  <c r="U95" i="56"/>
  <c r="V95" i="56"/>
  <c r="W95" i="56"/>
  <c r="X95" i="56"/>
  <c r="Y95" i="56"/>
  <c r="AA95" i="56"/>
  <c r="AB95" i="56"/>
  <c r="AC95" i="56"/>
  <c r="D96" i="56"/>
  <c r="E96" i="56"/>
  <c r="G96" i="56"/>
  <c r="H96" i="56"/>
  <c r="K96" i="56"/>
  <c r="L96" i="56"/>
  <c r="I96" i="56"/>
  <c r="N96" i="56"/>
  <c r="O96" i="56"/>
  <c r="P96" i="56"/>
  <c r="Q96" i="56"/>
  <c r="S96" i="56"/>
  <c r="U96" i="56"/>
  <c r="V96" i="56"/>
  <c r="W96" i="56"/>
  <c r="X96" i="56"/>
  <c r="Y96" i="56"/>
  <c r="AA96" i="56"/>
  <c r="AB96" i="56"/>
  <c r="AC96" i="56"/>
  <c r="D97" i="56"/>
  <c r="E97" i="56"/>
  <c r="G97" i="56"/>
  <c r="H97" i="56"/>
  <c r="K97" i="56"/>
  <c r="L97" i="56"/>
  <c r="I97" i="56"/>
  <c r="N97" i="56"/>
  <c r="O97" i="56"/>
  <c r="P97" i="56"/>
  <c r="Q97" i="56"/>
  <c r="S97" i="56"/>
  <c r="U97" i="56"/>
  <c r="V97" i="56"/>
  <c r="W97" i="56"/>
  <c r="X97" i="56"/>
  <c r="Y97" i="56"/>
  <c r="AA97" i="56"/>
  <c r="AB97" i="56"/>
  <c r="AC97" i="56"/>
  <c r="D98" i="56"/>
  <c r="E98" i="56"/>
  <c r="G98" i="56"/>
  <c r="H98" i="56"/>
  <c r="K98" i="56"/>
  <c r="L98" i="56"/>
  <c r="I98" i="56"/>
  <c r="N98" i="56"/>
  <c r="O98" i="56"/>
  <c r="P98" i="56"/>
  <c r="Q98" i="56"/>
  <c r="S98" i="56"/>
  <c r="U98" i="56"/>
  <c r="V98" i="56"/>
  <c r="W98" i="56"/>
  <c r="X98" i="56"/>
  <c r="Y98" i="56"/>
  <c r="AA98" i="56"/>
  <c r="AB98" i="56"/>
  <c r="AC98" i="56"/>
  <c r="D99" i="56"/>
  <c r="E99" i="56"/>
  <c r="G99" i="56"/>
  <c r="H99" i="56"/>
  <c r="K99" i="56"/>
  <c r="L99" i="56"/>
  <c r="I99" i="56"/>
  <c r="N99" i="56"/>
  <c r="O99" i="56"/>
  <c r="P99" i="56"/>
  <c r="Q99" i="56"/>
  <c r="S99" i="56"/>
  <c r="U99" i="56"/>
  <c r="V99" i="56"/>
  <c r="W99" i="56"/>
  <c r="X99" i="56"/>
  <c r="Y99" i="56"/>
  <c r="AA99" i="56"/>
  <c r="AB99" i="56"/>
  <c r="AC99" i="56"/>
  <c r="D100" i="56"/>
  <c r="E100" i="56"/>
  <c r="G100" i="56"/>
  <c r="H100" i="56"/>
  <c r="K100" i="56"/>
  <c r="L100" i="56"/>
  <c r="I100" i="56"/>
  <c r="N100" i="56"/>
  <c r="O100" i="56"/>
  <c r="P100" i="56"/>
  <c r="Q100" i="56"/>
  <c r="S100" i="56"/>
  <c r="U100" i="56"/>
  <c r="V100" i="56"/>
  <c r="W100" i="56"/>
  <c r="X100" i="56"/>
  <c r="Y100" i="56"/>
  <c r="AA100" i="56"/>
  <c r="AB100" i="56"/>
  <c r="AC100" i="56"/>
  <c r="D101" i="56"/>
  <c r="E101" i="56"/>
  <c r="G101" i="56"/>
  <c r="H101" i="56"/>
  <c r="K101" i="56"/>
  <c r="L101" i="56"/>
  <c r="I101" i="56"/>
  <c r="N101" i="56"/>
  <c r="O101" i="56"/>
  <c r="P101" i="56"/>
  <c r="Q101" i="56"/>
  <c r="S101" i="56"/>
  <c r="U101" i="56"/>
  <c r="V101" i="56"/>
  <c r="W101" i="56"/>
  <c r="X101" i="56"/>
  <c r="Y101" i="56"/>
  <c r="AA101" i="56"/>
  <c r="AB101" i="56"/>
  <c r="AC101" i="56"/>
  <c r="D102" i="56"/>
  <c r="E102" i="56"/>
  <c r="G102" i="56"/>
  <c r="H102" i="56"/>
  <c r="K102" i="56"/>
  <c r="L102" i="56"/>
  <c r="I102" i="56"/>
  <c r="N102" i="56"/>
  <c r="O102" i="56"/>
  <c r="P102" i="56"/>
  <c r="Q102" i="56"/>
  <c r="S102" i="56"/>
  <c r="U102" i="56"/>
  <c r="V102" i="56"/>
  <c r="W102" i="56"/>
  <c r="X102" i="56"/>
  <c r="Y102" i="56"/>
  <c r="AA102" i="56"/>
  <c r="AB102" i="56"/>
  <c r="AC102" i="56"/>
  <c r="D103" i="56"/>
  <c r="E103" i="56"/>
  <c r="G103" i="56"/>
  <c r="H103" i="56"/>
  <c r="K103" i="56"/>
  <c r="L103" i="56"/>
  <c r="I103" i="56"/>
  <c r="N103" i="56"/>
  <c r="O103" i="56"/>
  <c r="P103" i="56"/>
  <c r="Q103" i="56"/>
  <c r="S103" i="56"/>
  <c r="U103" i="56"/>
  <c r="V103" i="56"/>
  <c r="W103" i="56"/>
  <c r="X103" i="56"/>
  <c r="Y103" i="56"/>
  <c r="AA103" i="56"/>
  <c r="AB103" i="56"/>
  <c r="AC103" i="56"/>
  <c r="D104" i="56"/>
  <c r="E104" i="56"/>
  <c r="G104" i="56"/>
  <c r="H104" i="56"/>
  <c r="K104" i="56"/>
  <c r="L104" i="56"/>
  <c r="I104" i="56"/>
  <c r="N104" i="56"/>
  <c r="O104" i="56"/>
  <c r="P104" i="56"/>
  <c r="Q104" i="56"/>
  <c r="S104" i="56"/>
  <c r="U104" i="56"/>
  <c r="V104" i="56"/>
  <c r="W104" i="56"/>
  <c r="X104" i="56"/>
  <c r="Y104" i="56"/>
  <c r="AA104" i="56"/>
  <c r="AB104" i="56"/>
  <c r="AC104" i="56"/>
  <c r="D105" i="56"/>
  <c r="E105" i="56"/>
  <c r="G105" i="56"/>
  <c r="H105" i="56"/>
  <c r="K105" i="56"/>
  <c r="L105" i="56"/>
  <c r="I105" i="56"/>
  <c r="N105" i="56"/>
  <c r="O105" i="56"/>
  <c r="P105" i="56"/>
  <c r="Q105" i="56"/>
  <c r="S105" i="56"/>
  <c r="U105" i="56"/>
  <c r="V105" i="56"/>
  <c r="W105" i="56"/>
  <c r="X105" i="56"/>
  <c r="Y105" i="56"/>
  <c r="AA105" i="56"/>
  <c r="AB105" i="56"/>
  <c r="AC105" i="56"/>
  <c r="D106" i="56"/>
  <c r="E106" i="56"/>
  <c r="G106" i="56"/>
  <c r="H106" i="56"/>
  <c r="K106" i="56"/>
  <c r="L106" i="56"/>
  <c r="I106" i="56"/>
  <c r="N106" i="56"/>
  <c r="O106" i="56"/>
  <c r="P106" i="56"/>
  <c r="Q106" i="56"/>
  <c r="S106" i="56"/>
  <c r="U106" i="56"/>
  <c r="V106" i="56"/>
  <c r="W106" i="56"/>
  <c r="X106" i="56"/>
  <c r="Y106" i="56"/>
  <c r="AA106" i="56"/>
  <c r="AB106" i="56"/>
  <c r="AC106" i="56"/>
  <c r="D107" i="56"/>
  <c r="E107" i="56"/>
  <c r="G107" i="56"/>
  <c r="H107" i="56"/>
  <c r="K107" i="56"/>
  <c r="L107" i="56"/>
  <c r="I107" i="56"/>
  <c r="N107" i="56"/>
  <c r="O107" i="56"/>
  <c r="P107" i="56"/>
  <c r="Q107" i="56"/>
  <c r="S107" i="56"/>
  <c r="U107" i="56"/>
  <c r="V107" i="56"/>
  <c r="W107" i="56"/>
  <c r="X107" i="56"/>
  <c r="Y107" i="56"/>
  <c r="AA107" i="56"/>
  <c r="AB107" i="56"/>
  <c r="AC107" i="56"/>
  <c r="D108" i="56"/>
  <c r="E108" i="56"/>
  <c r="G108" i="56"/>
  <c r="H108" i="56"/>
  <c r="K108" i="56"/>
  <c r="L108" i="56"/>
  <c r="I108" i="56"/>
  <c r="N108" i="56"/>
  <c r="O108" i="56"/>
  <c r="P108" i="56"/>
  <c r="Q108" i="56"/>
  <c r="S108" i="56"/>
  <c r="U108" i="56"/>
  <c r="V108" i="56"/>
  <c r="W108" i="56"/>
  <c r="X108" i="56"/>
  <c r="Y108" i="56"/>
  <c r="AA108" i="56"/>
  <c r="AB108" i="56"/>
  <c r="AC108" i="56"/>
  <c r="D109" i="56"/>
  <c r="E109" i="56"/>
  <c r="G109" i="56"/>
  <c r="H109" i="56"/>
  <c r="K109" i="56"/>
  <c r="L109" i="56"/>
  <c r="I109" i="56"/>
  <c r="N109" i="56"/>
  <c r="O109" i="56"/>
  <c r="P109" i="56"/>
  <c r="Q109" i="56"/>
  <c r="S109" i="56"/>
  <c r="U109" i="56"/>
  <c r="V109" i="56"/>
  <c r="W109" i="56"/>
  <c r="X109" i="56"/>
  <c r="Y109" i="56"/>
  <c r="AA109" i="56"/>
  <c r="AB109" i="56"/>
  <c r="AC109" i="56"/>
  <c r="D110" i="56"/>
  <c r="E110" i="56"/>
  <c r="G110" i="56"/>
  <c r="H110" i="56"/>
  <c r="K110" i="56"/>
  <c r="L110" i="56"/>
  <c r="I110" i="56"/>
  <c r="N110" i="56"/>
  <c r="O110" i="56"/>
  <c r="P110" i="56"/>
  <c r="Q110" i="56"/>
  <c r="S110" i="56"/>
  <c r="U110" i="56"/>
  <c r="V110" i="56"/>
  <c r="W110" i="56"/>
  <c r="X110" i="56"/>
  <c r="Y110" i="56"/>
  <c r="AA110" i="56"/>
  <c r="AB110" i="56"/>
  <c r="AC110" i="56"/>
  <c r="D111" i="56"/>
  <c r="E111" i="56"/>
  <c r="G111" i="56"/>
  <c r="H111" i="56"/>
  <c r="K111" i="56"/>
  <c r="L111" i="56"/>
  <c r="I111" i="56"/>
  <c r="N111" i="56"/>
  <c r="O111" i="56"/>
  <c r="P111" i="56"/>
  <c r="Q111" i="56"/>
  <c r="S111" i="56"/>
  <c r="U111" i="56"/>
  <c r="V111" i="56"/>
  <c r="W111" i="56"/>
  <c r="X111" i="56"/>
  <c r="Y111" i="56"/>
  <c r="AA111" i="56"/>
  <c r="AB111" i="56"/>
  <c r="AC111" i="56"/>
  <c r="D112" i="56"/>
  <c r="E112" i="56"/>
  <c r="G112" i="56"/>
  <c r="H112" i="56"/>
  <c r="K112" i="56"/>
  <c r="L112" i="56"/>
  <c r="I112" i="56"/>
  <c r="N112" i="56"/>
  <c r="O112" i="56"/>
  <c r="P112" i="56"/>
  <c r="Q112" i="56"/>
  <c r="S112" i="56"/>
  <c r="U112" i="56"/>
  <c r="V112" i="56"/>
  <c r="W112" i="56"/>
  <c r="X112" i="56"/>
  <c r="Y112" i="56"/>
  <c r="AA112" i="56"/>
  <c r="AB112" i="56"/>
  <c r="AC112" i="56"/>
  <c r="D113" i="56"/>
  <c r="E113" i="56"/>
  <c r="G113" i="56"/>
  <c r="H113" i="56"/>
  <c r="K113" i="56"/>
  <c r="L113" i="56"/>
  <c r="I113" i="56"/>
  <c r="N113" i="56"/>
  <c r="O113" i="56"/>
  <c r="P113" i="56"/>
  <c r="Q113" i="56"/>
  <c r="S113" i="56"/>
  <c r="U113" i="56"/>
  <c r="V113" i="56"/>
  <c r="W113" i="56"/>
  <c r="X113" i="56"/>
  <c r="Y113" i="56"/>
  <c r="AA113" i="56"/>
  <c r="AB113" i="56"/>
  <c r="AC113" i="56"/>
  <c r="D114" i="56"/>
  <c r="E114" i="56"/>
  <c r="G114" i="56"/>
  <c r="H114" i="56"/>
  <c r="K114" i="56"/>
  <c r="L114" i="56"/>
  <c r="I114" i="56"/>
  <c r="N114" i="56"/>
  <c r="O114" i="56"/>
  <c r="P114" i="56"/>
  <c r="Q114" i="56"/>
  <c r="S114" i="56"/>
  <c r="U114" i="56"/>
  <c r="V114" i="56"/>
  <c r="W114" i="56"/>
  <c r="X114" i="56"/>
  <c r="Y114" i="56"/>
  <c r="AA114" i="56"/>
  <c r="AB114" i="56"/>
  <c r="AC114" i="56"/>
  <c r="D115" i="56"/>
  <c r="E115" i="56"/>
  <c r="G115" i="56"/>
  <c r="H115" i="56"/>
  <c r="K115" i="56"/>
  <c r="L115" i="56"/>
  <c r="I115" i="56"/>
  <c r="N115" i="56"/>
  <c r="O115" i="56"/>
  <c r="P115" i="56"/>
  <c r="Q115" i="56"/>
  <c r="S115" i="56"/>
  <c r="U115" i="56"/>
  <c r="V115" i="56"/>
  <c r="W115" i="56"/>
  <c r="X115" i="56"/>
  <c r="Y115" i="56"/>
  <c r="AA115" i="56"/>
  <c r="AB115" i="56"/>
  <c r="AC115" i="56"/>
  <c r="D116" i="56"/>
  <c r="E116" i="56"/>
  <c r="G116" i="56"/>
  <c r="H116" i="56"/>
  <c r="K116" i="56"/>
  <c r="L116" i="56"/>
  <c r="I116" i="56"/>
  <c r="N116" i="56"/>
  <c r="O116" i="56"/>
  <c r="P116" i="56"/>
  <c r="Q116" i="56"/>
  <c r="S116" i="56"/>
  <c r="U116" i="56"/>
  <c r="V116" i="56"/>
  <c r="W116" i="56"/>
  <c r="X116" i="56"/>
  <c r="Y116" i="56"/>
  <c r="AA116" i="56"/>
  <c r="AB116" i="56"/>
  <c r="AC116" i="56"/>
  <c r="D117" i="56"/>
  <c r="E117" i="56"/>
  <c r="G117" i="56"/>
  <c r="H117" i="56"/>
  <c r="K117" i="56"/>
  <c r="L117" i="56"/>
  <c r="I117" i="56"/>
  <c r="N117" i="56"/>
  <c r="O117" i="56"/>
  <c r="P117" i="56"/>
  <c r="Q117" i="56"/>
  <c r="S117" i="56"/>
  <c r="U117" i="56"/>
  <c r="V117" i="56"/>
  <c r="W117" i="56"/>
  <c r="X117" i="56"/>
  <c r="Y117" i="56"/>
  <c r="AA117" i="56"/>
  <c r="AB117" i="56"/>
  <c r="AC117" i="56"/>
  <c r="D118" i="56"/>
  <c r="E118" i="56"/>
  <c r="G118" i="56"/>
  <c r="H118" i="56"/>
  <c r="K118" i="56"/>
  <c r="L118" i="56"/>
  <c r="I118" i="56"/>
  <c r="N118" i="56"/>
  <c r="O118" i="56"/>
  <c r="P118" i="56"/>
  <c r="Q118" i="56"/>
  <c r="S118" i="56"/>
  <c r="U118" i="56"/>
  <c r="V118" i="56"/>
  <c r="W118" i="56"/>
  <c r="X118" i="56"/>
  <c r="Y118" i="56"/>
  <c r="AA118" i="56"/>
  <c r="AB118" i="56"/>
  <c r="AC118" i="56"/>
  <c r="D119" i="56"/>
  <c r="E119" i="56"/>
  <c r="G119" i="56"/>
  <c r="H119" i="56"/>
  <c r="K119" i="56"/>
  <c r="L119" i="56"/>
  <c r="I119" i="56"/>
  <c r="N119" i="56"/>
  <c r="O119" i="56"/>
  <c r="P119" i="56"/>
  <c r="Q119" i="56"/>
  <c r="S119" i="56"/>
  <c r="U119" i="56"/>
  <c r="V119" i="56"/>
  <c r="W119" i="56"/>
  <c r="X119" i="56"/>
  <c r="Y119" i="56"/>
  <c r="AA119" i="56"/>
  <c r="AB119" i="56"/>
  <c r="AC119" i="56"/>
  <c r="D120" i="56"/>
  <c r="E120" i="56"/>
  <c r="G120" i="56"/>
  <c r="H120" i="56"/>
  <c r="K120" i="56"/>
  <c r="L120" i="56"/>
  <c r="I120" i="56"/>
  <c r="N120" i="56"/>
  <c r="O120" i="56"/>
  <c r="P120" i="56"/>
  <c r="Q120" i="56"/>
  <c r="S120" i="56"/>
  <c r="U120" i="56"/>
  <c r="V120" i="56"/>
  <c r="W120" i="56"/>
  <c r="X120" i="56"/>
  <c r="Y120" i="56"/>
  <c r="AA120" i="56"/>
  <c r="AB120" i="56"/>
  <c r="AC120" i="56"/>
  <c r="D121" i="56"/>
  <c r="E121" i="56"/>
  <c r="G121" i="56"/>
  <c r="H121" i="56"/>
  <c r="K121" i="56"/>
  <c r="L121" i="56"/>
  <c r="I121" i="56"/>
  <c r="N121" i="56"/>
  <c r="O121" i="56"/>
  <c r="P121" i="56"/>
  <c r="Q121" i="56"/>
  <c r="S121" i="56"/>
  <c r="U121" i="56"/>
  <c r="V121" i="56"/>
  <c r="W121" i="56"/>
  <c r="X121" i="56"/>
  <c r="Y121" i="56"/>
  <c r="AA121" i="56"/>
  <c r="AB121" i="56"/>
  <c r="AC121" i="56"/>
  <c r="D122" i="56"/>
  <c r="E122" i="56"/>
  <c r="G122" i="56"/>
  <c r="H122" i="56"/>
  <c r="K122" i="56"/>
  <c r="L122" i="56"/>
  <c r="I122" i="56"/>
  <c r="N122" i="56"/>
  <c r="O122" i="56"/>
  <c r="P122" i="56"/>
  <c r="Q122" i="56"/>
  <c r="S122" i="56"/>
  <c r="U122" i="56"/>
  <c r="V122" i="56"/>
  <c r="W122" i="56"/>
  <c r="X122" i="56"/>
  <c r="Y122" i="56"/>
  <c r="AA122" i="56"/>
  <c r="AB122" i="56"/>
  <c r="AC122" i="56"/>
  <c r="D123" i="56"/>
  <c r="E123" i="56"/>
  <c r="G123" i="56"/>
  <c r="H123" i="56"/>
  <c r="K123" i="56"/>
  <c r="L123" i="56"/>
  <c r="I123" i="56"/>
  <c r="N123" i="56"/>
  <c r="O123" i="56"/>
  <c r="P123" i="56"/>
  <c r="Q123" i="56"/>
  <c r="S123" i="56"/>
  <c r="U123" i="56"/>
  <c r="V123" i="56"/>
  <c r="W123" i="56"/>
  <c r="X123" i="56"/>
  <c r="Y123" i="56"/>
  <c r="AA123" i="56"/>
  <c r="AB123" i="56"/>
  <c r="AC123" i="56"/>
  <c r="D124" i="56"/>
  <c r="E124" i="56"/>
  <c r="G124" i="56"/>
  <c r="H124" i="56"/>
  <c r="K124" i="56"/>
  <c r="L124" i="56"/>
  <c r="I124" i="56"/>
  <c r="N124" i="56"/>
  <c r="O124" i="56"/>
  <c r="P124" i="56"/>
  <c r="Q124" i="56"/>
  <c r="S124" i="56"/>
  <c r="U124" i="56"/>
  <c r="V124" i="56"/>
  <c r="W124" i="56"/>
  <c r="X124" i="56"/>
  <c r="Y124" i="56"/>
  <c r="AA124" i="56"/>
  <c r="AB124" i="56"/>
  <c r="AC124" i="56"/>
  <c r="D125" i="56"/>
  <c r="E125" i="56"/>
  <c r="G125" i="56"/>
  <c r="H125" i="56"/>
  <c r="K125" i="56"/>
  <c r="L125" i="56"/>
  <c r="I125" i="56"/>
  <c r="N125" i="56"/>
  <c r="O125" i="56"/>
  <c r="P125" i="56"/>
  <c r="Q125" i="56"/>
  <c r="S125" i="56"/>
  <c r="U125" i="56"/>
  <c r="V125" i="56"/>
  <c r="W125" i="56"/>
  <c r="X125" i="56"/>
  <c r="Y125" i="56"/>
  <c r="AA125" i="56"/>
  <c r="AB125" i="56"/>
  <c r="AC125" i="56"/>
  <c r="D126" i="56"/>
  <c r="E126" i="56"/>
  <c r="G126" i="56"/>
  <c r="H126" i="56"/>
  <c r="K126" i="56"/>
  <c r="L126" i="56"/>
  <c r="I126" i="56"/>
  <c r="N126" i="56"/>
  <c r="O126" i="56"/>
  <c r="P126" i="56"/>
  <c r="Q126" i="56"/>
  <c r="S126" i="56"/>
  <c r="U126" i="56"/>
  <c r="V126" i="56"/>
  <c r="W126" i="56"/>
  <c r="X126" i="56"/>
  <c r="Y126" i="56"/>
  <c r="AA126" i="56"/>
  <c r="AB126" i="56"/>
  <c r="AC126" i="56"/>
  <c r="D127" i="56"/>
  <c r="E127" i="56"/>
  <c r="G127" i="56"/>
  <c r="H127" i="56"/>
  <c r="K127" i="56"/>
  <c r="L127" i="56"/>
  <c r="I127" i="56"/>
  <c r="N127" i="56"/>
  <c r="O127" i="56"/>
  <c r="P127" i="56"/>
  <c r="Q127" i="56"/>
  <c r="S127" i="56"/>
  <c r="U127" i="56"/>
  <c r="V127" i="56"/>
  <c r="W127" i="56"/>
  <c r="X127" i="56"/>
  <c r="Y127" i="56"/>
  <c r="AA127" i="56"/>
  <c r="AB127" i="56"/>
  <c r="AC127" i="56"/>
  <c r="D128" i="56"/>
  <c r="E128" i="56"/>
  <c r="G128" i="56"/>
  <c r="H128" i="56"/>
  <c r="K128" i="56"/>
  <c r="L128" i="56"/>
  <c r="I128" i="56"/>
  <c r="N128" i="56"/>
  <c r="O128" i="56"/>
  <c r="P128" i="56"/>
  <c r="Q128" i="56"/>
  <c r="S128" i="56"/>
  <c r="U128" i="56"/>
  <c r="V128" i="56"/>
  <c r="W128" i="56"/>
  <c r="X128" i="56"/>
  <c r="Y128" i="56"/>
  <c r="AA128" i="56"/>
  <c r="AB128" i="56"/>
  <c r="AC128" i="56"/>
  <c r="D129" i="56"/>
  <c r="E129" i="56"/>
  <c r="G129" i="56"/>
  <c r="H129" i="56"/>
  <c r="K129" i="56"/>
  <c r="L129" i="56"/>
  <c r="I129" i="56"/>
  <c r="N129" i="56"/>
  <c r="O129" i="56"/>
  <c r="P129" i="56"/>
  <c r="Q129" i="56"/>
  <c r="S129" i="56"/>
  <c r="U129" i="56"/>
  <c r="V129" i="56"/>
  <c r="W129" i="56"/>
  <c r="X129" i="56"/>
  <c r="Y129" i="56"/>
  <c r="AA129" i="56"/>
  <c r="AB129" i="56"/>
  <c r="AC129" i="56"/>
  <c r="D130" i="56"/>
  <c r="E130" i="56"/>
  <c r="G130" i="56"/>
  <c r="H130" i="56"/>
  <c r="K130" i="56"/>
  <c r="L130" i="56"/>
  <c r="I130" i="56"/>
  <c r="N130" i="56"/>
  <c r="O130" i="56"/>
  <c r="P130" i="56"/>
  <c r="Q130" i="56"/>
  <c r="S130" i="56"/>
  <c r="U130" i="56"/>
  <c r="V130" i="56"/>
  <c r="W130" i="56"/>
  <c r="X130" i="56"/>
  <c r="Y130" i="56"/>
  <c r="AA130" i="56"/>
  <c r="AB130" i="56"/>
  <c r="AC130" i="56"/>
  <c r="D131" i="56"/>
  <c r="E131" i="56"/>
  <c r="G131" i="56"/>
  <c r="H131" i="56"/>
  <c r="K131" i="56"/>
  <c r="L131" i="56"/>
  <c r="I131" i="56"/>
  <c r="N131" i="56"/>
  <c r="O131" i="56"/>
  <c r="P131" i="56"/>
  <c r="Q131" i="56"/>
  <c r="S131" i="56"/>
  <c r="U131" i="56"/>
  <c r="V131" i="56"/>
  <c r="W131" i="56"/>
  <c r="X131" i="56"/>
  <c r="Y131" i="56"/>
  <c r="AA131" i="56"/>
  <c r="AB131" i="56"/>
  <c r="AC131" i="56"/>
  <c r="D132" i="56"/>
  <c r="E132" i="56"/>
  <c r="G132" i="56"/>
  <c r="H132" i="56"/>
  <c r="K132" i="56"/>
  <c r="L132" i="56"/>
  <c r="I132" i="56"/>
  <c r="N132" i="56"/>
  <c r="O132" i="56"/>
  <c r="P132" i="56"/>
  <c r="Q132" i="56"/>
  <c r="S132" i="56"/>
  <c r="U132" i="56"/>
  <c r="V132" i="56"/>
  <c r="W132" i="56"/>
  <c r="X132" i="56"/>
  <c r="Y132" i="56"/>
  <c r="AA132" i="56"/>
  <c r="AB132" i="56"/>
  <c r="AC132" i="56"/>
  <c r="D133" i="56"/>
  <c r="E133" i="56"/>
  <c r="G133" i="56"/>
  <c r="H133" i="56"/>
  <c r="K133" i="56"/>
  <c r="L133" i="56"/>
  <c r="I133" i="56"/>
  <c r="N133" i="56"/>
  <c r="O133" i="56"/>
  <c r="P133" i="56"/>
  <c r="Q133" i="56"/>
  <c r="S133" i="56"/>
  <c r="U133" i="56"/>
  <c r="V133" i="56"/>
  <c r="W133" i="56"/>
  <c r="X133" i="56"/>
  <c r="Y133" i="56"/>
  <c r="AA133" i="56"/>
  <c r="AB133" i="56"/>
  <c r="AC133" i="56"/>
  <c r="D134" i="56"/>
  <c r="E134" i="56"/>
  <c r="G134" i="56"/>
  <c r="H134" i="56"/>
  <c r="K134" i="56"/>
  <c r="L134" i="56"/>
  <c r="I134" i="56"/>
  <c r="N134" i="56"/>
  <c r="O134" i="56"/>
  <c r="P134" i="56"/>
  <c r="Q134" i="56"/>
  <c r="S134" i="56"/>
  <c r="U134" i="56"/>
  <c r="V134" i="56"/>
  <c r="W134" i="56"/>
  <c r="X134" i="56"/>
  <c r="Y134" i="56"/>
  <c r="AA134" i="56"/>
  <c r="AB134" i="56"/>
  <c r="AC134" i="56"/>
  <c r="D135" i="56"/>
  <c r="E135" i="56"/>
  <c r="G135" i="56"/>
  <c r="H135" i="56"/>
  <c r="K135" i="56"/>
  <c r="L135" i="56"/>
  <c r="I135" i="56"/>
  <c r="N135" i="56"/>
  <c r="O135" i="56"/>
  <c r="P135" i="56"/>
  <c r="Q135" i="56"/>
  <c r="S135" i="56"/>
  <c r="U135" i="56"/>
  <c r="V135" i="56"/>
  <c r="W135" i="56"/>
  <c r="X135" i="56"/>
  <c r="Y135" i="56"/>
  <c r="AA135" i="56"/>
  <c r="AB135" i="56"/>
  <c r="AC135" i="56"/>
  <c r="D136" i="56"/>
  <c r="E136" i="56"/>
  <c r="G136" i="56"/>
  <c r="H136" i="56"/>
  <c r="K136" i="56"/>
  <c r="L136" i="56"/>
  <c r="I136" i="56"/>
  <c r="N136" i="56"/>
  <c r="O136" i="56"/>
  <c r="P136" i="56"/>
  <c r="Q136" i="56"/>
  <c r="S136" i="56"/>
  <c r="U136" i="56"/>
  <c r="V136" i="56"/>
  <c r="W136" i="56"/>
  <c r="X136" i="56"/>
  <c r="Y136" i="56"/>
  <c r="AA136" i="56"/>
  <c r="AB136" i="56"/>
  <c r="AC136" i="56"/>
  <c r="D137" i="56"/>
  <c r="E137" i="56"/>
  <c r="G137" i="56"/>
  <c r="H137" i="56"/>
  <c r="K137" i="56"/>
  <c r="L137" i="56"/>
  <c r="I137" i="56"/>
  <c r="N137" i="56"/>
  <c r="O137" i="56"/>
  <c r="P137" i="56"/>
  <c r="Q137" i="56"/>
  <c r="S137" i="56"/>
  <c r="U137" i="56"/>
  <c r="V137" i="56"/>
  <c r="W137" i="56"/>
  <c r="X137" i="56"/>
  <c r="Y137" i="56"/>
  <c r="AA137" i="56"/>
  <c r="AB137" i="56"/>
  <c r="AC137" i="56"/>
  <c r="C138" i="56"/>
  <c r="D138" i="56"/>
  <c r="E138" i="56"/>
  <c r="G138" i="56"/>
  <c r="J138" i="56"/>
  <c r="K138" i="56"/>
  <c r="N138" i="56"/>
  <c r="O138" i="56"/>
  <c r="P138" i="56"/>
  <c r="S138" i="56"/>
  <c r="U138" i="56"/>
  <c r="V138" i="56"/>
  <c r="W138" i="56"/>
  <c r="X138" i="56"/>
  <c r="A1" i="55"/>
  <c r="A2" i="55"/>
  <c r="A4" i="55"/>
  <c r="C78" i="54"/>
  <c r="K4" i="55"/>
  <c r="Q19" i="54"/>
  <c r="Q20" i="54"/>
  <c r="Q21" i="54"/>
  <c r="Q22" i="54"/>
  <c r="Q23" i="54"/>
  <c r="Q24" i="54"/>
  <c r="Q25" i="54"/>
  <c r="Q26" i="54"/>
  <c r="Q27" i="54"/>
  <c r="Q28" i="54"/>
  <c r="Q29" i="54"/>
  <c r="Q30" i="54"/>
  <c r="Q31" i="54"/>
  <c r="Q32" i="54"/>
  <c r="Q33" i="54"/>
  <c r="Q34" i="54"/>
  <c r="Q35" i="54"/>
  <c r="Q36" i="54"/>
  <c r="Q37" i="54"/>
  <c r="Q38" i="54"/>
  <c r="Q39" i="54"/>
  <c r="Q40" i="54"/>
  <c r="Q41" i="54"/>
  <c r="Q42" i="54"/>
  <c r="Q43" i="54"/>
  <c r="Q44" i="54"/>
  <c r="Q45" i="54"/>
  <c r="Q46" i="54"/>
  <c r="Q47" i="54"/>
  <c r="Q48" i="54"/>
  <c r="Q49" i="54"/>
  <c r="Q50" i="54"/>
  <c r="Q51" i="54"/>
  <c r="Q52" i="54"/>
  <c r="Q53" i="54"/>
  <c r="Q54" i="54"/>
  <c r="Q55" i="54"/>
  <c r="Q56" i="54"/>
  <c r="Q57" i="54"/>
  <c r="Q58" i="54"/>
  <c r="Q59" i="54"/>
  <c r="Q60" i="54"/>
  <c r="Q61" i="54"/>
  <c r="Q62" i="54"/>
  <c r="Q63" i="54"/>
  <c r="Q64" i="54"/>
  <c r="Q65" i="54"/>
  <c r="Q66" i="54"/>
  <c r="Q67" i="54"/>
  <c r="Q68" i="54"/>
  <c r="Q69" i="54"/>
  <c r="Q70" i="54"/>
  <c r="Q71" i="54"/>
  <c r="Q72" i="54"/>
  <c r="Q73" i="54"/>
  <c r="Q74" i="54"/>
  <c r="Q75" i="54"/>
  <c r="Q76" i="54"/>
  <c r="Q77" i="54"/>
  <c r="Q78" i="54"/>
  <c r="Q79" i="54"/>
  <c r="L4" i="55"/>
  <c r="M4" i="55"/>
  <c r="B8" i="55"/>
  <c r="C8" i="55"/>
  <c r="E8" i="55"/>
  <c r="F8" i="55"/>
  <c r="H8" i="55"/>
  <c r="I8" i="55"/>
  <c r="K8" i="55"/>
  <c r="L8" i="55"/>
  <c r="M8" i="55"/>
  <c r="O8" i="55"/>
  <c r="P8" i="55"/>
  <c r="Q8" i="55"/>
  <c r="B9" i="55"/>
  <c r="C9" i="55"/>
  <c r="E9" i="55"/>
  <c r="F9" i="55"/>
  <c r="H9" i="55"/>
  <c r="I9" i="55"/>
  <c r="K9" i="55"/>
  <c r="L9" i="55"/>
  <c r="M9" i="55"/>
  <c r="O9" i="55"/>
  <c r="P9" i="55"/>
  <c r="Q9" i="55"/>
  <c r="B10" i="55"/>
  <c r="C10" i="55"/>
  <c r="E10" i="55"/>
  <c r="F10" i="55"/>
  <c r="H10" i="55"/>
  <c r="I10" i="55"/>
  <c r="K10" i="55"/>
  <c r="L10" i="55"/>
  <c r="M10" i="55"/>
  <c r="O10" i="55"/>
  <c r="P10" i="55"/>
  <c r="Q10" i="55"/>
  <c r="B11" i="55"/>
  <c r="C11" i="55"/>
  <c r="E11" i="55"/>
  <c r="F11" i="55"/>
  <c r="H11" i="55"/>
  <c r="I11" i="55"/>
  <c r="K11" i="55"/>
  <c r="L11" i="55"/>
  <c r="M11" i="55"/>
  <c r="O11" i="55"/>
  <c r="P11" i="55"/>
  <c r="Q11" i="55"/>
  <c r="B12" i="55"/>
  <c r="C12" i="55"/>
  <c r="E12" i="55"/>
  <c r="F12" i="55"/>
  <c r="H12" i="55"/>
  <c r="I12" i="55"/>
  <c r="K12" i="55"/>
  <c r="L12" i="55"/>
  <c r="M12" i="55"/>
  <c r="O12" i="55"/>
  <c r="P12" i="55"/>
  <c r="Q12" i="55"/>
  <c r="B13" i="55"/>
  <c r="C13" i="55"/>
  <c r="E13" i="55"/>
  <c r="F13" i="55"/>
  <c r="H13" i="55"/>
  <c r="I13" i="55"/>
  <c r="K13" i="55"/>
  <c r="L13" i="55"/>
  <c r="M13" i="55"/>
  <c r="O13" i="55"/>
  <c r="P13" i="55"/>
  <c r="Q13" i="55"/>
  <c r="B14" i="55"/>
  <c r="C14" i="55"/>
  <c r="E14" i="55"/>
  <c r="F14" i="55"/>
  <c r="H14" i="55"/>
  <c r="I14" i="55"/>
  <c r="K14" i="55"/>
  <c r="L14" i="55"/>
  <c r="M14" i="55"/>
  <c r="O14" i="55"/>
  <c r="P14" i="55"/>
  <c r="Q14" i="55"/>
  <c r="B15" i="55"/>
  <c r="C15" i="55"/>
  <c r="E15" i="55"/>
  <c r="F15" i="55"/>
  <c r="H15" i="55"/>
  <c r="I15" i="55"/>
  <c r="K15" i="55"/>
  <c r="L15" i="55"/>
  <c r="M15" i="55"/>
  <c r="O15" i="55"/>
  <c r="P15" i="55"/>
  <c r="Q15" i="55"/>
  <c r="B16" i="55"/>
  <c r="C16" i="55"/>
  <c r="E16" i="55"/>
  <c r="F16" i="55"/>
  <c r="H16" i="55"/>
  <c r="I16" i="55"/>
  <c r="K16" i="55"/>
  <c r="L16" i="55"/>
  <c r="M16" i="55"/>
  <c r="O16" i="55"/>
  <c r="P16" i="55"/>
  <c r="Q16" i="55"/>
  <c r="B17" i="55"/>
  <c r="C17" i="55"/>
  <c r="E17" i="55"/>
  <c r="F17" i="55"/>
  <c r="H17" i="55"/>
  <c r="I17" i="55"/>
  <c r="K17" i="55"/>
  <c r="L17" i="55"/>
  <c r="M17" i="55"/>
  <c r="O17" i="55"/>
  <c r="P17" i="55"/>
  <c r="Q17" i="55"/>
  <c r="B18" i="55"/>
  <c r="C18" i="55"/>
  <c r="E18" i="55"/>
  <c r="F18" i="55"/>
  <c r="H18" i="55"/>
  <c r="I18" i="55"/>
  <c r="K18" i="55"/>
  <c r="L18" i="55"/>
  <c r="M18" i="55"/>
  <c r="O18" i="55"/>
  <c r="P18" i="55"/>
  <c r="Q18" i="55"/>
  <c r="B19" i="55"/>
  <c r="C19" i="55"/>
  <c r="E19" i="55"/>
  <c r="F19" i="55"/>
  <c r="H19" i="55"/>
  <c r="I19" i="55"/>
  <c r="K19" i="55"/>
  <c r="L19" i="55"/>
  <c r="M19" i="55"/>
  <c r="O19" i="55"/>
  <c r="P19" i="55"/>
  <c r="Q19" i="55"/>
  <c r="B20" i="55"/>
  <c r="C20" i="55"/>
  <c r="E20" i="55"/>
  <c r="F20" i="55"/>
  <c r="H20" i="55"/>
  <c r="I20" i="55"/>
  <c r="K20" i="55"/>
  <c r="L20" i="55"/>
  <c r="M20" i="55"/>
  <c r="O20" i="55"/>
  <c r="P20" i="55"/>
  <c r="Q20" i="55"/>
  <c r="B21" i="55"/>
  <c r="C21" i="55"/>
  <c r="E21" i="55"/>
  <c r="F21" i="55"/>
  <c r="H21" i="55"/>
  <c r="I21" i="55"/>
  <c r="K21" i="55"/>
  <c r="L21" i="55"/>
  <c r="M21" i="55"/>
  <c r="O21" i="55"/>
  <c r="P21" i="55"/>
  <c r="Q21" i="55"/>
  <c r="B22" i="55"/>
  <c r="C22" i="55"/>
  <c r="E22" i="55"/>
  <c r="F22" i="55"/>
  <c r="H22" i="55"/>
  <c r="I22" i="55"/>
  <c r="K22" i="55"/>
  <c r="L22" i="55"/>
  <c r="M22" i="55"/>
  <c r="O22" i="55"/>
  <c r="P22" i="55"/>
  <c r="Q22" i="55"/>
  <c r="B23" i="55"/>
  <c r="C23" i="55"/>
  <c r="E23" i="55"/>
  <c r="F23" i="55"/>
  <c r="H23" i="55"/>
  <c r="I23" i="55"/>
  <c r="K23" i="55"/>
  <c r="L23" i="55"/>
  <c r="M23" i="55"/>
  <c r="O23" i="55"/>
  <c r="P23" i="55"/>
  <c r="Q23" i="55"/>
  <c r="B24" i="55"/>
  <c r="C24" i="55"/>
  <c r="E24" i="55"/>
  <c r="F24" i="55"/>
  <c r="H24" i="55"/>
  <c r="I24" i="55"/>
  <c r="K24" i="55"/>
  <c r="L24" i="55"/>
  <c r="M24" i="55"/>
  <c r="O24" i="55"/>
  <c r="P24" i="55"/>
  <c r="Q24" i="55"/>
  <c r="B25" i="55"/>
  <c r="C25" i="55"/>
  <c r="E25" i="55"/>
  <c r="F25" i="55"/>
  <c r="H25" i="55"/>
  <c r="I25" i="55"/>
  <c r="K25" i="55"/>
  <c r="L25" i="55"/>
  <c r="M25" i="55"/>
  <c r="O25" i="55"/>
  <c r="P25" i="55"/>
  <c r="Q25" i="55"/>
  <c r="B26" i="55"/>
  <c r="C26" i="55"/>
  <c r="E26" i="55"/>
  <c r="F26" i="55"/>
  <c r="H26" i="55"/>
  <c r="I26" i="55"/>
  <c r="K26" i="55"/>
  <c r="L26" i="55"/>
  <c r="M26" i="55"/>
  <c r="O26" i="55"/>
  <c r="P26" i="55"/>
  <c r="Q26" i="55"/>
  <c r="B27" i="55"/>
  <c r="C27" i="55"/>
  <c r="E27" i="55"/>
  <c r="F27" i="55"/>
  <c r="H27" i="55"/>
  <c r="I27" i="55"/>
  <c r="K27" i="55"/>
  <c r="L27" i="55"/>
  <c r="M27" i="55"/>
  <c r="O27" i="55"/>
  <c r="P27" i="55"/>
  <c r="Q27" i="55"/>
  <c r="B28" i="55"/>
  <c r="C28" i="55"/>
  <c r="E28" i="55"/>
  <c r="F28" i="55"/>
  <c r="H28" i="55"/>
  <c r="I28" i="55"/>
  <c r="K28" i="55"/>
  <c r="L28" i="55"/>
  <c r="M28" i="55"/>
  <c r="O28" i="55"/>
  <c r="P28" i="55"/>
  <c r="Q28" i="55"/>
  <c r="B29" i="55"/>
  <c r="C29" i="55"/>
  <c r="E29" i="55"/>
  <c r="F29" i="55"/>
  <c r="H29" i="55"/>
  <c r="I29" i="55"/>
  <c r="K29" i="55"/>
  <c r="L29" i="55"/>
  <c r="M29" i="55"/>
  <c r="O29" i="55"/>
  <c r="P29" i="55"/>
  <c r="Q29" i="55"/>
  <c r="B30" i="55"/>
  <c r="C30" i="55"/>
  <c r="E30" i="55"/>
  <c r="F30" i="55"/>
  <c r="H30" i="55"/>
  <c r="I30" i="55"/>
  <c r="K30" i="55"/>
  <c r="L30" i="55"/>
  <c r="M30" i="55"/>
  <c r="O30" i="55"/>
  <c r="P30" i="55"/>
  <c r="Q30" i="55"/>
  <c r="B31" i="55"/>
  <c r="C31" i="55"/>
  <c r="E31" i="55"/>
  <c r="F31" i="55"/>
  <c r="H31" i="55"/>
  <c r="I31" i="55"/>
  <c r="K31" i="55"/>
  <c r="L31" i="55"/>
  <c r="M31" i="55"/>
  <c r="O31" i="55"/>
  <c r="P31" i="55"/>
  <c r="Q31" i="55"/>
  <c r="B32" i="55"/>
  <c r="C32" i="55"/>
  <c r="E32" i="55"/>
  <c r="F32" i="55"/>
  <c r="H32" i="55"/>
  <c r="I32" i="55"/>
  <c r="K32" i="55"/>
  <c r="L32" i="55"/>
  <c r="M32" i="55"/>
  <c r="O32" i="55"/>
  <c r="P32" i="55"/>
  <c r="Q32" i="55"/>
  <c r="B33" i="55"/>
  <c r="C33" i="55"/>
  <c r="E33" i="55"/>
  <c r="F33" i="55"/>
  <c r="H33" i="55"/>
  <c r="I33" i="55"/>
  <c r="K33" i="55"/>
  <c r="L33" i="55"/>
  <c r="M33" i="55"/>
  <c r="O33" i="55"/>
  <c r="P33" i="55"/>
  <c r="Q33" i="55"/>
  <c r="B34" i="55"/>
  <c r="C34" i="55"/>
  <c r="E34" i="55"/>
  <c r="F34" i="55"/>
  <c r="H34" i="55"/>
  <c r="I34" i="55"/>
  <c r="K34" i="55"/>
  <c r="L34" i="55"/>
  <c r="M34" i="55"/>
  <c r="O34" i="55"/>
  <c r="P34" i="55"/>
  <c r="Q34" i="55"/>
  <c r="B35" i="55"/>
  <c r="C35" i="55"/>
  <c r="E35" i="55"/>
  <c r="F35" i="55"/>
  <c r="H35" i="55"/>
  <c r="I35" i="55"/>
  <c r="K35" i="55"/>
  <c r="L35" i="55"/>
  <c r="M35" i="55"/>
  <c r="O35" i="55"/>
  <c r="P35" i="55"/>
  <c r="Q35" i="55"/>
  <c r="B36" i="55"/>
  <c r="C36" i="55"/>
  <c r="E36" i="55"/>
  <c r="F36" i="55"/>
  <c r="H36" i="55"/>
  <c r="I36" i="55"/>
  <c r="K36" i="55"/>
  <c r="L36" i="55"/>
  <c r="M36" i="55"/>
  <c r="O36" i="55"/>
  <c r="P36" i="55"/>
  <c r="Q36" i="55"/>
  <c r="B37" i="55"/>
  <c r="C37" i="55"/>
  <c r="E37" i="55"/>
  <c r="F37" i="55"/>
  <c r="H37" i="55"/>
  <c r="I37" i="55"/>
  <c r="K37" i="55"/>
  <c r="L37" i="55"/>
  <c r="M37" i="55"/>
  <c r="O37" i="55"/>
  <c r="P37" i="55"/>
  <c r="Q37" i="55"/>
  <c r="B38" i="55"/>
  <c r="C38" i="55"/>
  <c r="E38" i="55"/>
  <c r="F38" i="55"/>
  <c r="H38" i="55"/>
  <c r="I38" i="55"/>
  <c r="K38" i="55"/>
  <c r="L38" i="55"/>
  <c r="M38" i="55"/>
  <c r="O38" i="55"/>
  <c r="P38" i="55"/>
  <c r="Q38" i="55"/>
  <c r="B39" i="55"/>
  <c r="C39" i="55"/>
  <c r="E39" i="55"/>
  <c r="F39" i="55"/>
  <c r="H39" i="55"/>
  <c r="I39" i="55"/>
  <c r="K39" i="55"/>
  <c r="L39" i="55"/>
  <c r="M39" i="55"/>
  <c r="O39" i="55"/>
  <c r="P39" i="55"/>
  <c r="Q39" i="55"/>
  <c r="B40" i="55"/>
  <c r="C40" i="55"/>
  <c r="E40" i="55"/>
  <c r="F40" i="55"/>
  <c r="H40" i="55"/>
  <c r="I40" i="55"/>
  <c r="K40" i="55"/>
  <c r="L40" i="55"/>
  <c r="M40" i="55"/>
  <c r="O40" i="55"/>
  <c r="P40" i="55"/>
  <c r="Q40" i="55"/>
  <c r="B41" i="55"/>
  <c r="C41" i="55"/>
  <c r="E41" i="55"/>
  <c r="F41" i="55"/>
  <c r="H41" i="55"/>
  <c r="I41" i="55"/>
  <c r="K41" i="55"/>
  <c r="L41" i="55"/>
  <c r="M41" i="55"/>
  <c r="O41" i="55"/>
  <c r="P41" i="55"/>
  <c r="Q41" i="55"/>
  <c r="B42" i="55"/>
  <c r="C42" i="55"/>
  <c r="E42" i="55"/>
  <c r="F42" i="55"/>
  <c r="H42" i="55"/>
  <c r="I42" i="55"/>
  <c r="K42" i="55"/>
  <c r="L42" i="55"/>
  <c r="M42" i="55"/>
  <c r="O42" i="55"/>
  <c r="P42" i="55"/>
  <c r="Q42" i="55"/>
  <c r="B43" i="55"/>
  <c r="C43" i="55"/>
  <c r="E43" i="55"/>
  <c r="F43" i="55"/>
  <c r="H43" i="55"/>
  <c r="I43" i="55"/>
  <c r="K43" i="55"/>
  <c r="L43" i="55"/>
  <c r="M43" i="55"/>
  <c r="O43" i="55"/>
  <c r="P43" i="55"/>
  <c r="Q43" i="55"/>
  <c r="B44" i="55"/>
  <c r="C44" i="55"/>
  <c r="E44" i="55"/>
  <c r="F44" i="55"/>
  <c r="H44" i="55"/>
  <c r="I44" i="55"/>
  <c r="K44" i="55"/>
  <c r="L44" i="55"/>
  <c r="M44" i="55"/>
  <c r="O44" i="55"/>
  <c r="P44" i="55"/>
  <c r="Q44" i="55"/>
  <c r="B45" i="55"/>
  <c r="C45" i="55"/>
  <c r="E45" i="55"/>
  <c r="F45" i="55"/>
  <c r="H45" i="55"/>
  <c r="I45" i="55"/>
  <c r="K45" i="55"/>
  <c r="L45" i="55"/>
  <c r="M45" i="55"/>
  <c r="O45" i="55"/>
  <c r="P45" i="55"/>
  <c r="Q45" i="55"/>
  <c r="B46" i="55"/>
  <c r="C46" i="55"/>
  <c r="E46" i="55"/>
  <c r="F46" i="55"/>
  <c r="H46" i="55"/>
  <c r="I46" i="55"/>
  <c r="K46" i="55"/>
  <c r="L46" i="55"/>
  <c r="M46" i="55"/>
  <c r="O46" i="55"/>
  <c r="P46" i="55"/>
  <c r="Q46" i="55"/>
  <c r="B47" i="55"/>
  <c r="C47" i="55"/>
  <c r="E47" i="55"/>
  <c r="F47" i="55"/>
  <c r="H47" i="55"/>
  <c r="I47" i="55"/>
  <c r="K47" i="55"/>
  <c r="L47" i="55"/>
  <c r="M47" i="55"/>
  <c r="O47" i="55"/>
  <c r="P47" i="55"/>
  <c r="Q47" i="55"/>
  <c r="B48" i="55"/>
  <c r="C48" i="55"/>
  <c r="E48" i="55"/>
  <c r="F48" i="55"/>
  <c r="H48" i="55"/>
  <c r="I48" i="55"/>
  <c r="K48" i="55"/>
  <c r="L48" i="55"/>
  <c r="M48" i="55"/>
  <c r="O48" i="55"/>
  <c r="P48" i="55"/>
  <c r="Q48" i="55"/>
  <c r="B49" i="55"/>
  <c r="C49" i="55"/>
  <c r="E49" i="55"/>
  <c r="F49" i="55"/>
  <c r="H49" i="55"/>
  <c r="I49" i="55"/>
  <c r="K49" i="55"/>
  <c r="L49" i="55"/>
  <c r="M49" i="55"/>
  <c r="O49" i="55"/>
  <c r="P49" i="55"/>
  <c r="Q49" i="55"/>
  <c r="B50" i="55"/>
  <c r="C50" i="55"/>
  <c r="E50" i="55"/>
  <c r="F50" i="55"/>
  <c r="H50" i="55"/>
  <c r="I50" i="55"/>
  <c r="K50" i="55"/>
  <c r="L50" i="55"/>
  <c r="M50" i="55"/>
  <c r="O50" i="55"/>
  <c r="P50" i="55"/>
  <c r="Q50" i="55"/>
  <c r="B51" i="55"/>
  <c r="C51" i="55"/>
  <c r="E51" i="55"/>
  <c r="F51" i="55"/>
  <c r="H51" i="55"/>
  <c r="I51" i="55"/>
  <c r="K51" i="55"/>
  <c r="L51" i="55"/>
  <c r="M51" i="55"/>
  <c r="O51" i="55"/>
  <c r="P51" i="55"/>
  <c r="Q51" i="55"/>
  <c r="B52" i="55"/>
  <c r="C52" i="55"/>
  <c r="E52" i="55"/>
  <c r="F52" i="55"/>
  <c r="H52" i="55"/>
  <c r="I52" i="55"/>
  <c r="K52" i="55"/>
  <c r="L52" i="55"/>
  <c r="M52" i="55"/>
  <c r="O52" i="55"/>
  <c r="P52" i="55"/>
  <c r="Q52" i="55"/>
  <c r="B53" i="55"/>
  <c r="C53" i="55"/>
  <c r="E53" i="55"/>
  <c r="F53" i="55"/>
  <c r="H53" i="55"/>
  <c r="I53" i="55"/>
  <c r="K53" i="55"/>
  <c r="L53" i="55"/>
  <c r="M53" i="55"/>
  <c r="O53" i="55"/>
  <c r="P53" i="55"/>
  <c r="Q53" i="55"/>
  <c r="B54" i="55"/>
  <c r="C54" i="55"/>
  <c r="E54" i="55"/>
  <c r="F54" i="55"/>
  <c r="H54" i="55"/>
  <c r="I54" i="55"/>
  <c r="K54" i="55"/>
  <c r="L54" i="55"/>
  <c r="M54" i="55"/>
  <c r="O54" i="55"/>
  <c r="P54" i="55"/>
  <c r="Q54" i="55"/>
  <c r="B55" i="55"/>
  <c r="C55" i="55"/>
  <c r="E55" i="55"/>
  <c r="F55" i="55"/>
  <c r="H55" i="55"/>
  <c r="I55" i="55"/>
  <c r="K55" i="55"/>
  <c r="L55" i="55"/>
  <c r="M55" i="55"/>
  <c r="O55" i="55"/>
  <c r="P55" i="55"/>
  <c r="Q55" i="55"/>
  <c r="B56" i="55"/>
  <c r="C56" i="55"/>
  <c r="E56" i="55"/>
  <c r="F56" i="55"/>
  <c r="H56" i="55"/>
  <c r="I56" i="55"/>
  <c r="K56" i="55"/>
  <c r="L56" i="55"/>
  <c r="M56" i="55"/>
  <c r="O56" i="55"/>
  <c r="P56" i="55"/>
  <c r="Q56" i="55"/>
  <c r="B57" i="55"/>
  <c r="C57" i="55"/>
  <c r="E57" i="55"/>
  <c r="F57" i="55"/>
  <c r="H57" i="55"/>
  <c r="I57" i="55"/>
  <c r="K57" i="55"/>
  <c r="L57" i="55"/>
  <c r="M57" i="55"/>
  <c r="O57" i="55"/>
  <c r="P57" i="55"/>
  <c r="Q57" i="55"/>
  <c r="B58" i="55"/>
  <c r="C58" i="55"/>
  <c r="E58" i="55"/>
  <c r="F58" i="55"/>
  <c r="H58" i="55"/>
  <c r="I58" i="55"/>
  <c r="K58" i="55"/>
  <c r="L58" i="55"/>
  <c r="M58" i="55"/>
  <c r="O58" i="55"/>
  <c r="P58" i="55"/>
  <c r="Q58" i="55"/>
  <c r="B59" i="55"/>
  <c r="C59" i="55"/>
  <c r="E59" i="55"/>
  <c r="F59" i="55"/>
  <c r="H59" i="55"/>
  <c r="I59" i="55"/>
  <c r="K59" i="55"/>
  <c r="L59" i="55"/>
  <c r="M59" i="55"/>
  <c r="O59" i="55"/>
  <c r="P59" i="55"/>
  <c r="Q59" i="55"/>
  <c r="B60" i="55"/>
  <c r="C60" i="55"/>
  <c r="E60" i="55"/>
  <c r="F60" i="55"/>
  <c r="H60" i="55"/>
  <c r="I60" i="55"/>
  <c r="K60" i="55"/>
  <c r="L60" i="55"/>
  <c r="M60" i="55"/>
  <c r="O60" i="55"/>
  <c r="P60" i="55"/>
  <c r="Q60" i="55"/>
  <c r="B61" i="55"/>
  <c r="C61" i="55"/>
  <c r="E61" i="55"/>
  <c r="F61" i="55"/>
  <c r="H61" i="55"/>
  <c r="I61" i="55"/>
  <c r="K61" i="55"/>
  <c r="L61" i="55"/>
  <c r="M61" i="55"/>
  <c r="O61" i="55"/>
  <c r="P61" i="55"/>
  <c r="Q61" i="55"/>
  <c r="B62" i="55"/>
  <c r="C62" i="55"/>
  <c r="E62" i="55"/>
  <c r="F62" i="55"/>
  <c r="H62" i="55"/>
  <c r="I62" i="55"/>
  <c r="K62" i="55"/>
  <c r="L62" i="55"/>
  <c r="M62" i="55"/>
  <c r="O62" i="55"/>
  <c r="P62" i="55"/>
  <c r="Q62" i="55"/>
  <c r="B63" i="55"/>
  <c r="C63" i="55"/>
  <c r="E63" i="55"/>
  <c r="F63" i="55"/>
  <c r="H63" i="55"/>
  <c r="I63" i="55"/>
  <c r="K63" i="55"/>
  <c r="L63" i="55"/>
  <c r="M63" i="55"/>
  <c r="O63" i="55"/>
  <c r="P63" i="55"/>
  <c r="Q63" i="55"/>
  <c r="B64" i="55"/>
  <c r="C64" i="55"/>
  <c r="E64" i="55"/>
  <c r="F64" i="55"/>
  <c r="H64" i="55"/>
  <c r="I64" i="55"/>
  <c r="K64" i="55"/>
  <c r="L64" i="55"/>
  <c r="M64" i="55"/>
  <c r="O64" i="55"/>
  <c r="P64" i="55"/>
  <c r="Q64" i="55"/>
  <c r="B65" i="55"/>
  <c r="C65" i="55"/>
  <c r="E65" i="55"/>
  <c r="F65" i="55"/>
  <c r="H65" i="55"/>
  <c r="I65" i="55"/>
  <c r="K65" i="55"/>
  <c r="L65" i="55"/>
  <c r="M65" i="55"/>
  <c r="O65" i="55"/>
  <c r="P65" i="55"/>
  <c r="Q65" i="55"/>
  <c r="B66" i="55"/>
  <c r="C66" i="55"/>
  <c r="E66" i="55"/>
  <c r="F66" i="55"/>
  <c r="H66" i="55"/>
  <c r="I66" i="55"/>
  <c r="K66" i="55"/>
  <c r="L66" i="55"/>
  <c r="M66" i="55"/>
  <c r="O66" i="55"/>
  <c r="P66" i="55"/>
  <c r="Q66" i="55"/>
  <c r="B67" i="55"/>
  <c r="C67" i="55"/>
  <c r="E67" i="55"/>
  <c r="F67" i="55"/>
  <c r="H67" i="55"/>
  <c r="I67" i="55"/>
  <c r="K67" i="55"/>
  <c r="L67" i="55"/>
  <c r="M67" i="55"/>
  <c r="O67" i="55"/>
  <c r="P67" i="55"/>
  <c r="Q67" i="55"/>
  <c r="B68" i="55"/>
  <c r="C68" i="55"/>
  <c r="E68" i="55"/>
  <c r="F68" i="55"/>
  <c r="H68" i="55"/>
  <c r="I68" i="55"/>
  <c r="K68" i="55"/>
  <c r="L68" i="55"/>
  <c r="M68" i="55"/>
  <c r="O68" i="55"/>
  <c r="P68" i="55"/>
  <c r="Q68" i="55"/>
  <c r="A1" i="54"/>
  <c r="A2" i="54"/>
  <c r="A4" i="54"/>
  <c r="M12" i="54"/>
  <c r="G13" i="54"/>
  <c r="M13" i="54"/>
  <c r="G14" i="54"/>
  <c r="M14" i="54"/>
  <c r="W15" i="54"/>
  <c r="W16" i="54"/>
  <c r="J54" i="54"/>
  <c r="U54" i="54"/>
  <c r="J55" i="54"/>
  <c r="U55" i="54"/>
  <c r="J56" i="54"/>
  <c r="J57" i="54"/>
  <c r="J58" i="54"/>
  <c r="J59" i="54"/>
  <c r="J60" i="54"/>
  <c r="J61" i="54"/>
  <c r="J62" i="54"/>
  <c r="J63" i="54"/>
  <c r="J64" i="54"/>
  <c r="J65" i="54"/>
  <c r="J66" i="54"/>
  <c r="J67" i="54"/>
  <c r="J68" i="54"/>
  <c r="J69" i="54"/>
  <c r="J70" i="54"/>
  <c r="J71" i="54"/>
  <c r="J72" i="54"/>
  <c r="J73" i="54"/>
  <c r="J74" i="54"/>
  <c r="J75" i="54"/>
  <c r="J76" i="54"/>
  <c r="J77" i="54"/>
  <c r="J78" i="54"/>
  <c r="A1" i="53"/>
  <c r="A2" i="53"/>
  <c r="A4" i="53"/>
  <c r="Q7" i="53"/>
  <c r="Q8" i="53"/>
  <c r="Q10" i="53"/>
  <c r="Q13" i="53"/>
  <c r="Q14" i="53"/>
  <c r="Q15" i="53"/>
  <c r="Q16" i="53"/>
  <c r="Q17" i="53"/>
  <c r="Q18" i="53"/>
  <c r="Q19" i="53"/>
  <c r="Q20" i="53"/>
  <c r="Q21" i="53"/>
  <c r="Q22" i="53"/>
  <c r="Q23" i="53"/>
  <c r="Q25" i="53"/>
  <c r="Q27" i="53"/>
  <c r="Q29" i="53"/>
  <c r="Q31" i="53"/>
  <c r="Q33" i="53"/>
  <c r="Q35" i="53"/>
  <c r="Q37" i="53"/>
  <c r="Q39" i="53"/>
  <c r="Q41" i="53"/>
  <c r="Q43" i="53"/>
  <c r="Q44" i="53"/>
  <c r="Q45" i="53"/>
  <c r="Q46" i="53"/>
  <c r="Q48" i="53"/>
  <c r="D50" i="53"/>
  <c r="E50" i="53"/>
  <c r="F50" i="53"/>
  <c r="G50" i="53"/>
  <c r="H50" i="53"/>
  <c r="I50" i="53"/>
  <c r="J50" i="53"/>
  <c r="K50" i="53"/>
  <c r="L50" i="53"/>
  <c r="M50" i="53"/>
  <c r="N50" i="53"/>
  <c r="O50" i="53"/>
  <c r="Q50" i="53"/>
  <c r="D52" i="53"/>
  <c r="E52" i="53"/>
  <c r="F52" i="53"/>
  <c r="G52" i="53"/>
  <c r="H52" i="53"/>
  <c r="I52" i="53"/>
  <c r="J52" i="53"/>
  <c r="K52" i="53"/>
  <c r="L52" i="53"/>
  <c r="M52" i="53"/>
  <c r="N52" i="53"/>
  <c r="O52" i="53"/>
  <c r="Q52" i="53"/>
  <c r="Q55" i="53"/>
  <c r="Q58" i="53"/>
  <c r="Q59" i="53"/>
  <c r="Q60" i="53"/>
  <c r="Q61" i="53"/>
  <c r="Q62" i="53"/>
  <c r="Q63" i="53"/>
  <c r="Q67" i="53"/>
  <c r="Q68" i="53"/>
  <c r="Q69" i="53"/>
  <c r="D8" i="52"/>
  <c r="D9" i="52"/>
  <c r="A12" i="52"/>
  <c r="D12" i="52"/>
  <c r="A13" i="52"/>
  <c r="D13" i="52"/>
  <c r="A14" i="52"/>
  <c r="D14" i="52"/>
  <c r="A15" i="52"/>
  <c r="D15" i="52"/>
  <c r="A18" i="52"/>
  <c r="A19" i="52"/>
  <c r="D19" i="52"/>
  <c r="A20" i="52"/>
  <c r="D20" i="52"/>
  <c r="A21" i="52"/>
  <c r="D21" i="52"/>
  <c r="A22" i="52"/>
  <c r="D22" i="52"/>
  <c r="A23" i="52"/>
  <c r="D23" i="52"/>
  <c r="A24" i="52"/>
  <c r="D24" i="52"/>
  <c r="A25" i="52"/>
  <c r="D25" i="52"/>
  <c r="A26" i="52"/>
  <c r="D26" i="52"/>
  <c r="A27" i="52"/>
  <c r="D27" i="52"/>
  <c r="A28" i="52"/>
  <c r="D28" i="52"/>
  <c r="A29" i="52"/>
  <c r="A30" i="52"/>
  <c r="D30" i="52"/>
  <c r="D32" i="52"/>
  <c r="B31" i="36"/>
  <c r="G12" i="51"/>
  <c r="G13" i="51"/>
  <c r="G14" i="51"/>
  <c r="H12" i="51"/>
  <c r="I12" i="51"/>
  <c r="H13" i="51"/>
  <c r="I13" i="51"/>
  <c r="G15" i="51"/>
  <c r="H15" i="51"/>
  <c r="I15" i="51"/>
  <c r="B7" i="50"/>
  <c r="B8" i="50"/>
  <c r="B10" i="50"/>
  <c r="B11" i="50"/>
  <c r="B10" i="49"/>
  <c r="M39" i="48"/>
  <c r="B7" i="48"/>
  <c r="C39" i="48"/>
  <c r="C7" i="48"/>
  <c r="D7" i="48"/>
  <c r="M58" i="48"/>
  <c r="B8" i="48"/>
  <c r="C58" i="48"/>
  <c r="C8" i="48"/>
  <c r="D8" i="48"/>
  <c r="M76" i="48"/>
  <c r="B9" i="48"/>
  <c r="C76" i="48"/>
  <c r="C9" i="48"/>
  <c r="D9" i="48"/>
  <c r="C42" i="47"/>
  <c r="E42" i="47"/>
  <c r="G42" i="47"/>
  <c r="I42" i="47"/>
  <c r="K42" i="47"/>
  <c r="M42" i="47"/>
  <c r="O42" i="47"/>
  <c r="Q42" i="47"/>
  <c r="S42" i="47"/>
  <c r="U42" i="47"/>
  <c r="W42" i="47"/>
  <c r="Y42" i="47"/>
  <c r="Y45" i="47"/>
  <c r="Y47" i="47"/>
  <c r="C11" i="46"/>
  <c r="C13" i="46"/>
  <c r="C15" i="46"/>
  <c r="C17" i="46"/>
  <c r="C19" i="46"/>
  <c r="E22" i="44"/>
  <c r="E23" i="43"/>
  <c r="F23" i="43"/>
  <c r="G23" i="43"/>
  <c r="E14" i="42"/>
  <c r="E33" i="42"/>
  <c r="E21" i="41"/>
  <c r="D27" i="40"/>
  <c r="D45" i="40"/>
  <c r="D63" i="40"/>
  <c r="C6" i="40"/>
  <c r="C7" i="40"/>
  <c r="H27" i="40"/>
  <c r="L15" i="40"/>
  <c r="L27" i="40"/>
  <c r="C8" i="40"/>
  <c r="C9" i="40"/>
  <c r="B27" i="40"/>
  <c r="C27" i="40"/>
  <c r="F27" i="40"/>
  <c r="G27" i="40"/>
  <c r="J27" i="40"/>
  <c r="K27" i="40"/>
  <c r="B45" i="40"/>
  <c r="C45" i="40"/>
  <c r="B63" i="40"/>
  <c r="C63" i="40"/>
  <c r="D27" i="39"/>
  <c r="C7" i="39"/>
  <c r="D45" i="39"/>
  <c r="D63" i="39"/>
  <c r="C9" i="39"/>
  <c r="B27" i="39"/>
  <c r="C27" i="39"/>
  <c r="F27" i="39"/>
  <c r="G27" i="39"/>
  <c r="H27" i="39"/>
  <c r="B45" i="39"/>
  <c r="C45" i="39"/>
  <c r="B63" i="39"/>
  <c r="C63" i="39"/>
  <c r="D65" i="39"/>
  <c r="D66" i="39"/>
  <c r="E169" i="38"/>
  <c r="G169" i="38"/>
  <c r="I169" i="38"/>
  <c r="K169" i="38"/>
  <c r="M169" i="38"/>
  <c r="O169" i="38"/>
  <c r="Q169" i="38"/>
  <c r="S169" i="38"/>
  <c r="W169" i="38"/>
  <c r="X169" i="38"/>
  <c r="Y169" i="38"/>
  <c r="Z169" i="38"/>
  <c r="AA169" i="38"/>
  <c r="AB169" i="38"/>
  <c r="AC169" i="38"/>
  <c r="W171" i="38"/>
  <c r="C21" i="37"/>
  <c r="D21" i="37"/>
  <c r="D9" i="35"/>
  <c r="D10" i="35"/>
  <c r="D11" i="35"/>
  <c r="D12" i="35"/>
  <c r="D13" i="35"/>
  <c r="D14" i="35"/>
  <c r="D15" i="35"/>
  <c r="D16" i="35"/>
  <c r="D17" i="35"/>
  <c r="C10" i="33"/>
  <c r="C29" i="33"/>
  <c r="D29" i="33"/>
  <c r="C17" i="33"/>
  <c r="B18" i="33"/>
  <c r="C30" i="33"/>
  <c r="D30" i="33"/>
  <c r="C24" i="33"/>
  <c r="B25" i="33"/>
  <c r="C25" i="33"/>
  <c r="C31" i="33"/>
  <c r="C20" i="32"/>
  <c r="D20" i="32"/>
  <c r="E20" i="32"/>
  <c r="F20" i="32"/>
  <c r="G20" i="32"/>
  <c r="H20" i="32"/>
  <c r="I20" i="32"/>
  <c r="J20" i="32"/>
  <c r="K20" i="32"/>
  <c r="L20" i="32"/>
  <c r="M20" i="32"/>
  <c r="N20" i="32"/>
  <c r="O20" i="32"/>
  <c r="O22" i="32"/>
  <c r="O24" i="32"/>
  <c r="C15" i="31"/>
  <c r="D15" i="31"/>
  <c r="E15" i="31"/>
  <c r="F15" i="31"/>
  <c r="G15" i="31"/>
  <c r="H15" i="31"/>
  <c r="I15" i="31"/>
  <c r="J15" i="31"/>
  <c r="K15" i="31"/>
  <c r="L15" i="31"/>
  <c r="M15" i="31"/>
  <c r="N15" i="31"/>
  <c r="O15" i="31"/>
  <c r="O17" i="31"/>
  <c r="O19" i="31"/>
  <c r="C10" i="30"/>
  <c r="D10" i="30"/>
  <c r="C29" i="29"/>
  <c r="C20" i="28"/>
  <c r="C22" i="28"/>
  <c r="C24" i="28"/>
  <c r="C26" i="28"/>
  <c r="C9" i="27"/>
  <c r="L71" i="26"/>
  <c r="L72" i="26"/>
  <c r="L73" i="26"/>
  <c r="L74" i="26"/>
  <c r="L75" i="26"/>
  <c r="L76" i="26"/>
  <c r="L77" i="26"/>
  <c r="L78" i="26"/>
  <c r="L79" i="26"/>
  <c r="L81" i="26"/>
  <c r="L82" i="26"/>
  <c r="L83" i="26"/>
  <c r="L84" i="26"/>
  <c r="L69" i="25"/>
  <c r="L70" i="25"/>
  <c r="L71" i="25"/>
  <c r="L72" i="25"/>
  <c r="L73" i="25"/>
  <c r="L74" i="25"/>
  <c r="L75" i="25"/>
  <c r="L76" i="25"/>
  <c r="L77" i="25"/>
  <c r="L79" i="25"/>
  <c r="L80" i="25"/>
  <c r="L81" i="25"/>
  <c r="L82" i="25"/>
  <c r="L70" i="24"/>
  <c r="L71" i="24"/>
  <c r="L72" i="24"/>
  <c r="L73" i="24"/>
  <c r="L74" i="24"/>
  <c r="L75" i="24"/>
  <c r="L76" i="24"/>
  <c r="L77" i="24"/>
  <c r="L78" i="24"/>
  <c r="L80" i="24"/>
  <c r="L81" i="24"/>
  <c r="L82" i="24"/>
  <c r="L83" i="24"/>
  <c r="L92" i="24"/>
  <c r="H9" i="23"/>
  <c r="H11" i="23"/>
  <c r="H13" i="23"/>
  <c r="F15" i="23"/>
  <c r="G15" i="23"/>
  <c r="H15" i="23"/>
  <c r="C17" i="22"/>
  <c r="D17" i="22"/>
  <c r="E17" i="22"/>
  <c r="F17" i="22"/>
  <c r="F20" i="22"/>
  <c r="F21" i="22"/>
  <c r="F22" i="22"/>
  <c r="D8" i="21"/>
  <c r="H8" i="21"/>
  <c r="D9" i="21"/>
  <c r="H9" i="21"/>
  <c r="D10" i="21"/>
  <c r="H10" i="21"/>
  <c r="B11" i="21"/>
  <c r="C11" i="21"/>
  <c r="D11" i="21"/>
  <c r="F11" i="21"/>
  <c r="G11" i="21"/>
  <c r="H11" i="21"/>
  <c r="B18" i="21"/>
  <c r="C18" i="21"/>
  <c r="D18" i="21"/>
  <c r="B19" i="21"/>
  <c r="C19" i="21"/>
  <c r="D19" i="21"/>
  <c r="B20" i="21"/>
  <c r="C20" i="21"/>
  <c r="D20" i="21"/>
  <c r="B21" i="21"/>
  <c r="C21" i="21"/>
  <c r="D21" i="21"/>
  <c r="N13" i="20"/>
  <c r="N14" i="20"/>
  <c r="N15" i="20"/>
  <c r="N16" i="20"/>
  <c r="N17" i="20"/>
  <c r="N18" i="20"/>
  <c r="N19" i="20"/>
  <c r="N20" i="20"/>
  <c r="N21" i="20"/>
  <c r="N22" i="20"/>
  <c r="N23" i="20"/>
  <c r="N24" i="20"/>
  <c r="N25" i="20"/>
  <c r="N26" i="20"/>
  <c r="N27" i="20"/>
  <c r="N28" i="20"/>
  <c r="N29" i="20"/>
  <c r="N30" i="20"/>
  <c r="N31" i="20"/>
  <c r="N32" i="20"/>
  <c r="N33" i="20"/>
  <c r="N34" i="20"/>
  <c r="N35" i="20"/>
  <c r="N36" i="20"/>
  <c r="N37" i="20"/>
  <c r="N38" i="20"/>
  <c r="N39" i="20"/>
  <c r="N40" i="20"/>
  <c r="N41" i="20"/>
  <c r="N42" i="20"/>
  <c r="N43" i="20"/>
  <c r="N44" i="20"/>
  <c r="N45" i="20"/>
  <c r="N46" i="20"/>
  <c r="N47" i="20"/>
  <c r="N48" i="20"/>
  <c r="N49" i="20"/>
  <c r="N50" i="20"/>
  <c r="N51" i="20"/>
  <c r="N52" i="20"/>
  <c r="N53" i="20"/>
  <c r="N54" i="20"/>
  <c r="N55" i="20"/>
  <c r="N56" i="20"/>
  <c r="N57" i="20"/>
  <c r="N58" i="20"/>
  <c r="N59" i="20"/>
  <c r="N60" i="20"/>
  <c r="N61" i="20"/>
  <c r="N62" i="20"/>
  <c r="N63" i="20"/>
  <c r="N64" i="20"/>
  <c r="N65" i="20"/>
  <c r="N66" i="20"/>
  <c r="N67" i="20"/>
  <c r="N68" i="20"/>
  <c r="N69" i="20"/>
  <c r="B71" i="20"/>
  <c r="C71" i="20"/>
  <c r="D71" i="20"/>
  <c r="E71" i="20"/>
  <c r="F71" i="20"/>
  <c r="G71" i="20"/>
  <c r="H71" i="20"/>
  <c r="I71" i="20"/>
  <c r="J71" i="20"/>
  <c r="K71" i="20"/>
  <c r="L71" i="20"/>
  <c r="M71" i="20"/>
  <c r="N71" i="20"/>
  <c r="B73" i="20"/>
  <c r="C73" i="20"/>
  <c r="D73" i="20"/>
  <c r="E73" i="20"/>
  <c r="F73" i="20"/>
  <c r="G73" i="20"/>
  <c r="H73" i="20"/>
  <c r="I73" i="20"/>
  <c r="J73" i="20"/>
  <c r="K73" i="20"/>
  <c r="L73" i="20"/>
  <c r="M73" i="20"/>
  <c r="N73" i="20"/>
  <c r="B74" i="20"/>
  <c r="C74" i="20"/>
  <c r="D74" i="20"/>
  <c r="E74" i="20"/>
  <c r="F74" i="20"/>
  <c r="G74" i="20"/>
  <c r="H74" i="20"/>
  <c r="I74" i="20"/>
  <c r="J74" i="20"/>
  <c r="K74" i="20"/>
  <c r="L74" i="20"/>
  <c r="M74" i="20"/>
  <c r="N74" i="20"/>
  <c r="B75" i="20"/>
  <c r="C75" i="20"/>
  <c r="D75" i="20"/>
  <c r="E75" i="20"/>
  <c r="F75" i="20"/>
  <c r="G75" i="20"/>
  <c r="H75" i="20"/>
  <c r="I75" i="20"/>
  <c r="J75" i="20"/>
  <c r="K75" i="20"/>
  <c r="L75" i="20"/>
  <c r="M75" i="20"/>
  <c r="N75" i="20"/>
  <c r="B76" i="20"/>
  <c r="C76" i="20"/>
  <c r="D76" i="20"/>
  <c r="E76" i="20"/>
  <c r="F76" i="20"/>
  <c r="G76" i="20"/>
  <c r="H76" i="20"/>
  <c r="I76" i="20"/>
  <c r="J76" i="20"/>
  <c r="K76" i="20"/>
  <c r="L76" i="20"/>
  <c r="M76" i="20"/>
  <c r="N76" i="20"/>
  <c r="N7" i="19"/>
  <c r="P7" i="19"/>
  <c r="N8" i="19"/>
  <c r="P8" i="19"/>
  <c r="N9" i="19"/>
  <c r="P9" i="19"/>
  <c r="N10" i="19"/>
  <c r="P10" i="19"/>
  <c r="N11" i="19"/>
  <c r="P11" i="19"/>
  <c r="B12" i="19"/>
  <c r="C12" i="19"/>
  <c r="D12" i="19"/>
  <c r="E12" i="19"/>
  <c r="F12" i="19"/>
  <c r="G12" i="19"/>
  <c r="H12" i="19"/>
  <c r="I12" i="19"/>
  <c r="J12" i="19"/>
  <c r="K12" i="19"/>
  <c r="L12" i="19"/>
  <c r="M12" i="19"/>
  <c r="N12" i="19"/>
  <c r="B7" i="18"/>
  <c r="C7" i="18"/>
  <c r="B8" i="18"/>
  <c r="C8" i="18"/>
  <c r="B9" i="18"/>
  <c r="C9" i="18"/>
  <c r="B10" i="18"/>
  <c r="B11" i="18"/>
  <c r="C11" i="18"/>
  <c r="B12" i="18"/>
  <c r="C12" i="18"/>
  <c r="B13" i="18"/>
  <c r="C13" i="18"/>
  <c r="B14" i="18"/>
  <c r="C14" i="18"/>
  <c r="B15" i="18"/>
  <c r="C15" i="18"/>
  <c r="B16" i="18"/>
  <c r="C16" i="18"/>
  <c r="B17" i="18"/>
  <c r="C17" i="18"/>
  <c r="B18" i="18"/>
  <c r="C18" i="18"/>
  <c r="B19" i="18"/>
  <c r="C19" i="18"/>
  <c r="B20" i="18"/>
  <c r="C20" i="18"/>
  <c r="B21" i="18"/>
  <c r="C21" i="18"/>
  <c r="B22" i="18"/>
  <c r="C22" i="18"/>
  <c r="B23" i="18"/>
  <c r="C23" i="18"/>
  <c r="B24" i="18"/>
  <c r="C24" i="18"/>
  <c r="B25" i="18"/>
  <c r="C25" i="18"/>
  <c r="B26" i="18"/>
  <c r="C26" i="18"/>
  <c r="B27" i="18"/>
  <c r="C27" i="18"/>
  <c r="B28" i="18"/>
  <c r="C28" i="18"/>
  <c r="B29" i="18"/>
  <c r="C29" i="18"/>
  <c r="B30" i="18"/>
  <c r="C30" i="18"/>
  <c r="B31" i="18"/>
  <c r="C31" i="18"/>
  <c r="B32" i="18"/>
  <c r="C32" i="18"/>
  <c r="B33" i="18"/>
  <c r="C33" i="18"/>
  <c r="B34" i="18"/>
  <c r="C34" i="18"/>
  <c r="B35" i="18"/>
  <c r="C35" i="18"/>
  <c r="B36" i="18"/>
  <c r="C36" i="18"/>
  <c r="B37" i="18"/>
  <c r="C37" i="18"/>
  <c r="B38" i="18"/>
  <c r="C38" i="18"/>
  <c r="B39" i="18"/>
  <c r="C39" i="18"/>
  <c r="B40" i="18"/>
  <c r="C40" i="18"/>
  <c r="B41" i="18"/>
  <c r="C41" i="18"/>
  <c r="B43" i="18"/>
  <c r="C43" i="18"/>
  <c r="B46" i="18"/>
  <c r="B47" i="18"/>
  <c r="B48" i="18"/>
  <c r="D48" i="18"/>
  <c r="E8" i="16"/>
  <c r="E9" i="16"/>
  <c r="E10" i="16"/>
  <c r="E11" i="16"/>
  <c r="C12" i="16"/>
  <c r="D12" i="16"/>
  <c r="E12" i="16"/>
  <c r="B27" i="14"/>
  <c r="C20" i="12"/>
  <c r="D20" i="12"/>
  <c r="E20" i="12"/>
  <c r="B23" i="12"/>
  <c r="B24" i="12"/>
  <c r="C20" i="11"/>
  <c r="D20" i="11"/>
  <c r="B24" i="11"/>
  <c r="B25" i="11"/>
  <c r="B8" i="10"/>
  <c r="B9" i="10"/>
  <c r="B10" i="10"/>
  <c r="B11" i="10"/>
  <c r="B12" i="10"/>
  <c r="B16" i="10"/>
  <c r="B18" i="10"/>
  <c r="B17" i="10"/>
  <c r="B19" i="10"/>
  <c r="C8" i="9"/>
  <c r="C9" i="9"/>
  <c r="C10" i="9"/>
  <c r="C11" i="9"/>
  <c r="C12" i="9"/>
  <c r="C15" i="9"/>
  <c r="C16" i="9"/>
  <c r="C17" i="9"/>
  <c r="C18" i="9"/>
  <c r="B20" i="8"/>
  <c r="B22" i="8"/>
  <c r="E19" i="7"/>
  <c r="E21" i="7"/>
  <c r="B19" i="6"/>
  <c r="C19" i="6"/>
  <c r="D19" i="6"/>
  <c r="E19" i="6"/>
  <c r="F19" i="6"/>
  <c r="G19" i="6"/>
  <c r="B21" i="6"/>
  <c r="C21" i="6"/>
  <c r="D21" i="6"/>
  <c r="E21" i="6"/>
  <c r="F21" i="6"/>
  <c r="G21" i="6"/>
  <c r="D7" i="5"/>
  <c r="G7" i="5"/>
  <c r="H7" i="5"/>
  <c r="J7" i="5"/>
  <c r="L7" i="5"/>
  <c r="D8" i="5"/>
  <c r="G8" i="5"/>
  <c r="H8" i="5"/>
  <c r="J8" i="5"/>
  <c r="L8" i="5"/>
  <c r="D9" i="5"/>
  <c r="G9" i="5"/>
  <c r="H9" i="5"/>
  <c r="J9" i="5"/>
  <c r="L9" i="5"/>
  <c r="D10" i="5"/>
  <c r="G10" i="5"/>
  <c r="H10" i="5"/>
  <c r="J10" i="5"/>
  <c r="L10" i="5"/>
  <c r="D11" i="5"/>
  <c r="G11" i="5"/>
  <c r="H11" i="5"/>
  <c r="J11" i="5"/>
  <c r="L11" i="5"/>
  <c r="D12" i="5"/>
  <c r="G12" i="5"/>
  <c r="H12" i="5"/>
  <c r="J12" i="5"/>
  <c r="L12" i="5"/>
  <c r="D13" i="5"/>
  <c r="G13" i="5"/>
  <c r="H13" i="5"/>
  <c r="J13" i="5"/>
  <c r="L13" i="5"/>
  <c r="D14" i="5"/>
  <c r="G14" i="5"/>
  <c r="H14" i="5"/>
  <c r="J14" i="5"/>
  <c r="L14" i="5"/>
  <c r="D15" i="5"/>
  <c r="G15" i="5"/>
  <c r="H15" i="5"/>
  <c r="J15" i="5"/>
  <c r="L15" i="5"/>
  <c r="D16" i="5"/>
  <c r="G16" i="5"/>
  <c r="H16" i="5"/>
  <c r="J16" i="5"/>
  <c r="L16" i="5"/>
  <c r="D17" i="5"/>
  <c r="G17" i="5"/>
  <c r="H17" i="5"/>
  <c r="J17" i="5"/>
  <c r="L17" i="5"/>
  <c r="D18" i="5"/>
  <c r="G18" i="5"/>
  <c r="H18" i="5"/>
  <c r="J18" i="5"/>
  <c r="L18" i="5"/>
  <c r="L19" i="5"/>
  <c r="L21" i="5"/>
  <c r="F18" i="3"/>
  <c r="C12" i="4"/>
  <c r="F23" i="3"/>
  <c r="B23" i="3"/>
  <c r="F22" i="3"/>
  <c r="B22" i="3"/>
  <c r="F21" i="3"/>
  <c r="B21" i="3"/>
  <c r="F20" i="3"/>
  <c r="B20" i="3"/>
  <c r="F19" i="3"/>
  <c r="B19" i="3"/>
  <c r="B18" i="3"/>
  <c r="B15" i="3"/>
  <c r="E31" i="2"/>
  <c r="J30" i="2"/>
  <c r="E30" i="2"/>
  <c r="J29" i="2"/>
  <c r="E29" i="2"/>
  <c r="J28" i="2"/>
  <c r="E27" i="2"/>
  <c r="J26" i="2"/>
  <c r="B24" i="3"/>
</calcChain>
</file>

<file path=xl/sharedStrings.xml><?xml version="1.0" encoding="utf-8"?>
<sst xmlns="http://schemas.openxmlformats.org/spreadsheetml/2006/main" count="4119" uniqueCount="1303">
  <si>
    <t>Kentucky Power Company</t>
  </si>
  <si>
    <t>Adjustment Workpaper Index</t>
  </si>
  <si>
    <t>Witness:</t>
  </si>
  <si>
    <t>H.M. Whitney</t>
  </si>
  <si>
    <t>Reference in Section V, Exhibit 2</t>
  </si>
  <si>
    <t>Adjustment Description</t>
  </si>
  <si>
    <t>Workpaper Reference</t>
  </si>
  <si>
    <t>W02</t>
  </si>
  <si>
    <t>Remove Tariff D.R. Revenues and Expenses</t>
  </si>
  <si>
    <t>W02_PG_X_of_X</t>
  </si>
  <si>
    <t>W09</t>
  </si>
  <si>
    <t>Remove Tariff P.P.A. Revenues and Non-Transmission Expenses Recovered Through Tariff P.P.A.</t>
  </si>
  <si>
    <t>W09_PG_X_of_X</t>
  </si>
  <si>
    <t>W10</t>
  </si>
  <si>
    <t>Remove Tariff D.S.M.C. Revenues and Expenses</t>
  </si>
  <si>
    <t>W10_PG_X_of_X</t>
  </si>
  <si>
    <t>W11</t>
  </si>
  <si>
    <t>Remove Tariff R.E.A. Revenues and Expenses</t>
  </si>
  <si>
    <t>W11_PG_X_of_X</t>
  </si>
  <si>
    <t>W12</t>
  </si>
  <si>
    <t>Remove Tariff K.E.D.S. Revenues and Expenses</t>
  </si>
  <si>
    <t>W12_PG_X_of_X</t>
  </si>
  <si>
    <t>W15</t>
  </si>
  <si>
    <t>Adjust Interest on Customer Deposits</t>
  </si>
  <si>
    <t>W15_PG_X_of_X</t>
  </si>
  <si>
    <t>W16</t>
  </si>
  <si>
    <t>Normalization of Storm Damage Expense</t>
  </si>
  <si>
    <t>W16_PG_X_of_X</t>
  </si>
  <si>
    <t>W17</t>
  </si>
  <si>
    <t>Amortization of Big Sandy Unit 1 Operations Rider Deferral</t>
  </si>
  <si>
    <t>W17_PG_X_of_X</t>
  </si>
  <si>
    <t>W20</t>
  </si>
  <si>
    <t>Annualization of Lease Expense</t>
  </si>
  <si>
    <t>W20_PG_X_of_X</t>
  </si>
  <si>
    <t>W21</t>
  </si>
  <si>
    <t>Adjust Pension and OPEB Expense</t>
  </si>
  <si>
    <t>W21_PG_X_of_X</t>
  </si>
  <si>
    <t>W22</t>
  </si>
  <si>
    <t>Adjust Employee Related Group Benefit Expense</t>
  </si>
  <si>
    <t>W22_PG_X_of_X</t>
  </si>
  <si>
    <t>W24</t>
  </si>
  <si>
    <t>Amortization of NERC Compliance and Cybersecurity Cost Deferral</t>
  </si>
  <si>
    <t>W24_PG_X_of_X</t>
  </si>
  <si>
    <t>W25</t>
  </si>
  <si>
    <t>Remove Severance Expense</t>
  </si>
  <si>
    <t>W25_PG_X_of_X</t>
  </si>
  <si>
    <t>W26</t>
  </si>
  <si>
    <t>Normalize Bad Debt Expense</t>
  </si>
  <si>
    <t>W26_PG_X_of_X</t>
  </si>
  <si>
    <t>W27-W32</t>
  </si>
  <si>
    <t>Summary of Incentive Compensation &amp; Payroll Adjustments</t>
  </si>
  <si>
    <t>W27_W32_PG_X_of_X</t>
  </si>
  <si>
    <t>W27</t>
  </si>
  <si>
    <t>KPCo Incentive Compensation Expense Adjustment</t>
  </si>
  <si>
    <t>W27_PG_X_of_X</t>
  </si>
  <si>
    <t>W28</t>
  </si>
  <si>
    <t>KPCo Annualization of Payroll Expense Adjustment</t>
  </si>
  <si>
    <t>W28_PG_X_of_X</t>
  </si>
  <si>
    <t>W29</t>
  </si>
  <si>
    <t>KPCo Overtime Related to Employee Merit Increases Adjustment</t>
  </si>
  <si>
    <t>W29_PG_X_of_X</t>
  </si>
  <si>
    <t>W30</t>
  </si>
  <si>
    <t>KPCo Medicare Tax Expense Adjustment</t>
  </si>
  <si>
    <t>W31</t>
  </si>
  <si>
    <t>KPCo Social Security Tax Expense Adjustment</t>
  </si>
  <si>
    <t>W31_PG_X_of_X</t>
  </si>
  <si>
    <t>W32</t>
  </si>
  <si>
    <t>KPCo Social Security Tax Base Adjustment</t>
  </si>
  <si>
    <t>W32_PG_X_of_X</t>
  </si>
  <si>
    <t>W34</t>
  </si>
  <si>
    <t>Annualization of Depreciation Expense (Excluding ARO Depreciation) at Existing Rates</t>
  </si>
  <si>
    <t>W34_PG_X_of_X</t>
  </si>
  <si>
    <t>W35</t>
  </si>
  <si>
    <t>Annualization of ARO Depreciation Expense</t>
  </si>
  <si>
    <t>W35_PG_X_of_X</t>
  </si>
  <si>
    <t>W36</t>
  </si>
  <si>
    <t>Annualization of ARO Accretion Expense</t>
  </si>
  <si>
    <t>W36_PG_X_of_X</t>
  </si>
  <si>
    <t>W38</t>
  </si>
  <si>
    <t>AFUDC Offset Adjustment</t>
  </si>
  <si>
    <t>W39</t>
  </si>
  <si>
    <t>Mitchell Coal Stock Adjustment (Coal Inventory Adjustment)</t>
  </si>
  <si>
    <t>W39_PG_X_of_X</t>
  </si>
  <si>
    <t>W40</t>
  </si>
  <si>
    <t>Remove Big Sandy Unit 2 from Capitalization</t>
  </si>
  <si>
    <t>W44</t>
  </si>
  <si>
    <t>Remove Adjustment to Joint Use Pole Rental Revenue and Expense Related to a Prior Period</t>
  </si>
  <si>
    <t>W44_PG_X_of_X</t>
  </si>
  <si>
    <t>W45</t>
  </si>
  <si>
    <t>Remove Non-Ongoing Expense Related to the COVID-19 Pandemic</t>
  </si>
  <si>
    <t>W45_PG_X_of_X</t>
  </si>
  <si>
    <t>W46</t>
  </si>
  <si>
    <t>Remove Insurance Proceeds Related to Prior Period</t>
  </si>
  <si>
    <t>W46_PG_X_of_X</t>
  </si>
  <si>
    <t>W47</t>
  </si>
  <si>
    <t>Remove Rockport UPA Non-Fuel Expense, Net of Deferral</t>
  </si>
  <si>
    <t>W47_PG_X_of_X</t>
  </si>
  <si>
    <t>W48</t>
  </si>
  <si>
    <t>Amortization of Deferred Plant Maintenance Costs</t>
  </si>
  <si>
    <t>W48_PG_X_of_X</t>
  </si>
  <si>
    <t>W53 Pg. 1 of 2</t>
  </si>
  <si>
    <t>Remove NERC Compliance and Cybersecurity Net Plant from Rate Base</t>
  </si>
  <si>
    <t>W53 Pg. 1 of 2_PG_X_of_X</t>
  </si>
  <si>
    <t>W53 Pg. 2 of 2</t>
  </si>
  <si>
    <t>Remove NERC Compliance and Cybersecurity Investment from Capitalization</t>
  </si>
  <si>
    <t>W57</t>
  </si>
  <si>
    <t>Normalize Non-F.A.C Eligible Purchased Power Expense</t>
  </si>
  <si>
    <t>W57_PG_X_of_X</t>
  </si>
  <si>
    <t>W58</t>
  </si>
  <si>
    <t>Recover Actual, Incremental Non-F.A.C Eligible Purchased Power Expense Since Last Base Case (Excluding Winter Storm Elliott)</t>
  </si>
  <si>
    <t>W58_PG_X_of_X</t>
  </si>
  <si>
    <t>W59</t>
  </si>
  <si>
    <t>Remove Certain Regulatory Asset Amortizations Not Recovered Through Base Rates</t>
  </si>
  <si>
    <t>W59_PG_X_of_X</t>
  </si>
  <si>
    <t>W60</t>
  </si>
  <si>
    <t>Remove Rockport Deferral from Capitalization</t>
  </si>
  <si>
    <t>W61</t>
  </si>
  <si>
    <t xml:space="preserve">Cash Working Capital </t>
  </si>
  <si>
    <t>W61_PG_X_of_X</t>
  </si>
  <si>
    <t>For the Twelve Months Ended March 31, 2023</t>
  </si>
  <si>
    <t>Detail - Intangible Plant</t>
  </si>
  <si>
    <t>March 31, 2023 Property Balances</t>
  </si>
  <si>
    <t>Depreciation Expense
For the Twelve Months Ended March 31, 2023</t>
  </si>
  <si>
    <t>Company</t>
  </si>
  <si>
    <t>Utility Account</t>
  </si>
  <si>
    <t>Depr Group</t>
  </si>
  <si>
    <t>GL Account</t>
  </si>
  <si>
    <t>Activity Cost</t>
  </si>
  <si>
    <t>description</t>
  </si>
  <si>
    <t>depr_group_id</t>
  </si>
  <si>
    <t>depreciation_rate</t>
  </si>
  <si>
    <t>Sum of total_life_expense</t>
  </si>
  <si>
    <t>Kentucky Power - Distr</t>
  </si>
  <si>
    <t>30300 - Intangible Property</t>
  </si>
  <si>
    <t>KEPCo 101/6 303 Cap Soft Maximo</t>
  </si>
  <si>
    <t>1010001 Plant In Service</t>
  </si>
  <si>
    <t>KEPCo 101/6 303 Cap Soft-D Cloud</t>
  </si>
  <si>
    <t>1010008 PIS - Cloud Computing</t>
  </si>
  <si>
    <t>KEPCo 101/6 303 Cap Soft-G Maximo</t>
  </si>
  <si>
    <t>Kentucky Power - Gen</t>
  </si>
  <si>
    <t>KEPCo 101/6 303 Cap Soft-T Maximo</t>
  </si>
  <si>
    <t>KEPCo 101/6 303 Cap Soft-G Cloud</t>
  </si>
  <si>
    <t>1060007 CCNC - Cloud Computing</t>
  </si>
  <si>
    <t>KEPCo 101/6 303 Oracle Software-D</t>
  </si>
  <si>
    <t>KEPCo 101/6 303 Oracle Software-G</t>
  </si>
  <si>
    <t>Kentucky Power - Transm</t>
  </si>
  <si>
    <t>KEPCo 101/6 303 Cap Soft-T Cloud</t>
  </si>
  <si>
    <t>KEPCo 101/6 303 Oracle Software-T</t>
  </si>
  <si>
    <t>KEPCo 101/6 303 Cap Software-Distr</t>
  </si>
  <si>
    <t>KEPCo 101/6 303 Cap Software-Prod</t>
  </si>
  <si>
    <t>1060001 Completd Constr not Classif</t>
  </si>
  <si>
    <t>KEPCo 101/6 303 Cap Software-Transm</t>
  </si>
  <si>
    <t>KEPCo 101/6 303 Dell Lease Distr</t>
  </si>
  <si>
    <t>KEPCo 101/6 303 Groveport DC 2 - D</t>
  </si>
  <si>
    <t>KEPCo 101/6 303 Dell Lease Gen</t>
  </si>
  <si>
    <t>KEPCo 101/6 303 Groveport DC 2 - G</t>
  </si>
  <si>
    <t>KEPCo 101/6 303 Dell Lease Transm</t>
  </si>
  <si>
    <t>KEPCo 101/6 303 Groveport DC 2 - T</t>
  </si>
  <si>
    <t>Total</t>
  </si>
  <si>
    <t>Maximo</t>
  </si>
  <si>
    <t>Oracle</t>
  </si>
  <si>
    <t>Other</t>
  </si>
  <si>
    <t>Mitchell FGD Plant in Service by Utility Account</t>
  </si>
  <si>
    <t>FGD</t>
  </si>
  <si>
    <t>Row Labels</t>
  </si>
  <si>
    <t>Sum of 50% (AGR Only)</t>
  </si>
  <si>
    <t>31100 - Structures, Improvemnt-Coal</t>
  </si>
  <si>
    <t>31200 - Boiler Plant Equip-Coal</t>
  </si>
  <si>
    <t>31400 - Turbogenerator Units-Coal</t>
  </si>
  <si>
    <t>31500 - Accessory Elect Equip-Coal</t>
  </si>
  <si>
    <t>31600 - Misc Pwr Plant Equip-Coal</t>
  </si>
  <si>
    <t>39100 - Office Furniture, Equipment</t>
  </si>
  <si>
    <t>Grand Total</t>
  </si>
  <si>
    <t>Removal of Mitchell FGD Property Balances</t>
  </si>
  <si>
    <t>Depreciation Expense Allocation</t>
  </si>
  <si>
    <t>Depreciation Expense per General Ledger Journal Entries (W35, Ln 5 and Footnote (b))</t>
  </si>
  <si>
    <t xml:space="preserve">Test Year </t>
  </si>
  <si>
    <t>ACCOUNT</t>
  </si>
  <si>
    <t>JOURNAL_ID</t>
  </si>
  <si>
    <t>Sum of MONETARY_AMOUNT</t>
  </si>
  <si>
    <t>4040001</t>
  </si>
  <si>
    <t>NERCAMRT</t>
  </si>
  <si>
    <t>OAANERCDEF</t>
  </si>
  <si>
    <t>4040001 Total</t>
  </si>
  <si>
    <t>W34-Annualization of Depreciation Expense (Excluding ARO Depreciation)</t>
  </si>
  <si>
    <t>No Additional Workpapers</t>
  </si>
  <si>
    <t>440-444</t>
  </si>
  <si>
    <t>FERC Account</t>
  </si>
  <si>
    <t>Total Revenues to be Removed</t>
  </si>
  <si>
    <t>Total Revenues</t>
  </si>
  <si>
    <t>Mar-23</t>
  </si>
  <si>
    <t>Feb-23</t>
  </si>
  <si>
    <t>Jan-23</t>
  </si>
  <si>
    <t>Dec-22</t>
  </si>
  <si>
    <t>Nov-22</t>
  </si>
  <si>
    <t>Oct-22</t>
  </si>
  <si>
    <t>Sep-22</t>
  </si>
  <si>
    <t>Aug-22</t>
  </si>
  <si>
    <t>Jul-22</t>
  </si>
  <si>
    <t>Jun-22</t>
  </si>
  <si>
    <t>May-22</t>
  </si>
  <si>
    <t>Apr-22</t>
  </si>
  <si>
    <t>Net
Revenues</t>
  </si>
  <si>
    <t>Bad Debt\
Maint Fee</t>
  </si>
  <si>
    <t>Billed &amp; 
Accrued
Surcharge</t>
  </si>
  <si>
    <t>Reverse Prior Month Est &amp; Unb Surcharge</t>
  </si>
  <si>
    <t>Estimated &amp; Unbilled Surcharge</t>
  </si>
  <si>
    <t>Total Estimated
and
Unbilled kWh</t>
  </si>
  <si>
    <t>Unbilled
KWH</t>
  </si>
  <si>
    <t>Estimated
KWH</t>
  </si>
  <si>
    <t>Average
Rate
per kWh</t>
  </si>
  <si>
    <t>Billed
KWH</t>
  </si>
  <si>
    <t>BSRR</t>
  </si>
  <si>
    <t>Date</t>
  </si>
  <si>
    <t>Decommissioning Rider Revenue</t>
  </si>
  <si>
    <t>W02-Remove Tariff D.R. Revenues and Expenses</t>
  </si>
  <si>
    <t>Total Expenses to be Removed</t>
  </si>
  <si>
    <t xml:space="preserve">   </t>
  </si>
  <si>
    <t>5120034</t>
  </si>
  <si>
    <t>5120000</t>
  </si>
  <si>
    <t>5060011</t>
  </si>
  <si>
    <t>5000000</t>
  </si>
  <si>
    <t>Summary of Decommissioning Rider O&amp;M Expenses</t>
  </si>
  <si>
    <t>Total Decrease to Test Year ARO Accretion Expense</t>
  </si>
  <si>
    <t>Defer ARO Deprec&amp;Accretion Exp</t>
  </si>
  <si>
    <t>Amount</t>
  </si>
  <si>
    <t>Descr</t>
  </si>
  <si>
    <t>Account</t>
  </si>
  <si>
    <t>Unit</t>
  </si>
  <si>
    <t>Summary of Decommissioning Rider ARO Accretion Expense</t>
  </si>
  <si>
    <t xml:space="preserve">Total Decrease to Test Year Amortization Expense </t>
  </si>
  <si>
    <t>Total Amortization Expense to Remove</t>
  </si>
  <si>
    <t xml:space="preserve">   Account 4073014</t>
  </si>
  <si>
    <t>Month</t>
  </si>
  <si>
    <t>Detail of Account 4073014</t>
  </si>
  <si>
    <t>908</t>
  </si>
  <si>
    <t>Net Decrease in Test Year O&amp;M Expense Related to Program Costs</t>
  </si>
  <si>
    <t>Remove DSM O&amp;M Program Cost Over/under Deferral</t>
  </si>
  <si>
    <t>Remove DSM O&amp;M Program Cost Expense</t>
  </si>
  <si>
    <t>Remove DSM Over/Under Recovery (O&amp;M Program Cost)</t>
  </si>
  <si>
    <t>Test Year O&amp;M Expense Related to Program Costs:</t>
  </si>
  <si>
    <t>456</t>
  </si>
  <si>
    <t>Net Decrease in Test Year Other Electric Revenue</t>
  </si>
  <si>
    <t>Remove DSM Lost Revenue Accrued</t>
  </si>
  <si>
    <t>Remove DSM Incentive Revenue Accrued</t>
  </si>
  <si>
    <t>Remove DSM Over/Under Recovery (Incentives &amp; Lost Revenue)</t>
  </si>
  <si>
    <t xml:space="preserve">Remove DSM Rider Revenues </t>
  </si>
  <si>
    <t>Test Year Other Electric Revenue:</t>
  </si>
  <si>
    <t>Amount (c)</t>
  </si>
  <si>
    <t>FERC Account (b)</t>
  </si>
  <si>
    <t>Description (a)</t>
  </si>
  <si>
    <t xml:space="preserve">DSM Rider Revenue and Expense </t>
  </si>
  <si>
    <t>W10-Remove Tariff D.S.M.C. Revenues and Expenses</t>
  </si>
  <si>
    <t>DSM Annual Adj</t>
  </si>
  <si>
    <t>4560007</t>
  </si>
  <si>
    <t>KY - DSM Over Recovery</t>
  </si>
  <si>
    <t>Energy Efficiency Recovery</t>
  </si>
  <si>
    <t>LINE_DESCR</t>
  </si>
  <si>
    <t>DSMTRUEUP</t>
  </si>
  <si>
    <t>(Multiple Items)</t>
  </si>
  <si>
    <t>Year Month</t>
  </si>
  <si>
    <t>Cust Assistance Expense - DSM</t>
  </si>
  <si>
    <t>DSM Program Costs</t>
  </si>
  <si>
    <t>DSM_COST</t>
  </si>
  <si>
    <t>Recovery - Program Exp</t>
  </si>
  <si>
    <t>9080009</t>
  </si>
  <si>
    <t>Recovery - Lost Rev/Shared Sav</t>
  </si>
  <si>
    <t>Oth Elect Rev - DSM Program</t>
  </si>
  <si>
    <t>DSM Lost Revenues-Res/Com</t>
  </si>
  <si>
    <t>1823011</t>
  </si>
  <si>
    <t>DSM Recovery</t>
  </si>
  <si>
    <t>1823010</t>
  </si>
  <si>
    <t>DSM Shared Savings-Res/Com/Ind</t>
  </si>
  <si>
    <t>1823009</t>
  </si>
  <si>
    <t>DSMREVENUE</t>
  </si>
  <si>
    <t>Test Year Activity - 9080009</t>
  </si>
  <si>
    <t>DSM O&amp;M Program Cost Over/under Deferral</t>
  </si>
  <si>
    <t>DSM O&amp;M Program Cost Expense</t>
  </si>
  <si>
    <t>DSM Over/Under Recovery (O&amp;M Program Cost)</t>
  </si>
  <si>
    <t>A/C 9080009</t>
  </si>
  <si>
    <t>Dr./(Cr.)</t>
  </si>
  <si>
    <t>Test Year Activity - 4560007</t>
  </si>
  <si>
    <t>DSM Lost Revenue Accrued</t>
  </si>
  <si>
    <t>DSM Incentive Revenue Accrued</t>
  </si>
  <si>
    <t>DSM Over/Under Recovery (Incentives &amp; Lost Revenue)</t>
  </si>
  <si>
    <t xml:space="preserve">DSM Rider Revenues </t>
  </si>
  <si>
    <t>A/C 4560007</t>
  </si>
  <si>
    <t>DSM Journal Entry and GL Account Detail</t>
  </si>
  <si>
    <t>Decrease in Test Year O&amp;M for Tariff R.E.A. Expense</t>
  </si>
  <si>
    <t>Decrease in Test Year Retail Revenue for Tariff R.E.A. Revenue</t>
  </si>
  <si>
    <t>Adjustments</t>
  </si>
  <si>
    <t>CADKYHEAP</t>
  </si>
  <si>
    <t>9080000</t>
  </si>
  <si>
    <t>4261000</t>
  </si>
  <si>
    <t>O&amp;M Expense</t>
  </si>
  <si>
    <t>Other Income Deductions</t>
  </si>
  <si>
    <t>Journal ID</t>
  </si>
  <si>
    <t>Tariff R.E.A. Detail</t>
  </si>
  <si>
    <t>W11-Remove Tariff R.E.A. Revenues and Expenses</t>
  </si>
  <si>
    <t>Decrease Test Year O&amp;M Expense for Tariff K.E.D.S. Expense</t>
  </si>
  <si>
    <t xml:space="preserve">Decrease Test Year Retail Revenue for Tariff K.E.D.S. Revenue </t>
  </si>
  <si>
    <t>CADKYECON</t>
  </si>
  <si>
    <t>Tariff K.E.D.S. Revenue and Expense</t>
  </si>
  <si>
    <t>W12-Remove Tariff K.E.D.S. Revenues and Expenses</t>
  </si>
  <si>
    <t>Balance as of March 31, 2023</t>
  </si>
  <si>
    <t>Account - 2350001</t>
  </si>
  <si>
    <t>FISCAL_YEAR</t>
  </si>
  <si>
    <t>PeopleSoft Query - Account 2350001 (Customer Deposits Active)</t>
  </si>
  <si>
    <t>W15-Adjust Interest on Customer Deposits</t>
  </si>
  <si>
    <t>12 Mo. Total</t>
  </si>
  <si>
    <t xml:space="preserve"> </t>
  </si>
  <si>
    <t>CAD021AJE</t>
  </si>
  <si>
    <t>Jan Qtr Adj</t>
  </si>
  <si>
    <t>31-Mar</t>
  </si>
  <si>
    <t>28-Feb</t>
  </si>
  <si>
    <t>2023 Int rate - 4.34%</t>
  </si>
  <si>
    <t>31-Jan</t>
  </si>
  <si>
    <t>Dec Qtr Adj</t>
  </si>
  <si>
    <t>31-Dec</t>
  </si>
  <si>
    <t>30-Nov</t>
  </si>
  <si>
    <t>31-Oct</t>
  </si>
  <si>
    <t xml:space="preserve">Sep qtr adj. </t>
  </si>
  <si>
    <t>30-Sep</t>
  </si>
  <si>
    <t>31-Aug</t>
  </si>
  <si>
    <t>31-Jul</t>
  </si>
  <si>
    <t xml:space="preserve">Jun qtr adj. </t>
  </si>
  <si>
    <t>30-Jun</t>
  </si>
  <si>
    <t>31-May</t>
  </si>
  <si>
    <t>2022 - Int rate - 0.12%</t>
  </si>
  <si>
    <t>30-Apr</t>
  </si>
  <si>
    <t>DIFF</t>
  </si>
  <si>
    <t>Ledger</t>
  </si>
  <si>
    <t>KPCO INTEREST ACCRUED - ACTIVE (MGRD)</t>
  </si>
  <si>
    <t>180 Total</t>
  </si>
  <si>
    <t>2023 3</t>
  </si>
  <si>
    <t>2023 1</t>
  </si>
  <si>
    <t>2022 8</t>
  </si>
  <si>
    <t>2022 11</t>
  </si>
  <si>
    <t>2022 10</t>
  </si>
  <si>
    <t>110 Total</t>
  </si>
  <si>
    <t>2023 2</t>
  </si>
  <si>
    <t>2022 9</t>
  </si>
  <si>
    <t>2022 7</t>
  </si>
  <si>
    <t>2022 6</t>
  </si>
  <si>
    <t>2022 5</t>
  </si>
  <si>
    <t>2022 4</t>
  </si>
  <si>
    <t>2022 12</t>
  </si>
  <si>
    <t>BUSINESS_UNIT</t>
  </si>
  <si>
    <t>Sum of SUM(B.MONETARY_AMOUNT)</t>
  </si>
  <si>
    <t>All</t>
  </si>
  <si>
    <t>PROJECT_ID</t>
  </si>
  <si>
    <t>DESCR</t>
  </si>
  <si>
    <t>Test Year Ended March 31, 2023</t>
  </si>
  <si>
    <t>W16-Normalization of Storm Damage Expense</t>
  </si>
  <si>
    <t>(1) Per the January 18, 2018 order in Case No. 2017-00179, "The Commission finds the establishment of a regulatory asset or liability due to the elimination of Tariff B.S.1.O.R. to be reasonable and that it should be approved.  The approval is for accounting purposes only, and the appropriate ratemaking treatment for the regulatory asset or liability account will be addressed in Kentucky Power’s next general rate case."  Approximately $1 million of the regulatory asset balance was approved for amortization in Case. No. 2020-00174 (as shown above).  Recovery of the remaining regulatory asset account balance is requested in this case.</t>
  </si>
  <si>
    <t xml:space="preserve">Total Regulatory Asset </t>
  </si>
  <si>
    <t>Def Prop Tax-Big Sandy U1 Gas</t>
  </si>
  <si>
    <t>1823550</t>
  </si>
  <si>
    <t>Def Depr-Big Sandy Unit 1 Gas</t>
  </si>
  <si>
    <t>1823547</t>
  </si>
  <si>
    <t>BS1OR Under Recovery</t>
  </si>
  <si>
    <t>1823516</t>
  </si>
  <si>
    <t>BS1OR Under Recovery CC</t>
  </si>
  <si>
    <t>1823411</t>
  </si>
  <si>
    <t>Account Balance Remaining as of 3/31/2023</t>
  </si>
  <si>
    <r>
      <rPr>
        <b/>
        <sz val="10"/>
        <color rgb="FF000000"/>
        <rFont val="Arial"/>
      </rPr>
      <t>3-Year Amortization Approved in Case No. 2020-00174</t>
    </r>
    <r>
      <rPr>
        <b/>
        <sz val="10"/>
        <color rgb="FF000000"/>
        <rFont val="Arial"/>
      </rPr>
      <t xml:space="preserve"> </t>
    </r>
    <r>
      <rPr>
        <sz val="10"/>
        <color rgb="FF000000"/>
        <rFont val="Arial"/>
      </rPr>
      <t>(1)</t>
    </r>
  </si>
  <si>
    <r>
      <rPr>
        <b/>
        <sz val="10"/>
        <color rgb="FF000000"/>
        <rFont val="Arial"/>
      </rPr>
      <t>Account Balance as of 12/31/2020</t>
    </r>
    <r>
      <rPr>
        <b/>
        <sz val="10"/>
        <color rgb="FF000000"/>
        <rFont val="Arial"/>
      </rPr>
      <t xml:space="preserve"> </t>
    </r>
    <r>
      <rPr>
        <sz val="10"/>
        <color rgb="FF000000"/>
        <rFont val="Arial"/>
      </rPr>
      <t>(1)</t>
    </r>
  </si>
  <si>
    <t>Account Description</t>
  </si>
  <si>
    <t>Detail of Big Sandy Unit 1 Operation Rider Regulatory Asset/(Liability) Balances</t>
  </si>
  <si>
    <t>W17-Amortization of Big Sandy Unit 1 Operations Rider Deferral</t>
  </si>
  <si>
    <t>KYAMORT</t>
  </si>
  <si>
    <t>Column Labels</t>
  </si>
  <si>
    <t>Detail of Big Sandy Unit 1 Operation Rider Test-Year Amortization</t>
  </si>
  <si>
    <t>Tota</t>
  </si>
  <si>
    <t>W20_PG_3_of_3</t>
  </si>
  <si>
    <t>W20_PG_2_of_3</t>
  </si>
  <si>
    <t>O&amp;M</t>
  </si>
  <si>
    <t>March 2023 Expense</t>
  </si>
  <si>
    <t>Annual Total</t>
  </si>
  <si>
    <t>KPCo Lease Expense Summary</t>
  </si>
  <si>
    <t>W20-Annualization of Lease Expense</t>
  </si>
  <si>
    <t>KPCo Lease Expense Report - Non Fleet</t>
  </si>
  <si>
    <t>Capital</t>
  </si>
  <si>
    <t xml:space="preserve"> Fleet Allocation </t>
  </si>
  <si>
    <t>Account 1840029</t>
  </si>
  <si>
    <t>KPCo Lease Expense Report - Fleet</t>
  </si>
  <si>
    <t>NON-UNWA - POSTRETIREMENT WELFARE PLAN</t>
  </si>
  <si>
    <t>NON-QUALIFIED PENSION PLAN</t>
  </si>
  <si>
    <t>QUALIFIED PENSION PLAN</t>
  </si>
  <si>
    <t>Non-Service Cost</t>
  </si>
  <si>
    <t>Service Cost</t>
  </si>
  <si>
    <t>Total Expected Pension Costs</t>
  </si>
  <si>
    <t>WPCo is a 50% owner and the operator of the Mitchell Plant (Business Unit 413).  KPCo owns a 50% interest in the Mitchell Plant.</t>
  </si>
  <si>
    <t xml:space="preserve">Actuary Mitchell Plant Joint Billing1  </t>
  </si>
  <si>
    <t>Actuary Reports (2023 Estimate)</t>
  </si>
  <si>
    <t>Test Year Pension and OPEB Expense Summary</t>
  </si>
  <si>
    <t>W21-Adjust Pension and OPEB Expense</t>
  </si>
  <si>
    <t>Annualized Mitchell Plant Joint Billing</t>
  </si>
  <si>
    <t>Annualized Non-Service</t>
  </si>
  <si>
    <t>Annualized Service</t>
  </si>
  <si>
    <t>Mitchell Joint Facility</t>
  </si>
  <si>
    <t>9260062 - Pension Plan - Non-Service</t>
  </si>
  <si>
    <t>9260043 - OPEB- Non-Service</t>
  </si>
  <si>
    <t>9260042 - SERP Pension - Non-Service</t>
  </si>
  <si>
    <t>9260037 - Supplemental Pension</t>
  </si>
  <si>
    <t>9260021 - Postretirement Benefits - OPEB</t>
  </si>
  <si>
    <t>9260003 - Pension Plan</t>
  </si>
  <si>
    <t>ACCOUNTING_PERIOD</t>
  </si>
  <si>
    <t xml:space="preserve">Annualized Mitchell Billing Activity </t>
  </si>
  <si>
    <t>431/1823</t>
  </si>
  <si>
    <t>FERC Account Used to Record Amortization</t>
  </si>
  <si>
    <t>Total Deferral (Line 1 + Line 2 + Line 3)</t>
  </si>
  <si>
    <t>Deferral post March 31, 2020 as authroized per order dated January 13, 2021 in Case No. 2020-00174.</t>
  </si>
  <si>
    <t>Deferral for period March 1, 2017 through March 31, 2020, authorized to amortize over 5 years per order dated January 13, 2021 in Case No. 2020-00174.</t>
  </si>
  <si>
    <t>Deferral through February 28, 2017, authorized to amortize over 5 years per order dated January 18, 2018 in Case No. 2017-00179.</t>
  </si>
  <si>
    <t>1823538
Def Depr-NERC Compli/Cybersec</t>
  </si>
  <si>
    <t>1823537 
CC-NERC Compliance/Cyber Sec</t>
  </si>
  <si>
    <t>Description</t>
  </si>
  <si>
    <t>Line No.</t>
  </si>
  <si>
    <t>Reconciliation NERC and Cybersecurity Deferred Costs</t>
  </si>
  <si>
    <t>W24-Amortization of NERC Compliance and Cybersecurity Cost Deferral</t>
  </si>
  <si>
    <t>2026 Total</t>
  </si>
  <si>
    <t>2025 Total</t>
  </si>
  <si>
    <t>2024 Total</t>
  </si>
  <si>
    <t>Ongoing-Level Amortization</t>
  </si>
  <si>
    <t>2023 Total</t>
  </si>
  <si>
    <t>Test-Year Amortization</t>
  </si>
  <si>
    <t>2022 Total</t>
  </si>
  <si>
    <t>2021 Total</t>
  </si>
  <si>
    <t>2020 Total</t>
  </si>
  <si>
    <t>2019 Total</t>
  </si>
  <si>
    <t>2018 Total</t>
  </si>
  <si>
    <t>Business Unit</t>
  </si>
  <si>
    <t>Period</t>
  </si>
  <si>
    <t>Year</t>
  </si>
  <si>
    <t>Case No. 2020-00174</t>
  </si>
  <si>
    <t>Case No. 2017-00179</t>
  </si>
  <si>
    <t>NERCAMRT   Debit / (Credit)</t>
  </si>
  <si>
    <t>To amortize deferred NERC and cyber security carrying charges, and deferred depreciation that was approved for recovery by KPSC in Case No. 2017-00179 and  Case No. 2020-00174.</t>
  </si>
  <si>
    <t>Journal Description</t>
  </si>
  <si>
    <t>Test Year Amortization (Depreciation)</t>
  </si>
  <si>
    <t>Test Year Amortization</t>
  </si>
  <si>
    <t>Test Year Amortization (Carrying Charge - Equity)</t>
  </si>
  <si>
    <t>Test Year Amortization (Carrying Charge - Debt)</t>
  </si>
  <si>
    <t>Year.Period</t>
  </si>
  <si>
    <t>Detail - Severance Expense Recorded During the Test Year</t>
  </si>
  <si>
    <t>W25-Remove Severance Expense</t>
  </si>
  <si>
    <t>Normalize for 12 Months Ending March 31, 2023</t>
  </si>
  <si>
    <t>Monthly Average of Jun 2022 - Mar 2023</t>
  </si>
  <si>
    <t>Total of Jun 2022 - Mar 2023</t>
  </si>
  <si>
    <t>Per Books for 12 Months Ended March 31, 2023</t>
  </si>
  <si>
    <t>Month-Year</t>
  </si>
  <si>
    <t>Normalize Account 9040000 for 12 Months Ending March 31, 2023</t>
  </si>
  <si>
    <t>W26-Normalize Bad Debt Expense</t>
  </si>
  <si>
    <t>(2) Journal ID CADHMWAR relates to the Kentucky Home Warranty Program. Remove from the cost of service.</t>
  </si>
  <si>
    <t>(1) The amount recorded in ARM3615446 is related to a non-recurring item outside of the normal course of business. Remove from the cost of service.</t>
  </si>
  <si>
    <t xml:space="preserve">Reduce Account 9040007 </t>
  </si>
  <si>
    <t>9040007 Total</t>
  </si>
  <si>
    <t>SCBBIL7282</t>
  </si>
  <si>
    <t>OAR_UNCOLL</t>
  </si>
  <si>
    <t>(2)</t>
  </si>
  <si>
    <t>CADHMWAR</t>
  </si>
  <si>
    <t>ARM3681000</t>
  </si>
  <si>
    <t>ARM3679375</t>
  </si>
  <si>
    <t>ARM3641435</t>
  </si>
  <si>
    <t>ARM3623151</t>
  </si>
  <si>
    <t>(1)</t>
  </si>
  <si>
    <t>ARM3615446</t>
  </si>
  <si>
    <t>ARM3606640</t>
  </si>
  <si>
    <t>ARM3584020</t>
  </si>
  <si>
    <t>ARM3568629</t>
  </si>
  <si>
    <t>ARM3565430</t>
  </si>
  <si>
    <t>ARM3563236</t>
  </si>
  <si>
    <t>ARM3551687</t>
  </si>
  <si>
    <t>ARM3547706</t>
  </si>
  <si>
    <t>ARM3539789</t>
  </si>
  <si>
    <t>ARM3515611</t>
  </si>
  <si>
    <t>ARM3511565</t>
  </si>
  <si>
    <t>ARM3498012</t>
  </si>
  <si>
    <t>MONETARY_AMOUNT</t>
  </si>
  <si>
    <t>Remove Specific Activity Identified in Account 9040007</t>
  </si>
  <si>
    <t xml:space="preserve"> Account 4265010 </t>
  </si>
  <si>
    <t xml:space="preserve"> Account 4265009 </t>
  </si>
  <si>
    <t xml:space="preserve">Remove Expenses Associated with Factoring </t>
  </si>
  <si>
    <t>Adjustment</t>
  </si>
  <si>
    <t>ARO Depreciation Expense Recorded in the Test Year (Account 4031001)</t>
  </si>
  <si>
    <t>Annualized ARO Depreciation Expense</t>
  </si>
  <si>
    <t>Pikeville Svc Ctr</t>
  </si>
  <si>
    <t>Conner Run - Mitchell</t>
  </si>
  <si>
    <t>ASH#3 Mitchell</t>
  </si>
  <si>
    <t>ASH#2 Mitchell</t>
  </si>
  <si>
    <t>ASH#1 Mitchell</t>
  </si>
  <si>
    <t>Mitchell Asbestos</t>
  </si>
  <si>
    <t>Big Sandy Asbestos</t>
  </si>
  <si>
    <t>Location</t>
  </si>
  <si>
    <t>ARO Depreciation Expense per Books</t>
  </si>
  <si>
    <t>W35-Annualization of ARO Depreciation Expense</t>
  </si>
  <si>
    <t>ARO Accretion Expense Recorded in the Test Year (Account 4110005)</t>
  </si>
  <si>
    <t>Annualized ARO Accretion Expense</t>
  </si>
  <si>
    <t>ASH#1 Big Sandy</t>
  </si>
  <si>
    <t>Mitchell U2</t>
  </si>
  <si>
    <t>Mitchell U1</t>
  </si>
  <si>
    <t>Mitchell U0</t>
  </si>
  <si>
    <t>Kentucky Power State Office</t>
  </si>
  <si>
    <t>Hazard Service Center</t>
  </si>
  <si>
    <t>Big Sandy U2</t>
  </si>
  <si>
    <t>Big Sandy U1</t>
  </si>
  <si>
    <t>Totals</t>
  </si>
  <si>
    <t>Per Books ARO Accretion Expense</t>
  </si>
  <si>
    <t>W36-Annualization of ARO Accretion Expense</t>
  </si>
  <si>
    <t>High Sulfur</t>
  </si>
  <si>
    <t>Low Sulfur</t>
  </si>
  <si>
    <t>Fuel Stock Exp Undistributed Allocation</t>
  </si>
  <si>
    <t>Percentage</t>
  </si>
  <si>
    <t>Type of Coal</t>
  </si>
  <si>
    <t>Tons</t>
  </si>
  <si>
    <t>Balance End of Period (High Sulfur)</t>
  </si>
  <si>
    <t>Balance End of Period (Low Sulfur)</t>
  </si>
  <si>
    <t xml:space="preserve"> Total </t>
  </si>
  <si>
    <t xml:space="preserve"> Fuel Stock Exp Undistributed </t>
  </si>
  <si>
    <t xml:space="preserve"> Fuel Stock Coal - Intransit </t>
  </si>
  <si>
    <t xml:space="preserve"> Fuel Stock - Coal </t>
  </si>
  <si>
    <t>March 31,2023 GL Balance</t>
  </si>
  <si>
    <t>W39-Mitchell Coal Stock Adjustment (Coal Inventory Adjustment)</t>
  </si>
  <si>
    <t>Debit (Credit)</t>
  </si>
  <si>
    <t>NONREC</t>
  </si>
  <si>
    <t>Ref No</t>
  </si>
  <si>
    <t>To record prior year adjustment to accrued revenue for joint use pole rental revenue &amp; expense  - Kentucky Power Company</t>
  </si>
  <si>
    <t>Long Descr</t>
  </si>
  <si>
    <t>CAD056AJE</t>
  </si>
  <si>
    <t>Pivot of Non-Recurring Journal ID CAD056AJE</t>
  </si>
  <si>
    <t>W44-Remove Adjustment to Joint Use Pole Rental Revenue and Expense Related to a Prior Period</t>
  </si>
  <si>
    <t>Remove Amounts</t>
  </si>
  <si>
    <t>2019NCOV1</t>
  </si>
  <si>
    <t>Pivot of Project ID 2019NCOV1</t>
  </si>
  <si>
    <t>W45-Remove Non-Ongoing Expense Related to the COVID-19 Pandemic</t>
  </si>
  <si>
    <t xml:space="preserve">Increase Account: </t>
  </si>
  <si>
    <t>[A]</t>
  </si>
  <si>
    <t>To allocate the proceeds from EIS related to the Mitchell transformer failure and fire [2021].</t>
  </si>
  <si>
    <t>EIS_AR_MT</t>
  </si>
  <si>
    <t>STREXP6141</t>
  </si>
  <si>
    <t>MITCH_JB</t>
  </si>
  <si>
    <t>MAX3587044</t>
  </si>
  <si>
    <t>INTCOM6011</t>
  </si>
  <si>
    <t>APACC86793</t>
  </si>
  <si>
    <t>Account 5130000</t>
  </si>
  <si>
    <t>ML1GSUF1N</t>
  </si>
  <si>
    <t>Non-Recurring Journal ID EIS_AR_MT</t>
  </si>
  <si>
    <t>W46-Remove Insurance Proceeds Related to Prior Period</t>
  </si>
  <si>
    <t xml:space="preserve">In Case No. 2020-00174, the Company proposed “As approved in Case No. 2017-00179 and until new base rates are implemented, the Company will continue to defer the actual annual steam plant maintenance cost above or below the 3-year average included in base rates and establish a regulatory asset or liability, as appropriate, to be recovered by the Company or returned to the customer in the Company’s next base rate case.”  As a result of the Commission's Order in Case No. 2020-00174, new base rates were implemented in January 14, 2021.  The Company deferred a regulatory liability of $2,097,760 for the period April 1, 2020 to January 14, 2021. </t>
  </si>
  <si>
    <t>(B)</t>
  </si>
  <si>
    <t xml:space="preserve">In Case No. 2017-00179, the Commission approved the Company’s request to defer the actual annual steam plant maintenance cost above or below the 3-year average included in base rates and establish a regulatory asset or liability as appropriate. The regulatory asset or liability was to be recovered by the Company or returned to customers in the Company’s next base rate case.
In Case No. 2020-00174, the Commission approved the Company's request to amortize the plant maintenance cost regulatory asset as of March 31, 2020 of $696,194 over 3 years in base rates. </t>
  </si>
  <si>
    <t>(A)</t>
  </si>
  <si>
    <t>KY Steam Main O/U</t>
  </si>
  <si>
    <t>KY Steam Maint O/U</t>
  </si>
  <si>
    <t>5120037 -KY Steam Maint O/U</t>
  </si>
  <si>
    <t>1823037 - KY Steam Maint O/U</t>
  </si>
  <si>
    <t>Steam Plant Maintenance Amortization</t>
  </si>
  <si>
    <t>W48-Amortization of Deferred Plant Maintenance Costs</t>
  </si>
  <si>
    <t>Net Plant-In-Service at March 31, 2023</t>
  </si>
  <si>
    <t>SITCV23501</t>
  </si>
  <si>
    <t>ITSEC1965</t>
  </si>
  <si>
    <t>SITCU52701</t>
  </si>
  <si>
    <t>ITSEC1934</t>
  </si>
  <si>
    <t>SITCS61001</t>
  </si>
  <si>
    <t>ITSSV1766</t>
  </si>
  <si>
    <t>SITCU25901</t>
  </si>
  <si>
    <t>ITSEC1882</t>
  </si>
  <si>
    <t>SITCU15901</t>
  </si>
  <si>
    <t>ITSEC1855</t>
  </si>
  <si>
    <t>SITCU15801</t>
  </si>
  <si>
    <t>SITCU06201</t>
  </si>
  <si>
    <t>SITCT49401</t>
  </si>
  <si>
    <t>ITSEC1808</t>
  </si>
  <si>
    <t>SITCT33101</t>
  </si>
  <si>
    <t>ITSEC1795</t>
  </si>
  <si>
    <t>SITCS49801</t>
  </si>
  <si>
    <t>ITSEC1737</t>
  </si>
  <si>
    <t>SITCS62101</t>
  </si>
  <si>
    <t>ITSEC1769</t>
  </si>
  <si>
    <t>SITCS55001</t>
  </si>
  <si>
    <t>ITSEC1753</t>
  </si>
  <si>
    <t>SITCS54901</t>
  </si>
  <si>
    <t>ITSEC1752</t>
  </si>
  <si>
    <t>SITCS44101</t>
  </si>
  <si>
    <t>ITSEC1732</t>
  </si>
  <si>
    <t>SITCS38701</t>
  </si>
  <si>
    <t>ITSEC1726</t>
  </si>
  <si>
    <t>SITCS37701</t>
  </si>
  <si>
    <t>ITSEC1720</t>
  </si>
  <si>
    <t>SITCS32901</t>
  </si>
  <si>
    <t>ITSEC1715</t>
  </si>
  <si>
    <t>SITCS34201</t>
  </si>
  <si>
    <t>ITSEC1716</t>
  </si>
  <si>
    <t>SITCU51101</t>
  </si>
  <si>
    <t>ITSEC1436</t>
  </si>
  <si>
    <t>SITCV38001</t>
  </si>
  <si>
    <t>SITCV37001</t>
  </si>
  <si>
    <t>SITCV34201</t>
  </si>
  <si>
    <t>SITCV29301</t>
  </si>
  <si>
    <t>SITCV17501</t>
  </si>
  <si>
    <t>SITCV11401</t>
  </si>
  <si>
    <t>SITCV16801</t>
  </si>
  <si>
    <t>SITCU36101</t>
  </si>
  <si>
    <t>SITCU31901</t>
  </si>
  <si>
    <t>SITCS23001</t>
  </si>
  <si>
    <t>SITCS22201</t>
  </si>
  <si>
    <t>SITCR33901</t>
  </si>
  <si>
    <t>SITCR25501</t>
  </si>
  <si>
    <t>SITCR23901</t>
  </si>
  <si>
    <t>SITCQ16701</t>
  </si>
  <si>
    <t>ITSEC1552</t>
  </si>
  <si>
    <t>SITCR11401</t>
  </si>
  <si>
    <t>ITSEC1623</t>
  </si>
  <si>
    <t>SITCQ26001</t>
  </si>
  <si>
    <t>ITSEC1567</t>
  </si>
  <si>
    <t>SITCQ16001</t>
  </si>
  <si>
    <t>ITSEC1529</t>
  </si>
  <si>
    <t>SITCQ16201</t>
  </si>
  <si>
    <t>ITSEC1547</t>
  </si>
  <si>
    <t>SITCQ05001</t>
  </si>
  <si>
    <t>ITSEC1478</t>
  </si>
  <si>
    <t>SITCQ05301</t>
  </si>
  <si>
    <t>SITCQ04501</t>
  </si>
  <si>
    <t>SITCA55601</t>
  </si>
  <si>
    <t>ITSSV1382</t>
  </si>
  <si>
    <t>SITC156201</t>
  </si>
  <si>
    <t>SITC152401</t>
  </si>
  <si>
    <t>SITC152301</t>
  </si>
  <si>
    <t>SITC152101</t>
  </si>
  <si>
    <t>SITC151901</t>
  </si>
  <si>
    <t>SITC151801</t>
  </si>
  <si>
    <t>SITC151701</t>
  </si>
  <si>
    <t>SITC056001</t>
  </si>
  <si>
    <t>SITCA40401</t>
  </si>
  <si>
    <t xml:space="preserve">ITSSV1332 </t>
  </si>
  <si>
    <t>SITCB45901</t>
  </si>
  <si>
    <t>ITSSV0003</t>
  </si>
  <si>
    <t>SITCB44601</t>
  </si>
  <si>
    <t>BU 180</t>
  </si>
  <si>
    <t>BU 117</t>
  </si>
  <si>
    <t>BU 110</t>
  </si>
  <si>
    <t>(O) + (N)</t>
  </si>
  <si>
    <t>(J) * Retail Jurs</t>
  </si>
  <si>
    <t>Prior Month SS</t>
  </si>
  <si>
    <t>(L) + (K)</t>
  </si>
  <si>
    <t>(I) * ((F) /12)</t>
  </si>
  <si>
    <t>(F)</t>
  </si>
  <si>
    <t>(P)</t>
  </si>
  <si>
    <t>(O)</t>
  </si>
  <si>
    <t>(N)</t>
  </si>
  <si>
    <t>(M)</t>
  </si>
  <si>
    <t>(L)</t>
  </si>
  <si>
    <t>(K)</t>
  </si>
  <si>
    <t>(J)</t>
  </si>
  <si>
    <t>(I)</t>
  </si>
  <si>
    <t>(H)</t>
  </si>
  <si>
    <t>(G)</t>
  </si>
  <si>
    <t>(E )</t>
  </si>
  <si>
    <t>(D)</t>
  </si>
  <si>
    <t>(C)</t>
  </si>
  <si>
    <t>Current Months Retail Share of Accumulated Depreciation</t>
  </si>
  <si>
    <t>Retail Share of Depreciation Expense</t>
  </si>
  <si>
    <t>Previous Months Retail Share of Accumulated Depreciation</t>
  </si>
  <si>
    <t>Current Month Accumulated Depreciation Expense</t>
  </si>
  <si>
    <t>Current Month Depreciation Expense</t>
  </si>
  <si>
    <t>Previous Months Total Accumulated Depreciation</t>
  </si>
  <si>
    <t>Total Balance Eligible for Depreciation Expense</t>
  </si>
  <si>
    <t>Depreciation Rate</t>
  </si>
  <si>
    <t>TOTAL KPCO Costs</t>
  </si>
  <si>
    <t>2023 KPCO Total Costs</t>
  </si>
  <si>
    <t>2022 KPCO Total Costs</t>
  </si>
  <si>
    <t>2021 KPCO Total Costs</t>
  </si>
  <si>
    <t>2020 KPCO Total Costs</t>
  </si>
  <si>
    <t>2019 KPCO Total Costs</t>
  </si>
  <si>
    <t>2018 KPCO Total Costs</t>
  </si>
  <si>
    <t>2017 KPCO Total Costs</t>
  </si>
  <si>
    <t>Work Order</t>
  </si>
  <si>
    <t>Fund Project Number</t>
  </si>
  <si>
    <t>NERC Compliance and Cyber Security Plant-In-Service and Accumulated Depreciation</t>
  </si>
  <si>
    <t>W53-Remove NERC Compliance and Cybersecurity Net Plant from Rate Base</t>
  </si>
  <si>
    <t>Test Year Ended March 31, 2023 - Non-Winter Storm Elliott</t>
  </si>
  <si>
    <t>Test Year Ended March 31, 2023 - Winter Storm Elliott</t>
  </si>
  <si>
    <t>March</t>
  </si>
  <si>
    <t>February</t>
  </si>
  <si>
    <t>January</t>
  </si>
  <si>
    <t>December</t>
  </si>
  <si>
    <t>November</t>
  </si>
  <si>
    <t>October</t>
  </si>
  <si>
    <t>September</t>
  </si>
  <si>
    <t>August</t>
  </si>
  <si>
    <t>July</t>
  </si>
  <si>
    <t>June</t>
  </si>
  <si>
    <t>May</t>
  </si>
  <si>
    <t>April</t>
  </si>
  <si>
    <t>Actual 
(Prior Mo.)</t>
  </si>
  <si>
    <t>Estimate
(Qtr End Mo.)</t>
  </si>
  <si>
    <t>Accounting Period</t>
  </si>
  <si>
    <t>12 Months Ended March 31, 2021</t>
  </si>
  <si>
    <t>Non F.A.C Eligible Purchased Power Costs (FERC 5010005)</t>
  </si>
  <si>
    <t>12 Months Ended March 31, 2022</t>
  </si>
  <si>
    <t>*</t>
  </si>
  <si>
    <t>12 Months Ended March 31, 2020</t>
  </si>
  <si>
    <t>12 Months Ended March 31, 2023</t>
  </si>
  <si>
    <t>Three-Year Average (Excluding Winter Storm Elliott*)</t>
  </si>
  <si>
    <t>Test Year Expense</t>
  </si>
  <si>
    <t>Summary of Non F.A.C Eligble Purchased Power Costs</t>
  </si>
  <si>
    <t>W57-Normalize Non-F.A.C Eligible Purchased Power Expense</t>
  </si>
  <si>
    <t>12 Months Ended February 28, 2017</t>
  </si>
  <si>
    <t>Case. No 2017-00179 (Base Rates)</t>
  </si>
  <si>
    <t>Case. No 2020-00174 (Base Rates)</t>
  </si>
  <si>
    <t>Unrecovered Non F.A.C Eligible Fuel Costs From Prior Base Case</t>
  </si>
  <si>
    <t>Remove Base Rate Level 
(Case No. 2020-00174 - Effective January 13, 2021)
 (Case No. 2017-00179 - Effective January 18, 2018)</t>
  </si>
  <si>
    <t>Remove Winter Storm Elliott Non F.A.C Eligible Fuel Costs*</t>
  </si>
  <si>
    <t>Non F.A.C Eligible Fuel Costs</t>
  </si>
  <si>
    <t>W58-Recover Actual, Incremental Non-F.A.C Eligible Purchased Power Expense Since Last Base Case (Excluding Winter Storm Elliott)</t>
  </si>
  <si>
    <t>Approved Deferred Storm Exp</t>
  </si>
  <si>
    <t>DESCR2</t>
  </si>
  <si>
    <t>Detail of Storm Regulatory Asset Amortization Recorded in the Test Year</t>
  </si>
  <si>
    <t>W59-Remove Certain Regulatory Asset Amortizations Not Recovered Through Base Rates</t>
  </si>
  <si>
    <t>GreenHat Settlement Reg Deferr</t>
  </si>
  <si>
    <t>OSS Margin Sharing</t>
  </si>
  <si>
    <t>Detail of GreenHat Regulatory Asset Amortization Recorded in the Test Year</t>
  </si>
  <si>
    <t>KY ELG Deferral</t>
  </si>
  <si>
    <t>Defer Kentucky ELG items per K</t>
  </si>
  <si>
    <t>Amortize the KY ELG Deferral.</t>
  </si>
  <si>
    <t>Detail of ELG Regulatory Asset Amortization Recorded in the Test Year</t>
  </si>
  <si>
    <t xml:space="preserve">The January 13, 2021 and February 22, 2021 Orders in Case No. 2020-00174 approved deferral of $336,763 base rate case expenses and amortization over 3 years, beginning on January 14, 2021 and ending on January 14, 2024.  </t>
  </si>
  <si>
    <t>Reg Asset - Rate Case Expenses</t>
  </si>
  <si>
    <t>Detail of Rate Case Expense Deferral Amortization Recorded in the Test Year</t>
  </si>
  <si>
    <t>TXACCACNUF</t>
  </si>
  <si>
    <t>Kentucky Sales and Use Tax - Energy Exemption Annual Return</t>
  </si>
  <si>
    <t xml:space="preserve">W61-Cash Working Capital </t>
  </si>
  <si>
    <t>Total Working Funds and Other</t>
  </si>
  <si>
    <t>Utility Gross Receipts License Tax (UGRLT)</t>
  </si>
  <si>
    <t>Franchise Fees</t>
  </si>
  <si>
    <t>Sales and Use Tax</t>
  </si>
  <si>
    <t>Average Cash-in-Banks</t>
  </si>
  <si>
    <t>Amount
(b)</t>
  </si>
  <si>
    <t>Description
(a)</t>
  </si>
  <si>
    <t>WORKING FUNDS AND OTHER</t>
  </si>
  <si>
    <t>Working Funds and Other</t>
  </si>
  <si>
    <t xml:space="preserve"> Average </t>
  </si>
  <si>
    <t xml:space="preserve"> Grand Total </t>
  </si>
  <si>
    <t>Day</t>
  </si>
  <si>
    <t>Average Daily Bank Balances</t>
  </si>
  <si>
    <t>EFT</t>
  </si>
  <si>
    <t>Kentucky Department of Revenue</t>
  </si>
  <si>
    <t>(E)</t>
  </si>
  <si>
    <t>Weighted Lead</t>
  </si>
  <si>
    <t>Total Lead</t>
  </si>
  <si>
    <t>Float</t>
  </si>
  <si>
    <t>Payment Lead</t>
  </si>
  <si>
    <t>Service Lead</t>
  </si>
  <si>
    <t xml:space="preserve">Weighting Factor </t>
  </si>
  <si>
    <t>Payment Date</t>
  </si>
  <si>
    <t>Tax Due Date</t>
  </si>
  <si>
    <t>Period Ending</t>
  </si>
  <si>
    <t>Period Beginning</t>
  </si>
  <si>
    <t>Method of Payment</t>
  </si>
  <si>
    <t>Payee</t>
  </si>
  <si>
    <t>Sales/Use Tax</t>
  </si>
  <si>
    <t>Check</t>
  </si>
  <si>
    <t>Various Localities</t>
  </si>
  <si>
    <t>Due Date</t>
  </si>
  <si>
    <t>Local Franchise Fee</t>
  </si>
  <si>
    <t>Working Capital Amount</t>
  </si>
  <si>
    <t>Average Daily Amount</t>
  </si>
  <si>
    <t>Weighted Expense Lead</t>
  </si>
  <si>
    <t>Category</t>
  </si>
  <si>
    <t xml:space="preserve">Pass Through Taxes - CWC Analysis </t>
  </si>
  <si>
    <t>Total Company Adjusted Payroll Expense</t>
  </si>
  <si>
    <t>Payroll</t>
  </si>
  <si>
    <t>Monthly Amortization of KPCO KY Public Service Commission Fee</t>
  </si>
  <si>
    <t>KY Public Service Commission Fee-Amortization-RECLASS TO NEW GL 1650041</t>
  </si>
  <si>
    <t>KY Public Service Commission Fee-Amortization-Current Month</t>
  </si>
  <si>
    <t>DESCR254</t>
  </si>
  <si>
    <t>Amortization of monthly prepaids-Adj  entry</t>
  </si>
  <si>
    <t>Amortization of monthly prepaids.</t>
  </si>
  <si>
    <t>Amortization of monthly prepaids</t>
  </si>
  <si>
    <t xml:space="preserve"> Prepaid Amortization Amount </t>
  </si>
  <si>
    <t>Prepayments</t>
  </si>
  <si>
    <t>WV</t>
  </si>
  <si>
    <t>KY</t>
  </si>
  <si>
    <t>CWC Amount</t>
  </si>
  <si>
    <t>Fringe Benefit Allocation (Account 4081035)</t>
  </si>
  <si>
    <t>Allocated Amounts</t>
  </si>
  <si>
    <t>O&amp;M Labor</t>
  </si>
  <si>
    <t>OPERATING_UNIT</t>
  </si>
  <si>
    <t>Allocation Factor</t>
  </si>
  <si>
    <t>State Unemployment</t>
  </si>
  <si>
    <t>Tariff P.P.A. Revenue for the Test Year Ended 3/31/2023</t>
  </si>
  <si>
    <t>Total Costs Recoverable Through Tariff P.P.A. for the Test Year Ended 3/31/2023</t>
  </si>
  <si>
    <t>Refund of Rockport Fixed Cost Savings (Dec 9 2022 until reflected in base rates)</t>
  </si>
  <si>
    <t>Recovery of Amortization of Interest Expense Deferral (Oct 2021-Sept 2022)</t>
  </si>
  <si>
    <t>Recovery of Deferred Carrying Charges (Equity) on Rockport Deferral</t>
  </si>
  <si>
    <t>Recovery of Deferred Carrying Charges (Debt) on Rockport Deferral</t>
  </si>
  <si>
    <t>Recovery of Current Carrying Charges (Equity) on Rockport Deferral</t>
  </si>
  <si>
    <t>Recovery of Current Carrying Charges (Debt) on Rockport Deferral</t>
  </si>
  <si>
    <t>Recovery of Estimated Rockport Offset</t>
  </si>
  <si>
    <t>456.1 / 565</t>
  </si>
  <si>
    <t>PJM OATT LSE Expense - Rolled into Base Rates - W23</t>
  </si>
  <si>
    <t>555/566</t>
  </si>
  <si>
    <t>Non-Transmission Expenses Recovered Through Tariff P.P.A. - W09 (Above)</t>
  </si>
  <si>
    <t>(1) Reconciliation of Test Year Tariff P.P.A. Rider Revenues to Recoverable Costs:</t>
  </si>
  <si>
    <t>Increase to O&amp;M Expense</t>
  </si>
  <si>
    <t>Remove Tariff P.P.A. (Over)/Under Recovery</t>
  </si>
  <si>
    <t>Remove Interruptible Service Credit Expense</t>
  </si>
  <si>
    <t>Remove Recovery of Rockport Deferral (Dec 9, 2022 through Mar 31, 2023)</t>
  </si>
  <si>
    <t>Remove Tariff P.P.A. O&amp;M Expense (1)</t>
  </si>
  <si>
    <t>Decrease to Revenue</t>
  </si>
  <si>
    <t>Decrease Test Year Revenue to Remove Tariff P.P.A. Revenues</t>
  </si>
  <si>
    <t>Remove Tariff P.P.A. Revenue (1)</t>
  </si>
  <si>
    <t>Amount
(c)</t>
  </si>
  <si>
    <t>FERC Account
(b)</t>
  </si>
  <si>
    <t>Adjustment Summary with Links</t>
  </si>
  <si>
    <t>W09-Remove Tariff P.P.A. Revenues and Non-Transmission Expenses Recovered Through Tariff P.P.A.</t>
  </si>
  <si>
    <t>1823557  as of 3/31/2023</t>
  </si>
  <si>
    <t>Test Year Activity - 5550153 -  PurchPower-Rockport Def-NonAff</t>
  </si>
  <si>
    <t>Test Year Activity - 5660009 - PJM OATT LSE Over-Under Adjustment</t>
  </si>
  <si>
    <t>1823557  as of 3/31/2022</t>
  </si>
  <si>
    <t>Rollforward Cumulative O/U Reg Asset/(Liab)</t>
  </si>
  <si>
    <t>A</t>
  </si>
  <si>
    <t>Recovery of Rockport Deferral (Dec 9 2022 through Dec 8 2027)</t>
  </si>
  <si>
    <t>No O&amp;M adjustment needed to cost of service (offset Tariff P.P.A. revenues).</t>
  </si>
  <si>
    <t>No adjustment need to cost of service (offset interest expense, FERC Account 431).</t>
  </si>
  <si>
    <t>Cumulative Balance in Regulatory Asset/(Liability)</t>
  </si>
  <si>
    <t>Current month (Over) Under Recovery of Base Rates</t>
  </si>
  <si>
    <t/>
  </si>
  <si>
    <t>(Over) Under Recovery of Base Rates (Step 1-3)</t>
  </si>
  <si>
    <t>Total Non-OATT LSE at 100% less amount in Base Rates</t>
  </si>
  <si>
    <t>Total Non-OATT LSE at 100%</t>
  </si>
  <si>
    <t xml:space="preserve">ACTUALS - Post Close - True up of Prior Month 100% of Interruptible Service Credits </t>
  </si>
  <si>
    <t>Reversal of Day 3 estimates - 100% of Interruptible Service Credits</t>
  </si>
  <si>
    <t>ESTIMATE - Day 3 - 100% of Interruptible Service Credits</t>
  </si>
  <si>
    <t>Non-OATT LSE amount in base rates</t>
  </si>
  <si>
    <t>No O&amp;M adjustment needed to cost of service (offset base rate revenues).</t>
  </si>
  <si>
    <t>Refund of Rockport Fixed Cost Savings (Dec 9 2022 until date reflected in base rates, expected January 2024)</t>
  </si>
  <si>
    <t>W47 - Remove Rockport UPA Non-Fuel Expense, Net of Deferral</t>
  </si>
  <si>
    <t>Recovery of Declining Deferral of Rockport Costs (through Dec 2022)</t>
  </si>
  <si>
    <t>FERC Return in excess of Kentucky Retail Return</t>
  </si>
  <si>
    <t xml:space="preserve">(Over) Under Recovery of PJM OATT LSE Charges </t>
  </si>
  <si>
    <t>Transmission Enhancement Charges</t>
  </si>
  <si>
    <t>PJM NITS Expense - Affilated</t>
  </si>
  <si>
    <t>Schedule 1a Charges</t>
  </si>
  <si>
    <t>Network Integrated Transmission Service</t>
  </si>
  <si>
    <t>Purchase Power VCS Credit</t>
  </si>
  <si>
    <t>RTO Formation Costs</t>
  </si>
  <si>
    <t>Firm and Non-Firm Point to Point Transmision Revenues</t>
  </si>
  <si>
    <t>PJM TO Serv Expense - Affiliated</t>
  </si>
  <si>
    <t>PJM NITS Expense - Non-Affiliated</t>
  </si>
  <si>
    <t xml:space="preserve">Account No. </t>
  </si>
  <si>
    <t>Expense:</t>
  </si>
  <si>
    <t>Monthly Approved PPA Base Amount included in Base Rates</t>
  </si>
  <si>
    <t>Base Rates:</t>
  </si>
  <si>
    <t>Billed Revenue</t>
  </si>
  <si>
    <t>Revenue:</t>
  </si>
  <si>
    <t>32023</t>
  </si>
  <si>
    <t>22023</t>
  </si>
  <si>
    <t>12023</t>
  </si>
  <si>
    <t>122022</t>
  </si>
  <si>
    <t>112022</t>
  </si>
  <si>
    <t>102022</t>
  </si>
  <si>
    <t>92022</t>
  </si>
  <si>
    <t>82022</t>
  </si>
  <si>
    <t>72022</t>
  </si>
  <si>
    <t>62022</t>
  </si>
  <si>
    <t>52022</t>
  </si>
  <si>
    <t>42022</t>
  </si>
  <si>
    <t>KPCo</t>
  </si>
  <si>
    <t>Comments</t>
  </si>
  <si>
    <t>Test Year Total</t>
  </si>
  <si>
    <t>Per Books</t>
  </si>
  <si>
    <t>PPA Rider Over Under Recovery</t>
  </si>
  <si>
    <t>Totals:</t>
  </si>
  <si>
    <t>Deferral Ends December 8, 2022</t>
  </si>
  <si>
    <t>Dec 1 to 8 2022</t>
  </si>
  <si>
    <t>Jan 2021 New</t>
  </si>
  <si>
    <t>Jan 2021 Old</t>
  </si>
  <si>
    <t>Rate</t>
  </si>
  <si>
    <t>Charge Basis</t>
  </si>
  <si>
    <t>ADIT</t>
  </si>
  <si>
    <t>Reg Asset Bal</t>
  </si>
  <si>
    <t>Cumulative Balance</t>
  </si>
  <si>
    <t>Amount to Defer</t>
  </si>
  <si>
    <t>Equity CC</t>
  </si>
  <si>
    <t>Debt CC</t>
  </si>
  <si>
    <t>Total CC</t>
  </si>
  <si>
    <t xml:space="preserve">Carrying </t>
  </si>
  <si>
    <t>Less</t>
  </si>
  <si>
    <t xml:space="preserve">Previous month </t>
  </si>
  <si>
    <t>1823557 or 2543557</t>
  </si>
  <si>
    <t>Ending December 8</t>
  </si>
  <si>
    <t>Year 2022</t>
  </si>
  <si>
    <t>Year 2021</t>
  </si>
  <si>
    <t>Monthly Journal Entry</t>
  </si>
  <si>
    <t>Year 2020</t>
  </si>
  <si>
    <t>Year 2019</t>
  </si>
  <si>
    <t>Beginning January 19</t>
  </si>
  <si>
    <t>Year 2018</t>
  </si>
  <si>
    <t>RKPTDEF (BU 117)</t>
  </si>
  <si>
    <t>Rockport Deferral and Carrying Charges - Through Dec 8, 2022</t>
  </si>
  <si>
    <t>Dec 9 to 31 2022</t>
  </si>
  <si>
    <t>Account Rollforward</t>
  </si>
  <si>
    <t>Monthly Amortization
Deferred Equity 
Carrying Charges
Task 80</t>
  </si>
  <si>
    <t>Monthly Amortization
Deferred Debt 
Carrying Charges
Task 81</t>
  </si>
  <si>
    <t>Monthly Amortization
Rockport Deferral
Task 79</t>
  </si>
  <si>
    <t>Balances as of December 8. 2022:</t>
  </si>
  <si>
    <t>Rockport Deferral Amortization Schedule - Beginning Dec 9, 2022</t>
  </si>
  <si>
    <t>Dec 1 - Dec 8, 2027</t>
  </si>
  <si>
    <t>Dec 9 - Dec 31, 2022</t>
  </si>
  <si>
    <t>Equity</t>
  </si>
  <si>
    <t>Debt</t>
  </si>
  <si>
    <t>Principal</t>
  </si>
  <si>
    <t>Dec 1 - Dec 8, 2022</t>
  </si>
  <si>
    <t>Step 3</t>
  </si>
  <si>
    <t>Step 2</t>
  </si>
  <si>
    <t>Step 1</t>
  </si>
  <si>
    <t>January  2021 Prorate</t>
  </si>
  <si>
    <t>Month End Reg Asset Balance</t>
  </si>
  <si>
    <t>Carrying Charges on Total Reg Asset net of ADIT</t>
  </si>
  <si>
    <t>Carrying Charges on Principal net of ADIT only</t>
  </si>
  <si>
    <t>Balance of Components Subject to WACC</t>
  </si>
  <si>
    <t>ADIT Balance</t>
  </si>
  <si>
    <t>ADIT on RA</t>
  </si>
  <si>
    <t>Month End Reg Asset Balance Excl. CC</t>
  </si>
  <si>
    <t>Calculated Change in RA</t>
  </si>
  <si>
    <t>Levelized Payment</t>
  </si>
  <si>
    <t>Additions</t>
  </si>
  <si>
    <t>Line</t>
  </si>
  <si>
    <t>Monthly WACC</t>
  </si>
  <si>
    <t>Retail Revenue Requirement</t>
  </si>
  <si>
    <t>Monthly Payment</t>
  </si>
  <si>
    <t>WACC</t>
  </si>
  <si>
    <t>Monthly</t>
  </si>
  <si>
    <t>Jan 14 2021 - Current</t>
  </si>
  <si>
    <t>Jan 2018 - Jan 13 2021</t>
  </si>
  <si>
    <t>Exhibit BKW-2 (Errata)</t>
  </si>
  <si>
    <t>Rockport Deferral Carrying Charges and Amortization Schedule - Beginning Dec 9, 2022 (Case No. 2022-00283 Exhibit BKW-2)</t>
  </si>
  <si>
    <t>W47-Remove Rockport UPA Non-Fuel Expense, Net of Deferral</t>
  </si>
  <si>
    <t>General Ledger Activity</t>
  </si>
  <si>
    <t>Rockport Capacity Deferral</t>
  </si>
  <si>
    <t>Tariff P.P.A. Under Recovered Balance</t>
  </si>
  <si>
    <t>Purch Pwr-Non-Fuel Portion-Aff (Rockport)</t>
  </si>
  <si>
    <t>Purch Power-Fuel Portion-Affil (Rockport)</t>
  </si>
  <si>
    <t>PurchPower-Rockport Def-NonAff</t>
  </si>
  <si>
    <t>TO_CHAR(A.JOURNAL_DATE,'YYYY-MM-DD')</t>
  </si>
  <si>
    <t>1823431</t>
  </si>
  <si>
    <t>1823557</t>
  </si>
  <si>
    <t>5550027</t>
  </si>
  <si>
    <t>5550046</t>
  </si>
  <si>
    <t>5550153</t>
  </si>
  <si>
    <t>CA0141</t>
  </si>
  <si>
    <t>PPA_RIDER</t>
  </si>
  <si>
    <t>RKPTDEF</t>
  </si>
  <si>
    <t>2022-04-30</t>
  </si>
  <si>
    <t>4 Total</t>
  </si>
  <si>
    <t>2022-05-31</t>
  </si>
  <si>
    <t>5 Total</t>
  </si>
  <si>
    <t>2022-06-30</t>
  </si>
  <si>
    <t>6 Total</t>
  </si>
  <si>
    <t>2022-07-31</t>
  </si>
  <si>
    <t>7 Total</t>
  </si>
  <si>
    <t>2022-08-31</t>
  </si>
  <si>
    <t>8 Total</t>
  </si>
  <si>
    <t>2022-09-30</t>
  </si>
  <si>
    <t>9 Total</t>
  </si>
  <si>
    <t>2022-10-31</t>
  </si>
  <si>
    <t>10 Total</t>
  </si>
  <si>
    <t>2022-11-30</t>
  </si>
  <si>
    <t>11 Total</t>
  </si>
  <si>
    <t>2022-12-30</t>
  </si>
  <si>
    <t>2022-12-31</t>
  </si>
  <si>
    <t>12 Total</t>
  </si>
  <si>
    <t>2023-01-31</t>
  </si>
  <si>
    <t>1 Total</t>
  </si>
  <si>
    <t>CA0142ADJ</t>
  </si>
  <si>
    <t>INTCOM6681</t>
  </si>
  <si>
    <t>2023-02-28</t>
  </si>
  <si>
    <t>2 Total</t>
  </si>
  <si>
    <t>INTADJRKP</t>
  </si>
  <si>
    <t>2023-03-31</t>
  </si>
  <si>
    <t>3 Total</t>
  </si>
  <si>
    <t>W08 - Remove Tariff P.P.A. Revenues and Expenses</t>
  </si>
  <si>
    <t>W06 - Fuel Under/ (Over) Revenues</t>
  </si>
  <si>
    <t>Balance as of March 31, 2022</t>
  </si>
  <si>
    <t>W53 - Remove Rockport UPA Expense (Remove Rockport Capacity Deferral)</t>
  </si>
  <si>
    <t>W53 - Remove Rockport UPA Expense (Remove Rockport UPA Non-Fuel Expense)</t>
  </si>
  <si>
    <t>Test Year Employee Related Group Benefit Costs</t>
  </si>
  <si>
    <t>Net</t>
  </si>
  <si>
    <t xml:space="preserve">(3)  </t>
  </si>
  <si>
    <t>(4)</t>
  </si>
  <si>
    <t>12-Months Ending 3/30/23</t>
  </si>
  <si>
    <t>9260004</t>
  </si>
  <si>
    <t>Group Life Insurance Premiums Paid</t>
  </si>
  <si>
    <t>Billing to Kentucky Power Company for Mitchell</t>
  </si>
  <si>
    <t xml:space="preserve">Net Test Year Premiums for Life </t>
  </si>
  <si>
    <t>9260005</t>
  </si>
  <si>
    <t>Group Medical Ins Premiums</t>
  </si>
  <si>
    <t>Net Test Year Premiums for Medical</t>
  </si>
  <si>
    <t>9260007</t>
  </si>
  <si>
    <t>Group L-T Disability Ins Prem Paid</t>
  </si>
  <si>
    <t>Net Test Year Premiums for LTD</t>
  </si>
  <si>
    <t>9260009</t>
  </si>
  <si>
    <t>Group Dental Insurance Prem Paid</t>
  </si>
  <si>
    <t>Net Test Year Premiums for Dental</t>
  </si>
  <si>
    <t>Net Employee Related Group Benefit Costs for Test Year</t>
  </si>
  <si>
    <t xml:space="preserve">Blended </t>
  </si>
  <si>
    <t>Employee</t>
  </si>
  <si>
    <t>Participating</t>
  </si>
  <si>
    <t>Annual</t>
  </si>
  <si>
    <t>Funding</t>
  </si>
  <si>
    <t>Contribution</t>
  </si>
  <si>
    <t>Costs</t>
  </si>
  <si>
    <t xml:space="preserve">Employees   </t>
  </si>
  <si>
    <t>(5)</t>
  </si>
  <si>
    <t>(6)</t>
  </si>
  <si>
    <t>(7)</t>
  </si>
  <si>
    <t>2023 Insurance Calculation:</t>
  </si>
  <si>
    <t>Anthem HRA</t>
  </si>
  <si>
    <t>Employee Only</t>
  </si>
  <si>
    <t>Employee + Spouse</t>
  </si>
  <si>
    <t>Employee + Child(ren)</t>
  </si>
  <si>
    <t>Employee + Family</t>
  </si>
  <si>
    <t>Anthem HSA Plus</t>
  </si>
  <si>
    <t>Anthem HSA Basic</t>
  </si>
  <si>
    <t>Aetna Dental PPO Plan</t>
  </si>
  <si>
    <t>Aetna Dental DMO Plan</t>
  </si>
  <si>
    <t>Additional Monthly Fees:</t>
  </si>
  <si>
    <t>Employee Assistance Program</t>
  </si>
  <si>
    <t>CancerBridge</t>
  </si>
  <si>
    <t>Wellness Incentive Payout</t>
  </si>
  <si>
    <t>(2017 amounts)</t>
  </si>
  <si>
    <t>Long-Term Disability</t>
  </si>
  <si>
    <t>Life (based on participating payroll)</t>
  </si>
  <si>
    <t xml:space="preserve">     Volume (000)</t>
  </si>
  <si>
    <t>Basic</t>
  </si>
  <si>
    <t>AD&amp;D</t>
  </si>
  <si>
    <t>ER Team AD&amp;D</t>
  </si>
  <si>
    <t>2023 Total Calculated Cost</t>
  </si>
  <si>
    <t>Expected 2023 Employee Related Group Benefit Cost for Mitchell Plant</t>
  </si>
  <si>
    <t>2023 Total Calculated Cost for Mitchell</t>
  </si>
  <si>
    <t>50% Billed to Wheeling Power Company</t>
  </si>
  <si>
    <t>Contribution Rates</t>
  </si>
  <si>
    <t>Employee Contributions</t>
  </si>
  <si>
    <t>Full-time Active Employee Share</t>
  </si>
  <si>
    <t>Single</t>
  </si>
  <si>
    <t>EE + Sp</t>
  </si>
  <si>
    <t>EE + Child(ren)</t>
  </si>
  <si>
    <t>Family</t>
  </si>
  <si>
    <t>HRA</t>
  </si>
  <si>
    <t>HSAPlus</t>
  </si>
  <si>
    <t>HSABasic</t>
  </si>
  <si>
    <t>Dental PPO</t>
  </si>
  <si>
    <t>Dental DMO</t>
  </si>
  <si>
    <t>Vision</t>
  </si>
  <si>
    <t>Part-time Active Employee Share</t>
  </si>
  <si>
    <t>Vision plan is fuly paid by empoloyees</t>
  </si>
  <si>
    <t>Medical Plan Count</t>
  </si>
  <si>
    <t>Dental Plan Count</t>
  </si>
  <si>
    <t>Plan</t>
  </si>
  <si>
    <t>Coverage Level</t>
  </si>
  <si>
    <t>Count</t>
  </si>
  <si>
    <t>Plus Plan</t>
  </si>
  <si>
    <t>EE Only</t>
  </si>
  <si>
    <t>EE &amp; Spouse</t>
  </si>
  <si>
    <t>EE &amp; Child(ren)</t>
  </si>
  <si>
    <t>EE &amp; Family</t>
  </si>
  <si>
    <t>Basic Plan</t>
  </si>
  <si>
    <t>Total employees 3/31</t>
  </si>
  <si>
    <t>Mitchell</t>
  </si>
  <si>
    <t>HRA Plan</t>
  </si>
  <si>
    <t>Counts as of
3/31/2023</t>
  </si>
  <si>
    <t>117 (Big Sandy)</t>
  </si>
  <si>
    <t>117 (Mitchell)</t>
  </si>
  <si>
    <t>117 (Kammer)</t>
  </si>
  <si>
    <r>
      <t>117</t>
    </r>
    <r>
      <rPr>
        <sz val="8"/>
        <color theme="1"/>
        <rFont val="Arial"/>
        <family val="2"/>
      </rPr>
      <t xml:space="preserve"> (Hazard Service Center)</t>
    </r>
  </si>
  <si>
    <t>Wellness Incentive Payouts</t>
  </si>
  <si>
    <t>2023 Payout</t>
  </si>
  <si>
    <t>413 (Mitchell)</t>
  </si>
  <si>
    <t>Life - Basic</t>
  </si>
  <si>
    <t>Volume</t>
  </si>
  <si>
    <t>2023 Company Rate</t>
  </si>
  <si>
    <t>.156/1,000</t>
  </si>
  <si>
    <t>Life - AD&amp;D</t>
  </si>
  <si>
    <t>.018/1,000</t>
  </si>
  <si>
    <t>Life - ER Team</t>
  </si>
  <si>
    <t>.021/1,000</t>
  </si>
  <si>
    <t>EAP and cancerbridge</t>
  </si>
  <si>
    <t>W22-Adjust Employee Related Group Benefit Expense</t>
  </si>
  <si>
    <t>Expected 2023 Employee Related Group Benefit Cost (Excludes any Kammer Plant Employees)</t>
  </si>
  <si>
    <t>Health Care Funding Rates</t>
  </si>
  <si>
    <t>Medical, Dental, and Vision Rates</t>
  </si>
  <si>
    <t>Employee Counts</t>
  </si>
  <si>
    <t>Three Year-Average</t>
  </si>
  <si>
    <t>Distribution - Excludes Feb 2021 Ice Storm and July 2022 Flood</t>
  </si>
  <si>
    <t>Transmission - Excludes Feb 2021 Ice Storm and July 2022 Flood</t>
  </si>
  <si>
    <t>Distribution - Total</t>
  </si>
  <si>
    <t>Transmission - Total</t>
  </si>
  <si>
    <t>Witness:  H.M. Whitney</t>
  </si>
  <si>
    <t>W27-W32-Summary of Incentive Compensation &amp; Payroll Adjustments</t>
  </si>
  <si>
    <t>Total O&amp;M Payroll Adjustment</t>
  </si>
  <si>
    <t>Total KPSC Jurisdictional O&amp;M Payroll Adjustment</t>
  </si>
  <si>
    <t>FERC Accounts</t>
  </si>
  <si>
    <t>Incentive Comp. Adjustment</t>
  </si>
  <si>
    <t>OT Related to Merit Increase Adj</t>
  </si>
  <si>
    <t>Total Base Payroll Adj</t>
  </si>
  <si>
    <t>Total Adjustment</t>
  </si>
  <si>
    <t>5000</t>
  </si>
  <si>
    <t>5010</t>
  </si>
  <si>
    <t>5020</t>
  </si>
  <si>
    <t>5050</t>
  </si>
  <si>
    <t>5060</t>
  </si>
  <si>
    <t>5100</t>
  </si>
  <si>
    <t>5110</t>
  </si>
  <si>
    <t>Total KPSC Jurisdictional</t>
  </si>
  <si>
    <t>5120</t>
  </si>
  <si>
    <t>Medicare Tax Expense</t>
  </si>
  <si>
    <t>5130</t>
  </si>
  <si>
    <t>Social Security Tax Expense</t>
  </si>
  <si>
    <t>5140</t>
  </si>
  <si>
    <t>Adj to Social Security Tax Base</t>
  </si>
  <si>
    <t>5370</t>
  </si>
  <si>
    <t>Grand Total (FERC Account 408)</t>
  </si>
  <si>
    <t>5460</t>
  </si>
  <si>
    <t>5600</t>
  </si>
  <si>
    <t>5620</t>
  </si>
  <si>
    <t>5660</t>
  </si>
  <si>
    <t>5710</t>
  </si>
  <si>
    <t>5800</t>
  </si>
  <si>
    <t>5830</t>
  </si>
  <si>
    <t>5840</t>
  </si>
  <si>
    <t>5850</t>
  </si>
  <si>
    <t>5860</t>
  </si>
  <si>
    <t>5870</t>
  </si>
  <si>
    <t>5880</t>
  </si>
  <si>
    <t>5900</t>
  </si>
  <si>
    <t>5920</t>
  </si>
  <si>
    <t>5930</t>
  </si>
  <si>
    <t>5940</t>
  </si>
  <si>
    <t>5950</t>
  </si>
  <si>
    <t>5960</t>
  </si>
  <si>
    <t>5970</t>
  </si>
  <si>
    <t>5980</t>
  </si>
  <si>
    <t>9010</t>
  </si>
  <si>
    <t>9020</t>
  </si>
  <si>
    <t>9030</t>
  </si>
  <si>
    <t>9070</t>
  </si>
  <si>
    <t>9080</t>
  </si>
  <si>
    <t>9100</t>
  </si>
  <si>
    <t>9200</t>
  </si>
  <si>
    <t>9220</t>
  </si>
  <si>
    <t>9260</t>
  </si>
  <si>
    <t>9280</t>
  </si>
  <si>
    <t>9302</t>
  </si>
  <si>
    <t>9350</t>
  </si>
  <si>
    <t>W27-KPCo Incentive Compensation Expense Adjustment</t>
  </si>
  <si>
    <t>With Formula Links to Support</t>
  </si>
  <si>
    <t>Test Year ICP</t>
  </si>
  <si>
    <t>Expected Cost at a Level 1.0 Target*</t>
  </si>
  <si>
    <t>Net Change in ICP Cost
(c-b)</t>
  </si>
  <si>
    <t xml:space="preserve">Test Year LTIP </t>
  </si>
  <si>
    <t>Net Change in LTIP Cost
(f-e)</t>
  </si>
  <si>
    <t>Total Adjustment to Incentive Compensation Expense
(d+g)</t>
  </si>
  <si>
    <t>KY Jurisdictional Factor - OML</t>
  </si>
  <si>
    <t>(a)</t>
  </si>
  <si>
    <t>(b)</t>
  </si>
  <si>
    <t>(c)</t>
  </si>
  <si>
    <t>(d)</t>
  </si>
  <si>
    <t>(e)</t>
  </si>
  <si>
    <t>(f)</t>
  </si>
  <si>
    <t>(g)</t>
  </si>
  <si>
    <t>(h)</t>
  </si>
  <si>
    <t>(i)</t>
  </si>
  <si>
    <t>*Includes 50% of Mitchell</t>
  </si>
  <si>
    <t>Calculation for ICP Adjustment</t>
  </si>
  <si>
    <t>Pay Type</t>
  </si>
  <si>
    <t>ICP</t>
  </si>
  <si>
    <t>Sum of Allocated Monetary Amount</t>
  </si>
  <si>
    <t>141</t>
  </si>
  <si>
    <t>148</t>
  </si>
  <si>
    <t>149</t>
  </si>
  <si>
    <t>155</t>
  </si>
  <si>
    <t>1070</t>
  </si>
  <si>
    <t>1080</t>
  </si>
  <si>
    <t>1520</t>
  </si>
  <si>
    <t>1630</t>
  </si>
  <si>
    <t>1830</t>
  </si>
  <si>
    <t>1840</t>
  </si>
  <si>
    <t>1850</t>
  </si>
  <si>
    <t>1860</t>
  </si>
  <si>
    <t>4261</t>
  </si>
  <si>
    <t>4264</t>
  </si>
  <si>
    <t>4265</t>
  </si>
  <si>
    <t>Target</t>
  </si>
  <si>
    <t>total</t>
  </si>
  <si>
    <t>ICP Adjustment</t>
  </si>
  <si>
    <t>Calculation for LTIP Adjustment</t>
  </si>
  <si>
    <t>LTIP</t>
  </si>
  <si>
    <t>1.0 target excluding 50% of Mitchell</t>
  </si>
  <si>
    <t>LTIP Adjustment to 1.0 excluding 50% Mitchell</t>
  </si>
  <si>
    <t>W28-KPCo Annualization of Payroll Expense Adjustment</t>
  </si>
  <si>
    <t>Test Year Base Payroll</t>
  </si>
  <si>
    <t>Annualized Base as of 3/31/23*</t>
  </si>
  <si>
    <t>Base Payroll Annualiztion Adjustment
(c-b)</t>
  </si>
  <si>
    <t>Annualized Base with Merit/General Increases as of 3/31/23*</t>
  </si>
  <si>
    <t>Merit/General Increase Adjustment
(e-c)</t>
  </si>
  <si>
    <t>Total Base Payroll Adjustment
(b+d+f)</t>
  </si>
  <si>
    <t>Note: Changes to base payroll Excludes overtime, severance payments, incentive payments and other remunerations</t>
  </si>
  <si>
    <t>*Annual Rate less 50% of Mitchell</t>
  </si>
  <si>
    <t>Summary of Adjustment to Base Payroll</t>
  </si>
  <si>
    <t>Annualized Base of Kentucky as of 3/31/23</t>
  </si>
  <si>
    <t>Annualized Base for 50% of Mitchell as of 3/31/23</t>
  </si>
  <si>
    <t>Annualized Base as of 3/31/23
(b+c)</t>
  </si>
  <si>
    <t>Annualization Adjustment
(e-b)</t>
  </si>
  <si>
    <t>Annualized Base of Kentucky with Merit/General Increases as of 3/31/23</t>
  </si>
  <si>
    <t>Annualized Base for 50% of Mitchell with Merit/General Increases as of 3/31/23</t>
  </si>
  <si>
    <t>Annualized Base with Merit/General Increases as of 3/31/23
(f+g)</t>
  </si>
  <si>
    <t>Merit/General Increase Adjustment
(h-d)</t>
  </si>
  <si>
    <t>Total Base Adjustment
(h-a)</t>
  </si>
  <si>
    <t>2420</t>
  </si>
  <si>
    <t>O&amp;M Portion</t>
  </si>
  <si>
    <t>Pivot of Test Year Base Payroll Data</t>
  </si>
  <si>
    <t>Base</t>
  </si>
  <si>
    <t>Annualization of Payroll Expense Adjustment</t>
  </si>
  <si>
    <t>For the Test Year End 03/31/2023</t>
  </si>
  <si>
    <t>Pivot of Annual Base Rates by Salary Plan</t>
  </si>
  <si>
    <t>AsOfDate</t>
  </si>
  <si>
    <t>Salary Plan</t>
  </si>
  <si>
    <t>Sum of ANNUAL_RT</t>
  </si>
  <si>
    <t>Date of Merit/General Increase</t>
  </si>
  <si>
    <t>Increase %</t>
  </si>
  <si>
    <t>Base Rates Projected as of 3/31/2021</t>
  </si>
  <si>
    <t>N004</t>
  </si>
  <si>
    <t>N007</t>
  </si>
  <si>
    <t>SP20</t>
  </si>
  <si>
    <t>U004</t>
  </si>
  <si>
    <t>U036</t>
  </si>
  <si>
    <t>U051</t>
  </si>
  <si>
    <t>U052</t>
  </si>
  <si>
    <t>U056</t>
  </si>
  <si>
    <t>U057</t>
  </si>
  <si>
    <t>Mitchell Plant</t>
  </si>
  <si>
    <t>Yes</t>
  </si>
  <si>
    <t>U026</t>
  </si>
  <si>
    <t>Annual Base Rates (Including 50% of Mitchell)</t>
  </si>
  <si>
    <t>Total Projected Base (Including 50% of Mitchell)</t>
  </si>
  <si>
    <t>W29-KPCo Overtime Related to Employee Merit Increases Adjustment</t>
  </si>
  <si>
    <t>Test Year OT Payroll</t>
  </si>
  <si>
    <t>Blended Base Increase Percentage*</t>
  </si>
  <si>
    <t>Total OT Related to Employee Merit Increase
(b+c)</t>
  </si>
  <si>
    <t>*Blended Base Increase Percentage based on 3.5%</t>
  </si>
  <si>
    <t>Summary of Adjustment to OT Payroll</t>
  </si>
  <si>
    <t>OT</t>
  </si>
  <si>
    <t>Blended Base Increase Percentage</t>
  </si>
  <si>
    <t>W31-KPCo Social Security Tax Expense Adjustment</t>
  </si>
  <si>
    <t>No.</t>
  </si>
  <si>
    <t>Change in O&amp;M ICP Incentives</t>
  </si>
  <si>
    <t>Change in O&amp;M LTIP Incentives</t>
  </si>
  <si>
    <t>Annualization Adjustment of O&amp;M Base Payroll</t>
  </si>
  <si>
    <t>2023 O&amp;M Merit Increases</t>
  </si>
  <si>
    <t xml:space="preserve">2023 O&amp;M Merit Increases Effect on Overtime </t>
  </si>
  <si>
    <t>Change in O&amp;M Payroll</t>
  </si>
  <si>
    <t>2022 Salaries in Excess of Social Security Taxes (adj for 50% Mitchell)</t>
  </si>
  <si>
    <t>2022 Salaries, Paid Overtime and other remunerations</t>
  </si>
  <si>
    <t>Percentage Not Subject to Social Security Tax</t>
  </si>
  <si>
    <t>Percentage of Salaries Subject to Social Security Tax</t>
  </si>
  <si>
    <t>Adjustment to O&amp;M Payroll Subject to Social Security Tax</t>
  </si>
  <si>
    <t>Social Security Tax Rate</t>
  </si>
  <si>
    <t>Total Adjustment to Decrease O&amp;M Expense for Social Security Tax (FERC Account 408)</t>
  </si>
  <si>
    <t>KYJurisdictional Factor - OML</t>
  </si>
  <si>
    <t>KPSC Jurisdictional Adjustment to Decrease O&amp;M Expense for Social Security Tax (FERC Account 408)</t>
  </si>
  <si>
    <t>Salaries above Social Security Limits for 2022</t>
  </si>
  <si>
    <t>Co</t>
  </si>
  <si>
    <t>NLGrs YTD</t>
  </si>
  <si>
    <t>TaxGrs YTD</t>
  </si>
  <si>
    <t>Salaries over SS limit</t>
  </si>
  <si>
    <t>GL Unit</t>
  </si>
  <si>
    <t>E03</t>
  </si>
  <si>
    <t>110</t>
  </si>
  <si>
    <t>Count of Salaries over SS limit</t>
  </si>
  <si>
    <t>Sum of Salaries over SS limit2</t>
  </si>
  <si>
    <t>117</t>
  </si>
  <si>
    <t>Fiscal Year</t>
  </si>
  <si>
    <t>Incentive Payments</t>
  </si>
  <si>
    <t>W32-KPCo Social Security Tax Base Adjustment</t>
  </si>
  <si>
    <t>1</t>
  </si>
  <si>
    <t>Employees earning more than $147,000 limit in 2022</t>
  </si>
  <si>
    <t>Mitchell Employees earning more than $147,000 limit in 2022</t>
  </si>
  <si>
    <t>Social Security Tax Base for 2023</t>
  </si>
  <si>
    <t>Social Security Tax Base for 2022</t>
  </si>
  <si>
    <t>Increase in Social Security Tax Base</t>
  </si>
  <si>
    <t>Adjustment to Social Security Base</t>
  </si>
  <si>
    <t>Increase in Social Security Tax due to Increase in Base</t>
  </si>
  <si>
    <t xml:space="preserve">KPCo O&amp;M% </t>
  </si>
  <si>
    <t>Adjustment to Increase O&amp;M Expense for Change in the Social Security Tax Base (FERC Account 408)</t>
  </si>
  <si>
    <t>KPSC Jurisdictional Adjustment to Increase O&amp;M for Change in the Social Security Tax Base (FERC Account 408)</t>
  </si>
  <si>
    <t>Region</t>
  </si>
  <si>
    <t>clearing</t>
  </si>
  <si>
    <t>Kentucky Region</t>
  </si>
  <si>
    <t>Sum of Act $</t>
  </si>
  <si>
    <t>Kentucky Region Total</t>
  </si>
  <si>
    <t>O&amp;M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</si>
</sst>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 #,##0.00_);&quot;$&quot;* \(#,##0.00\);&quot;$&quot;* &quot;—&quot;_);_(@_)"/>
    <numFmt numFmtId="167" formatCode="* #,##0.00;* \(#,##0.00\);* &quot;—&quot;;_(@_)"/>
    <numFmt numFmtId="168" formatCode="* #,##0;* \(#,##0\);* &quot;—&quot;;_(@_)"/>
    <numFmt numFmtId="169" formatCode="* #,##0.000000000;* \(#,##0.000000000\);* &quot;—&quot;;_(@_)"/>
    <numFmt numFmtId="170" formatCode="#0;&quot;-&quot;#0;#0;_(@_)"/>
    <numFmt numFmtId="171" formatCode="#0.#######################;&quot;-&quot;#0.#######################;#0.#######################;_(@_)"/>
    <numFmt numFmtId="172" formatCode="&quot;$&quot;* #,##0_);&quot;$&quot;* \(#,##0\);&quot;$&quot;* &quot;—&quot;_);_(@_)"/>
    <numFmt numFmtId="173" formatCode="#0.00;&quot;-&quot;#0.00;#0.00;_(@_)"/>
    <numFmt numFmtId="174" formatCode="#,##0;&quot;-&quot;#,##0;#,##0;_(@_)"/>
    <numFmt numFmtId="175" formatCode="mmmm\ d\,\ yyyy"/>
    <numFmt numFmtId="176" formatCode="* #0.00;* \(#0.00\);* &quot;—&quot;;_(@_)"/>
    <numFmt numFmtId="177" formatCode="#,##0.00;&quot;-&quot;#,##0.00;#,##0.00;_(@_)"/>
    <numFmt numFmtId="178" formatCode="#0.00_)%;\(#0.00\)%;&quot;—&quot;_)\%;_(@_)"/>
    <numFmt numFmtId="179" formatCode="#0_)%;\(#0\)%;&quot;—&quot;_)\%;_(@_)"/>
    <numFmt numFmtId="180" formatCode="* #,##0;* &quot;-&quot;#,##0;* &quot;-&quot;;_(@_)"/>
    <numFmt numFmtId="181" formatCode="_(* #,##0_);_(* \(#,##0\);_(* &quot;-&quot;??_);_(@_)"/>
    <numFmt numFmtId="182" formatCode="#,##0.0000_);\(#,##0.0000\)"/>
    <numFmt numFmtId="183" formatCode="[$-409]mmmm\-yy;@"/>
    <numFmt numFmtId="184" formatCode="0.0000%"/>
    <numFmt numFmtId="185" formatCode="_(* #,##0.000_);_(* \(#,##0.000\);_(* &quot;-&quot;??_);_(@_)"/>
    <numFmt numFmtId="186" formatCode="&quot;$&quot;#,##0.00"/>
    <numFmt numFmtId="187" formatCode="[$-409]mmmm\ d\,\ yyyy;@"/>
    <numFmt numFmtId="188" formatCode="0.000%"/>
    <numFmt numFmtId="189" formatCode="#0"/>
  </numFmts>
  <fonts count="5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ont>
    <font>
      <sz val="12"/>
      <color rgb="FF000000"/>
      <name val="Arial"/>
    </font>
    <font>
      <b/>
      <sz val="18"/>
      <color rgb="FF000000"/>
      <name val="Arial"/>
    </font>
    <font>
      <b/>
      <sz val="16"/>
      <color rgb="FF000000"/>
      <name val="Arial"/>
    </font>
    <font>
      <sz val="14"/>
      <color rgb="FF000000"/>
      <name val="Arial"/>
    </font>
    <font>
      <b/>
      <sz val="10"/>
      <color rgb="FF000000"/>
      <name val="Arial"/>
    </font>
    <font>
      <sz val="10"/>
      <name val="Arial"/>
    </font>
    <font>
      <b/>
      <sz val="11"/>
      <color theme="1"/>
      <name val="Calibri"/>
      <family val="2"/>
      <scheme val="minor"/>
    </font>
    <font>
      <sz val="10"/>
      <name val="Arial"/>
      <family val="2"/>
    </font>
    <font>
      <b/>
      <sz val="10"/>
      <name val="Arial"/>
      <family val="2"/>
    </font>
    <font>
      <sz val="10"/>
      <color theme="1"/>
      <name val="Tahoma"/>
      <family val="2"/>
    </font>
    <font>
      <b/>
      <sz val="9"/>
      <color rgb="FF000000"/>
      <name val="Segoe UI"/>
      <family val="2"/>
    </font>
    <font>
      <sz val="9"/>
      <color rgb="FF000000"/>
      <name val="Segoe UI"/>
      <family val="2"/>
      <charset val="1"/>
    </font>
    <font>
      <b/>
      <sz val="9"/>
      <color rgb="FF000000"/>
      <name val="Segoe UI"/>
      <family val="2"/>
      <charset val="1"/>
    </font>
    <font>
      <sz val="11"/>
      <color rgb="FF000000"/>
      <name val="Calibri"/>
      <family val="2"/>
    </font>
    <font>
      <sz val="10"/>
      <color theme="1"/>
      <name val="Arial"/>
      <family val="2"/>
    </font>
    <font>
      <i/>
      <u/>
      <sz val="10"/>
      <color rgb="FF000000"/>
      <name val="Arial"/>
    </font>
    <font>
      <sz val="9"/>
      <color rgb="FF000000"/>
      <name val="Arial"/>
    </font>
    <font>
      <sz val="8"/>
      <color rgb="FF000000"/>
      <name val="Arial"/>
    </font>
    <font>
      <sz val="10"/>
      <color rgb="FF000000"/>
      <name val="Arial"/>
      <family val="2"/>
    </font>
    <font>
      <sz val="12"/>
      <name val="Arial MT"/>
    </font>
    <font>
      <i/>
      <u/>
      <sz val="10"/>
      <name val="Arial"/>
      <family val="2"/>
    </font>
    <font>
      <b/>
      <i/>
      <u/>
      <sz val="10"/>
      <name val="Arial"/>
      <family val="2"/>
    </font>
    <font>
      <b/>
      <u/>
      <sz val="10"/>
      <name val="Arial"/>
      <family val="2"/>
    </font>
    <font>
      <b/>
      <sz val="12"/>
      <color rgb="FFFF0000"/>
      <name val="Arial MT"/>
    </font>
    <font>
      <b/>
      <sz val="10"/>
      <color rgb="FFFF0000"/>
      <name val="Arial"/>
      <family val="2"/>
    </font>
    <font>
      <sz val="11"/>
      <name val="Arial"/>
      <family val="2"/>
    </font>
    <font>
      <b/>
      <sz val="11"/>
      <name val="Arial"/>
      <family val="2"/>
    </font>
    <font>
      <sz val="11"/>
      <name val="Calibri"/>
      <family val="2"/>
      <scheme val="minor"/>
    </font>
    <font>
      <i/>
      <sz val="12"/>
      <color theme="1"/>
      <name val="Calibri"/>
      <family val="2"/>
      <scheme val="minor"/>
    </font>
    <font>
      <b/>
      <sz val="14"/>
      <color theme="1"/>
      <name val="Calibri"/>
      <family val="2"/>
      <scheme val="minor"/>
    </font>
    <font>
      <b/>
      <sz val="11"/>
      <color rgb="FFFF0000"/>
      <name val="Calibri"/>
      <family val="2"/>
      <scheme val="minor"/>
    </font>
    <font>
      <i/>
      <sz val="11"/>
      <color theme="1"/>
      <name val="Calibri"/>
      <family val="2"/>
      <scheme val="minor"/>
    </font>
    <font>
      <b/>
      <sz val="14"/>
      <color rgb="FFFF0000"/>
      <name val="Calibri"/>
      <family val="2"/>
      <scheme val="minor"/>
    </font>
    <font>
      <b/>
      <sz val="11"/>
      <color rgb="FF000000"/>
      <name val="Calibri"/>
      <family val="2"/>
    </font>
    <font>
      <sz val="8"/>
      <color theme="1"/>
      <name val="Arial"/>
      <family val="2"/>
    </font>
    <font>
      <sz val="9"/>
      <color theme="1"/>
      <name val="Arial"/>
      <family val="2"/>
    </font>
    <font>
      <sz val="10"/>
      <color rgb="FF000000"/>
      <name val="Times New Roman"/>
      <family val="1"/>
    </font>
    <font>
      <b/>
      <sz val="11"/>
      <name val="Tw Cen MT"/>
      <family val="2"/>
    </font>
    <font>
      <sz val="11"/>
      <name val="Tw Cen MT"/>
      <family val="2"/>
    </font>
    <font>
      <b/>
      <sz val="10"/>
      <color theme="1"/>
      <name val="Arial"/>
      <family val="2"/>
    </font>
    <font>
      <b/>
      <sz val="11"/>
      <color theme="1"/>
      <name val="Tahoma"/>
      <family val="2"/>
    </font>
    <font>
      <b/>
      <sz val="10"/>
      <color theme="1"/>
      <name val="Tahoma"/>
      <family val="2"/>
    </font>
    <font>
      <sz val="9"/>
      <name val="Arial"/>
      <family val="2"/>
    </font>
    <font>
      <sz val="9"/>
      <name val="Arial MT"/>
    </font>
    <font>
      <b/>
      <sz val="10"/>
      <name val="Arial Unicode MS"/>
    </font>
    <font>
      <sz val="10"/>
      <color rgb="FF000000"/>
      <name val="Tahoma"/>
      <family val="2"/>
    </font>
  </fonts>
  <fills count="30">
    <fill>
      <patternFill patternType="none"/>
    </fill>
    <fill>
      <patternFill patternType="gray125"/>
    </fill>
    <fill>
      <patternFill patternType="solid">
        <fgColor rgb="FF92D050"/>
        <bgColor indexed="64"/>
      </patternFill>
    </fill>
    <fill>
      <patternFill patternType="solid">
        <fgColor rgb="FFCCEEFF"/>
        <bgColor indexed="64"/>
      </patternFill>
    </fill>
    <fill>
      <patternFill patternType="solid">
        <fgColor rgb="FFFFFFFF"/>
        <bgColor indexed="64"/>
      </patternFill>
    </fill>
    <fill>
      <patternFill patternType="solid">
        <fgColor rgb="FFCBCBCB"/>
        <bgColor indexed="64"/>
      </patternFill>
    </fill>
    <fill>
      <patternFill patternType="solid">
        <fgColor rgb="FFDBDBDB"/>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808080"/>
        <bgColor rgb="FF000000"/>
      </patternFill>
    </fill>
    <fill>
      <patternFill patternType="solid">
        <fgColor rgb="FFC6E0B4"/>
        <bgColor rgb="FF000000"/>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tint="0.59999389629810485"/>
        <bgColor rgb="FF000000"/>
      </patternFill>
    </fill>
    <fill>
      <patternFill patternType="solid">
        <fgColor theme="9" tint="0.59999389629810485"/>
        <bgColor rgb="FF000000"/>
      </patternFill>
    </fill>
    <fill>
      <patternFill patternType="solid">
        <fgColor theme="9" tint="0.79998168889431442"/>
        <bgColor rgb="FF000000"/>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4" tint="0.79998168889431442"/>
        <bgColor theme="4" tint="0.79998168889431442"/>
      </patternFill>
    </fill>
    <fill>
      <patternFill patternType="solid">
        <fgColor indexed="22"/>
        <bgColor indexed="64"/>
      </patternFill>
    </fill>
    <fill>
      <patternFill patternType="solid">
        <fgColor theme="5" tint="0.79998168889431442"/>
        <bgColor indexed="64"/>
      </patternFill>
    </fill>
    <fill>
      <patternFill patternType="solid">
        <fgColor theme="5" tint="0.79998168889431442"/>
        <bgColor rgb="FF000000"/>
      </patternFill>
    </fill>
  </fills>
  <borders count="7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top style="double">
        <color rgb="FF000000"/>
      </top>
      <bottom/>
      <diagonal/>
    </border>
    <border>
      <left/>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double">
        <color rgb="FF000000"/>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style="double">
        <color rgb="FF000000"/>
      </top>
      <bottom/>
      <diagonal/>
    </border>
    <border>
      <left/>
      <right style="thin">
        <color rgb="FF000000"/>
      </right>
      <top style="thin">
        <color rgb="FF000000"/>
      </top>
      <bottom style="double">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bottom style="double">
        <color rgb="FF000000"/>
      </bottom>
      <diagonal/>
    </border>
    <border>
      <left style="thin">
        <color indexed="64"/>
      </left>
      <right style="thin">
        <color indexed="64"/>
      </right>
      <top style="thin">
        <color indexed="64"/>
      </top>
      <bottom style="thin">
        <color indexed="64"/>
      </bottom>
      <diagonal/>
    </border>
    <border>
      <left/>
      <right/>
      <top style="thin">
        <color theme="1"/>
      </top>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4" tint="0.39997558519241921"/>
      </top>
      <bottom/>
      <diagonal/>
    </border>
    <border>
      <left/>
      <right/>
      <top style="thin">
        <color indexed="64"/>
      </top>
      <bottom style="medium">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right/>
      <top/>
      <bottom style="thin">
        <color indexed="8"/>
      </bottom>
      <diagonal/>
    </border>
    <border>
      <left/>
      <right/>
      <top style="thin">
        <color indexed="8"/>
      </top>
      <bottom/>
      <diagonal/>
    </border>
  </borders>
  <cellStyleXfs count="38">
    <xf numFmtId="0" fontId="0" fillId="0" borderId="0"/>
    <xf numFmtId="0" fontId="4" fillId="0" borderId="0" applyBorder="0">
      <alignment wrapText="1"/>
    </xf>
    <xf numFmtId="0" fontId="5" fillId="0" borderId="0" applyBorder="0">
      <alignment wrapText="1"/>
    </xf>
    <xf numFmtId="0" fontId="6" fillId="0" borderId="0" applyBorder="0">
      <alignment wrapText="1"/>
    </xf>
    <xf numFmtId="0" fontId="7" fillId="0" borderId="0" applyBorder="0">
      <alignment wrapText="1"/>
    </xf>
    <xf numFmtId="0" fontId="8" fillId="0" borderId="0" applyBorder="0">
      <alignment wrapText="1"/>
    </xf>
    <xf numFmtId="9" fontId="10"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0" fontId="14" fillId="0" borderId="0"/>
    <xf numFmtId="43" fontId="10" fillId="0" borderId="0" applyFont="0" applyFill="0" applyBorder="0" applyAlignment="0" applyProtection="0"/>
    <xf numFmtId="44" fontId="10" fillId="0" borderId="0" applyFont="0" applyFill="0" applyBorder="0" applyAlignment="0" applyProtection="0"/>
    <xf numFmtId="0" fontId="24" fillId="0" borderId="0"/>
    <xf numFmtId="43" fontId="12" fillId="0" borderId="0" applyFont="0" applyFill="0" applyBorder="0" applyAlignment="0" applyProtection="0"/>
    <xf numFmtId="9" fontId="12" fillId="0" borderId="0" applyFont="0" applyFill="0" applyBorder="0" applyAlignment="0" applyProtection="0"/>
    <xf numFmtId="44" fontId="24" fillId="0" borderId="0" applyFont="0" applyFill="0" applyBorder="0" applyAlignment="0" applyProtection="0"/>
    <xf numFmtId="0" fontId="12" fillId="0" borderId="0"/>
    <xf numFmtId="44" fontId="1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9" fillId="0" borderId="0"/>
    <xf numFmtId="43" fontId="19" fillId="0" borderId="0" applyFont="0" applyFill="0" applyBorder="0" applyAlignment="0" applyProtection="0"/>
    <xf numFmtId="0" fontId="41" fillId="0" borderId="0"/>
    <xf numFmtId="43" fontId="1" fillId="0" borderId="0" applyFont="0" applyFill="0" applyBorder="0" applyAlignment="0" applyProtection="0"/>
    <xf numFmtId="0" fontId="19" fillId="0" borderId="0"/>
    <xf numFmtId="9" fontId="1" fillId="0" borderId="0" applyFont="0" applyFill="0" applyBorder="0" applyAlignment="0" applyProtection="0"/>
    <xf numFmtId="44" fontId="1" fillId="0" borderId="0" applyFont="0" applyFill="0" applyBorder="0" applyAlignment="0" applyProtection="0"/>
    <xf numFmtId="0" fontId="12" fillId="0" borderId="0"/>
    <xf numFmtId="0" fontId="24" fillId="0" borderId="0"/>
    <xf numFmtId="43" fontId="12" fillId="0" borderId="0" applyFont="0" applyFill="0" applyBorder="0" applyAlignment="0" applyProtection="0"/>
    <xf numFmtId="0" fontId="12" fillId="0" borderId="0"/>
    <xf numFmtId="44" fontId="12" fillId="0" borderId="0" applyFont="0" applyFill="0" applyBorder="0" applyAlignment="0" applyProtection="0"/>
  </cellStyleXfs>
  <cellXfs count="852">
    <xf numFmtId="0" fontId="0" fillId="0" borderId="0" xfId="0"/>
    <xf numFmtId="0" fontId="9" fillId="0" borderId="0" xfId="0" applyFont="1" applyAlignment="1">
      <alignment wrapText="1"/>
    </xf>
    <xf numFmtId="0" fontId="9" fillId="0" borderId="0" xfId="0" applyFont="1" applyAlignment="1">
      <alignment horizontal="center"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Alignment="1">
      <alignment horizontal="left" vertical="top" wrapText="1"/>
    </xf>
    <xf numFmtId="0" fontId="0" fillId="0" borderId="0" xfId="0"/>
    <xf numFmtId="0" fontId="10" fillId="0" borderId="0" xfId="0" applyFont="1"/>
    <xf numFmtId="0" fontId="12" fillId="0" borderId="0" xfId="0" applyFont="1"/>
    <xf numFmtId="49" fontId="11" fillId="0" borderId="0" xfId="0" applyNumberFormat="1" applyFont="1" applyAlignment="1">
      <alignment wrapText="1"/>
    </xf>
    <xf numFmtId="0" fontId="11" fillId="0" borderId="0" xfId="0" applyFont="1"/>
    <xf numFmtId="0" fontId="0" fillId="0" borderId="0" xfId="0" applyAlignment="1">
      <alignment wrapText="1"/>
    </xf>
    <xf numFmtId="0" fontId="13" fillId="0" borderId="0" xfId="0" applyFont="1" applyAlignment="1">
      <alignment horizontal="left" wrapText="1"/>
    </xf>
    <xf numFmtId="49" fontId="0" fillId="0" borderId="0" xfId="0" applyNumberFormat="1"/>
    <xf numFmtId="0" fontId="0" fillId="0" borderId="0" xfId="0" applyAlignment="1">
      <alignment horizontal="left"/>
    </xf>
    <xf numFmtId="43" fontId="0" fillId="0" borderId="0" xfId="7" applyFont="1" applyFill="1"/>
    <xf numFmtId="10" fontId="0" fillId="0" borderId="0" xfId="0" applyNumberFormat="1"/>
    <xf numFmtId="43" fontId="0" fillId="0" borderId="0" xfId="8" applyFont="1"/>
    <xf numFmtId="0" fontId="13" fillId="0" borderId="0" xfId="0" applyFont="1"/>
    <xf numFmtId="43" fontId="13" fillId="0" borderId="4" xfId="8" applyFont="1" applyBorder="1"/>
    <xf numFmtId="49" fontId="13" fillId="0" borderId="0" xfId="0" applyNumberFormat="1" applyFont="1"/>
    <xf numFmtId="43" fontId="13" fillId="0" borderId="4" xfId="0" applyNumberFormat="1" applyFont="1" applyBorder="1"/>
    <xf numFmtId="43" fontId="13" fillId="0" borderId="0" xfId="0" applyNumberFormat="1" applyFont="1"/>
    <xf numFmtId="0" fontId="14" fillId="0" borderId="0" xfId="9" applyAlignment="1">
      <alignment horizontal="right"/>
    </xf>
    <xf numFmtId="0" fontId="14" fillId="0" borderId="0" xfId="9"/>
    <xf numFmtId="0" fontId="15" fillId="0" borderId="0" xfId="0" applyFont="1"/>
    <xf numFmtId="0" fontId="16" fillId="0" borderId="0" xfId="0" applyFont="1"/>
    <xf numFmtId="0" fontId="16" fillId="0" borderId="0" xfId="0" applyFont="1" applyAlignment="1">
      <alignment horizontal="left"/>
    </xf>
    <xf numFmtId="164" fontId="16" fillId="0" borderId="0" xfId="0" applyNumberFormat="1" applyFont="1"/>
    <xf numFmtId="0" fontId="16" fillId="0" borderId="5" xfId="0" applyFont="1" applyBorder="1" applyAlignment="1">
      <alignment horizontal="left"/>
    </xf>
    <xf numFmtId="164" fontId="16" fillId="0" borderId="5" xfId="0" applyNumberFormat="1" applyFont="1" applyBorder="1"/>
    <xf numFmtId="44" fontId="16" fillId="0" borderId="0" xfId="0" applyNumberFormat="1" applyFont="1"/>
    <xf numFmtId="10" fontId="15" fillId="0" borderId="0" xfId="6" applyNumberFormat="1" applyFont="1" applyFill="1" applyBorder="1"/>
    <xf numFmtId="44" fontId="16" fillId="0" borderId="5" xfId="0" applyNumberFormat="1" applyFont="1" applyBorder="1"/>
    <xf numFmtId="0" fontId="17" fillId="0" borderId="0" xfId="0" applyFont="1" applyAlignment="1">
      <alignment horizontal="left"/>
    </xf>
    <xf numFmtId="164" fontId="15" fillId="0" borderId="0" xfId="0" applyNumberFormat="1" applyFont="1"/>
    <xf numFmtId="165" fontId="15" fillId="0" borderId="0" xfId="6" applyNumberFormat="1" applyFont="1" applyFill="1" applyBorder="1"/>
    <xf numFmtId="164" fontId="17" fillId="0" borderId="0" xfId="0" applyNumberFormat="1" applyFont="1"/>
    <xf numFmtId="0" fontId="18" fillId="0" borderId="0" xfId="0" applyFont="1"/>
    <xf numFmtId="43" fontId="18" fillId="0" borderId="0" xfId="0" applyNumberFormat="1" applyFont="1"/>
    <xf numFmtId="0" fontId="9" fillId="0" borderId="0" xfId="0" applyFont="1" applyAlignment="1">
      <alignment wrapText="1"/>
    </xf>
    <xf numFmtId="0" fontId="0" fillId="0" borderId="0" xfId="0"/>
    <xf numFmtId="0" fontId="0" fillId="0" borderId="0" xfId="0" applyAlignment="1">
      <alignment vertical="top" wrapText="1"/>
    </xf>
    <xf numFmtId="0" fontId="0" fillId="0" borderId="0" xfId="0"/>
    <xf numFmtId="0" fontId="4" fillId="0" borderId="0" xfId="0" applyFont="1" applyAlignment="1">
      <alignment horizontal="left" wrapText="1"/>
    </xf>
    <xf numFmtId="0" fontId="9" fillId="0" borderId="6" xfId="0" applyFont="1" applyBorder="1" applyAlignment="1">
      <alignment horizontal="center" wrapText="1"/>
    </xf>
    <xf numFmtId="0" fontId="9" fillId="0" borderId="0" xfId="0" applyFont="1" applyAlignment="1">
      <alignment horizontal="right" wrapText="1"/>
    </xf>
    <xf numFmtId="166" fontId="9" fillId="0" borderId="7" xfId="0" applyNumberFormat="1" applyFont="1" applyBorder="1" applyAlignment="1">
      <alignment wrapText="1"/>
    </xf>
    <xf numFmtId="0" fontId="4" fillId="0" borderId="7" xfId="0" applyFont="1" applyBorder="1" applyAlignment="1">
      <alignment wrapText="1"/>
    </xf>
    <xf numFmtId="166" fontId="4" fillId="0" borderId="7" xfId="0" applyNumberFormat="1" applyFont="1" applyBorder="1" applyAlignment="1">
      <alignment wrapText="1"/>
    </xf>
    <xf numFmtId="167" fontId="4" fillId="0" borderId="8" xfId="0" applyNumberFormat="1" applyFont="1" applyBorder="1" applyAlignment="1">
      <alignment wrapText="1"/>
    </xf>
    <xf numFmtId="167" fontId="4" fillId="0" borderId="0" xfId="0" applyNumberFormat="1" applyFont="1" applyAlignment="1">
      <alignment wrapText="1"/>
    </xf>
    <xf numFmtId="168" fontId="4" fillId="0" borderId="0" xfId="0" applyNumberFormat="1" applyFont="1" applyAlignment="1">
      <alignment wrapText="1"/>
    </xf>
    <xf numFmtId="169" fontId="4" fillId="0" borderId="0" xfId="0" applyNumberFormat="1" applyFont="1" applyAlignment="1">
      <alignment wrapText="1"/>
    </xf>
    <xf numFmtId="0" fontId="4" fillId="0" borderId="0" xfId="1">
      <alignment wrapText="1"/>
    </xf>
    <xf numFmtId="167" fontId="4" fillId="0" borderId="6" xfId="0" applyNumberFormat="1" applyFont="1" applyBorder="1" applyAlignment="1">
      <alignment wrapText="1"/>
    </xf>
    <xf numFmtId="168" fontId="4" fillId="0" borderId="6" xfId="0" applyNumberFormat="1" applyFont="1" applyBorder="1" applyAlignment="1">
      <alignment wrapText="1"/>
    </xf>
    <xf numFmtId="169" fontId="4" fillId="0" borderId="6" xfId="0" applyNumberFormat="1" applyFont="1" applyBorder="1" applyAlignment="1">
      <alignment wrapText="1"/>
    </xf>
    <xf numFmtId="0" fontId="4" fillId="0" borderId="6" xfId="0" applyFont="1" applyBorder="1" applyAlignment="1">
      <alignment wrapText="1"/>
    </xf>
    <xf numFmtId="0" fontId="4" fillId="0" borderId="9" xfId="0" applyFont="1" applyBorder="1" applyAlignment="1">
      <alignment wrapText="1"/>
    </xf>
    <xf numFmtId="0" fontId="4" fillId="0" borderId="10" xfId="0" applyFont="1" applyBorder="1" applyAlignment="1">
      <alignment horizontal="center" vertical="center" wrapText="1"/>
    </xf>
    <xf numFmtId="170" fontId="4" fillId="0" borderId="0" xfId="0" applyNumberFormat="1" applyFont="1" applyAlignment="1">
      <alignment wrapText="1"/>
    </xf>
    <xf numFmtId="166" fontId="4" fillId="0" borderId="0" xfId="0" applyNumberFormat="1" applyFont="1" applyAlignment="1">
      <alignment wrapText="1"/>
    </xf>
    <xf numFmtId="0" fontId="4" fillId="0" borderId="11" xfId="0" applyFont="1" applyBorder="1" applyAlignment="1">
      <alignment wrapText="1"/>
    </xf>
    <xf numFmtId="167" fontId="4" fillId="0" borderId="12" xfId="0" applyNumberFormat="1" applyFont="1" applyBorder="1" applyAlignment="1">
      <alignment wrapText="1"/>
    </xf>
    <xf numFmtId="0" fontId="4" fillId="0" borderId="8" xfId="0" applyFont="1" applyBorder="1" applyAlignment="1">
      <alignment wrapText="1"/>
    </xf>
    <xf numFmtId="170" fontId="9" fillId="0" borderId="10" xfId="0" applyNumberFormat="1" applyFont="1" applyBorder="1" applyAlignment="1">
      <alignment horizontal="center" wrapText="1"/>
    </xf>
    <xf numFmtId="0" fontId="9" fillId="0" borderId="10" xfId="0" applyFont="1" applyBorder="1" applyAlignment="1">
      <alignment horizontal="center" wrapText="1"/>
    </xf>
    <xf numFmtId="171" fontId="4" fillId="0" borderId="0" xfId="0" applyNumberFormat="1" applyFont="1" applyAlignment="1">
      <alignment wrapText="1"/>
    </xf>
    <xf numFmtId="170" fontId="4" fillId="0" borderId="8" xfId="0" applyNumberFormat="1" applyFont="1" applyBorder="1" applyAlignment="1">
      <alignment wrapText="1"/>
    </xf>
    <xf numFmtId="170" fontId="4" fillId="0" borderId="6" xfId="0" applyNumberFormat="1" applyFont="1" applyBorder="1" applyAlignment="1">
      <alignment wrapText="1"/>
    </xf>
    <xf numFmtId="0" fontId="4" fillId="0" borderId="10" xfId="0" applyFont="1" applyBorder="1" applyAlignment="1">
      <alignment horizontal="center" wrapText="1"/>
    </xf>
    <xf numFmtId="0" fontId="4" fillId="0" borderId="0" xfId="0" applyFont="1" applyAlignment="1">
      <alignment horizontal="right" wrapText="1"/>
    </xf>
    <xf numFmtId="172" fontId="4" fillId="0" borderId="12" xfId="0" applyNumberFormat="1" applyFont="1" applyBorder="1" applyAlignment="1">
      <alignment wrapText="1"/>
    </xf>
    <xf numFmtId="170" fontId="4" fillId="0" borderId="0" xfId="0" applyNumberFormat="1" applyFont="1" applyAlignment="1">
      <alignment horizontal="center" wrapText="1"/>
    </xf>
    <xf numFmtId="172" fontId="4" fillId="0" borderId="8" xfId="0" applyNumberFormat="1" applyFont="1" applyBorder="1" applyAlignment="1">
      <alignment wrapText="1"/>
    </xf>
    <xf numFmtId="0" fontId="4" fillId="0" borderId="0" xfId="0" applyFont="1" applyAlignment="1">
      <alignment wrapText="1" indent="1"/>
    </xf>
    <xf numFmtId="172" fontId="4" fillId="0" borderId="0" xfId="0" applyNumberFormat="1" applyFont="1" applyAlignment="1">
      <alignment wrapText="1"/>
    </xf>
    <xf numFmtId="0" fontId="20" fillId="0" borderId="0" xfId="0" applyFont="1" applyAlignment="1">
      <alignment wrapText="1"/>
    </xf>
    <xf numFmtId="0" fontId="4" fillId="0" borderId="0" xfId="0" applyFont="1" applyAlignment="1">
      <alignment horizontal="left" vertical="center" wrapText="1" indent="1"/>
    </xf>
    <xf numFmtId="0" fontId="20" fillId="0" borderId="6" xfId="0" applyFont="1" applyBorder="1" applyAlignment="1">
      <alignment wrapText="1"/>
    </xf>
    <xf numFmtId="0" fontId="9" fillId="0" borderId="9" xfId="0" applyFont="1" applyBorder="1" applyAlignment="1">
      <alignment horizontal="center" wrapText="1"/>
    </xf>
    <xf numFmtId="167" fontId="9" fillId="3" borderId="0" xfId="0" applyNumberFormat="1" applyFont="1" applyFill="1" applyAlignment="1">
      <alignment wrapText="1"/>
    </xf>
    <xf numFmtId="0" fontId="9" fillId="3" borderId="0" xfId="0" applyFont="1" applyFill="1" applyAlignment="1">
      <alignment wrapText="1"/>
    </xf>
    <xf numFmtId="170" fontId="4" fillId="0" borderId="0" xfId="0" applyNumberFormat="1" applyFont="1" applyAlignment="1">
      <alignment horizontal="right" wrapText="1"/>
    </xf>
    <xf numFmtId="170" fontId="4" fillId="0" borderId="0" xfId="0" applyNumberFormat="1" applyFont="1" applyAlignment="1">
      <alignment horizontal="left" wrapText="1"/>
    </xf>
    <xf numFmtId="167" fontId="4" fillId="3" borderId="0" xfId="0" applyNumberFormat="1" applyFont="1" applyFill="1" applyAlignment="1">
      <alignment wrapText="1"/>
    </xf>
    <xf numFmtId="0" fontId="4" fillId="3" borderId="0" xfId="0" applyFont="1" applyFill="1" applyAlignment="1">
      <alignment wrapText="1"/>
    </xf>
    <xf numFmtId="172" fontId="9" fillId="0" borderId="12" xfId="0" applyNumberFormat="1" applyFont="1" applyBorder="1" applyAlignment="1">
      <alignment wrapText="1"/>
    </xf>
    <xf numFmtId="168" fontId="4" fillId="0" borderId="8" xfId="0" applyNumberFormat="1" applyFont="1" applyBorder="1" applyAlignment="1">
      <alignment wrapText="1"/>
    </xf>
    <xf numFmtId="172" fontId="4" fillId="0" borderId="6" xfId="0" applyNumberFormat="1" applyFont="1" applyBorder="1" applyAlignment="1">
      <alignment wrapText="1"/>
    </xf>
    <xf numFmtId="0" fontId="9" fillId="0" borderId="8" xfId="0" applyFont="1" applyBorder="1" applyAlignment="1">
      <alignment horizontal="center" wrapText="1"/>
    </xf>
    <xf numFmtId="167" fontId="4" fillId="0" borderId="10" xfId="0" applyNumberFormat="1" applyFont="1" applyBorder="1" applyAlignment="1">
      <alignment wrapText="1"/>
    </xf>
    <xf numFmtId="0" fontId="4" fillId="0" borderId="10" xfId="0" applyFont="1" applyBorder="1" applyAlignment="1">
      <alignment wrapText="1"/>
    </xf>
    <xf numFmtId="166" fontId="4" fillId="0" borderId="12" xfId="0" applyNumberFormat="1" applyFont="1" applyBorder="1" applyAlignment="1">
      <alignment wrapText="1"/>
    </xf>
    <xf numFmtId="173" fontId="4" fillId="0" borderId="10" xfId="0" applyNumberFormat="1" applyFont="1" applyBorder="1" applyAlignment="1">
      <alignment horizontal="center" wrapText="1"/>
    </xf>
    <xf numFmtId="0" fontId="4" fillId="0" borderId="9" xfId="0" applyFont="1" applyBorder="1" applyAlignment="1">
      <alignment horizontal="right" wrapText="1"/>
    </xf>
    <xf numFmtId="166" fontId="4" fillId="0" borderId="10" xfId="0" applyNumberFormat="1" applyFont="1" applyBorder="1" applyAlignment="1">
      <alignment wrapText="1"/>
    </xf>
    <xf numFmtId="0" fontId="4" fillId="0" borderId="10" xfId="0" applyFont="1" applyBorder="1" applyAlignment="1">
      <alignment horizontal="left" wrapText="1"/>
    </xf>
    <xf numFmtId="0" fontId="4" fillId="0" borderId="9" xfId="0" applyFont="1" applyBorder="1" applyAlignment="1">
      <alignment horizontal="center" wrapText="1"/>
    </xf>
    <xf numFmtId="0" fontId="4" fillId="0" borderId="15" xfId="0" applyFont="1" applyBorder="1" applyAlignment="1">
      <alignment wrapText="1"/>
    </xf>
    <xf numFmtId="0" fontId="4" fillId="0" borderId="12" xfId="0" applyFont="1" applyBorder="1" applyAlignment="1">
      <alignment wrapText="1"/>
    </xf>
    <xf numFmtId="170" fontId="4" fillId="0" borderId="10" xfId="0" applyNumberFormat="1" applyFont="1" applyBorder="1" applyAlignment="1">
      <alignment horizontal="center" vertical="center" wrapText="1"/>
    </xf>
    <xf numFmtId="0" fontId="4" fillId="0" borderId="6" xfId="0" applyFont="1" applyBorder="1" applyAlignment="1">
      <alignment horizontal="left" wrapText="1"/>
    </xf>
    <xf numFmtId="0" fontId="4" fillId="0" borderId="8" xfId="0" applyFont="1" applyBorder="1" applyAlignment="1">
      <alignment horizontal="center" wrapText="1"/>
    </xf>
    <xf numFmtId="168" fontId="4" fillId="0" borderId="12" xfId="0" applyNumberFormat="1" applyFont="1" applyBorder="1" applyAlignment="1">
      <alignment wrapText="1"/>
    </xf>
    <xf numFmtId="167" fontId="9" fillId="0" borderId="0" xfId="0" applyNumberFormat="1" applyFont="1" applyAlignment="1">
      <alignment wrapText="1"/>
    </xf>
    <xf numFmtId="0" fontId="4" fillId="0" borderId="0" xfId="0" applyFont="1" applyAlignment="1">
      <alignment horizontal="center" wrapText="1"/>
    </xf>
    <xf numFmtId="168" fontId="9" fillId="0" borderId="0" xfId="0" applyNumberFormat="1" applyFont="1" applyAlignment="1">
      <alignment wrapText="1"/>
    </xf>
    <xf numFmtId="0" fontId="4" fillId="0" borderId="16" xfId="0" applyFont="1" applyBorder="1" applyAlignment="1">
      <alignment wrapText="1"/>
    </xf>
    <xf numFmtId="170" fontId="4" fillId="0" borderId="10" xfId="0" applyNumberFormat="1" applyFont="1" applyBorder="1" applyAlignment="1">
      <alignment horizontal="center" wrapText="1"/>
    </xf>
    <xf numFmtId="0" fontId="4" fillId="0" borderId="17" xfId="0" applyFont="1" applyBorder="1" applyAlignment="1">
      <alignment wrapText="1"/>
    </xf>
    <xf numFmtId="166" fontId="9" fillId="0" borderId="12" xfId="0" applyNumberFormat="1" applyFont="1" applyBorder="1" applyAlignment="1">
      <alignment wrapText="1"/>
    </xf>
    <xf numFmtId="166" fontId="4" fillId="0" borderId="8" xfId="0" applyNumberFormat="1" applyFont="1" applyBorder="1" applyAlignment="1">
      <alignment wrapText="1"/>
    </xf>
    <xf numFmtId="0" fontId="4" fillId="0" borderId="0" xfId="0" applyFont="1" applyAlignment="1">
      <alignment wrapText="1"/>
    </xf>
    <xf numFmtId="166" fontId="4" fillId="0" borderId="6" xfId="0" applyNumberFormat="1" applyFont="1" applyBorder="1" applyAlignment="1">
      <alignment wrapText="1"/>
    </xf>
    <xf numFmtId="0" fontId="9" fillId="0" borderId="8" xfId="0" applyFont="1" applyBorder="1" applyAlignment="1">
      <alignment wrapText="1"/>
    </xf>
    <xf numFmtId="170" fontId="4" fillId="0" borderId="10" xfId="0" applyNumberFormat="1" applyFont="1" applyBorder="1" applyAlignment="1">
      <alignment wrapText="1"/>
    </xf>
    <xf numFmtId="0" fontId="21" fillId="0" borderId="9" xfId="0" applyFont="1" applyBorder="1" applyAlignment="1">
      <alignment wrapText="1"/>
    </xf>
    <xf numFmtId="0" fontId="9" fillId="0" borderId="9" xfId="0" applyFont="1" applyBorder="1" applyAlignment="1">
      <alignment horizontal="right" wrapText="1"/>
    </xf>
    <xf numFmtId="0" fontId="9" fillId="0" borderId="10" xfId="0" applyFont="1" applyBorder="1" applyAlignment="1">
      <alignment wrapText="1"/>
    </xf>
    <xf numFmtId="168" fontId="9" fillId="0" borderId="12" xfId="0" applyNumberFormat="1" applyFont="1" applyBorder="1" applyAlignment="1">
      <alignment wrapText="1"/>
    </xf>
    <xf numFmtId="0" fontId="4" fillId="5" borderId="10" xfId="0" applyFont="1" applyFill="1" applyBorder="1" applyAlignment="1">
      <alignment horizontal="center" wrapText="1"/>
    </xf>
    <xf numFmtId="14" fontId="4" fillId="5" borderId="10" xfId="0" applyNumberFormat="1" applyFont="1" applyFill="1" applyBorder="1" applyAlignment="1">
      <alignment horizontal="center" wrapText="1"/>
    </xf>
    <xf numFmtId="170" fontId="4" fillId="0" borderId="6" xfId="0" applyNumberFormat="1" applyFont="1" applyBorder="1" applyAlignment="1">
      <alignment horizontal="center" wrapText="1"/>
    </xf>
    <xf numFmtId="0" fontId="9" fillId="0" borderId="6" xfId="0" applyFont="1" applyBorder="1" applyAlignment="1">
      <alignment wrapText="1"/>
    </xf>
    <xf numFmtId="0" fontId="9" fillId="0" borderId="10" xfId="0" applyFont="1" applyBorder="1" applyAlignment="1">
      <alignment horizontal="left" wrapText="1"/>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wrapText="1"/>
    </xf>
    <xf numFmtId="167" fontId="9" fillId="0" borderId="12" xfId="0" applyNumberFormat="1" applyFont="1" applyBorder="1" applyAlignment="1">
      <alignment wrapText="1"/>
    </xf>
    <xf numFmtId="176" fontId="9" fillId="6" borderId="17" xfId="0" applyNumberFormat="1" applyFont="1" applyFill="1" applyBorder="1" applyAlignment="1">
      <alignment wrapText="1"/>
    </xf>
    <xf numFmtId="0" fontId="4" fillId="6" borderId="8" xfId="0" applyFont="1" applyFill="1" applyBorder="1" applyAlignment="1">
      <alignment wrapText="1"/>
    </xf>
    <xf numFmtId="0" fontId="4" fillId="6" borderId="16" xfId="0" applyFont="1" applyFill="1" applyBorder="1" applyAlignment="1">
      <alignment wrapText="1"/>
    </xf>
    <xf numFmtId="0" fontId="9" fillId="0" borderId="19" xfId="0" applyFont="1" applyBorder="1" applyAlignment="1">
      <alignment wrapText="1"/>
    </xf>
    <xf numFmtId="167" fontId="4" fillId="0" borderId="21" xfId="0" applyNumberFormat="1" applyFont="1" applyBorder="1" applyAlignment="1">
      <alignment wrapText="1"/>
    </xf>
    <xf numFmtId="167" fontId="4" fillId="0" borderId="9" xfId="0" applyNumberFormat="1" applyFont="1" applyBorder="1" applyAlignment="1">
      <alignment wrapText="1"/>
    </xf>
    <xf numFmtId="0" fontId="4" fillId="0" borderId="19" xfId="0" applyFont="1" applyBorder="1" applyAlignment="1">
      <alignment wrapText="1"/>
    </xf>
    <xf numFmtId="170" fontId="9" fillId="0" borderId="19" xfId="0" applyNumberFormat="1" applyFont="1" applyBorder="1" applyAlignment="1">
      <alignment wrapText="1"/>
    </xf>
    <xf numFmtId="167" fontId="4" fillId="0" borderId="19" xfId="0" applyNumberFormat="1" applyFont="1" applyBorder="1" applyAlignment="1">
      <alignment wrapText="1"/>
    </xf>
    <xf numFmtId="167" fontId="4" fillId="0" borderId="22" xfId="0" applyNumberFormat="1" applyFont="1" applyBorder="1" applyAlignment="1">
      <alignment wrapText="1"/>
    </xf>
    <xf numFmtId="170" fontId="9" fillId="0" borderId="0" xfId="0" applyNumberFormat="1" applyFont="1" applyAlignment="1">
      <alignment wrapText="1"/>
    </xf>
    <xf numFmtId="176" fontId="9" fillId="6" borderId="23" xfId="0" applyNumberFormat="1" applyFont="1" applyFill="1" applyBorder="1" applyAlignment="1">
      <alignment wrapText="1"/>
    </xf>
    <xf numFmtId="0" fontId="4" fillId="6" borderId="0" xfId="0" applyFont="1" applyFill="1" applyAlignment="1">
      <alignment wrapText="1"/>
    </xf>
    <xf numFmtId="0" fontId="4" fillId="6" borderId="9" xfId="0" applyFont="1" applyFill="1" applyBorder="1" applyAlignment="1">
      <alignment wrapText="1"/>
    </xf>
    <xf numFmtId="0" fontId="4" fillId="0" borderId="22" xfId="0" applyFont="1" applyBorder="1" applyAlignment="1">
      <alignment wrapText="1"/>
    </xf>
    <xf numFmtId="167" fontId="9" fillId="6" borderId="23" xfId="0" applyNumberFormat="1" applyFont="1" applyFill="1" applyBorder="1" applyAlignment="1">
      <alignment wrapText="1"/>
    </xf>
    <xf numFmtId="0" fontId="4" fillId="0" borderId="24" xfId="0" applyFont="1" applyBorder="1" applyAlignment="1">
      <alignment wrapText="1"/>
    </xf>
    <xf numFmtId="0" fontId="4" fillId="0" borderId="25" xfId="0" applyFont="1" applyBorder="1" applyAlignment="1">
      <alignment wrapText="1"/>
    </xf>
    <xf numFmtId="167" fontId="4" fillId="0" borderId="24" xfId="0" applyNumberFormat="1" applyFont="1" applyBorder="1" applyAlignment="1">
      <alignment wrapText="1"/>
    </xf>
    <xf numFmtId="167" fontId="4" fillId="0" borderId="25" xfId="0" applyNumberFormat="1" applyFont="1" applyBorder="1" applyAlignment="1">
      <alignment wrapText="1"/>
    </xf>
    <xf numFmtId="170" fontId="9" fillId="0" borderId="24" xfId="0" applyNumberFormat="1" applyFont="1" applyBorder="1" applyAlignment="1">
      <alignment wrapText="1"/>
    </xf>
    <xf numFmtId="170" fontId="9" fillId="0" borderId="6" xfId="0" applyNumberFormat="1" applyFont="1" applyBorder="1" applyAlignment="1">
      <alignment wrapText="1"/>
    </xf>
    <xf numFmtId="0" fontId="9" fillId="6" borderId="10" xfId="0" applyFont="1" applyFill="1" applyBorder="1" applyAlignment="1">
      <alignment horizontal="center" wrapText="1"/>
    </xf>
    <xf numFmtId="170" fontId="9" fillId="6" borderId="10" xfId="0" applyNumberFormat="1" applyFont="1" applyFill="1" applyBorder="1" applyAlignment="1">
      <alignment horizontal="center" wrapText="1"/>
    </xf>
    <xf numFmtId="0" fontId="4" fillId="6" borderId="10" xfId="0" applyFont="1" applyFill="1" applyBorder="1" applyAlignment="1">
      <alignment wrapText="1"/>
    </xf>
    <xf numFmtId="0" fontId="9" fillId="6" borderId="10" xfId="0" applyFont="1" applyFill="1" applyBorder="1" applyAlignment="1">
      <alignment wrapText="1"/>
    </xf>
    <xf numFmtId="167" fontId="9" fillId="6" borderId="17" xfId="0" applyNumberFormat="1" applyFont="1" applyFill="1" applyBorder="1" applyAlignment="1">
      <alignment wrapText="1"/>
    </xf>
    <xf numFmtId="0" fontId="4" fillId="0" borderId="10" xfId="0" applyFont="1" applyBorder="1" applyAlignment="1">
      <alignment horizontal="left" vertical="top" wrapText="1"/>
    </xf>
    <xf numFmtId="168" fontId="9" fillId="5" borderId="0" xfId="0" applyNumberFormat="1" applyFont="1" applyFill="1" applyAlignment="1">
      <alignment wrapText="1"/>
    </xf>
    <xf numFmtId="0" fontId="9" fillId="5" borderId="0" xfId="0" applyFont="1" applyFill="1" applyAlignment="1">
      <alignment wrapText="1"/>
    </xf>
    <xf numFmtId="0" fontId="4" fillId="5" borderId="0" xfId="0" applyFont="1" applyFill="1" applyAlignment="1">
      <alignment wrapText="1"/>
    </xf>
    <xf numFmtId="167" fontId="9" fillId="3" borderId="17" xfId="0" applyNumberFormat="1" applyFont="1" applyFill="1" applyBorder="1" applyAlignment="1">
      <alignment wrapText="1"/>
    </xf>
    <xf numFmtId="0" fontId="9" fillId="3" borderId="7" xfId="0" applyFont="1" applyFill="1" applyBorder="1" applyAlignment="1">
      <alignment wrapText="1"/>
    </xf>
    <xf numFmtId="0" fontId="9" fillId="3" borderId="26" xfId="0" applyFont="1" applyFill="1" applyBorder="1" applyAlignment="1">
      <alignment wrapText="1"/>
    </xf>
    <xf numFmtId="170" fontId="4" fillId="0" borderId="25" xfId="0" applyNumberFormat="1" applyFont="1" applyBorder="1" applyAlignment="1">
      <alignment wrapText="1"/>
    </xf>
    <xf numFmtId="0" fontId="9" fillId="3" borderId="17" xfId="0" applyFont="1" applyFill="1" applyBorder="1" applyAlignment="1">
      <alignment wrapText="1"/>
    </xf>
    <xf numFmtId="0" fontId="4" fillId="0" borderId="26" xfId="0" applyFont="1" applyBorder="1" applyAlignment="1">
      <alignment horizontal="center" wrapText="1"/>
    </xf>
    <xf numFmtId="177" fontId="4" fillId="0" borderId="12" xfId="0" applyNumberFormat="1" applyFont="1" applyBorder="1" applyAlignment="1">
      <alignment wrapText="1"/>
    </xf>
    <xf numFmtId="0" fontId="4" fillId="0" borderId="19" xfId="0" applyFont="1" applyBorder="1" applyAlignment="1">
      <alignment horizontal="center" wrapText="1"/>
    </xf>
    <xf numFmtId="178" fontId="4" fillId="0" borderId="12" xfId="0" applyNumberFormat="1" applyFont="1" applyBorder="1" applyAlignment="1">
      <alignment wrapText="1"/>
    </xf>
    <xf numFmtId="178" fontId="4" fillId="0" borderId="8" xfId="0" applyNumberFormat="1" applyFont="1" applyBorder="1" applyAlignment="1">
      <alignment wrapText="1"/>
    </xf>
    <xf numFmtId="178" fontId="4" fillId="0" borderId="6" xfId="0" applyNumberFormat="1" applyFont="1" applyBorder="1" applyAlignment="1">
      <alignment wrapText="1"/>
    </xf>
    <xf numFmtId="0" fontId="9" fillId="0" borderId="17" xfId="0" applyFont="1" applyBorder="1" applyAlignment="1">
      <alignment horizontal="center" wrapText="1"/>
    </xf>
    <xf numFmtId="0" fontId="9" fillId="5" borderId="10" xfId="0" applyFont="1" applyFill="1" applyBorder="1" applyAlignment="1">
      <alignment wrapText="1"/>
    </xf>
    <xf numFmtId="170" fontId="4" fillId="0" borderId="10" xfId="0" applyNumberFormat="1" applyFont="1" applyBorder="1" applyAlignment="1">
      <alignment horizontal="left" wrapText="1"/>
    </xf>
    <xf numFmtId="0" fontId="4" fillId="3" borderId="10" xfId="0" applyFont="1" applyFill="1" applyBorder="1" applyAlignment="1">
      <alignment wrapText="1"/>
    </xf>
    <xf numFmtId="167" fontId="9" fillId="3" borderId="21" xfId="0" applyNumberFormat="1" applyFont="1" applyFill="1" applyBorder="1" applyAlignment="1">
      <alignment wrapText="1"/>
    </xf>
    <xf numFmtId="0" fontId="9" fillId="3" borderId="16" xfId="0" applyFont="1" applyFill="1" applyBorder="1" applyAlignment="1">
      <alignment wrapText="1"/>
    </xf>
    <xf numFmtId="167" fontId="4" fillId="4" borderId="19" xfId="0" applyNumberFormat="1" applyFont="1" applyFill="1" applyBorder="1" applyAlignment="1">
      <alignment wrapText="1"/>
    </xf>
    <xf numFmtId="170" fontId="4" fillId="4" borderId="9" xfId="0" applyNumberFormat="1" applyFont="1" applyFill="1" applyBorder="1" applyAlignment="1">
      <alignment wrapText="1"/>
    </xf>
    <xf numFmtId="170" fontId="4" fillId="0" borderId="9" xfId="0" applyNumberFormat="1" applyFont="1" applyBorder="1" applyAlignment="1">
      <alignment wrapText="1"/>
    </xf>
    <xf numFmtId="0" fontId="4" fillId="3" borderId="24" xfId="0" applyFont="1" applyFill="1" applyBorder="1" applyAlignment="1">
      <alignment wrapText="1"/>
    </xf>
    <xf numFmtId="0" fontId="4" fillId="3" borderId="25" xfId="0" applyFont="1" applyFill="1" applyBorder="1" applyAlignment="1">
      <alignment wrapText="1"/>
    </xf>
    <xf numFmtId="0" fontId="4" fillId="3" borderId="17" xfId="0" applyFont="1" applyFill="1" applyBorder="1" applyAlignment="1">
      <alignment wrapText="1"/>
    </xf>
    <xf numFmtId="0" fontId="4" fillId="3" borderId="26" xfId="0" applyFont="1" applyFill="1" applyBorder="1" applyAlignment="1">
      <alignment wrapText="1"/>
    </xf>
    <xf numFmtId="0" fontId="9" fillId="0" borderId="9" xfId="0" applyFont="1" applyBorder="1" applyAlignment="1">
      <alignment wrapText="1"/>
    </xf>
    <xf numFmtId="170" fontId="4" fillId="0" borderId="16" xfId="0" applyNumberFormat="1" applyFont="1" applyBorder="1" applyAlignment="1">
      <alignment wrapText="1"/>
    </xf>
    <xf numFmtId="0" fontId="4" fillId="0" borderId="6" xfId="0" applyFont="1" applyBorder="1" applyAlignment="1">
      <alignment vertical="top" wrapText="1"/>
    </xf>
    <xf numFmtId="0" fontId="9" fillId="0" borderId="19" xfId="0" applyFont="1" applyBorder="1" applyAlignment="1">
      <alignment horizontal="right" wrapText="1"/>
    </xf>
    <xf numFmtId="0" fontId="4" fillId="0" borderId="7" xfId="0" applyFont="1" applyBorder="1" applyAlignment="1">
      <alignment vertical="top" wrapText="1"/>
    </xf>
    <xf numFmtId="0" fontId="9" fillId="0" borderId="14" xfId="0" applyFont="1" applyBorder="1" applyAlignment="1">
      <alignment horizontal="center" wrapText="1"/>
    </xf>
    <xf numFmtId="168" fontId="4" fillId="4" borderId="12" xfId="0" applyNumberFormat="1" applyFont="1" applyFill="1" applyBorder="1" applyAlignment="1">
      <alignment wrapText="1"/>
    </xf>
    <xf numFmtId="179" fontId="4" fillId="0" borderId="0" xfId="0" applyNumberFormat="1" applyFont="1" applyAlignment="1">
      <alignment wrapText="1"/>
    </xf>
    <xf numFmtId="0" fontId="9" fillId="0" borderId="20" xfId="0" applyFont="1" applyBorder="1" applyAlignment="1">
      <alignment horizontal="center" wrapText="1"/>
    </xf>
    <xf numFmtId="0" fontId="9" fillId="0" borderId="21" xfId="0" applyFont="1" applyBorder="1" applyAlignment="1">
      <alignment wrapText="1"/>
    </xf>
    <xf numFmtId="0" fontId="4" fillId="0" borderId="11" xfId="0" applyFont="1" applyBorder="1" applyAlignment="1">
      <alignment horizontal="left" wrapText="1"/>
    </xf>
    <xf numFmtId="0" fontId="4" fillId="0" borderId="20" xfId="0" applyFont="1" applyBorder="1" applyAlignment="1">
      <alignment wrapText="1"/>
    </xf>
    <xf numFmtId="172" fontId="9" fillId="0" borderId="27" xfId="0" applyNumberFormat="1" applyFont="1" applyBorder="1" applyAlignment="1">
      <alignment wrapText="1"/>
    </xf>
    <xf numFmtId="0" fontId="9" fillId="0" borderId="20" xfId="0" applyFont="1" applyBorder="1" applyAlignment="1">
      <alignment wrapText="1"/>
    </xf>
    <xf numFmtId="0" fontId="4" fillId="0" borderId="26" xfId="0" applyFont="1" applyBorder="1" applyAlignment="1">
      <alignment wrapText="1"/>
    </xf>
    <xf numFmtId="172" fontId="4" fillId="0" borderId="7" xfId="0" applyNumberFormat="1" applyFont="1" applyBorder="1" applyAlignment="1">
      <alignment wrapText="1"/>
    </xf>
    <xf numFmtId="14" fontId="4" fillId="0" borderId="0" xfId="0" applyNumberFormat="1" applyFont="1" applyAlignment="1">
      <alignment wrapText="1"/>
    </xf>
    <xf numFmtId="173" fontId="4" fillId="0" borderId="12" xfId="0" applyNumberFormat="1" applyFont="1" applyBorder="1" applyAlignment="1">
      <alignment wrapText="1"/>
    </xf>
    <xf numFmtId="173" fontId="4" fillId="0" borderId="8" xfId="0" applyNumberFormat="1" applyFont="1" applyBorder="1" applyAlignment="1">
      <alignment wrapText="1"/>
    </xf>
    <xf numFmtId="173" fontId="4" fillId="0" borderId="0" xfId="0" applyNumberFormat="1" applyFont="1" applyAlignment="1">
      <alignment wrapText="1"/>
    </xf>
    <xf numFmtId="168" fontId="4" fillId="0" borderId="10" xfId="0" applyNumberFormat="1" applyFont="1" applyBorder="1" applyAlignment="1">
      <alignment wrapText="1"/>
    </xf>
    <xf numFmtId="171" fontId="4" fillId="0" borderId="10" xfId="0" applyNumberFormat="1" applyFont="1" applyBorder="1" applyAlignment="1">
      <alignment wrapText="1"/>
    </xf>
    <xf numFmtId="0" fontId="4" fillId="0" borderId="0" xfId="0" applyFont="1" applyFill="1" applyAlignment="1">
      <alignment horizontal="left" wrapText="1"/>
    </xf>
    <xf numFmtId="0" fontId="4" fillId="0" borderId="0" xfId="0" applyFont="1" applyFill="1" applyAlignment="1">
      <alignment wrapText="1"/>
    </xf>
    <xf numFmtId="0" fontId="4" fillId="0" borderId="0" xfId="1" applyFill="1">
      <alignment wrapText="1"/>
    </xf>
    <xf numFmtId="170" fontId="4" fillId="0" borderId="0" xfId="0" applyNumberFormat="1" applyFont="1" applyFill="1" applyAlignment="1">
      <alignment horizontal="center" wrapText="1"/>
    </xf>
    <xf numFmtId="0" fontId="4" fillId="0" borderId="0" xfId="0" applyFont="1" applyFill="1" applyAlignment="1">
      <alignment horizontal="center" wrapText="1"/>
    </xf>
    <xf numFmtId="0" fontId="0" fillId="0" borderId="0" xfId="0" applyFill="1"/>
    <xf numFmtId="0" fontId="4" fillId="0" borderId="8" xfId="0" applyFont="1" applyFill="1" applyBorder="1" applyAlignment="1">
      <alignment wrapText="1"/>
    </xf>
    <xf numFmtId="0" fontId="4" fillId="0" borderId="0" xfId="0" applyFont="1" applyFill="1" applyAlignment="1">
      <alignment horizontal="center" vertical="center" wrapText="1"/>
    </xf>
    <xf numFmtId="0" fontId="4" fillId="0" borderId="19" xfId="0" applyFont="1" applyFill="1" applyBorder="1" applyAlignment="1">
      <alignment wrapText="1"/>
    </xf>
    <xf numFmtId="0" fontId="9" fillId="0" borderId="20" xfId="0" applyFont="1" applyFill="1" applyBorder="1" applyAlignment="1">
      <alignment horizontal="center" wrapText="1"/>
    </xf>
    <xf numFmtId="0" fontId="4" fillId="0" borderId="9" xfId="0" applyFont="1" applyFill="1" applyBorder="1" applyAlignment="1">
      <alignment horizontal="center" vertical="center" wrapText="1"/>
    </xf>
    <xf numFmtId="0" fontId="9" fillId="0" borderId="10" xfId="0" applyFont="1" applyFill="1" applyBorder="1" applyAlignment="1">
      <alignment horizontal="center" wrapText="1"/>
    </xf>
    <xf numFmtId="0" fontId="9" fillId="0" borderId="10" xfId="0" applyFont="1" applyFill="1" applyBorder="1" applyAlignment="1">
      <alignment wrapText="1"/>
    </xf>
    <xf numFmtId="0" fontId="4" fillId="0" borderId="20" xfId="0" applyFont="1" applyFill="1" applyBorder="1" applyAlignment="1">
      <alignment horizontal="center" wrapText="1"/>
    </xf>
    <xf numFmtId="0" fontId="4" fillId="0" borderId="9" xfId="0" applyFont="1" applyFill="1" applyBorder="1" applyAlignment="1">
      <alignment wrapText="1"/>
    </xf>
    <xf numFmtId="168" fontId="4" fillId="0" borderId="6" xfId="0" applyNumberFormat="1" applyFont="1" applyFill="1" applyBorder="1" applyAlignment="1">
      <alignment wrapText="1"/>
    </xf>
    <xf numFmtId="168" fontId="4" fillId="0" borderId="0" xfId="0" applyNumberFormat="1" applyFont="1" applyFill="1" applyAlignment="1">
      <alignment wrapText="1"/>
    </xf>
    <xf numFmtId="168" fontId="4" fillId="0" borderId="8" xfId="0" applyNumberFormat="1" applyFont="1" applyFill="1" applyBorder="1" applyAlignment="1">
      <alignment wrapText="1"/>
    </xf>
    <xf numFmtId="0" fontId="9" fillId="0" borderId="0" xfId="0" applyFont="1" applyFill="1" applyAlignment="1">
      <alignment wrapText="1"/>
    </xf>
    <xf numFmtId="168" fontId="9" fillId="0" borderId="12" xfId="0" applyNumberFormat="1" applyFont="1" applyFill="1" applyBorder="1" applyAlignment="1">
      <alignment wrapText="1"/>
    </xf>
    <xf numFmtId="0" fontId="4" fillId="0" borderId="11" xfId="0" applyFont="1" applyFill="1" applyBorder="1" applyAlignment="1">
      <alignment wrapText="1"/>
    </xf>
    <xf numFmtId="0" fontId="4" fillId="0" borderId="15" xfId="0" applyFont="1" applyFill="1" applyBorder="1" applyAlignment="1">
      <alignment wrapText="1"/>
    </xf>
    <xf numFmtId="170" fontId="4" fillId="0" borderId="19" xfId="0" applyNumberFormat="1" applyFont="1" applyFill="1" applyBorder="1" applyAlignment="1">
      <alignment wrapText="1"/>
    </xf>
    <xf numFmtId="0" fontId="4" fillId="0" borderId="6" xfId="0" applyFont="1" applyFill="1" applyBorder="1" applyAlignment="1">
      <alignment wrapText="1"/>
    </xf>
    <xf numFmtId="0" fontId="9" fillId="0" borderId="19" xfId="0" applyFont="1" applyFill="1" applyBorder="1" applyAlignment="1">
      <alignment wrapText="1"/>
    </xf>
    <xf numFmtId="168" fontId="9" fillId="0" borderId="18" xfId="0" applyNumberFormat="1" applyFont="1" applyFill="1" applyBorder="1" applyAlignment="1">
      <alignment wrapText="1"/>
    </xf>
    <xf numFmtId="0" fontId="4" fillId="0" borderId="10" xfId="0" applyFont="1" applyFill="1" applyBorder="1" applyAlignment="1">
      <alignment wrapText="1"/>
    </xf>
    <xf numFmtId="0" fontId="4" fillId="0" borderId="6" xfId="0" applyFont="1" applyFill="1" applyBorder="1" applyAlignment="1">
      <alignment horizontal="center" wrapText="1"/>
    </xf>
    <xf numFmtId="167" fontId="4" fillId="0" borderId="0" xfId="0" applyNumberFormat="1" applyFont="1" applyFill="1" applyAlignment="1">
      <alignment wrapText="1"/>
    </xf>
    <xf numFmtId="168" fontId="9" fillId="0" borderId="0" xfId="0" applyNumberFormat="1" applyFont="1" applyFill="1" applyAlignment="1">
      <alignment wrapText="1"/>
    </xf>
    <xf numFmtId="168" fontId="9" fillId="0" borderId="8" xfId="0" applyNumberFormat="1" applyFont="1" applyFill="1" applyBorder="1" applyAlignment="1">
      <alignment wrapText="1"/>
    </xf>
    <xf numFmtId="0" fontId="4" fillId="0" borderId="0" xfId="0" applyFont="1" applyFill="1" applyAlignment="1">
      <alignment horizontal="right" wrapText="1"/>
    </xf>
    <xf numFmtId="174" fontId="4" fillId="0" borderId="0" xfId="0" applyNumberFormat="1" applyFont="1" applyFill="1" applyAlignment="1">
      <alignment wrapText="1"/>
    </xf>
    <xf numFmtId="0" fontId="9" fillId="0" borderId="9" xfId="0" applyFont="1" applyFill="1" applyBorder="1" applyAlignment="1">
      <alignment wrapText="1"/>
    </xf>
    <xf numFmtId="0" fontId="9" fillId="0" borderId="9" xfId="0" applyFont="1" applyFill="1" applyBorder="1" applyAlignment="1">
      <alignment horizontal="center" wrapText="1"/>
    </xf>
    <xf numFmtId="0" fontId="9" fillId="0" borderId="0" xfId="0" applyFont="1" applyFill="1" applyAlignment="1">
      <alignment horizontal="center" wrapText="1"/>
    </xf>
    <xf numFmtId="167" fontId="4" fillId="0" borderId="8" xfId="0" applyNumberFormat="1" applyFont="1" applyFill="1" applyBorder="1" applyAlignment="1">
      <alignment wrapText="1"/>
    </xf>
    <xf numFmtId="167" fontId="4" fillId="0" borderId="12" xfId="0" applyNumberFormat="1" applyFont="1" applyFill="1" applyBorder="1" applyAlignment="1">
      <alignment wrapText="1"/>
    </xf>
    <xf numFmtId="167" fontId="9" fillId="0" borderId="12" xfId="0" applyNumberFormat="1" applyFont="1" applyFill="1" applyBorder="1" applyAlignment="1">
      <alignment wrapText="1"/>
    </xf>
    <xf numFmtId="180" fontId="22" fillId="0" borderId="0" xfId="0" quotePrefix="1" applyNumberFormat="1" applyFont="1" applyAlignment="1">
      <alignment horizontal="right" vertical="top" wrapText="1"/>
    </xf>
    <xf numFmtId="180" fontId="22" fillId="0" borderId="0" xfId="0" quotePrefix="1" applyNumberFormat="1" applyFont="1" applyAlignment="1">
      <alignment vertical="center" wrapText="1"/>
    </xf>
    <xf numFmtId="0" fontId="4" fillId="0" borderId="14" xfId="0" applyFont="1" applyBorder="1" applyAlignment="1">
      <alignment wrapText="1"/>
    </xf>
    <xf numFmtId="168" fontId="4" fillId="0" borderId="0" xfId="0" applyNumberFormat="1" applyFont="1" applyBorder="1" applyAlignment="1">
      <alignment wrapText="1"/>
    </xf>
    <xf numFmtId="0" fontId="4" fillId="0" borderId="28" xfId="0" applyFont="1" applyBorder="1" applyAlignment="1">
      <alignment wrapText="1"/>
    </xf>
    <xf numFmtId="0" fontId="12" fillId="7" borderId="0" xfId="12" applyFont="1" applyFill="1"/>
    <xf numFmtId="0" fontId="12" fillId="0" borderId="0" xfId="12" applyFont="1"/>
    <xf numFmtId="181" fontId="12" fillId="0" borderId="0" xfId="13" applyNumberFormat="1" applyFont="1" applyFill="1" applyBorder="1"/>
    <xf numFmtId="5" fontId="12" fillId="0" borderId="0" xfId="12" applyNumberFormat="1" applyFont="1" applyAlignment="1">
      <alignment horizontal="left" wrapText="1"/>
    </xf>
    <xf numFmtId="5" fontId="12" fillId="0" borderId="0" xfId="12" applyNumberFormat="1" applyFont="1"/>
    <xf numFmtId="181" fontId="12" fillId="0" borderId="0" xfId="8" applyNumberFormat="1" applyFont="1" applyFill="1" applyBorder="1" applyProtection="1"/>
    <xf numFmtId="182" fontId="12" fillId="0" borderId="0" xfId="12" applyNumberFormat="1" applyFont="1"/>
    <xf numFmtId="10" fontId="12" fillId="0" borderId="0" xfId="14" applyNumberFormat="1" applyFont="1" applyFill="1" applyBorder="1"/>
    <xf numFmtId="5" fontId="12" fillId="0" borderId="0" xfId="12" applyNumberFormat="1" applyFont="1" applyAlignment="1">
      <alignment horizontal="right"/>
    </xf>
    <xf numFmtId="181" fontId="12" fillId="0" borderId="0" xfId="14" applyNumberFormat="1" applyFont="1" applyFill="1" applyBorder="1" applyProtection="1"/>
    <xf numFmtId="0" fontId="12" fillId="0" borderId="0" xfId="12" applyFont="1" applyAlignment="1">
      <alignment horizontal="center"/>
    </xf>
    <xf numFmtId="0" fontId="12" fillId="0" borderId="0" xfId="12" applyFont="1" applyAlignment="1">
      <alignment horizontal="left"/>
    </xf>
    <xf numFmtId="181" fontId="12" fillId="7" borderId="0" xfId="13" applyNumberFormat="1" applyFont="1" applyFill="1"/>
    <xf numFmtId="181" fontId="12" fillId="7" borderId="5" xfId="8" applyNumberFormat="1" applyFont="1" applyFill="1" applyBorder="1"/>
    <xf numFmtId="181" fontId="12" fillId="0" borderId="0" xfId="8" applyNumberFormat="1" applyFont="1" applyFill="1" applyBorder="1"/>
    <xf numFmtId="0" fontId="12" fillId="7" borderId="0" xfId="12" applyFont="1" applyFill="1" applyAlignment="1">
      <alignment horizontal="center"/>
    </xf>
    <xf numFmtId="0" fontId="12" fillId="7" borderId="0" xfId="12" quotePrefix="1" applyFont="1" applyFill="1" applyAlignment="1">
      <alignment wrapText="1"/>
    </xf>
    <xf numFmtId="181" fontId="12" fillId="7" borderId="0" xfId="8" applyNumberFormat="1" applyFont="1" applyFill="1"/>
    <xf numFmtId="181" fontId="12" fillId="7" borderId="0" xfId="8" applyNumberFormat="1" applyFont="1" applyFill="1" applyBorder="1"/>
    <xf numFmtId="181" fontId="12" fillId="7" borderId="0" xfId="12" applyNumberFormat="1" applyFont="1" applyFill="1"/>
    <xf numFmtId="0" fontId="12" fillId="7" borderId="0" xfId="12" quotePrefix="1" applyFont="1" applyFill="1"/>
    <xf numFmtId="181" fontId="13" fillId="0" borderId="0" xfId="12" applyNumberFormat="1" applyFont="1"/>
    <xf numFmtId="0" fontId="25" fillId="0" borderId="0" xfId="12" applyFont="1"/>
    <xf numFmtId="181" fontId="13" fillId="0" borderId="29" xfId="12" applyNumberFormat="1" applyFont="1" applyBorder="1"/>
    <xf numFmtId="0" fontId="13" fillId="0" borderId="0" xfId="12" applyFont="1"/>
    <xf numFmtId="0" fontId="13" fillId="7" borderId="0" xfId="12" quotePrefix="1" applyFont="1" applyFill="1" applyAlignment="1">
      <alignment horizontal="left"/>
    </xf>
    <xf numFmtId="0" fontId="12" fillId="7" borderId="0" xfId="12" applyFont="1" applyFill="1" applyAlignment="1">
      <alignment vertical="top"/>
    </xf>
    <xf numFmtId="37" fontId="12" fillId="0" borderId="0" xfId="12" applyNumberFormat="1" applyFont="1"/>
    <xf numFmtId="0" fontId="26" fillId="0" borderId="0" xfId="12" applyFont="1"/>
    <xf numFmtId="0" fontId="12" fillId="7" borderId="0" xfId="12" quotePrefix="1" applyFont="1" applyFill="1" applyAlignment="1">
      <alignment horizontal="center"/>
    </xf>
    <xf numFmtId="0" fontId="12" fillId="7" borderId="0" xfId="12" quotePrefix="1" applyFont="1" applyFill="1" applyAlignment="1">
      <alignment horizontal="left" indent="2"/>
    </xf>
    <xf numFmtId="0" fontId="13" fillId="0" borderId="0" xfId="12" applyFont="1" applyAlignment="1">
      <alignment horizontal="center"/>
    </xf>
    <xf numFmtId="164" fontId="12" fillId="7" borderId="0" xfId="15" applyNumberFormat="1" applyFont="1" applyFill="1"/>
    <xf numFmtId="0" fontId="27" fillId="0" borderId="0" xfId="12" applyFont="1" applyAlignment="1">
      <alignment horizontal="center"/>
    </xf>
    <xf numFmtId="0" fontId="13" fillId="7" borderId="0" xfId="12" applyFont="1" applyFill="1" applyAlignment="1">
      <alignment horizontal="center"/>
    </xf>
    <xf numFmtId="0" fontId="13" fillId="7" borderId="0" xfId="12" applyFont="1" applyFill="1" applyAlignment="1">
      <alignment horizontal="center" wrapText="1"/>
    </xf>
    <xf numFmtId="0" fontId="13" fillId="7" borderId="0" xfId="12" applyFont="1" applyFill="1"/>
    <xf numFmtId="0" fontId="12" fillId="7" borderId="0" xfId="12" applyFont="1" applyFill="1" applyAlignment="1">
      <alignment horizontal="left"/>
    </xf>
    <xf numFmtId="0" fontId="13" fillId="7" borderId="0" xfId="12" applyFont="1" applyFill="1" applyAlignment="1">
      <alignment horizontal="left"/>
    </xf>
    <xf numFmtId="0" fontId="24" fillId="0" borderId="0" xfId="12"/>
    <xf numFmtId="43" fontId="12" fillId="0" borderId="0" xfId="12" applyNumberFormat="1" applyFont="1"/>
    <xf numFmtId="43" fontId="12" fillId="0" borderId="0" xfId="8" applyFont="1" applyFill="1" applyBorder="1"/>
    <xf numFmtId="0" fontId="13" fillId="0" borderId="0" xfId="12" applyFont="1" applyAlignment="1">
      <alignment horizontal="left"/>
    </xf>
    <xf numFmtId="40" fontId="28" fillId="0" borderId="0" xfId="12" applyNumberFormat="1" applyFont="1"/>
    <xf numFmtId="40" fontId="29" fillId="0" borderId="0" xfId="12" applyNumberFormat="1" applyFont="1"/>
    <xf numFmtId="0" fontId="28" fillId="0" borderId="0" xfId="12" applyFont="1"/>
    <xf numFmtId="181" fontId="12" fillId="0" borderId="4" xfId="8" applyNumberFormat="1" applyFont="1" applyFill="1" applyBorder="1" applyProtection="1"/>
    <xf numFmtId="0" fontId="24" fillId="0" borderId="0" xfId="12" applyAlignment="1">
      <alignment horizontal="right"/>
    </xf>
    <xf numFmtId="181" fontId="12" fillId="0" borderId="0" xfId="8" applyNumberFormat="1" applyFont="1" applyFill="1"/>
    <xf numFmtId="43" fontId="12" fillId="0" borderId="0" xfId="8" applyFont="1" applyFill="1" applyProtection="1"/>
    <xf numFmtId="43" fontId="12" fillId="0" borderId="0" xfId="8" applyFont="1" applyFill="1" applyBorder="1" applyProtection="1"/>
    <xf numFmtId="43" fontId="12" fillId="0" borderId="4" xfId="12" applyNumberFormat="1" applyFont="1" applyBorder="1"/>
    <xf numFmtId="0" fontId="12" fillId="0" borderId="4" xfId="12" applyFont="1" applyBorder="1"/>
    <xf numFmtId="0" fontId="12" fillId="0" borderId="4" xfId="16" applyBorder="1"/>
    <xf numFmtId="0" fontId="13" fillId="0" borderId="0" xfId="16" applyFont="1"/>
    <xf numFmtId="40" fontId="12" fillId="0" borderId="0" xfId="12" applyNumberFormat="1" applyFont="1"/>
    <xf numFmtId="0" fontId="24" fillId="0" borderId="0" xfId="12" quotePrefix="1"/>
    <xf numFmtId="40" fontId="12" fillId="0" borderId="30" xfId="12" applyNumberFormat="1" applyFont="1" applyBorder="1"/>
    <xf numFmtId="38" fontId="12" fillId="0" borderId="0" xfId="12" applyNumberFormat="1" applyFont="1"/>
    <xf numFmtId="44" fontId="12" fillId="0" borderId="0" xfId="12" applyNumberFormat="1" applyFont="1"/>
    <xf numFmtId="43" fontId="24" fillId="0" borderId="0" xfId="12" applyNumberFormat="1"/>
    <xf numFmtId="0" fontId="24" fillId="8" borderId="0" xfId="12" applyFill="1"/>
    <xf numFmtId="44" fontId="12" fillId="0" borderId="0" xfId="17" applyFont="1" applyFill="1" applyBorder="1" applyProtection="1"/>
    <xf numFmtId="9" fontId="12" fillId="0" borderId="0" xfId="12" applyNumberFormat="1" applyFont="1" applyAlignment="1">
      <alignment horizontal="left"/>
    </xf>
    <xf numFmtId="164" fontId="12" fillId="0" borderId="0" xfId="15" applyNumberFormat="1" applyFont="1" applyFill="1" applyBorder="1" applyProtection="1"/>
    <xf numFmtId="44" fontId="12" fillId="0" borderId="0" xfId="17" applyFont="1" applyFill="1" applyBorder="1"/>
    <xf numFmtId="44" fontId="24" fillId="0" borderId="0" xfId="12" applyNumberFormat="1"/>
    <xf numFmtId="44" fontId="12" fillId="0" borderId="4" xfId="15" applyFont="1" applyFill="1" applyBorder="1" applyProtection="1"/>
    <xf numFmtId="43" fontId="12" fillId="0" borderId="0" xfId="8" applyFont="1" applyFill="1" applyBorder="1" applyAlignment="1" applyProtection="1">
      <alignment horizontal="right"/>
    </xf>
    <xf numFmtId="0" fontId="24" fillId="8" borderId="0" xfId="12" applyFill="1" applyAlignment="1">
      <alignment horizontal="left"/>
    </xf>
    <xf numFmtId="0" fontId="27" fillId="0" borderId="0" xfId="12" applyFont="1"/>
    <xf numFmtId="40" fontId="28" fillId="8" borderId="0" xfId="12" applyNumberFormat="1" applyFont="1" applyFill="1"/>
    <xf numFmtId="40" fontId="12" fillId="0" borderId="4" xfId="12" applyNumberFormat="1" applyFont="1" applyBorder="1"/>
    <xf numFmtId="17" fontId="27" fillId="0" borderId="0" xfId="12" quotePrefix="1" applyNumberFormat="1" applyFont="1" applyAlignment="1">
      <alignment horizontal="center"/>
    </xf>
    <xf numFmtId="0" fontId="13" fillId="9" borderId="31" xfId="12" applyFont="1" applyFill="1" applyBorder="1" applyAlignment="1">
      <alignment horizontal="center" vertical="center"/>
    </xf>
    <xf numFmtId="0" fontId="30" fillId="0" borderId="0" xfId="18" applyFont="1"/>
    <xf numFmtId="0" fontId="31" fillId="0" borderId="0" xfId="18" applyFont="1"/>
    <xf numFmtId="0" fontId="2" fillId="0" borderId="0" xfId="19"/>
    <xf numFmtId="0" fontId="2" fillId="10" borderId="0" xfId="19" applyFill="1"/>
    <xf numFmtId="17" fontId="2" fillId="0" borderId="0" xfId="19" applyNumberFormat="1"/>
    <xf numFmtId="43" fontId="2" fillId="0" borderId="0" xfId="20" applyFont="1"/>
    <xf numFmtId="43" fontId="2" fillId="0" borderId="0" xfId="20" applyFont="1" applyBorder="1"/>
    <xf numFmtId="43" fontId="32" fillId="0" borderId="0" xfId="20" applyFont="1" applyFill="1" applyBorder="1"/>
    <xf numFmtId="10" fontId="2" fillId="0" borderId="0" xfId="21" applyNumberFormat="1" applyFont="1" applyFill="1" applyBorder="1"/>
    <xf numFmtId="10" fontId="2" fillId="0" borderId="0" xfId="21" applyNumberFormat="1" applyFont="1" applyFill="1"/>
    <xf numFmtId="43" fontId="2" fillId="0" borderId="0" xfId="19" applyNumberFormat="1"/>
    <xf numFmtId="43" fontId="2" fillId="0" borderId="0" xfId="20" applyFont="1" applyFill="1"/>
    <xf numFmtId="0" fontId="2" fillId="0" borderId="0" xfId="19" applyAlignment="1">
      <alignment horizontal="right"/>
    </xf>
    <xf numFmtId="43" fontId="2" fillId="0" borderId="0" xfId="20" applyFont="1" applyFill="1" applyBorder="1"/>
    <xf numFmtId="0" fontId="2" fillId="0" borderId="0" xfId="19" applyAlignment="1">
      <alignment horizontal="center"/>
    </xf>
    <xf numFmtId="0" fontId="33" fillId="0" borderId="0" xfId="19" applyFont="1"/>
    <xf numFmtId="43" fontId="2" fillId="11" borderId="0" xfId="20" applyFont="1" applyFill="1"/>
    <xf numFmtId="17" fontId="2" fillId="11" borderId="0" xfId="19" applyNumberFormat="1" applyFill="1"/>
    <xf numFmtId="43" fontId="32" fillId="11" borderId="0" xfId="20" applyFont="1" applyFill="1" applyBorder="1"/>
    <xf numFmtId="17" fontId="2" fillId="11" borderId="0" xfId="19" applyNumberFormat="1" applyFill="1" applyAlignment="1">
      <alignment horizontal="right"/>
    </xf>
    <xf numFmtId="43" fontId="32" fillId="0" borderId="0" xfId="19" applyNumberFormat="1" applyFont="1"/>
    <xf numFmtId="43" fontId="32" fillId="0" borderId="0" xfId="20" applyFont="1" applyFill="1"/>
    <xf numFmtId="0" fontId="32" fillId="0" borderId="0" xfId="19" applyFont="1"/>
    <xf numFmtId="0" fontId="32" fillId="10" borderId="0" xfId="19" applyFont="1" applyFill="1"/>
    <xf numFmtId="17" fontId="32" fillId="0" borderId="0" xfId="19" applyNumberFormat="1" applyFont="1"/>
    <xf numFmtId="43" fontId="2" fillId="0" borderId="31" xfId="20" applyFont="1" applyFill="1" applyBorder="1" applyAlignment="1">
      <alignment horizontal="center"/>
    </xf>
    <xf numFmtId="43" fontId="2" fillId="0" borderId="3" xfId="20" applyFont="1" applyFill="1" applyBorder="1"/>
    <xf numFmtId="43" fontId="2" fillId="0" borderId="1" xfId="20" applyFont="1" applyFill="1" applyBorder="1"/>
    <xf numFmtId="0" fontId="2" fillId="11" borderId="32" xfId="19" applyFill="1" applyBorder="1"/>
    <xf numFmtId="43" fontId="2" fillId="11" borderId="33" xfId="20" applyFont="1" applyFill="1" applyBorder="1"/>
    <xf numFmtId="0" fontId="2" fillId="11" borderId="34" xfId="19" applyFill="1" applyBorder="1" applyAlignment="1">
      <alignment horizontal="left"/>
    </xf>
    <xf numFmtId="0" fontId="2" fillId="11" borderId="35" xfId="19" applyFill="1" applyBorder="1"/>
    <xf numFmtId="43" fontId="2" fillId="11" borderId="0" xfId="20" applyFont="1" applyFill="1" applyBorder="1"/>
    <xf numFmtId="0" fontId="2" fillId="11" borderId="36" xfId="19" applyFill="1" applyBorder="1" applyAlignment="1">
      <alignment horizontal="left"/>
    </xf>
    <xf numFmtId="181" fontId="2" fillId="0" borderId="0" xfId="20" applyNumberFormat="1" applyFont="1"/>
    <xf numFmtId="0" fontId="2" fillId="11" borderId="0" xfId="19" applyFill="1"/>
    <xf numFmtId="0" fontId="2" fillId="11" borderId="36" xfId="19" applyFill="1" applyBorder="1"/>
    <xf numFmtId="0" fontId="2" fillId="11" borderId="37" xfId="19" applyFill="1" applyBorder="1"/>
    <xf numFmtId="0" fontId="2" fillId="11" borderId="38" xfId="19" applyFill="1" applyBorder="1"/>
    <xf numFmtId="0" fontId="2" fillId="11" borderId="39" xfId="19" applyFill="1" applyBorder="1"/>
    <xf numFmtId="0" fontId="34" fillId="0" borderId="0" xfId="19" applyFont="1"/>
    <xf numFmtId="43" fontId="0" fillId="0" borderId="0" xfId="20" applyFont="1"/>
    <xf numFmtId="43" fontId="2" fillId="0" borderId="40" xfId="19" applyNumberFormat="1" applyBorder="1"/>
    <xf numFmtId="43" fontId="2" fillId="0" borderId="41" xfId="19" applyNumberFormat="1" applyBorder="1"/>
    <xf numFmtId="43" fontId="2" fillId="0" borderId="42" xfId="19" applyNumberFormat="1" applyBorder="1"/>
    <xf numFmtId="43" fontId="2" fillId="0" borderId="43" xfId="19" applyNumberFormat="1" applyBorder="1"/>
    <xf numFmtId="43" fontId="2" fillId="0" borderId="44" xfId="19" applyNumberFormat="1" applyBorder="1"/>
    <xf numFmtId="43" fontId="2" fillId="0" borderId="45" xfId="19" applyNumberFormat="1" applyBorder="1"/>
    <xf numFmtId="43" fontId="2" fillId="0" borderId="46" xfId="19" applyNumberFormat="1" applyBorder="1"/>
    <xf numFmtId="43" fontId="2" fillId="0" borderId="47" xfId="19" applyNumberFormat="1" applyBorder="1"/>
    <xf numFmtId="0" fontId="2" fillId="7" borderId="48" xfId="22" applyFill="1" applyBorder="1" applyAlignment="1">
      <alignment horizontal="center"/>
    </xf>
    <xf numFmtId="0" fontId="2" fillId="7" borderId="49" xfId="22" applyFill="1" applyBorder="1" applyAlignment="1">
      <alignment horizontal="center"/>
    </xf>
    <xf numFmtId="0" fontId="2" fillId="7" borderId="50" xfId="22" applyFill="1" applyBorder="1" applyAlignment="1">
      <alignment horizontal="center"/>
    </xf>
    <xf numFmtId="0" fontId="2" fillId="0" borderId="48" xfId="19" applyBorder="1" applyAlignment="1">
      <alignment horizontal="center"/>
    </xf>
    <xf numFmtId="0" fontId="2" fillId="0" borderId="50" xfId="19" applyBorder="1" applyAlignment="1">
      <alignment horizontal="center"/>
    </xf>
    <xf numFmtId="0" fontId="2" fillId="7" borderId="0" xfId="22" applyFill="1" applyAlignment="1">
      <alignment horizontal="right"/>
    </xf>
    <xf numFmtId="0" fontId="2" fillId="7" borderId="0" xfId="22" applyFill="1"/>
    <xf numFmtId="0" fontId="35" fillId="7" borderId="0" xfId="22" applyFont="1" applyFill="1"/>
    <xf numFmtId="0" fontId="2" fillId="8" borderId="3" xfId="22" applyFill="1" applyBorder="1"/>
    <xf numFmtId="0" fontId="2" fillId="8" borderId="2" xfId="22" applyFill="1" applyBorder="1"/>
    <xf numFmtId="0" fontId="2" fillId="8" borderId="1" xfId="22" applyFill="1" applyBorder="1"/>
    <xf numFmtId="43" fontId="2" fillId="7" borderId="2" xfId="22" applyNumberFormat="1" applyFill="1" applyBorder="1"/>
    <xf numFmtId="43" fontId="2" fillId="7" borderId="1" xfId="22" applyNumberFormat="1" applyFill="1" applyBorder="1"/>
    <xf numFmtId="43" fontId="2" fillId="7" borderId="31" xfId="22" applyNumberFormat="1" applyFill="1" applyBorder="1"/>
    <xf numFmtId="43" fontId="2" fillId="7" borderId="0" xfId="22" applyNumberFormat="1" applyFill="1"/>
    <xf numFmtId="43" fontId="2" fillId="8" borderId="3" xfId="22" applyNumberFormat="1" applyFill="1" applyBorder="1"/>
    <xf numFmtId="181" fontId="32" fillId="13" borderId="40" xfId="23" applyNumberFormat="1" applyFont="1" applyFill="1" applyBorder="1"/>
    <xf numFmtId="181" fontId="32" fillId="13" borderId="41" xfId="23" applyNumberFormat="1" applyFont="1" applyFill="1" applyBorder="1"/>
    <xf numFmtId="0" fontId="2" fillId="13" borderId="41" xfId="22" applyFill="1" applyBorder="1"/>
    <xf numFmtId="0" fontId="2" fillId="13" borderId="42" xfId="22" applyFill="1" applyBorder="1"/>
    <xf numFmtId="43" fontId="2" fillId="7" borderId="43" xfId="22" applyNumberFormat="1" applyFill="1" applyBorder="1"/>
    <xf numFmtId="43" fontId="2" fillId="7" borderId="44" xfId="22" applyNumberFormat="1" applyFill="1" applyBorder="1"/>
    <xf numFmtId="43" fontId="2" fillId="7" borderId="0" xfId="20" applyFill="1" applyBorder="1"/>
    <xf numFmtId="43" fontId="2" fillId="7" borderId="44" xfId="20" applyFill="1" applyBorder="1"/>
    <xf numFmtId="43" fontId="2" fillId="7" borderId="51" xfId="22" applyNumberFormat="1" applyFill="1" applyBorder="1"/>
    <xf numFmtId="43" fontId="2" fillId="7" borderId="43" xfId="20" applyFill="1" applyBorder="1"/>
    <xf numFmtId="181" fontId="32" fillId="13" borderId="43" xfId="23" applyNumberFormat="1" applyFont="1" applyFill="1" applyBorder="1"/>
    <xf numFmtId="181" fontId="2" fillId="13" borderId="0" xfId="23" applyNumberFormat="1" applyFont="1" applyFill="1" applyBorder="1"/>
    <xf numFmtId="181" fontId="32" fillId="13" borderId="0" xfId="23" applyNumberFormat="1" applyFont="1" applyFill="1" applyBorder="1"/>
    <xf numFmtId="183" fontId="2" fillId="13" borderId="0" xfId="22" applyNumberFormat="1" applyFill="1" applyAlignment="1">
      <alignment horizontal="right"/>
    </xf>
    <xf numFmtId="0" fontId="2" fillId="13" borderId="44" xfId="22" applyFill="1" applyBorder="1" applyAlignment="1">
      <alignment horizontal="center"/>
    </xf>
    <xf numFmtId="183" fontId="2" fillId="13" borderId="0" xfId="22" applyNumberFormat="1" applyFill="1"/>
    <xf numFmtId="43" fontId="2" fillId="7" borderId="45" xfId="22" applyNumberFormat="1" applyFill="1" applyBorder="1"/>
    <xf numFmtId="43" fontId="2" fillId="7" borderId="46" xfId="20" applyFill="1" applyBorder="1"/>
    <xf numFmtId="43" fontId="2" fillId="7" borderId="47" xfId="20" applyFill="1" applyBorder="1"/>
    <xf numFmtId="43" fontId="2" fillId="7" borderId="52" xfId="22" applyNumberFormat="1" applyFill="1" applyBorder="1"/>
    <xf numFmtId="43" fontId="2" fillId="13" borderId="0" xfId="23" applyFont="1" applyFill="1" applyBorder="1"/>
    <xf numFmtId="181" fontId="2" fillId="13" borderId="0" xfId="24" applyNumberFormat="1" applyFont="1" applyFill="1" applyBorder="1"/>
    <xf numFmtId="0" fontId="2" fillId="7" borderId="48" xfId="22" applyFill="1" applyBorder="1"/>
    <xf numFmtId="181" fontId="2" fillId="7" borderId="0" xfId="22" applyNumberFormat="1" applyFill="1"/>
    <xf numFmtId="0" fontId="36" fillId="7" borderId="0" xfId="22" applyFont="1" applyFill="1"/>
    <xf numFmtId="165" fontId="36" fillId="7" borderId="0" xfId="25" applyNumberFormat="1" applyFont="1" applyFill="1"/>
    <xf numFmtId="43" fontId="36" fillId="7" borderId="0" xfId="22" applyNumberFormat="1" applyFont="1" applyFill="1"/>
    <xf numFmtId="181" fontId="36" fillId="7" borderId="0" xfId="20" applyNumberFormat="1" applyFont="1" applyFill="1"/>
    <xf numFmtId="43" fontId="36" fillId="7" borderId="0" xfId="20" applyFont="1" applyFill="1"/>
    <xf numFmtId="0" fontId="36" fillId="7" borderId="0" xfId="22" applyFont="1" applyFill="1" applyAlignment="1">
      <alignment horizontal="right"/>
    </xf>
    <xf numFmtId="0" fontId="2" fillId="13" borderId="40" xfId="22" applyFill="1" applyBorder="1"/>
    <xf numFmtId="0" fontId="32" fillId="13" borderId="43" xfId="22" applyFont="1" applyFill="1" applyBorder="1" applyAlignment="1">
      <alignment horizontal="center" wrapText="1"/>
    </xf>
    <xf numFmtId="0" fontId="2" fillId="13" borderId="0" xfId="22" applyFill="1" applyAlignment="1">
      <alignment horizontal="center" wrapText="1"/>
    </xf>
    <xf numFmtId="0" fontId="32" fillId="13" borderId="0" xfId="22" applyFont="1" applyFill="1" applyAlignment="1">
      <alignment horizontal="center" wrapText="1"/>
    </xf>
    <xf numFmtId="0" fontId="2" fillId="13" borderId="43" xfId="22" applyFill="1" applyBorder="1"/>
    <xf numFmtId="0" fontId="2" fillId="13" borderId="0" xfId="22" applyFill="1"/>
    <xf numFmtId="0" fontId="2" fillId="13" borderId="44" xfId="22" applyFill="1" applyBorder="1"/>
    <xf numFmtId="184" fontId="2" fillId="13" borderId="0" xfId="25" applyNumberFormat="1" applyFont="1" applyFill="1" applyBorder="1" applyAlignment="1">
      <alignment horizontal="center"/>
    </xf>
    <xf numFmtId="0" fontId="35" fillId="13" borderId="0" xfId="22" applyFont="1" applyFill="1" applyAlignment="1">
      <alignment horizontal="center"/>
    </xf>
    <xf numFmtId="0" fontId="2" fillId="13" borderId="0" xfId="22" applyFill="1" applyAlignment="1">
      <alignment horizontal="center"/>
    </xf>
    <xf numFmtId="181" fontId="2" fillId="13" borderId="0" xfId="22" applyNumberFormat="1" applyFill="1" applyAlignment="1">
      <alignment horizontal="center"/>
    </xf>
    <xf numFmtId="43" fontId="2" fillId="13" borderId="0" xfId="22" applyNumberFormat="1" applyFill="1" applyAlignment="1">
      <alignment horizontal="center"/>
    </xf>
    <xf numFmtId="184" fontId="2" fillId="13" borderId="0" xfId="25" applyNumberFormat="1" applyFill="1" applyBorder="1"/>
    <xf numFmtId="0" fontId="35" fillId="13" borderId="0" xfId="22" applyFont="1" applyFill="1"/>
    <xf numFmtId="10" fontId="2" fillId="13" borderId="0" xfId="25" applyNumberFormat="1" applyFill="1" applyBorder="1"/>
    <xf numFmtId="6" fontId="2" fillId="13" borderId="0" xfId="23" applyNumberFormat="1" applyFont="1" applyFill="1" applyBorder="1"/>
    <xf numFmtId="184" fontId="2" fillId="13" borderId="0" xfId="25" applyNumberFormat="1" applyFont="1" applyFill="1" applyBorder="1"/>
    <xf numFmtId="10" fontId="2" fillId="13" borderId="0" xfId="25" applyNumberFormat="1" applyFont="1" applyFill="1" applyBorder="1"/>
    <xf numFmtId="181" fontId="2" fillId="7" borderId="0" xfId="20" applyNumberFormat="1" applyFill="1"/>
    <xf numFmtId="0" fontId="2" fillId="13" borderId="45" xfId="22" applyFill="1" applyBorder="1"/>
    <xf numFmtId="0" fontId="2" fillId="13" borderId="46" xfId="22" applyFill="1" applyBorder="1"/>
    <xf numFmtId="0" fontId="2" fillId="13" borderId="47" xfId="22" applyFill="1" applyBorder="1"/>
    <xf numFmtId="0" fontId="35" fillId="13" borderId="45" xfId="22" applyFont="1" applyFill="1" applyBorder="1" applyAlignment="1">
      <alignment horizontal="right"/>
    </xf>
    <xf numFmtId="0" fontId="35" fillId="13" borderId="46" xfId="22" applyFont="1" applyFill="1" applyBorder="1"/>
    <xf numFmtId="0" fontId="37" fillId="13" borderId="46" xfId="22" applyFont="1" applyFill="1" applyBorder="1"/>
    <xf numFmtId="0" fontId="4" fillId="0" borderId="0" xfId="0" applyFont="1" applyFill="1" applyAlignment="1">
      <alignment horizontal="center" vertical="top" wrapText="1"/>
    </xf>
    <xf numFmtId="0" fontId="4" fillId="0" borderId="0" xfId="0" applyFont="1" applyFill="1" applyAlignment="1">
      <alignment vertical="top" wrapText="1"/>
    </xf>
    <xf numFmtId="0" fontId="23" fillId="0" borderId="0" xfId="0" applyFont="1" applyFill="1" applyAlignment="1">
      <alignment vertical="top" wrapText="1"/>
    </xf>
    <xf numFmtId="43" fontId="18" fillId="0" borderId="0" xfId="10" applyFont="1" applyFill="1" applyBorder="1"/>
    <xf numFmtId="0" fontId="18" fillId="16" borderId="0" xfId="0" applyFont="1" applyFill="1"/>
    <xf numFmtId="43" fontId="18" fillId="17" borderId="0" xfId="0" applyNumberFormat="1" applyFont="1" applyFill="1"/>
    <xf numFmtId="0" fontId="38" fillId="0" borderId="0" xfId="0" applyFont="1" applyAlignment="1">
      <alignment horizontal="right"/>
    </xf>
    <xf numFmtId="43" fontId="38" fillId="17" borderId="0" xfId="0" applyNumberFormat="1" applyFont="1" applyFill="1"/>
    <xf numFmtId="0" fontId="38" fillId="18" borderId="0" xfId="0" applyFont="1" applyFill="1"/>
    <xf numFmtId="0" fontId="38" fillId="19" borderId="0" xfId="0" applyFont="1" applyFill="1" applyAlignment="1">
      <alignment horizontal="center" wrapText="1"/>
    </xf>
    <xf numFmtId="0" fontId="38" fillId="19" borderId="0" xfId="0" applyFont="1" applyFill="1"/>
    <xf numFmtId="0" fontId="38" fillId="19" borderId="0" xfId="0" applyFont="1" applyFill="1" applyAlignment="1">
      <alignment horizontal="center"/>
    </xf>
    <xf numFmtId="0" fontId="38" fillId="19" borderId="0" xfId="0" applyFont="1" applyFill="1" applyAlignment="1">
      <alignment wrapText="1"/>
    </xf>
    <xf numFmtId="0" fontId="18" fillId="18" borderId="0" xfId="0" applyFont="1" applyFill="1" applyAlignment="1">
      <alignment horizontal="left"/>
    </xf>
    <xf numFmtId="0" fontId="38" fillId="18" borderId="0" xfId="0" applyFont="1" applyFill="1" applyAlignment="1">
      <alignment horizontal="left"/>
    </xf>
    <xf numFmtId="0" fontId="18" fillId="13" borderId="0" xfId="0" applyFont="1" applyFill="1" applyAlignment="1">
      <alignment vertical="center"/>
    </xf>
    <xf numFmtId="0" fontId="38" fillId="9" borderId="0" xfId="0" applyFont="1" applyFill="1" applyAlignment="1">
      <alignment vertical="center"/>
    </xf>
    <xf numFmtId="0" fontId="38" fillId="9" borderId="0" xfId="0" applyFont="1" applyFill="1"/>
    <xf numFmtId="43" fontId="38" fillId="9" borderId="0" xfId="0" applyNumberFormat="1" applyFont="1" applyFill="1"/>
    <xf numFmtId="0" fontId="38" fillId="18" borderId="0" xfId="0" applyFont="1" applyFill="1" applyAlignment="1">
      <alignment vertical="center"/>
    </xf>
    <xf numFmtId="43" fontId="38" fillId="18" borderId="0" xfId="0" applyNumberFormat="1" applyFont="1" applyFill="1"/>
    <xf numFmtId="0" fontId="38" fillId="19" borderId="0" xfId="0" applyFont="1" applyFill="1" applyAlignment="1">
      <alignment horizontal="left"/>
    </xf>
    <xf numFmtId="0" fontId="38" fillId="19" borderId="0" xfId="0" applyFont="1" applyFill="1" applyAlignment="1">
      <alignment vertical="center"/>
    </xf>
    <xf numFmtId="43" fontId="38" fillId="19" borderId="0" xfId="0" applyNumberFormat="1" applyFont="1" applyFill="1"/>
    <xf numFmtId="43" fontId="38" fillId="20" borderId="0" xfId="0" applyNumberFormat="1" applyFont="1" applyFill="1"/>
    <xf numFmtId="0" fontId="18" fillId="20" borderId="0" xfId="0" applyFont="1" applyFill="1"/>
    <xf numFmtId="43" fontId="38" fillId="21" borderId="0" xfId="0" applyNumberFormat="1" applyFont="1" applyFill="1"/>
    <xf numFmtId="43" fontId="38" fillId="22" borderId="0" xfId="0" applyNumberFormat="1" applyFont="1" applyFill="1"/>
    <xf numFmtId="43" fontId="18" fillId="22" borderId="0" xfId="0" applyNumberFormat="1" applyFont="1" applyFill="1"/>
    <xf numFmtId="43" fontId="18" fillId="12" borderId="0" xfId="0" applyNumberFormat="1" applyFont="1" applyFill="1"/>
    <xf numFmtId="43" fontId="18" fillId="14" borderId="0" xfId="0" applyNumberFormat="1" applyFont="1" applyFill="1"/>
    <xf numFmtId="43" fontId="18" fillId="15" borderId="0" xfId="0" applyNumberFormat="1" applyFont="1" applyFill="1"/>
    <xf numFmtId="0" fontId="39" fillId="0" borderId="0" xfId="26" applyFont="1"/>
    <xf numFmtId="0" fontId="19" fillId="0" borderId="0" xfId="26"/>
    <xf numFmtId="181" fontId="0" fillId="0" borderId="0" xfId="27" applyNumberFormat="1" applyFont="1" applyFill="1" applyBorder="1"/>
    <xf numFmtId="181" fontId="0" fillId="0" borderId="0" xfId="27" applyNumberFormat="1" applyFont="1" applyFill="1" applyAlignment="1">
      <alignment horizontal="right"/>
    </xf>
    <xf numFmtId="181" fontId="0" fillId="0" borderId="0" xfId="27" applyNumberFormat="1" applyFont="1" applyFill="1" applyAlignment="1"/>
    <xf numFmtId="0" fontId="39" fillId="0" borderId="0" xfId="26" applyFont="1" applyAlignment="1">
      <alignment horizontal="right" indent="1"/>
    </xf>
    <xf numFmtId="181" fontId="0" fillId="0" borderId="0" xfId="27" applyNumberFormat="1" applyFont="1" applyFill="1" applyAlignment="1">
      <alignment horizontal="left"/>
    </xf>
    <xf numFmtId="181" fontId="0" fillId="0" borderId="0" xfId="27" applyNumberFormat="1" applyFont="1" applyFill="1" applyAlignment="1">
      <alignment horizontal="center"/>
    </xf>
    <xf numFmtId="49" fontId="19" fillId="0" borderId="0" xfId="26" applyNumberFormat="1" applyAlignment="1">
      <alignment horizontal="center"/>
    </xf>
    <xf numFmtId="49" fontId="19" fillId="0" borderId="0" xfId="26" applyNumberFormat="1"/>
    <xf numFmtId="49" fontId="40" fillId="0" borderId="0" xfId="26" applyNumberFormat="1" applyFont="1" applyAlignment="1">
      <alignment horizontal="center" vertical="top"/>
    </xf>
    <xf numFmtId="49" fontId="40" fillId="0" borderId="0" xfId="27" applyNumberFormat="1" applyFont="1" applyFill="1" applyAlignment="1">
      <alignment horizontal="center" vertical="top"/>
    </xf>
    <xf numFmtId="43" fontId="40" fillId="0" borderId="0" xfId="27" applyFont="1" applyFill="1" applyAlignment="1">
      <alignment horizontal="center" vertical="top"/>
    </xf>
    <xf numFmtId="181" fontId="0" fillId="0" borderId="0" xfId="27" applyNumberFormat="1" applyFont="1" applyFill="1"/>
    <xf numFmtId="181" fontId="0" fillId="0" borderId="54" xfId="27" applyNumberFormat="1" applyFont="1" applyFill="1" applyBorder="1"/>
    <xf numFmtId="43" fontId="0" fillId="0" borderId="54" xfId="27" applyFont="1" applyFill="1" applyBorder="1"/>
    <xf numFmtId="43" fontId="0" fillId="0" borderId="0" xfId="27" applyFont="1" applyFill="1" applyBorder="1"/>
    <xf numFmtId="181" fontId="0" fillId="0" borderId="30" xfId="27" applyNumberFormat="1" applyFont="1" applyFill="1" applyBorder="1"/>
    <xf numFmtId="0" fontId="19" fillId="0" borderId="0" xfId="26" applyAlignment="1">
      <alignment horizontal="center"/>
    </xf>
    <xf numFmtId="43" fontId="19" fillId="0" borderId="0" xfId="26" applyNumberFormat="1" applyAlignment="1">
      <alignment horizontal="center"/>
    </xf>
    <xf numFmtId="43" fontId="0" fillId="0" borderId="0" xfId="27" applyFont="1" applyFill="1" applyAlignment="1">
      <alignment horizontal="center"/>
    </xf>
    <xf numFmtId="43" fontId="0" fillId="0" borderId="0" xfId="27" applyFont="1" applyFill="1" applyBorder="1" applyAlignment="1">
      <alignment horizontal="center"/>
    </xf>
    <xf numFmtId="43" fontId="0" fillId="0" borderId="0" xfId="27" applyFont="1" applyFill="1" applyBorder="1" applyAlignment="1">
      <alignment horizontal="center" wrapText="1"/>
    </xf>
    <xf numFmtId="49" fontId="40" fillId="0" borderId="0" xfId="27" applyNumberFormat="1" applyFont="1" applyFill="1" applyBorder="1" applyAlignment="1">
      <alignment horizontal="center" vertical="top"/>
    </xf>
    <xf numFmtId="43" fontId="40" fillId="0" borderId="0" xfId="27" applyFont="1" applyFill="1" applyBorder="1" applyAlignment="1">
      <alignment horizontal="center" vertical="top"/>
    </xf>
    <xf numFmtId="43" fontId="0" fillId="0" borderId="0" xfId="27" applyFont="1" applyFill="1"/>
    <xf numFmtId="164" fontId="0" fillId="0" borderId="0" xfId="27" applyNumberFormat="1" applyFont="1" applyFill="1"/>
    <xf numFmtId="41" fontId="0" fillId="0" borderId="0" xfId="27" applyNumberFormat="1" applyFont="1" applyFill="1"/>
    <xf numFmtId="49" fontId="39" fillId="0" borderId="0" xfId="27" applyNumberFormat="1" applyFont="1" applyFill="1" applyBorder="1" applyAlignment="1">
      <alignment horizontal="center"/>
    </xf>
    <xf numFmtId="185" fontId="0" fillId="0" borderId="0" xfId="27" applyNumberFormat="1" applyFont="1" applyFill="1" applyBorder="1"/>
    <xf numFmtId="164" fontId="0" fillId="0" borderId="33" xfId="27" applyNumberFormat="1" applyFont="1" applyFill="1" applyBorder="1"/>
    <xf numFmtId="42" fontId="0" fillId="0" borderId="0" xfId="27" applyNumberFormat="1" applyFont="1" applyFill="1"/>
    <xf numFmtId="42" fontId="0" fillId="0" borderId="54" xfId="27" applyNumberFormat="1" applyFont="1" applyFill="1" applyBorder="1"/>
    <xf numFmtId="42" fontId="0" fillId="0" borderId="33" xfId="27" applyNumberFormat="1" applyFont="1" applyFill="1" applyBorder="1"/>
    <xf numFmtId="0" fontId="41" fillId="0" borderId="0" xfId="28" applyAlignment="1">
      <alignment horizontal="left" vertical="top"/>
    </xf>
    <xf numFmtId="0" fontId="23" fillId="0" borderId="0" xfId="28" applyFont="1" applyAlignment="1">
      <alignment horizontal="right" vertical="top"/>
    </xf>
    <xf numFmtId="0" fontId="42" fillId="2" borderId="44" xfId="26" applyFont="1" applyFill="1" applyBorder="1"/>
    <xf numFmtId="0" fontId="43" fillId="2" borderId="0" xfId="26" applyFont="1" applyFill="1"/>
    <xf numFmtId="0" fontId="43" fillId="2" borderId="43" xfId="26" applyFont="1" applyFill="1" applyBorder="1"/>
    <xf numFmtId="0" fontId="42" fillId="0" borderId="47" xfId="26" applyFont="1" applyBorder="1"/>
    <xf numFmtId="0" fontId="43" fillId="0" borderId="46" xfId="26" applyFont="1" applyBorder="1"/>
    <xf numFmtId="0" fontId="43" fillId="0" borderId="45" xfId="26" applyFont="1" applyBorder="1"/>
    <xf numFmtId="0" fontId="42" fillId="23" borderId="44" xfId="26" applyFont="1" applyFill="1" applyBorder="1" applyAlignment="1">
      <alignment horizontal="center"/>
    </xf>
    <xf numFmtId="0" fontId="42" fillId="23" borderId="0" xfId="26" applyFont="1" applyFill="1" applyAlignment="1">
      <alignment horizontal="center" wrapText="1"/>
    </xf>
    <xf numFmtId="0" fontId="42" fillId="23" borderId="43" xfId="26" applyFont="1" applyFill="1" applyBorder="1" applyAlignment="1">
      <alignment horizontal="center" wrapText="1"/>
    </xf>
    <xf numFmtId="0" fontId="43" fillId="0" borderId="55" xfId="26" applyFont="1" applyBorder="1"/>
    <xf numFmtId="186" fontId="43" fillId="0" borderId="28" xfId="26" applyNumberFormat="1" applyFont="1" applyBorder="1"/>
    <xf numFmtId="0" fontId="43" fillId="0" borderId="56" xfId="26" applyFont="1" applyBorder="1"/>
    <xf numFmtId="186" fontId="43" fillId="0" borderId="57" xfId="26" applyNumberFormat="1" applyFont="1" applyBorder="1"/>
    <xf numFmtId="0" fontId="43" fillId="0" borderId="28" xfId="26" applyFont="1" applyBorder="1"/>
    <xf numFmtId="0" fontId="42" fillId="0" borderId="44" xfId="26" applyFont="1" applyBorder="1"/>
    <xf numFmtId="0" fontId="43" fillId="0" borderId="0" xfId="26" applyFont="1"/>
    <xf numFmtId="0" fontId="43" fillId="0" borderId="43" xfId="26" applyFont="1" applyBorder="1"/>
    <xf numFmtId="0" fontId="44" fillId="0" borderId="0" xfId="26" applyFont="1"/>
    <xf numFmtId="0" fontId="19" fillId="0" borderId="28" xfId="26" applyBorder="1"/>
    <xf numFmtId="0" fontId="19" fillId="0" borderId="28" xfId="26" applyBorder="1" applyAlignment="1">
      <alignment horizontal="left"/>
    </xf>
    <xf numFmtId="0" fontId="19" fillId="0" borderId="58" xfId="26" applyBorder="1"/>
    <xf numFmtId="43" fontId="0" fillId="0" borderId="28" xfId="27" applyFont="1" applyFill="1" applyBorder="1"/>
    <xf numFmtId="43" fontId="2" fillId="0" borderId="28" xfId="27" applyFont="1" applyFill="1" applyBorder="1"/>
    <xf numFmtId="43" fontId="2" fillId="0" borderId="0" xfId="27" applyFont="1" applyFill="1"/>
    <xf numFmtId="0" fontId="44" fillId="0" borderId="0" xfId="26" applyFont="1" applyAlignment="1">
      <alignment horizontal="left"/>
    </xf>
    <xf numFmtId="0" fontId="19" fillId="0" borderId="0" xfId="26" applyAlignment="1"/>
    <xf numFmtId="0" fontId="4" fillId="0" borderId="0" xfId="1" applyBorder="1">
      <alignment wrapText="1"/>
    </xf>
    <xf numFmtId="0" fontId="0" fillId="0" borderId="0" xfId="0" applyBorder="1"/>
    <xf numFmtId="187" fontId="38" fillId="0" borderId="28" xfId="0" applyNumberFormat="1" applyFont="1" applyBorder="1" applyAlignment="1">
      <alignment horizontal="center"/>
    </xf>
    <xf numFmtId="0" fontId="38" fillId="0" borderId="28" xfId="0" applyFont="1" applyBorder="1" applyAlignment="1">
      <alignment horizontal="center"/>
    </xf>
    <xf numFmtId="164" fontId="18" fillId="0" borderId="0" xfId="11" applyNumberFormat="1" applyFont="1" applyFill="1" applyBorder="1"/>
    <xf numFmtId="164" fontId="18" fillId="0" borderId="0" xfId="0" applyNumberFormat="1" applyFont="1"/>
    <xf numFmtId="181" fontId="18" fillId="0" borderId="0" xfId="10" applyNumberFormat="1" applyFont="1" applyFill="1" applyBorder="1"/>
    <xf numFmtId="164" fontId="18" fillId="0" borderId="30" xfId="11" applyNumberFormat="1" applyFont="1" applyFill="1" applyBorder="1"/>
    <xf numFmtId="164" fontId="18" fillId="0" borderId="0" xfId="10" applyNumberFormat="1" applyFont="1" applyFill="1" applyBorder="1"/>
    <xf numFmtId="0" fontId="10" fillId="0" borderId="0" xfId="0" applyFont="1" applyAlignment="1">
      <alignment wrapText="1"/>
    </xf>
    <xf numFmtId="0" fontId="10" fillId="0" borderId="0" xfId="0" applyFont="1" applyAlignment="1">
      <alignment horizontal="left" wrapText="1"/>
    </xf>
    <xf numFmtId="0" fontId="14" fillId="0" borderId="57" xfId="9" applyBorder="1" applyAlignment="1">
      <alignment horizontal="center" wrapText="1"/>
    </xf>
    <xf numFmtId="0" fontId="14" fillId="0" borderId="63" xfId="9" applyBorder="1" applyAlignment="1">
      <alignment horizontal="center"/>
    </xf>
    <xf numFmtId="0" fontId="14" fillId="0" borderId="64" xfId="9" applyBorder="1" applyAlignment="1">
      <alignment horizontal="left"/>
    </xf>
    <xf numFmtId="181" fontId="0" fillId="0" borderId="0" xfId="29" applyNumberFormat="1" applyFont="1" applyBorder="1"/>
    <xf numFmtId="181" fontId="14" fillId="0" borderId="65" xfId="9" applyNumberFormat="1" applyBorder="1"/>
    <xf numFmtId="181" fontId="0" fillId="0" borderId="65" xfId="29" applyNumberFormat="1" applyFont="1" applyBorder="1"/>
    <xf numFmtId="0" fontId="14" fillId="11" borderId="59" xfId="9" applyFill="1" applyBorder="1" applyAlignment="1">
      <alignment horizontal="center"/>
    </xf>
    <xf numFmtId="0" fontId="14" fillId="11" borderId="60" xfId="9" applyFill="1" applyBorder="1" applyAlignment="1">
      <alignment horizontal="center" wrapText="1"/>
    </xf>
    <xf numFmtId="0" fontId="14" fillId="0" borderId="61" xfId="9" applyBorder="1"/>
    <xf numFmtId="0" fontId="14" fillId="0" borderId="54" xfId="9" applyBorder="1"/>
    <xf numFmtId="181" fontId="0" fillId="0" borderId="61" xfId="29" applyNumberFormat="1" applyFont="1" applyBorder="1"/>
    <xf numFmtId="181" fontId="0" fillId="0" borderId="62" xfId="29" applyNumberFormat="1" applyFont="1" applyBorder="1"/>
    <xf numFmtId="0" fontId="14" fillId="0" borderId="64" xfId="9" applyBorder="1"/>
    <xf numFmtId="181" fontId="0" fillId="0" borderId="64" xfId="29" applyNumberFormat="1" applyFont="1" applyBorder="1"/>
    <xf numFmtId="0" fontId="14" fillId="0" borderId="66" xfId="9" applyBorder="1"/>
    <xf numFmtId="0" fontId="14" fillId="0" borderId="5" xfId="9" applyBorder="1"/>
    <xf numFmtId="181" fontId="0" fillId="0" borderId="66" xfId="29" applyNumberFormat="1" applyFont="1" applyBorder="1"/>
    <xf numFmtId="181" fontId="0" fillId="0" borderId="67" xfId="29" applyNumberFormat="1" applyFont="1" applyBorder="1"/>
    <xf numFmtId="0" fontId="14" fillId="0" borderId="66" xfId="9" applyBorder="1" applyAlignment="1">
      <alignment horizontal="left"/>
    </xf>
    <xf numFmtId="181" fontId="14" fillId="0" borderId="67" xfId="9" applyNumberFormat="1" applyBorder="1"/>
    <xf numFmtId="0" fontId="14" fillId="0" borderId="0" xfId="9" applyAlignment="1">
      <alignment horizontal="center" wrapText="1"/>
    </xf>
    <xf numFmtId="0" fontId="14" fillId="0" borderId="63" xfId="9" applyBorder="1" applyAlignment="1">
      <alignment horizontal="center" wrapText="1"/>
    </xf>
    <xf numFmtId="49" fontId="14" fillId="0" borderId="0" xfId="9" applyNumberFormat="1" applyAlignment="1">
      <alignment horizontal="center" wrapText="1"/>
    </xf>
    <xf numFmtId="0" fontId="14" fillId="0" borderId="28" xfId="9" applyBorder="1"/>
    <xf numFmtId="181" fontId="0" fillId="0" borderId="0" xfId="29" applyNumberFormat="1" applyFont="1"/>
    <xf numFmtId="181" fontId="0" fillId="0" borderId="0" xfId="29" applyNumberFormat="1" applyFont="1" applyFill="1"/>
    <xf numFmtId="181" fontId="14" fillId="0" borderId="0" xfId="9" applyNumberFormat="1"/>
    <xf numFmtId="43" fontId="14" fillId="0" borderId="0" xfId="9" applyNumberFormat="1"/>
    <xf numFmtId="0" fontId="46" fillId="0" borderId="0" xfId="9" applyFont="1"/>
    <xf numFmtId="181" fontId="46" fillId="0" borderId="0" xfId="29" applyNumberFormat="1" applyFont="1"/>
    <xf numFmtId="181" fontId="46" fillId="0" borderId="0" xfId="29" applyNumberFormat="1" applyFont="1" applyFill="1"/>
    <xf numFmtId="43" fontId="14" fillId="0" borderId="0" xfId="10" applyFont="1"/>
    <xf numFmtId="0" fontId="14" fillId="24" borderId="28" xfId="9" applyFill="1" applyBorder="1"/>
    <xf numFmtId="43" fontId="14" fillId="24" borderId="28" xfId="10" applyFont="1" applyFill="1" applyBorder="1"/>
    <xf numFmtId="0" fontId="14" fillId="24" borderId="57" xfId="9" applyFill="1" applyBorder="1"/>
    <xf numFmtId="43" fontId="14" fillId="24" borderId="57" xfId="10" applyFont="1" applyFill="1" applyBorder="1"/>
    <xf numFmtId="43" fontId="0" fillId="0" borderId="28" xfId="10" applyFont="1" applyBorder="1"/>
    <xf numFmtId="43" fontId="14" fillId="0" borderId="28" xfId="10" applyFont="1" applyBorder="1"/>
    <xf numFmtId="43" fontId="0" fillId="0" borderId="59" xfId="10" applyFont="1" applyBorder="1"/>
    <xf numFmtId="0" fontId="14" fillId="11" borderId="28" xfId="9" applyFill="1" applyBorder="1"/>
    <xf numFmtId="43" fontId="0" fillId="11" borderId="28" xfId="10" applyFont="1" applyFill="1" applyBorder="1"/>
    <xf numFmtId="43" fontId="0" fillId="11" borderId="59" xfId="10" applyFont="1" applyFill="1" applyBorder="1"/>
    <xf numFmtId="43" fontId="14" fillId="11" borderId="28" xfId="10" applyFont="1" applyFill="1" applyBorder="1"/>
    <xf numFmtId="43" fontId="14" fillId="0" borderId="28" xfId="10" applyFont="1" applyFill="1" applyBorder="1"/>
    <xf numFmtId="43" fontId="14" fillId="0" borderId="59" xfId="10" applyFont="1" applyFill="1" applyBorder="1"/>
    <xf numFmtId="43" fontId="12" fillId="0" borderId="28" xfId="10" applyFont="1" applyFill="1" applyBorder="1"/>
    <xf numFmtId="0" fontId="14" fillId="0" borderId="28" xfId="9" applyBorder="1" applyAlignment="1">
      <alignment horizontal="left"/>
    </xf>
    <xf numFmtId="43" fontId="12" fillId="0" borderId="59" xfId="10" applyFont="1" applyFill="1" applyBorder="1"/>
    <xf numFmtId="0" fontId="14" fillId="0" borderId="63" xfId="9" applyBorder="1"/>
    <xf numFmtId="43" fontId="12" fillId="0" borderId="0" xfId="10" applyFont="1" applyFill="1"/>
    <xf numFmtId="43" fontId="14" fillId="0" borderId="63" xfId="10" applyFont="1" applyBorder="1"/>
    <xf numFmtId="43" fontId="0" fillId="0" borderId="0" xfId="10" applyFont="1"/>
    <xf numFmtId="0" fontId="14" fillId="24" borderId="57" xfId="9" applyFill="1" applyBorder="1" applyAlignment="1">
      <alignment wrapText="1"/>
    </xf>
    <xf numFmtId="43" fontId="0" fillId="0" borderId="28" xfId="29" applyFont="1" applyBorder="1"/>
    <xf numFmtId="0" fontId="46" fillId="9" borderId="28" xfId="9" applyFont="1" applyFill="1" applyBorder="1"/>
    <xf numFmtId="43" fontId="46" fillId="9" borderId="28" xfId="29" applyFont="1" applyFill="1" applyBorder="1"/>
    <xf numFmtId="0" fontId="46" fillId="25" borderId="28" xfId="9" applyFont="1" applyFill="1" applyBorder="1" applyAlignment="1">
      <alignment horizontal="left" wrapText="1"/>
    </xf>
    <xf numFmtId="43" fontId="0" fillId="25" borderId="28" xfId="29" applyFont="1" applyFill="1" applyBorder="1"/>
    <xf numFmtId="0" fontId="14" fillId="25" borderId="28" xfId="9" applyFill="1" applyBorder="1"/>
    <xf numFmtId="43" fontId="0" fillId="0" borderId="0" xfId="29" applyFont="1"/>
    <xf numFmtId="181" fontId="46" fillId="0" borderId="0" xfId="9" applyNumberFormat="1" applyFont="1"/>
    <xf numFmtId="0" fontId="19" fillId="0" borderId="0" xfId="30"/>
    <xf numFmtId="0" fontId="14" fillId="0" borderId="61" xfId="9" applyBorder="1" applyAlignment="1">
      <alignment horizontal="center" wrapText="1"/>
    </xf>
    <xf numFmtId="0" fontId="14" fillId="0" borderId="54" xfId="9" applyBorder="1" applyAlignment="1">
      <alignment horizontal="center" wrapText="1"/>
    </xf>
    <xf numFmtId="0" fontId="14" fillId="0" borderId="62" xfId="9" applyBorder="1" applyAlignment="1">
      <alignment horizontal="center" wrapText="1"/>
    </xf>
    <xf numFmtId="0" fontId="14" fillId="0" borderId="63" xfId="9" applyBorder="1" applyAlignment="1">
      <alignment wrapText="1"/>
    </xf>
    <xf numFmtId="0" fontId="14" fillId="0" borderId="66" xfId="9" applyBorder="1" applyAlignment="1">
      <alignment horizontal="center" wrapText="1"/>
    </xf>
    <xf numFmtId="0" fontId="14" fillId="0" borderId="5" xfId="9" applyBorder="1" applyAlignment="1">
      <alignment horizontal="center" wrapText="1"/>
    </xf>
    <xf numFmtId="0" fontId="14" fillId="0" borderId="67" xfId="9" applyBorder="1" applyAlignment="1">
      <alignment horizontal="center" wrapText="1"/>
    </xf>
    <xf numFmtId="0" fontId="14" fillId="0" borderId="58" xfId="9" applyBorder="1"/>
    <xf numFmtId="43" fontId="0" fillId="0" borderId="58" xfId="29" applyFont="1" applyBorder="1"/>
    <xf numFmtId="43" fontId="0" fillId="0" borderId="64" xfId="29" applyFont="1" applyBorder="1"/>
    <xf numFmtId="43" fontId="0" fillId="0" borderId="0" xfId="29" applyFont="1" applyBorder="1"/>
    <xf numFmtId="43" fontId="14" fillId="0" borderId="65" xfId="9" applyNumberFormat="1" applyBorder="1"/>
    <xf numFmtId="43" fontId="14" fillId="0" borderId="58" xfId="9" applyNumberFormat="1" applyBorder="1"/>
    <xf numFmtId="0" fontId="46" fillId="0" borderId="63" xfId="9" applyFont="1" applyBorder="1"/>
    <xf numFmtId="43" fontId="46" fillId="0" borderId="63" xfId="29" applyFont="1" applyBorder="1"/>
    <xf numFmtId="43" fontId="46" fillId="0" borderId="66" xfId="29" applyFont="1" applyBorder="1"/>
    <xf numFmtId="43" fontId="46" fillId="0" borderId="5" xfId="29" applyFont="1" applyBorder="1"/>
    <xf numFmtId="43" fontId="46" fillId="0" borderId="67" xfId="29" applyFont="1" applyBorder="1"/>
    <xf numFmtId="0" fontId="14" fillId="0" borderId="0" xfId="9" applyAlignment="1">
      <alignment horizontal="center"/>
    </xf>
    <xf numFmtId="43" fontId="46" fillId="0" borderId="0" xfId="9" applyNumberFormat="1" applyFont="1"/>
    <xf numFmtId="0" fontId="14" fillId="9" borderId="28" xfId="9" applyFill="1" applyBorder="1"/>
    <xf numFmtId="43" fontId="0" fillId="9" borderId="28" xfId="29" applyFont="1" applyFill="1" applyBorder="1"/>
    <xf numFmtId="43" fontId="0" fillId="9" borderId="28" xfId="29" applyFont="1" applyFill="1" applyBorder="1" applyAlignment="1">
      <alignment wrapText="1"/>
    </xf>
    <xf numFmtId="14" fontId="14" fillId="0" borderId="0" xfId="9" applyNumberFormat="1"/>
    <xf numFmtId="14" fontId="14" fillId="9" borderId="28" xfId="9" applyNumberFormat="1" applyFill="1" applyBorder="1"/>
    <xf numFmtId="14" fontId="14" fillId="0" borderId="0" xfId="9" applyNumberFormat="1" applyAlignment="1">
      <alignment wrapText="1"/>
    </xf>
    <xf numFmtId="165" fontId="0" fillId="0" borderId="0" xfId="31" applyNumberFormat="1" applyFont="1"/>
    <xf numFmtId="0" fontId="14" fillId="0" borderId="0" xfId="9" applyAlignment="1">
      <alignment wrapText="1"/>
    </xf>
    <xf numFmtId="0" fontId="0" fillId="0" borderId="0" xfId="0" applyAlignment="1">
      <alignment horizontal="left" indent="1"/>
    </xf>
    <xf numFmtId="39" fontId="0" fillId="0" borderId="0" xfId="0" applyNumberFormat="1"/>
    <xf numFmtId="14" fontId="11" fillId="26" borderId="68" xfId="0" applyNumberFormat="1" applyFont="1" applyFill="1" applyBorder="1" applyAlignment="1">
      <alignment horizontal="left"/>
    </xf>
    <xf numFmtId="39" fontId="11" fillId="26" borderId="68" xfId="0" applyNumberFormat="1" applyFont="1" applyFill="1" applyBorder="1"/>
    <xf numFmtId="43" fontId="46" fillId="0" borderId="69" xfId="10" applyFont="1" applyBorder="1"/>
    <xf numFmtId="43" fontId="0" fillId="0" borderId="28" xfId="29" applyFont="1" applyFill="1" applyBorder="1"/>
    <xf numFmtId="188" fontId="0" fillId="0" borderId="0" xfId="31" applyNumberFormat="1" applyFont="1"/>
    <xf numFmtId="43" fontId="0" fillId="0" borderId="0" xfId="29" applyFont="1" applyFill="1"/>
    <xf numFmtId="44" fontId="46" fillId="0" borderId="69" xfId="32" applyFont="1" applyBorder="1"/>
    <xf numFmtId="44" fontId="46" fillId="0" borderId="30" xfId="32" applyFont="1" applyBorder="1"/>
    <xf numFmtId="44" fontId="46" fillId="0" borderId="30" xfId="9" applyNumberFormat="1" applyFont="1" applyBorder="1"/>
    <xf numFmtId="43" fontId="0" fillId="24" borderId="28" xfId="29" applyFont="1" applyFill="1" applyBorder="1"/>
    <xf numFmtId="43" fontId="0" fillId="24" borderId="28" xfId="29" applyFont="1" applyFill="1" applyBorder="1" applyAlignment="1">
      <alignment wrapText="1"/>
    </xf>
    <xf numFmtId="43" fontId="46" fillId="0" borderId="0" xfId="29" applyFont="1"/>
    <xf numFmtId="0" fontId="12" fillId="0" borderId="0" xfId="33"/>
    <xf numFmtId="0" fontId="24" fillId="0" borderId="0" xfId="34" applyAlignment="1">
      <alignment horizontal="center"/>
    </xf>
    <xf numFmtId="0" fontId="12" fillId="0" borderId="0" xfId="33" applyAlignment="1">
      <alignment horizontal="center"/>
    </xf>
    <xf numFmtId="0" fontId="47" fillId="0" borderId="0" xfId="34" applyFont="1" applyAlignment="1">
      <alignment horizontal="center"/>
    </xf>
    <xf numFmtId="49" fontId="12" fillId="0" borderId="0" xfId="34" applyNumberFormat="1" applyFont="1" applyAlignment="1">
      <alignment horizontal="center"/>
    </xf>
    <xf numFmtId="0" fontId="13" fillId="0" borderId="0" xfId="34" applyFont="1" applyAlignment="1">
      <alignment horizontal="center" wrapText="1"/>
    </xf>
    <xf numFmtId="0" fontId="47" fillId="0" borderId="0" xfId="33" applyFont="1" applyAlignment="1">
      <alignment horizontal="center" wrapText="1"/>
    </xf>
    <xf numFmtId="0" fontId="48" fillId="0" borderId="0" xfId="34" applyFont="1"/>
    <xf numFmtId="0" fontId="47" fillId="0" borderId="0" xfId="33" applyFont="1" applyAlignment="1">
      <alignment horizontal="center"/>
    </xf>
    <xf numFmtId="0" fontId="47" fillId="0" borderId="0" xfId="33" applyFont="1"/>
    <xf numFmtId="0" fontId="24" fillId="0" borderId="0" xfId="34"/>
    <xf numFmtId="42" fontId="12" fillId="0" borderId="0" xfId="34" applyNumberFormat="1" applyFont="1"/>
    <xf numFmtId="181" fontId="12" fillId="0" borderId="0" xfId="35" applyNumberFormat="1" applyFont="1" applyBorder="1" applyProtection="1"/>
    <xf numFmtId="41" fontId="12" fillId="0" borderId="0" xfId="34" applyNumberFormat="1" applyFont="1"/>
    <xf numFmtId="181" fontId="12" fillId="0" borderId="5" xfId="35" applyNumberFormat="1" applyFont="1" applyBorder="1" applyProtection="1"/>
    <xf numFmtId="0" fontId="12" fillId="0" borderId="0" xfId="34" applyFont="1"/>
    <xf numFmtId="42" fontId="12" fillId="0" borderId="0" xfId="17" applyNumberFormat="1" applyFont="1" applyFill="1" applyBorder="1" applyProtection="1"/>
    <xf numFmtId="0" fontId="0" fillId="0" borderId="0" xfId="34" applyFont="1"/>
    <xf numFmtId="10" fontId="12" fillId="0" borderId="0" xfId="34" applyNumberFormat="1" applyFont="1"/>
    <xf numFmtId="42" fontId="12" fillId="0" borderId="0" xfId="33" applyNumberFormat="1"/>
    <xf numFmtId="37" fontId="12" fillId="0" borderId="0" xfId="34" applyNumberFormat="1" applyFont="1"/>
    <xf numFmtId="0" fontId="12" fillId="0" borderId="0" xfId="34" applyFont="1" applyAlignment="1">
      <alignment horizontal="right"/>
    </xf>
    <xf numFmtId="185" fontId="12" fillId="0" borderId="5" xfId="35" applyNumberFormat="1" applyFont="1" applyFill="1" applyBorder="1" applyProtection="1"/>
    <xf numFmtId="42" fontId="13" fillId="0" borderId="70" xfId="17" applyNumberFormat="1" applyFont="1" applyBorder="1" applyProtection="1"/>
    <xf numFmtId="49" fontId="49" fillId="27" borderId="71" xfId="0" applyNumberFormat="1" applyFont="1" applyFill="1" applyBorder="1"/>
    <xf numFmtId="43" fontId="49" fillId="27" borderId="71" xfId="10" applyFont="1" applyFill="1" applyBorder="1"/>
    <xf numFmtId="43" fontId="0" fillId="0" borderId="0" xfId="10" applyFont="1" applyAlignment="1">
      <alignment wrapText="1"/>
    </xf>
    <xf numFmtId="0" fontId="50" fillId="0" borderId="0" xfId="0" applyFont="1"/>
    <xf numFmtId="189" fontId="50" fillId="0" borderId="0" xfId="0" applyNumberFormat="1" applyFont="1" applyAlignment="1">
      <alignment horizontal="left"/>
    </xf>
    <xf numFmtId="43" fontId="50" fillId="0" borderId="0" xfId="10" applyFont="1" applyFill="1" applyBorder="1"/>
    <xf numFmtId="0" fontId="50" fillId="0" borderId="0" xfId="0" applyFont="1" applyAlignment="1">
      <alignment horizontal="left"/>
    </xf>
    <xf numFmtId="0" fontId="12" fillId="0" borderId="0" xfId="36"/>
    <xf numFmtId="0" fontId="12" fillId="0" borderId="0" xfId="36" applyAlignment="1">
      <alignment horizontal="right"/>
    </xf>
    <xf numFmtId="0" fontId="13" fillId="0" borderId="0" xfId="34" applyFont="1"/>
    <xf numFmtId="0" fontId="47" fillId="0" borderId="0" xfId="34" applyFont="1" applyAlignment="1">
      <alignment horizontal="center" wrapText="1"/>
    </xf>
    <xf numFmtId="42" fontId="12" fillId="0" borderId="0" xfId="37" applyNumberFormat="1" applyFont="1" applyFill="1" applyProtection="1"/>
    <xf numFmtId="164" fontId="12" fillId="0" borderId="0" xfId="37" applyNumberFormat="1" applyFont="1" applyFill="1" applyProtection="1"/>
    <xf numFmtId="41" fontId="12" fillId="0" borderId="5" xfId="34" applyNumberFormat="1" applyFont="1" applyBorder="1"/>
    <xf numFmtId="42" fontId="12" fillId="0" borderId="0" xfId="37" applyNumberFormat="1" applyFont="1" applyFill="1" applyBorder="1" applyProtection="1"/>
    <xf numFmtId="42" fontId="24" fillId="0" borderId="0" xfId="34" applyNumberFormat="1"/>
    <xf numFmtId="42" fontId="12" fillId="0" borderId="0" xfId="36" applyNumberFormat="1"/>
    <xf numFmtId="164" fontId="12" fillId="0" borderId="0" xfId="37" applyNumberFormat="1" applyFont="1" applyFill="1" applyBorder="1" applyProtection="1"/>
    <xf numFmtId="164" fontId="24" fillId="0" borderId="0" xfId="37" applyNumberFormat="1" applyFont="1" applyFill="1"/>
    <xf numFmtId="42" fontId="12" fillId="0" borderId="54" xfId="37" applyNumberFormat="1" applyFont="1" applyFill="1" applyBorder="1" applyProtection="1"/>
    <xf numFmtId="184" fontId="12" fillId="0" borderId="0" xfId="34" applyNumberFormat="1" applyFont="1"/>
    <xf numFmtId="10" fontId="12" fillId="0" borderId="72" xfId="34" applyNumberFormat="1" applyFont="1" applyBorder="1"/>
    <xf numFmtId="42" fontId="12" fillId="0" borderId="73" xfId="37" applyNumberFormat="1" applyFont="1" applyFill="1" applyBorder="1" applyProtection="1"/>
    <xf numFmtId="185" fontId="12" fillId="0" borderId="5" xfId="8" applyNumberFormat="1" applyFont="1" applyFill="1" applyBorder="1" applyProtection="1"/>
    <xf numFmtId="42" fontId="13" fillId="0" borderId="70" xfId="37" applyNumberFormat="1" applyFont="1" applyFill="1" applyBorder="1" applyProtection="1"/>
    <xf numFmtId="43" fontId="0" fillId="0" borderId="0" xfId="0" applyNumberFormat="1"/>
    <xf numFmtId="39" fontId="18" fillId="0" borderId="0" xfId="0" applyNumberFormat="1" applyFont="1"/>
    <xf numFmtId="0" fontId="9" fillId="0" borderId="0" xfId="0" applyFont="1" applyAlignment="1">
      <alignment wrapText="1"/>
    </xf>
    <xf numFmtId="0" fontId="0" fillId="0" borderId="0" xfId="0"/>
    <xf numFmtId="0" fontId="9" fillId="0" borderId="0" xfId="0" applyFont="1" applyAlignment="1">
      <alignment horizontal="right" wrapText="1"/>
    </xf>
    <xf numFmtId="0" fontId="4" fillId="0" borderId="0" xfId="0" applyFont="1" applyAlignment="1">
      <alignment horizontal="left" wrapText="1"/>
    </xf>
    <xf numFmtId="0" fontId="4" fillId="0" borderId="0" xfId="1">
      <alignment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12" fillId="7" borderId="0" xfId="12" applyFont="1" applyFill="1" applyAlignment="1">
      <alignment horizontal="left"/>
    </xf>
    <xf numFmtId="5" fontId="12" fillId="0" borderId="0" xfId="12" applyNumberFormat="1" applyFont="1" applyAlignment="1">
      <alignment horizontal="left" wrapText="1"/>
    </xf>
    <xf numFmtId="0" fontId="11" fillId="12" borderId="47" xfId="19" applyFont="1" applyFill="1" applyBorder="1" applyAlignment="1">
      <alignment horizontal="center" vertical="center" wrapText="1"/>
    </xf>
    <xf numFmtId="0" fontId="11" fillId="12" borderId="45" xfId="19" applyFont="1" applyFill="1" applyBorder="1" applyAlignment="1">
      <alignment horizontal="center" vertical="center"/>
    </xf>
    <xf numFmtId="0" fontId="11" fillId="12" borderId="1" xfId="19" applyFont="1" applyFill="1" applyBorder="1" applyAlignment="1">
      <alignment horizontal="center" vertical="center" wrapText="1"/>
    </xf>
    <xf numFmtId="0" fontId="11" fillId="12" borderId="3" xfId="19" applyFont="1" applyFill="1" applyBorder="1" applyAlignment="1">
      <alignment horizontal="center" vertical="center"/>
    </xf>
    <xf numFmtId="0" fontId="11" fillId="12" borderId="47" xfId="22" applyFont="1" applyFill="1" applyBorder="1" applyAlignment="1">
      <alignment horizontal="center" vertical="center"/>
    </xf>
    <xf numFmtId="0" fontId="11" fillId="12" borderId="46" xfId="22" applyFont="1" applyFill="1" applyBorder="1" applyAlignment="1">
      <alignment horizontal="center" vertical="center"/>
    </xf>
    <xf numFmtId="0" fontId="11" fillId="12" borderId="45" xfId="22" applyFont="1" applyFill="1" applyBorder="1" applyAlignment="1">
      <alignment horizontal="center" vertical="center"/>
    </xf>
    <xf numFmtId="0" fontId="2" fillId="13" borderId="0" xfId="22" applyFill="1" applyAlignment="1">
      <alignment horizontal="center"/>
    </xf>
    <xf numFmtId="0" fontId="11" fillId="12" borderId="47" xfId="22" applyFont="1" applyFill="1" applyBorder="1" applyAlignment="1">
      <alignment horizontal="center" wrapText="1"/>
    </xf>
    <xf numFmtId="0" fontId="11" fillId="12" borderId="46" xfId="22" applyFont="1" applyFill="1" applyBorder="1" applyAlignment="1">
      <alignment horizontal="center" wrapText="1"/>
    </xf>
    <xf numFmtId="0" fontId="11" fillId="12" borderId="45" xfId="22" applyFont="1" applyFill="1" applyBorder="1" applyAlignment="1">
      <alignment horizontal="center" wrapText="1"/>
    </xf>
    <xf numFmtId="0" fontId="11" fillId="12" borderId="52" xfId="22" applyFont="1" applyFill="1" applyBorder="1" applyAlignment="1">
      <alignment horizontal="center" vertical="center"/>
    </xf>
    <xf numFmtId="0" fontId="11" fillId="12" borderId="53" xfId="22" applyFont="1" applyFill="1" applyBorder="1" applyAlignment="1">
      <alignment horizontal="center" vertical="center"/>
    </xf>
    <xf numFmtId="0" fontId="11" fillId="12" borderId="47" xfId="22" applyFont="1" applyFill="1" applyBorder="1" applyAlignment="1">
      <alignment horizontal="center"/>
    </xf>
    <xf numFmtId="0" fontId="11" fillId="12" borderId="46" xfId="22" applyFont="1" applyFill="1" applyBorder="1" applyAlignment="1">
      <alignment horizontal="center"/>
    </xf>
    <xf numFmtId="0" fontId="11" fillId="12" borderId="45" xfId="22" applyFont="1" applyFill="1" applyBorder="1" applyAlignment="1">
      <alignment horizontal="center"/>
    </xf>
    <xf numFmtId="0" fontId="9" fillId="0" borderId="10" xfId="0" applyFont="1" applyBorder="1" applyAlignment="1">
      <alignment horizontal="center" wrapText="1"/>
    </xf>
    <xf numFmtId="0" fontId="4" fillId="0" borderId="10" xfId="0" applyFont="1" applyBorder="1" applyAlignment="1">
      <alignment horizontal="center" wrapText="1"/>
    </xf>
    <xf numFmtId="0" fontId="4" fillId="4" borderId="0" xfId="0" applyFont="1" applyFill="1" applyAlignment="1">
      <alignment horizontal="left" vertical="top" wrapText="1"/>
    </xf>
    <xf numFmtId="0" fontId="4" fillId="0" borderId="0" xfId="0" applyFont="1" applyAlignment="1">
      <alignment horizontal="center" wrapText="1"/>
    </xf>
    <xf numFmtId="0" fontId="9" fillId="5" borderId="10" xfId="0" applyFont="1" applyFill="1" applyBorder="1" applyAlignment="1">
      <alignment horizontal="center" wrapText="1"/>
    </xf>
    <xf numFmtId="0" fontId="4" fillId="0" borderId="8" xfId="0" applyFont="1" applyFill="1" applyBorder="1" applyAlignment="1">
      <alignment horizontal="center" wrapText="1"/>
    </xf>
    <xf numFmtId="0" fontId="4" fillId="0" borderId="0" xfId="0" applyFont="1" applyFill="1" applyAlignment="1">
      <alignment horizontal="center" wrapText="1"/>
    </xf>
    <xf numFmtId="0" fontId="4" fillId="0" borderId="10" xfId="0" applyFont="1" applyFill="1" applyBorder="1" applyAlignment="1">
      <alignment vertical="top" wrapText="1"/>
    </xf>
    <xf numFmtId="0" fontId="9" fillId="0" borderId="10" xfId="0" applyFont="1" applyFill="1" applyBorder="1" applyAlignment="1">
      <alignment horizontal="center" wrapText="1"/>
    </xf>
    <xf numFmtId="0" fontId="4" fillId="0" borderId="0" xfId="1" applyFill="1">
      <alignment wrapText="1"/>
    </xf>
    <xf numFmtId="0" fontId="0" fillId="0" borderId="0" xfId="0" applyFill="1"/>
    <xf numFmtId="0" fontId="4" fillId="0" borderId="0" xfId="0" applyFont="1" applyFill="1" applyAlignment="1">
      <alignment horizontal="left" wrapText="1"/>
    </xf>
    <xf numFmtId="0" fontId="19" fillId="0" borderId="0" xfId="26" applyAlignment="1">
      <alignment horizontal="left"/>
    </xf>
    <xf numFmtId="0" fontId="23" fillId="0" borderId="0" xfId="1" applyFont="1">
      <alignment wrapText="1"/>
    </xf>
    <xf numFmtId="49" fontId="19" fillId="0" borderId="0" xfId="26" applyNumberFormat="1" applyAlignment="1">
      <alignment horizontal="center"/>
    </xf>
    <xf numFmtId="49" fontId="40" fillId="0" borderId="0" xfId="26" applyNumberFormat="1" applyFont="1" applyAlignment="1">
      <alignment horizontal="center" vertical="top"/>
    </xf>
    <xf numFmtId="181" fontId="0" fillId="0" borderId="0" xfId="27" applyNumberFormat="1" applyFont="1" applyFill="1" applyAlignment="1">
      <alignment horizontal="right"/>
    </xf>
    <xf numFmtId="0" fontId="19" fillId="0" borderId="0" xfId="26" applyAlignment="1">
      <alignment horizontal="center"/>
    </xf>
    <xf numFmtId="0" fontId="42" fillId="23" borderId="1" xfId="26" applyFont="1" applyFill="1" applyBorder="1" applyAlignment="1">
      <alignment horizontal="center"/>
    </xf>
    <xf numFmtId="0" fontId="42" fillId="23" borderId="2" xfId="26" applyFont="1" applyFill="1" applyBorder="1" applyAlignment="1">
      <alignment horizontal="center"/>
    </xf>
    <xf numFmtId="0" fontId="42" fillId="23" borderId="3" xfId="26" applyFont="1" applyFill="1" applyBorder="1" applyAlignment="1">
      <alignment horizontal="center"/>
    </xf>
    <xf numFmtId="0" fontId="19" fillId="0" borderId="0" xfId="26" applyAlignment="1">
      <alignment horizontal="center" wrapText="1"/>
    </xf>
    <xf numFmtId="0" fontId="19" fillId="0" borderId="5" xfId="26" applyBorder="1" applyAlignment="1">
      <alignment horizontal="center"/>
    </xf>
    <xf numFmtId="0" fontId="19" fillId="0" borderId="59" xfId="26" applyBorder="1" applyAlignment="1">
      <alignment horizontal="center"/>
    </xf>
    <xf numFmtId="0" fontId="19" fillId="0" borderId="4" xfId="26" applyBorder="1" applyAlignment="1">
      <alignment horizontal="center"/>
    </xf>
    <xf numFmtId="0" fontId="19" fillId="0" borderId="60" xfId="26" applyBorder="1" applyAlignment="1">
      <alignment horizontal="center"/>
    </xf>
    <xf numFmtId="0" fontId="9" fillId="0" borderId="0" xfId="0" applyFont="1" applyFill="1" applyAlignment="1">
      <alignment wrapText="1"/>
    </xf>
    <xf numFmtId="175" fontId="9" fillId="0" borderId="10" xfId="0" applyNumberFormat="1" applyFont="1" applyFill="1" applyBorder="1" applyAlignment="1">
      <alignment horizontal="center" wrapText="1"/>
    </xf>
    <xf numFmtId="0" fontId="9" fillId="6" borderId="10" xfId="0" applyFont="1" applyFill="1" applyBorder="1" applyAlignment="1">
      <alignment horizontal="center" wrapText="1"/>
    </xf>
    <xf numFmtId="0" fontId="4" fillId="0" borderId="10" xfId="0" applyFont="1" applyBorder="1" applyAlignment="1">
      <alignment wrapText="1"/>
    </xf>
    <xf numFmtId="0" fontId="9" fillId="6" borderId="10" xfId="0" applyFont="1" applyFill="1" applyBorder="1" applyAlignment="1">
      <alignment wrapText="1"/>
    </xf>
    <xf numFmtId="0" fontId="9" fillId="6" borderId="26" xfId="0" applyFont="1" applyFill="1" applyBorder="1" applyAlignment="1">
      <alignment horizontal="center" wrapText="1"/>
    </xf>
    <xf numFmtId="0" fontId="9" fillId="6" borderId="7" xfId="0" applyFont="1" applyFill="1" applyBorder="1" applyAlignment="1">
      <alignment horizontal="center" wrapText="1"/>
    </xf>
    <xf numFmtId="0" fontId="9" fillId="6" borderId="17" xfId="0" applyFont="1" applyFill="1" applyBorder="1" applyAlignment="1">
      <alignment horizontal="center" wrapText="1"/>
    </xf>
    <xf numFmtId="0" fontId="4" fillId="0" borderId="26" xfId="0" applyFont="1" applyBorder="1" applyAlignment="1">
      <alignment horizontal="left" vertical="top" wrapText="1"/>
    </xf>
    <xf numFmtId="0" fontId="4" fillId="0" borderId="7" xfId="0" applyFont="1" applyBorder="1" applyAlignment="1">
      <alignment horizontal="left" vertical="top" wrapText="1"/>
    </xf>
    <xf numFmtId="0" fontId="4" fillId="0" borderId="17" xfId="0" applyFont="1" applyBorder="1" applyAlignment="1">
      <alignment horizontal="left" vertical="top" wrapText="1"/>
    </xf>
    <xf numFmtId="0" fontId="21" fillId="0" borderId="0" xfId="0" applyFont="1" applyAlignment="1">
      <alignment wrapText="1"/>
    </xf>
    <xf numFmtId="0" fontId="13" fillId="0" borderId="0" xfId="0" applyFont="1" applyAlignment="1">
      <alignment wrapText="1"/>
    </xf>
    <xf numFmtId="0" fontId="13" fillId="0" borderId="0" xfId="0" applyFont="1"/>
    <xf numFmtId="0" fontId="45" fillId="11" borderId="61" xfId="9" applyFont="1" applyFill="1" applyBorder="1" applyAlignment="1">
      <alignment horizontal="center"/>
    </xf>
    <xf numFmtId="0" fontId="45" fillId="11" borderId="54" xfId="9" applyFont="1" applyFill="1" applyBorder="1" applyAlignment="1">
      <alignment horizontal="center"/>
    </xf>
    <xf numFmtId="0" fontId="45" fillId="11" borderId="62" xfId="9" applyFont="1" applyFill="1" applyBorder="1" applyAlignment="1">
      <alignment horizontal="center"/>
    </xf>
    <xf numFmtId="0" fontId="14" fillId="0" borderId="57" xfId="9" applyBorder="1" applyAlignment="1">
      <alignment horizontal="center" wrapText="1"/>
    </xf>
    <xf numFmtId="0" fontId="14" fillId="0" borderId="63" xfId="9" applyBorder="1" applyAlignment="1">
      <alignment horizontal="center" wrapText="1"/>
    </xf>
    <xf numFmtId="0" fontId="14" fillId="0" borderId="0" xfId="9" applyAlignment="1">
      <alignment horizontal="center" wrapText="1"/>
    </xf>
    <xf numFmtId="0" fontId="14" fillId="0" borderId="28" xfId="9" applyBorder="1" applyAlignment="1">
      <alignment horizontal="center"/>
    </xf>
    <xf numFmtId="0" fontId="14" fillId="0" borderId="28" xfId="9" applyBorder="1" applyAlignment="1">
      <alignment horizontal="center" wrapText="1"/>
    </xf>
    <xf numFmtId="0" fontId="14" fillId="0" borderId="61" xfId="9" applyBorder="1" applyAlignment="1">
      <alignment horizontal="center" wrapText="1"/>
    </xf>
    <xf numFmtId="0" fontId="14" fillId="0" borderId="66" xfId="9" applyBorder="1" applyAlignment="1">
      <alignment horizontal="center" wrapText="1"/>
    </xf>
    <xf numFmtId="0" fontId="14" fillId="0" borderId="65" xfId="9" applyBorder="1" applyAlignment="1">
      <alignment horizontal="center" wrapText="1"/>
    </xf>
    <xf numFmtId="0" fontId="14" fillId="0" borderId="0" xfId="9" applyAlignment="1">
      <alignment horizontal="left" wrapText="1"/>
    </xf>
    <xf numFmtId="14" fontId="14" fillId="0" borderId="0" xfId="9" applyNumberFormat="1" applyAlignment="1">
      <alignment horizontal="left" wrapText="1"/>
    </xf>
    <xf numFmtId="0" fontId="14" fillId="0" borderId="57" xfId="9" applyBorder="1" applyAlignment="1">
      <alignment horizontal="center"/>
    </xf>
    <xf numFmtId="0" fontId="14" fillId="0" borderId="63" xfId="9" applyBorder="1" applyAlignment="1">
      <alignment horizontal="center"/>
    </xf>
    <xf numFmtId="0" fontId="12" fillId="0" borderId="0" xfId="33" applyAlignment="1">
      <alignment horizontal="right"/>
    </xf>
    <xf numFmtId="0" fontId="13" fillId="0" borderId="0" xfId="34" applyFont="1" applyAlignment="1">
      <alignment horizontal="center"/>
    </xf>
    <xf numFmtId="0" fontId="47" fillId="0" borderId="0" xfId="33" applyFont="1" applyAlignment="1">
      <alignment horizontal="center"/>
    </xf>
    <xf numFmtId="0" fontId="0" fillId="0" borderId="0" xfId="34" applyFont="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1" xfId="0" applyFont="1" applyBorder="1" applyAlignment="1">
      <alignment horizontal="center" wrapText="1"/>
    </xf>
    <xf numFmtId="0" fontId="4" fillId="0" borderId="0" xfId="0" applyFont="1" applyAlignment="1">
      <alignment horizontal="right" wrapText="1"/>
    </xf>
    <xf numFmtId="0" fontId="9" fillId="0" borderId="8" xfId="0" applyFont="1" applyBorder="1" applyAlignment="1">
      <alignment wrapText="1"/>
    </xf>
    <xf numFmtId="0" fontId="4" fillId="3" borderId="26" xfId="0" applyFont="1" applyFill="1" applyBorder="1" applyAlignment="1">
      <alignment wrapText="1"/>
    </xf>
    <xf numFmtId="0" fontId="4" fillId="3" borderId="7" xfId="0" applyFont="1" applyFill="1" applyBorder="1" applyAlignment="1">
      <alignment wrapText="1"/>
    </xf>
    <xf numFmtId="0" fontId="4" fillId="3" borderId="17" xfId="0" applyFont="1" applyFill="1" applyBorder="1" applyAlignment="1">
      <alignment wrapText="1"/>
    </xf>
    <xf numFmtId="167" fontId="4" fillId="0" borderId="26" xfId="0" applyNumberFormat="1" applyFont="1" applyBorder="1" applyAlignment="1">
      <alignment wrapText="1"/>
    </xf>
    <xf numFmtId="0" fontId="4" fillId="0" borderId="7" xfId="0" applyFont="1" applyBorder="1" applyAlignment="1">
      <alignment horizontal="left" wrapText="1"/>
    </xf>
    <xf numFmtId="0" fontId="4" fillId="0" borderId="17" xfId="0" applyFont="1" applyBorder="1" applyAlignment="1">
      <alignment horizontal="left" wrapText="1"/>
    </xf>
    <xf numFmtId="167" fontId="9" fillId="5" borderId="26" xfId="0" applyNumberFormat="1" applyFont="1" applyFill="1" applyBorder="1" applyAlignment="1">
      <alignment wrapText="1"/>
    </xf>
    <xf numFmtId="0" fontId="9" fillId="5" borderId="7" xfId="0" applyFont="1" applyFill="1" applyBorder="1" applyAlignment="1">
      <alignment horizontal="left" wrapText="1"/>
    </xf>
    <xf numFmtId="0" fontId="9" fillId="5" borderId="17" xfId="0" applyFont="1" applyFill="1" applyBorder="1" applyAlignment="1">
      <alignment horizontal="left" wrapText="1"/>
    </xf>
    <xf numFmtId="0" fontId="9" fillId="5" borderId="26" xfId="0" applyFont="1" applyFill="1" applyBorder="1" applyAlignment="1">
      <alignment wrapText="1"/>
    </xf>
    <xf numFmtId="0" fontId="9" fillId="5" borderId="7" xfId="0" applyFont="1" applyFill="1" applyBorder="1" applyAlignment="1">
      <alignment wrapText="1"/>
    </xf>
    <xf numFmtId="0" fontId="9" fillId="5" borderId="17" xfId="0" applyFont="1" applyFill="1" applyBorder="1" applyAlignment="1">
      <alignment wrapText="1"/>
    </xf>
    <xf numFmtId="167" fontId="4" fillId="0" borderId="10" xfId="0" applyNumberFormat="1" applyFont="1" applyBorder="1" applyAlignment="1">
      <alignment wrapText="1"/>
    </xf>
    <xf numFmtId="0" fontId="4" fillId="0" borderId="10" xfId="0" applyFont="1" applyBorder="1" applyAlignment="1">
      <alignment horizontal="left" wrapText="1"/>
    </xf>
    <xf numFmtId="0" fontId="4" fillId="0" borderId="10" xfId="0" applyFont="1" applyBorder="1" applyAlignment="1">
      <alignment vertical="top" wrapText="1"/>
    </xf>
    <xf numFmtId="0" fontId="4" fillId="0" borderId="0" xfId="0" applyFont="1" applyFill="1" applyAlignment="1">
      <alignment horizontal="right" wrapText="1"/>
    </xf>
    <xf numFmtId="0" fontId="9" fillId="0" borderId="26" xfId="0" applyFont="1" applyBorder="1" applyAlignment="1">
      <alignment horizontal="center" wrapText="1"/>
    </xf>
    <xf numFmtId="0" fontId="4" fillId="0" borderId="7" xfId="0" applyFont="1" applyBorder="1" applyAlignment="1">
      <alignment wrapText="1"/>
    </xf>
    <xf numFmtId="0" fontId="4" fillId="0" borderId="17" xfId="0" applyFont="1" applyBorder="1" applyAlignment="1">
      <alignment wrapText="1"/>
    </xf>
    <xf numFmtId="0" fontId="4" fillId="4" borderId="0" xfId="0" applyFont="1" applyFill="1" applyAlignment="1">
      <alignment horizontal="center" wrapText="1"/>
    </xf>
    <xf numFmtId="0" fontId="9" fillId="0" borderId="7" xfId="0" applyFont="1" applyBorder="1" applyAlignment="1">
      <alignment horizontal="center" wrapText="1"/>
    </xf>
    <xf numFmtId="0" fontId="9" fillId="0" borderId="17" xfId="0" applyFont="1" applyBorder="1" applyAlignment="1">
      <alignment horizontal="center" wrapText="1"/>
    </xf>
    <xf numFmtId="0" fontId="9" fillId="4" borderId="26" xfId="0" applyFont="1" applyFill="1" applyBorder="1" applyAlignment="1">
      <alignment horizontal="center" wrapText="1"/>
    </xf>
    <xf numFmtId="0" fontId="9" fillId="4" borderId="7" xfId="0" applyFont="1" applyFill="1" applyBorder="1" applyAlignment="1">
      <alignment horizontal="center" wrapText="1"/>
    </xf>
    <xf numFmtId="0" fontId="9" fillId="4" borderId="17" xfId="0" applyFont="1" applyFill="1" applyBorder="1" applyAlignment="1">
      <alignment horizontal="center" wrapText="1"/>
    </xf>
    <xf numFmtId="0" fontId="4" fillId="0" borderId="0" xfId="1" applyAlignment="1">
      <alignment vertical="top" wrapText="1"/>
    </xf>
    <xf numFmtId="0" fontId="0" fillId="0" borderId="0" xfId="0" applyAlignment="1">
      <alignment vertical="top"/>
    </xf>
    <xf numFmtId="0" fontId="2" fillId="28" borderId="39" xfId="19" applyFill="1" applyBorder="1"/>
    <xf numFmtId="0" fontId="2" fillId="28" borderId="38" xfId="19" applyFill="1" applyBorder="1"/>
    <xf numFmtId="0" fontId="2" fillId="28" borderId="37" xfId="19" applyFill="1" applyBorder="1"/>
    <xf numFmtId="0" fontId="2" fillId="28" borderId="36" xfId="19" applyFill="1" applyBorder="1"/>
    <xf numFmtId="0" fontId="2" fillId="28" borderId="0" xfId="19" applyFill="1"/>
    <xf numFmtId="0" fontId="2" fillId="28" borderId="35" xfId="19" applyFill="1" applyBorder="1"/>
    <xf numFmtId="0" fontId="2" fillId="28" borderId="36" xfId="19" applyFill="1" applyBorder="1" applyAlignment="1">
      <alignment horizontal="left"/>
    </xf>
    <xf numFmtId="43" fontId="2" fillId="28" borderId="0" xfId="20" applyFont="1" applyFill="1" applyBorder="1"/>
    <xf numFmtId="0" fontId="2" fillId="28" borderId="34" xfId="19" applyFill="1" applyBorder="1"/>
    <xf numFmtId="43" fontId="2" fillId="28" borderId="33" xfId="20" applyFont="1" applyFill="1" applyBorder="1"/>
    <xf numFmtId="0" fontId="2" fillId="28" borderId="32" xfId="19" applyFill="1" applyBorder="1"/>
    <xf numFmtId="0" fontId="2" fillId="28" borderId="34" xfId="19" applyFill="1" applyBorder="1" applyAlignment="1">
      <alignment horizontal="left"/>
    </xf>
    <xf numFmtId="43" fontId="2" fillId="28" borderId="44" xfId="19" applyNumberFormat="1" applyFill="1" applyBorder="1"/>
    <xf numFmtId="43" fontId="2" fillId="28" borderId="43" xfId="19" applyNumberFormat="1" applyFill="1" applyBorder="1"/>
    <xf numFmtId="0" fontId="46" fillId="28" borderId="59" xfId="9" applyFont="1" applyFill="1" applyBorder="1" applyAlignment="1">
      <alignment horizontal="left"/>
    </xf>
    <xf numFmtId="0" fontId="46" fillId="28" borderId="4" xfId="9" applyFont="1" applyFill="1" applyBorder="1" applyAlignment="1">
      <alignment horizontal="left"/>
    </xf>
    <xf numFmtId="181" fontId="46" fillId="28" borderId="66" xfId="29" applyNumberFormat="1" applyFont="1" applyFill="1" applyBorder="1"/>
    <xf numFmtId="181" fontId="46" fillId="28" borderId="67" xfId="29" applyNumberFormat="1" applyFont="1" applyFill="1" applyBorder="1"/>
    <xf numFmtId="0" fontId="46" fillId="28" borderId="66" xfId="9" applyFont="1" applyFill="1" applyBorder="1" applyAlignment="1">
      <alignment horizontal="left"/>
    </xf>
    <xf numFmtId="181" fontId="46" fillId="28" borderId="5" xfId="9" applyNumberFormat="1" applyFont="1" applyFill="1" applyBorder="1"/>
    <xf numFmtId="181" fontId="46" fillId="28" borderId="67" xfId="9" applyNumberFormat="1" applyFont="1" applyFill="1" applyBorder="1"/>
    <xf numFmtId="0" fontId="46" fillId="28" borderId="59" xfId="9" applyFont="1" applyFill="1" applyBorder="1" applyAlignment="1">
      <alignment horizontal="left"/>
    </xf>
    <xf numFmtId="181" fontId="46" fillId="28" borderId="4" xfId="29" applyNumberFormat="1" applyFont="1" applyFill="1" applyBorder="1"/>
    <xf numFmtId="181" fontId="46" fillId="28" borderId="60" xfId="29" applyNumberFormat="1" applyFont="1" applyFill="1" applyBorder="1"/>
    <xf numFmtId="43" fontId="18" fillId="29" borderId="0" xfId="0" applyNumberFormat="1" applyFont="1" applyFill="1"/>
    <xf numFmtId="43" fontId="18" fillId="28" borderId="0" xfId="0" applyNumberFormat="1" applyFont="1" applyFill="1"/>
  </cellXfs>
  <cellStyles count="38">
    <cellStyle name="Comma" xfId="10" builtinId="3"/>
    <cellStyle name="Comma 10 9" xfId="8" xr:uid="{D7B58CA6-1EEF-44A4-9AC4-04EAB1D20D6F}"/>
    <cellStyle name="Comma 17 4 2" xfId="24" xr:uid="{CB47A526-6A0C-4960-B0BB-DDAB7C940846}"/>
    <cellStyle name="Comma 2" xfId="7" xr:uid="{3A536D6F-01A0-4D6C-9B19-5D8ECF014373}"/>
    <cellStyle name="Comma 2 2" xfId="13" xr:uid="{CC6ED967-5B77-435A-BA0F-6398E2266064}"/>
    <cellStyle name="Comma 3" xfId="27" xr:uid="{E284E686-F041-4630-858E-E013BC8082F6}"/>
    <cellStyle name="Comma 3 2" xfId="29" xr:uid="{CE177CDB-1299-44F7-B274-9F600E53F06E}"/>
    <cellStyle name="Comma 3 2 2" xfId="35" xr:uid="{859164A6-DDFE-48F6-9372-9018EB484CB1}"/>
    <cellStyle name="Comma 3 5" xfId="23" xr:uid="{3109986A-8125-43F7-9007-EC1D3FB98FCB}"/>
    <cellStyle name="Comma 40" xfId="20" xr:uid="{E75E6015-4259-4F2C-AE4A-D3FDF1A6EEFB}"/>
    <cellStyle name="Currency" xfId="11" builtinId="4"/>
    <cellStyle name="Currency 10 2 2 5" xfId="37" xr:uid="{8C55A23A-E439-45B4-8274-24B2802F3837}"/>
    <cellStyle name="Currency 2" xfId="15" xr:uid="{DE5E72F4-A4CB-4C98-8832-C7FB792B6DF8}"/>
    <cellStyle name="Currency 2 2" xfId="17" xr:uid="{BCF0D108-C4A0-4207-9BA0-A078F2BB5E8D}"/>
    <cellStyle name="Currency 2 3" xfId="32" xr:uid="{CE29BA22-BE46-4C2D-8E12-E4BD23AC5385}"/>
    <cellStyle name="Heading 1" xfId="3" xr:uid="{00000000-0005-0000-0000-000003000000}"/>
    <cellStyle name="Heading 2" xfId="4" xr:uid="{00000000-0005-0000-0000-000004000000}"/>
    <cellStyle name="Heading 3" xfId="5" xr:uid="{00000000-0005-0000-0000-000005000000}"/>
    <cellStyle name="Normal" xfId="0" builtinId="0"/>
    <cellStyle name="Normal 10 2 2 2" xfId="36" xr:uid="{5B3E2BD9-C486-43C6-AAEA-C18C7CFD4D91}"/>
    <cellStyle name="Normal 13" xfId="34" xr:uid="{71CE8618-F152-4688-81DC-49F40C62558B}"/>
    <cellStyle name="Normal 135" xfId="30" xr:uid="{9FC20912-5280-4063-AEC2-0526E3F61CE3}"/>
    <cellStyle name="Normal 15" xfId="18" xr:uid="{4112287C-0991-4E08-9620-8C3450835219}"/>
    <cellStyle name="Normal 16" xfId="19" xr:uid="{48A4C20C-4CA7-449E-AFFA-BDDAA26AB586}"/>
    <cellStyle name="Normal 2" xfId="2" xr:uid="{00000000-0005-0000-0000-000002000000}"/>
    <cellStyle name="Normal 2 2 2" xfId="33" xr:uid="{EECD7733-ADA3-4903-A2A9-A0758E33E646}"/>
    <cellStyle name="Normal 2 2 6 2" xfId="22" xr:uid="{37140D9C-5397-42C1-B6B7-843FD50AF648}"/>
    <cellStyle name="Normal 3" xfId="9" xr:uid="{01C05B43-02E4-46FD-8223-2025D4CCE966}"/>
    <cellStyle name="Normal 4" xfId="12" xr:uid="{444202E7-2CBD-4A30-B91E-A2510E686D33}"/>
    <cellStyle name="Normal 4 2" xfId="28" xr:uid="{CD8E9F36-C27D-4271-99AC-EC54E1068878}"/>
    <cellStyle name="Normal 5" xfId="26" xr:uid="{772C083E-B266-4253-A546-ECB148C26C22}"/>
    <cellStyle name="Normal_Summary" xfId="16" xr:uid="{F8DB40ED-C9E8-4B82-890B-2A12400C3153}"/>
    <cellStyle name="Percent" xfId="6" builtinId="5"/>
    <cellStyle name="Percent 2" xfId="14" xr:uid="{6A7559D0-E9DC-45CF-937A-70E86B723F4F}"/>
    <cellStyle name="Percent 2 2" xfId="31" xr:uid="{DF8FB559-C108-42E8-870C-69B7C69C5063}"/>
    <cellStyle name="Percent 2 5 2" xfId="25" xr:uid="{5B3CB977-7800-4701-9E47-C0FBC81750E4}"/>
    <cellStyle name="Percent 29" xfId="21" xr:uid="{BB7519D3-55FB-4990-9DE6-2A2FF05D68DD}"/>
    <cellStyle name="Table (Normal)" xfId="1" xr:uid="{00000000-0005-0000-0000-000001000000}"/>
  </cellStyles>
  <dxfs count="1">
    <dxf>
      <alignment wrapText="1"/>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89" Type="http://schemas.openxmlformats.org/officeDocument/2006/relationships/customXml" Target="../customXml/item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ustomXml" Target="../customXml/item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88"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pivotCacheDefinition" Target="pivotCache/pivotCacheDefinition1.xml"/><Relationship Id="rId86"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2.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12</xdr:col>
      <xdr:colOff>500062</xdr:colOff>
      <xdr:row>49</xdr:row>
      <xdr:rowOff>107156</xdr:rowOff>
    </xdr:from>
    <xdr:ext cx="6573167" cy="3820058"/>
    <xdr:pic>
      <xdr:nvPicPr>
        <xdr:cNvPr id="2" name="Picture 1">
          <a:extLst>
            <a:ext uri="{FF2B5EF4-FFF2-40B4-BE49-F238E27FC236}">
              <a16:creationId xmlns:a16="http://schemas.microsoft.com/office/drawing/2014/main" id="{95CB1C94-3CBA-4ED3-A946-8E5444B70D57}"/>
            </a:ext>
          </a:extLst>
        </xdr:cNvPr>
        <xdr:cNvPicPr>
          <a:picLocks noChangeAspect="1"/>
        </xdr:cNvPicPr>
      </xdr:nvPicPr>
      <xdr:blipFill>
        <a:blip xmlns:r="http://schemas.openxmlformats.org/officeDocument/2006/relationships" r:embed="rId1"/>
        <a:stretch>
          <a:fillRect/>
        </a:stretch>
      </xdr:blipFill>
      <xdr:spPr>
        <a:xfrm>
          <a:off x="9644062" y="9441656"/>
          <a:ext cx="6573167" cy="382005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5</xdr:row>
      <xdr:rowOff>1</xdr:rowOff>
    </xdr:from>
    <xdr:to>
      <xdr:col>7</xdr:col>
      <xdr:colOff>892</xdr:colOff>
      <xdr:row>34</xdr:row>
      <xdr:rowOff>44451</xdr:rowOff>
    </xdr:to>
    <xdr:pic>
      <xdr:nvPicPr>
        <xdr:cNvPr id="2" name="Picture 1">
          <a:extLst>
            <a:ext uri="{FF2B5EF4-FFF2-40B4-BE49-F238E27FC236}">
              <a16:creationId xmlns:a16="http://schemas.microsoft.com/office/drawing/2014/main" id="{C0C6E472-DB30-4AAC-90D5-C033D7930AA9}"/>
            </a:ext>
          </a:extLst>
        </xdr:cNvPr>
        <xdr:cNvPicPr>
          <a:picLocks noChangeAspect="1"/>
        </xdr:cNvPicPr>
      </xdr:nvPicPr>
      <xdr:blipFill>
        <a:blip xmlns:r="http://schemas.openxmlformats.org/officeDocument/2006/relationships" r:embed="rId1"/>
        <a:stretch>
          <a:fillRect/>
        </a:stretch>
      </xdr:blipFill>
      <xdr:spPr>
        <a:xfrm>
          <a:off x="142876" y="790576"/>
          <a:ext cx="6106416" cy="4740275"/>
        </a:xfrm>
        <a:prstGeom prst="rect">
          <a:avLst/>
        </a:prstGeom>
      </xdr:spPr>
    </xdr:pic>
    <xdr:clientData/>
  </xdr:twoCellAnchor>
  <xdr:twoCellAnchor editAs="oneCell">
    <xdr:from>
      <xdr:col>1</xdr:col>
      <xdr:colOff>1</xdr:colOff>
      <xdr:row>35</xdr:row>
      <xdr:rowOff>0</xdr:rowOff>
    </xdr:from>
    <xdr:to>
      <xdr:col>5</xdr:col>
      <xdr:colOff>1140594</xdr:colOff>
      <xdr:row>49</xdr:row>
      <xdr:rowOff>114300</xdr:rowOff>
    </xdr:to>
    <xdr:pic>
      <xdr:nvPicPr>
        <xdr:cNvPr id="3" name="Picture 2">
          <a:extLst>
            <a:ext uri="{FF2B5EF4-FFF2-40B4-BE49-F238E27FC236}">
              <a16:creationId xmlns:a16="http://schemas.microsoft.com/office/drawing/2014/main" id="{20AE062E-1B46-4570-B2BC-3D235E09A4A8}"/>
            </a:ext>
          </a:extLst>
        </xdr:cNvPr>
        <xdr:cNvPicPr>
          <a:picLocks noChangeAspect="1"/>
        </xdr:cNvPicPr>
      </xdr:nvPicPr>
      <xdr:blipFill>
        <a:blip xmlns:r="http://schemas.openxmlformats.org/officeDocument/2006/relationships" r:embed="rId2"/>
        <a:stretch>
          <a:fillRect/>
        </a:stretch>
      </xdr:blipFill>
      <xdr:spPr>
        <a:xfrm>
          <a:off x="142876" y="5648325"/>
          <a:ext cx="5941193" cy="2381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ternal\Regulatory%20Services\2014%20Compliance%20Plan\Workpapers\Mitchell%20Environmental%20Expenses,%201-1-14%20--%209-3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VY"/>
      <sheetName val="FGD"/>
      <sheetName val="Non-FGD"/>
      <sheetName val="Depreciation"/>
      <sheetName val="February"/>
      <sheetName val="March"/>
      <sheetName val="April"/>
      <sheetName val="May"/>
      <sheetName val="June"/>
      <sheetName val="July"/>
      <sheetName val="August"/>
      <sheetName val="September"/>
      <sheetName val="October"/>
      <sheetName val="ADFIT"/>
      <sheetName val="S2"/>
      <sheetName val="AN"/>
      <sheetName val="NOx"/>
      <sheetName val="Cash Working Capital"/>
      <sheetName val="Property Tax"/>
      <sheetName val="Summary"/>
      <sheetName val="Precipitator O &amp; 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2">
          <cell r="B2">
            <v>2.1464E-2</v>
          </cell>
        </row>
        <row r="4">
          <cell r="B4">
            <v>0.6</v>
          </cell>
        </row>
        <row r="6">
          <cell r="B6">
            <v>0.05</v>
          </cell>
        </row>
      </sheetData>
      <sheetData sheetId="19" refreshError="1"/>
      <sheetData sheetId="20"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s213167\AppData\Local\Microsoft\Windows\INetCache\Content.Outlook\KK64G9DB\Payroll%20and%20Incentive%20adjustments%20for%20Heather's%20workpapers%20(00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tso140" refreshedDate="45120.794270138889" createdVersion="8" refreshedVersion="8" minRefreshableVersion="3" recordCount="48" xr:uid="{0DD5F53C-E331-4960-A261-DA1244695F2E}">
  <cacheSource type="worksheet">
    <worksheetSource ref="A6:G54" sheet="W31_PG_2_of_3" r:id="rId2"/>
  </cacheSource>
  <cacheFields count="7">
    <cacheField name="Co" numFmtId="49">
      <sharedItems/>
    </cacheField>
    <cacheField name="Descr" numFmtId="49">
      <sharedItems/>
    </cacheField>
    <cacheField name="Year" numFmtId="0">
      <sharedItems containsSemiMixedTypes="0" containsString="0" containsNumber="1" containsInteger="1" minValue="2022" maxValue="2022"/>
    </cacheField>
    <cacheField name="NLGrs YTD" numFmtId="43">
      <sharedItems containsSemiMixedTypes="0" containsString="0" containsNumber="1" minValue="147289.81" maxValue="436671.1"/>
    </cacheField>
    <cacheField name="TaxGrs YTD" numFmtId="43">
      <sharedItems containsSemiMixedTypes="0" containsString="0" containsNumber="1" containsInteger="1" minValue="147000" maxValue="147000"/>
    </cacheField>
    <cacheField name="Salaries over SS limit" numFmtId="43">
      <sharedItems containsSemiMixedTypes="0" containsString="0" containsNumber="1" minValue="289.80999999999767" maxValue="289671.09999999998"/>
    </cacheField>
    <cacheField name="GL Unit" numFmtId="49">
      <sharedItems count="2">
        <s v="110"/>
        <s v="117"/>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s v="E03"/>
    <s v="Kentucky Power Company"/>
    <n v="2022"/>
    <n v="158979.95000000001"/>
    <n v="147000"/>
    <n v="11979.950000000012"/>
    <x v="0"/>
  </r>
  <r>
    <s v="E03"/>
    <s v="Kentucky Power Company"/>
    <n v="2022"/>
    <n v="326353.21999999997"/>
    <n v="147000"/>
    <n v="179353.21999999997"/>
    <x v="1"/>
  </r>
  <r>
    <s v="E03"/>
    <s v="Kentucky Power Company"/>
    <n v="2022"/>
    <n v="185876.54"/>
    <n v="147000"/>
    <n v="38876.540000000008"/>
    <x v="0"/>
  </r>
  <r>
    <s v="E03"/>
    <s v="Kentucky Power Company"/>
    <n v="2022"/>
    <n v="159030.89000000001"/>
    <n v="147000"/>
    <n v="12030.890000000014"/>
    <x v="0"/>
  </r>
  <r>
    <s v="E03"/>
    <s v="Kentucky Power Company"/>
    <n v="2022"/>
    <n v="166097.82"/>
    <n v="147000"/>
    <n v="19097.820000000007"/>
    <x v="0"/>
  </r>
  <r>
    <s v="E03"/>
    <s v="Kentucky Power Company"/>
    <n v="2022"/>
    <n v="161605.26"/>
    <n v="147000"/>
    <n v="14605.260000000009"/>
    <x v="0"/>
  </r>
  <r>
    <s v="E03"/>
    <s v="Kentucky Power Company"/>
    <n v="2022"/>
    <n v="147443.60999999999"/>
    <n v="147000"/>
    <n v="443.60999999998603"/>
    <x v="0"/>
  </r>
  <r>
    <s v="E03"/>
    <s v="Kentucky Power Company"/>
    <n v="2022"/>
    <n v="185347.6"/>
    <n v="147000"/>
    <n v="38347.600000000006"/>
    <x v="0"/>
  </r>
  <r>
    <s v="E03"/>
    <s v="Kentucky Power Company"/>
    <n v="2022"/>
    <n v="149980.09"/>
    <n v="147000"/>
    <n v="2980.0899999999965"/>
    <x v="1"/>
  </r>
  <r>
    <s v="E03"/>
    <s v="Kentucky Power Company"/>
    <n v="2022"/>
    <n v="173761.61"/>
    <n v="147000"/>
    <n v="26761.609999999986"/>
    <x v="0"/>
  </r>
  <r>
    <s v="E03"/>
    <s v="Kentucky Power Company"/>
    <n v="2022"/>
    <n v="168975.46"/>
    <n v="147000"/>
    <n v="21975.459999999992"/>
    <x v="0"/>
  </r>
  <r>
    <s v="E03"/>
    <s v="Kentucky Power Company"/>
    <n v="2022"/>
    <n v="160726.04"/>
    <n v="147000"/>
    <n v="13726.040000000008"/>
    <x v="0"/>
  </r>
  <r>
    <s v="E03"/>
    <s v="Kentucky Power Company"/>
    <n v="2022"/>
    <n v="203790.56"/>
    <n v="147000"/>
    <n v="56790.559999999998"/>
    <x v="0"/>
  </r>
  <r>
    <s v="E03"/>
    <s v="Kentucky Power Company"/>
    <n v="2022"/>
    <n v="162477.43"/>
    <n v="147000"/>
    <n v="15477.429999999993"/>
    <x v="0"/>
  </r>
  <r>
    <s v="E03"/>
    <s v="Kentucky Power Company"/>
    <n v="2022"/>
    <n v="436671.1"/>
    <n v="147000"/>
    <n v="289671.09999999998"/>
    <x v="0"/>
  </r>
  <r>
    <s v="E03"/>
    <s v="Kentucky Power Company"/>
    <n v="2022"/>
    <n v="171778.06"/>
    <n v="147000"/>
    <n v="24778.059999999998"/>
    <x v="0"/>
  </r>
  <r>
    <s v="E03"/>
    <s v="Kentucky Power Company"/>
    <n v="2022"/>
    <n v="234973.75"/>
    <n v="147000"/>
    <n v="87973.75"/>
    <x v="0"/>
  </r>
  <r>
    <s v="E03"/>
    <s v="Kentucky Power Company"/>
    <n v="2022"/>
    <n v="149670.87"/>
    <n v="147000"/>
    <n v="2670.8699999999953"/>
    <x v="0"/>
  </r>
  <r>
    <s v="E03"/>
    <s v="Kentucky Power Company"/>
    <n v="2022"/>
    <n v="178287.23"/>
    <n v="147000"/>
    <n v="31287.23000000001"/>
    <x v="0"/>
  </r>
  <r>
    <s v="E03"/>
    <s v="Kentucky Power Company"/>
    <n v="2022"/>
    <n v="149800.95999999999"/>
    <n v="147000"/>
    <n v="2800.9599999999919"/>
    <x v="0"/>
  </r>
  <r>
    <s v="E03"/>
    <s v="Kentucky Power Company"/>
    <n v="2022"/>
    <n v="149145.45000000001"/>
    <n v="147000"/>
    <n v="2145.4500000000116"/>
    <x v="0"/>
  </r>
  <r>
    <s v="E03"/>
    <s v="Kentucky Power Company"/>
    <n v="2022"/>
    <n v="149598.97"/>
    <n v="147000"/>
    <n v="2598.9700000000012"/>
    <x v="0"/>
  </r>
  <r>
    <s v="E03"/>
    <s v="Kentucky Power Company"/>
    <n v="2022"/>
    <n v="160954.74"/>
    <n v="147000"/>
    <n v="13954.739999999991"/>
    <x v="0"/>
  </r>
  <r>
    <s v="E03"/>
    <s v="Kentucky Power Company"/>
    <n v="2022"/>
    <n v="151104.34"/>
    <n v="147000"/>
    <n v="4104.3399999999965"/>
    <x v="0"/>
  </r>
  <r>
    <s v="E03"/>
    <s v="Kentucky Power Company"/>
    <n v="2022"/>
    <n v="159202.23000000001"/>
    <n v="147000"/>
    <n v="12202.23000000001"/>
    <x v="0"/>
  </r>
  <r>
    <s v="E03"/>
    <s v="Kentucky Power Company"/>
    <n v="2022"/>
    <n v="148128.81"/>
    <n v="147000"/>
    <n v="1128.8099999999977"/>
    <x v="0"/>
  </r>
  <r>
    <s v="E03"/>
    <s v="Kentucky Power Company"/>
    <n v="2022"/>
    <n v="154386.07"/>
    <n v="147000"/>
    <n v="7386.070000000007"/>
    <x v="0"/>
  </r>
  <r>
    <s v="E03"/>
    <s v="Kentucky Power Company"/>
    <n v="2022"/>
    <n v="149298.4"/>
    <n v="147000"/>
    <n v="2298.3999999999942"/>
    <x v="0"/>
  </r>
  <r>
    <s v="E03"/>
    <s v="Kentucky Power Company"/>
    <n v="2022"/>
    <n v="147289.81"/>
    <n v="147000"/>
    <n v="289.80999999999767"/>
    <x v="0"/>
  </r>
  <r>
    <s v="E03"/>
    <s v="Kentucky Power Company"/>
    <n v="2022"/>
    <n v="148277.12"/>
    <n v="147000"/>
    <n v="1277.1199999999953"/>
    <x v="0"/>
  </r>
  <r>
    <s v="E03"/>
    <s v="Kentucky Power Company"/>
    <n v="2022"/>
    <n v="159304.62"/>
    <n v="147000"/>
    <n v="12304.619999999995"/>
    <x v="0"/>
  </r>
  <r>
    <s v="E03"/>
    <s v="Kentucky Power Company"/>
    <n v="2022"/>
    <n v="167575.26999999999"/>
    <n v="147000"/>
    <n v="20575.26999999999"/>
    <x v="0"/>
  </r>
  <r>
    <s v="E03"/>
    <s v="Kentucky Power Company"/>
    <n v="2022"/>
    <n v="196397.13"/>
    <n v="147000"/>
    <n v="49397.130000000005"/>
    <x v="0"/>
  </r>
  <r>
    <s v="E03"/>
    <s v="Kentucky Power Company"/>
    <n v="2022"/>
    <n v="169245.13"/>
    <n v="147000"/>
    <n v="22245.130000000005"/>
    <x v="0"/>
  </r>
  <r>
    <s v="E03"/>
    <s v="Kentucky Power Company"/>
    <n v="2022"/>
    <n v="174220.53"/>
    <n v="147000"/>
    <n v="27220.53"/>
    <x v="0"/>
  </r>
  <r>
    <s v="E03"/>
    <s v="Kentucky Power Company"/>
    <n v="2022"/>
    <n v="372583.62"/>
    <n v="147000"/>
    <n v="225583.62"/>
    <x v="0"/>
  </r>
  <r>
    <s v="E03"/>
    <s v="Kentucky Power Company"/>
    <n v="2022"/>
    <n v="175376.88"/>
    <n v="147000"/>
    <n v="28376.880000000005"/>
    <x v="0"/>
  </r>
  <r>
    <s v="E03"/>
    <s v="Kentucky Power Company"/>
    <n v="2022"/>
    <n v="159557"/>
    <n v="147000"/>
    <n v="12557"/>
    <x v="0"/>
  </r>
  <r>
    <s v="E03"/>
    <s v="Kentucky Power Company"/>
    <n v="2022"/>
    <n v="161226.37"/>
    <n v="147000"/>
    <n v="14226.369999999995"/>
    <x v="0"/>
  </r>
  <r>
    <s v="E03"/>
    <s v="Kentucky Power Company"/>
    <n v="2022"/>
    <n v="153031.19"/>
    <n v="147000"/>
    <n v="6031.1900000000023"/>
    <x v="0"/>
  </r>
  <r>
    <s v="E03"/>
    <s v="Kentucky Power Company"/>
    <n v="2022"/>
    <n v="166916.70000000001"/>
    <n v="147000"/>
    <n v="19916.700000000012"/>
    <x v="0"/>
  </r>
  <r>
    <s v="E03"/>
    <s v="Kentucky Power Company"/>
    <n v="2022"/>
    <n v="150978.82"/>
    <n v="147000"/>
    <n v="3978.820000000007"/>
    <x v="0"/>
  </r>
  <r>
    <s v="E03"/>
    <s v="Kentucky Power Company"/>
    <n v="2022"/>
    <n v="171532.7"/>
    <n v="147000"/>
    <n v="24532.700000000012"/>
    <x v="0"/>
  </r>
  <r>
    <s v="E03"/>
    <s v="Kentucky Power Company"/>
    <n v="2022"/>
    <n v="334438.15999999997"/>
    <n v="147000"/>
    <n v="187438.15999999997"/>
    <x v="0"/>
  </r>
  <r>
    <s v="E03"/>
    <s v="Kentucky Power Company"/>
    <n v="2022"/>
    <n v="154685.41"/>
    <n v="147000"/>
    <n v="7685.4100000000035"/>
    <x v="0"/>
  </r>
  <r>
    <s v="E03"/>
    <s v="Kentucky Power Company"/>
    <n v="2022"/>
    <n v="161865.07999999999"/>
    <n v="147000"/>
    <n v="14865.079999999987"/>
    <x v="0"/>
  </r>
  <r>
    <s v="E03"/>
    <s v="Kentucky Power Company"/>
    <n v="2022"/>
    <n v="201448.14"/>
    <n v="147000"/>
    <n v="54448.140000000014"/>
    <x v="1"/>
  </r>
  <r>
    <s v="E03"/>
    <s v="Kentucky Power Company"/>
    <n v="2022"/>
    <n v="153272.17000000001"/>
    <n v="147000"/>
    <n v="6272.1700000000128"/>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B4CFFD1-8316-408F-8443-5D3D1A95D4DD}"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I7:K10" firstHeaderRow="0" firstDataRow="1" firstDataCol="1"/>
  <pivotFields count="7">
    <pivotField showAll="0"/>
    <pivotField showAll="0"/>
    <pivotField showAll="0"/>
    <pivotField numFmtId="43" showAll="0"/>
    <pivotField numFmtId="43" showAll="0"/>
    <pivotField dataField="1" numFmtId="43" showAll="0"/>
    <pivotField axis="axisRow" showAll="0">
      <items count="3">
        <item x="0"/>
        <item x="1"/>
        <item t="default"/>
      </items>
    </pivotField>
  </pivotFields>
  <rowFields count="1">
    <field x="6"/>
  </rowFields>
  <rowItems count="3">
    <i>
      <x/>
    </i>
    <i>
      <x v="1"/>
    </i>
    <i t="grand">
      <x/>
    </i>
  </rowItems>
  <colFields count="1">
    <field x="-2"/>
  </colFields>
  <colItems count="2">
    <i>
      <x/>
    </i>
    <i i="1">
      <x v="1"/>
    </i>
  </colItems>
  <dataFields count="2">
    <dataField name="Count of Salaries over SS limit" fld="5" subtotal="count" baseField="6" baseItem="0"/>
    <dataField name="Sum of Salaries over SS limit2" fld="5" baseField="0" baseItem="0"/>
  </dataFields>
  <formats count="1">
    <format dxfId="0">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ivotTable" Target="../pivotTables/pivotTable1.xm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6"/>
  <sheetViews>
    <sheetView tabSelected="1" showRuler="0" workbookViewId="0">
      <selection activeCell="B16" sqref="B16"/>
    </sheetView>
  </sheetViews>
  <sheetFormatPr defaultColWidth="13.7265625" defaultRowHeight="12.5"/>
  <cols>
    <col min="1" max="1" width="17.26953125" customWidth="1"/>
    <col min="2" max="2" width="76.54296875" customWidth="1"/>
    <col min="3" max="3" width="26.453125" customWidth="1"/>
    <col min="4" max="4" width="3.453125" customWidth="1"/>
  </cols>
  <sheetData>
    <row r="1" spans="1:7" ht="15" customHeight="1">
      <c r="G1" s="41"/>
    </row>
    <row r="2" spans="1:7" ht="16.75" customHeight="1">
      <c r="A2" s="708" t="s">
        <v>0</v>
      </c>
      <c r="B2" s="709"/>
      <c r="C2" s="709"/>
      <c r="G2" s="41"/>
    </row>
    <row r="3" spans="1:7" ht="16.75" customHeight="1">
      <c r="A3" s="708" t="s">
        <v>1</v>
      </c>
      <c r="B3" s="709"/>
      <c r="C3" s="709"/>
      <c r="G3" s="41"/>
    </row>
    <row r="4" spans="1:7" ht="16.75" customHeight="1">
      <c r="A4" s="1" t="s">
        <v>2</v>
      </c>
      <c r="B4" s="1" t="s">
        <v>3</v>
      </c>
    </row>
    <row r="5" spans="1:7" ht="15" customHeight="1"/>
    <row r="6" spans="1:7" ht="39.25" customHeight="1">
      <c r="A6" s="2" t="s">
        <v>4</v>
      </c>
      <c r="B6" s="1" t="s">
        <v>5</v>
      </c>
      <c r="C6" s="1" t="s">
        <v>6</v>
      </c>
    </row>
    <row r="7" spans="1:7" ht="16.75" customHeight="1">
      <c r="A7" s="3" t="s">
        <v>7</v>
      </c>
      <c r="B7" s="4" t="s">
        <v>8</v>
      </c>
      <c r="C7" s="4" t="s">
        <v>9</v>
      </c>
    </row>
    <row r="8" spans="1:7" ht="27.65" customHeight="1">
      <c r="A8" s="448" t="s">
        <v>10</v>
      </c>
      <c r="B8" s="449" t="s">
        <v>11</v>
      </c>
      <c r="C8" s="450" t="s">
        <v>12</v>
      </c>
    </row>
    <row r="9" spans="1:7" ht="16.75" customHeight="1">
      <c r="A9" s="3" t="s">
        <v>13</v>
      </c>
      <c r="B9" s="4" t="s">
        <v>14</v>
      </c>
      <c r="C9" s="4" t="s">
        <v>15</v>
      </c>
    </row>
    <row r="10" spans="1:7" ht="16.75" customHeight="1">
      <c r="A10" s="3" t="s">
        <v>16</v>
      </c>
      <c r="B10" s="4" t="s">
        <v>17</v>
      </c>
      <c r="C10" s="4" t="s">
        <v>18</v>
      </c>
    </row>
    <row r="11" spans="1:7" ht="16.75" customHeight="1">
      <c r="A11" s="3" t="s">
        <v>19</v>
      </c>
      <c r="B11" s="4" t="s">
        <v>20</v>
      </c>
      <c r="C11" s="4" t="s">
        <v>21</v>
      </c>
    </row>
    <row r="12" spans="1:7" ht="16.75" customHeight="1">
      <c r="A12" s="3" t="s">
        <v>22</v>
      </c>
      <c r="B12" s="4" t="s">
        <v>23</v>
      </c>
      <c r="C12" s="4" t="s">
        <v>24</v>
      </c>
    </row>
    <row r="13" spans="1:7" ht="16.75" customHeight="1">
      <c r="A13" s="448" t="s">
        <v>25</v>
      </c>
      <c r="B13" s="449" t="s">
        <v>26</v>
      </c>
      <c r="C13" s="449" t="s">
        <v>27</v>
      </c>
    </row>
    <row r="14" spans="1:7" ht="16.75" customHeight="1">
      <c r="A14" s="3" t="s">
        <v>28</v>
      </c>
      <c r="B14" s="4" t="s">
        <v>29</v>
      </c>
      <c r="C14" s="4" t="s">
        <v>30</v>
      </c>
    </row>
    <row r="15" spans="1:7" ht="16.75" customHeight="1">
      <c r="A15" s="3" t="s">
        <v>31</v>
      </c>
      <c r="B15" s="4" t="s">
        <v>32</v>
      </c>
      <c r="C15" s="4" t="s">
        <v>33</v>
      </c>
    </row>
    <row r="16" spans="1:7" ht="16.75" customHeight="1">
      <c r="A16" s="3" t="s">
        <v>34</v>
      </c>
      <c r="B16" s="4" t="s">
        <v>35</v>
      </c>
      <c r="C16" s="4" t="s">
        <v>36</v>
      </c>
    </row>
    <row r="17" spans="1:3" ht="16.75" customHeight="1">
      <c r="A17" s="448" t="s">
        <v>37</v>
      </c>
      <c r="B17" s="450" t="s">
        <v>38</v>
      </c>
      <c r="C17" s="449" t="s">
        <v>39</v>
      </c>
    </row>
    <row r="18" spans="1:3" ht="16.75" customHeight="1">
      <c r="A18" s="3" t="s">
        <v>40</v>
      </c>
      <c r="B18" s="4" t="s">
        <v>41</v>
      </c>
      <c r="C18" s="4" t="s">
        <v>42</v>
      </c>
    </row>
    <row r="19" spans="1:3" ht="16.75" customHeight="1">
      <c r="A19" s="3" t="s">
        <v>43</v>
      </c>
      <c r="B19" s="5" t="s">
        <v>44</v>
      </c>
      <c r="C19" s="4" t="s">
        <v>45</v>
      </c>
    </row>
    <row r="20" spans="1:3" ht="16.75" customHeight="1">
      <c r="A20" s="448" t="s">
        <v>46</v>
      </c>
      <c r="B20" s="449" t="s">
        <v>47</v>
      </c>
      <c r="C20" s="449" t="s">
        <v>48</v>
      </c>
    </row>
    <row r="21" spans="1:3" ht="16.75" customHeight="1">
      <c r="A21" s="448" t="s">
        <v>49</v>
      </c>
      <c r="B21" s="449" t="s">
        <v>50</v>
      </c>
      <c r="C21" s="449" t="s">
        <v>51</v>
      </c>
    </row>
    <row r="22" spans="1:3" ht="16.75" customHeight="1">
      <c r="A22" s="448" t="s">
        <v>52</v>
      </c>
      <c r="B22" s="449" t="s">
        <v>53</v>
      </c>
      <c r="C22" s="449" t="s">
        <v>54</v>
      </c>
    </row>
    <row r="23" spans="1:3" ht="16.75" customHeight="1">
      <c r="A23" s="448" t="s">
        <v>55</v>
      </c>
      <c r="B23" s="449" t="s">
        <v>56</v>
      </c>
      <c r="C23" s="449" t="s">
        <v>57</v>
      </c>
    </row>
    <row r="24" spans="1:3" ht="16.75" customHeight="1">
      <c r="A24" s="448" t="s">
        <v>58</v>
      </c>
      <c r="B24" s="449" t="s">
        <v>59</v>
      </c>
      <c r="C24" s="449" t="s">
        <v>60</v>
      </c>
    </row>
    <row r="25" spans="1:3" ht="16.75" customHeight="1">
      <c r="A25" s="448" t="s">
        <v>61</v>
      </c>
      <c r="B25" s="449" t="s">
        <v>62</v>
      </c>
      <c r="C25" s="449" t="s">
        <v>185</v>
      </c>
    </row>
    <row r="26" spans="1:3" ht="16.75" customHeight="1">
      <c r="A26" s="448" t="s">
        <v>63</v>
      </c>
      <c r="B26" s="449" t="s">
        <v>64</v>
      </c>
      <c r="C26" s="449" t="s">
        <v>65</v>
      </c>
    </row>
    <row r="27" spans="1:3" ht="16.75" customHeight="1">
      <c r="A27" s="448" t="s">
        <v>66</v>
      </c>
      <c r="B27" s="449" t="s">
        <v>67</v>
      </c>
      <c r="C27" s="449" t="s">
        <v>68</v>
      </c>
    </row>
    <row r="28" spans="1:3" ht="27.65" customHeight="1">
      <c r="A28" s="3" t="s">
        <v>69</v>
      </c>
      <c r="B28" s="4" t="s">
        <v>70</v>
      </c>
      <c r="C28" s="4" t="s">
        <v>71</v>
      </c>
    </row>
    <row r="29" spans="1:3" ht="16.75" customHeight="1">
      <c r="A29" s="3" t="s">
        <v>72</v>
      </c>
      <c r="B29" s="4" t="s">
        <v>73</v>
      </c>
      <c r="C29" s="4" t="s">
        <v>74</v>
      </c>
    </row>
    <row r="30" spans="1:3" ht="16.75" customHeight="1">
      <c r="A30" s="3" t="s">
        <v>75</v>
      </c>
      <c r="B30" s="4" t="s">
        <v>76</v>
      </c>
      <c r="C30" s="4" t="s">
        <v>77</v>
      </c>
    </row>
    <row r="31" spans="1:3" ht="16.75" customHeight="1">
      <c r="A31" s="3" t="s">
        <v>78</v>
      </c>
      <c r="B31" s="4" t="s">
        <v>79</v>
      </c>
      <c r="C31" s="42" t="s">
        <v>185</v>
      </c>
    </row>
    <row r="32" spans="1:3" ht="16.75" customHeight="1">
      <c r="A32" s="3" t="s">
        <v>80</v>
      </c>
      <c r="B32" s="4" t="s">
        <v>81</v>
      </c>
      <c r="C32" s="4" t="s">
        <v>82</v>
      </c>
    </row>
    <row r="33" spans="1:3" ht="16.75" customHeight="1">
      <c r="A33" s="3" t="s">
        <v>83</v>
      </c>
      <c r="B33" s="4" t="s">
        <v>84</v>
      </c>
      <c r="C33" s="4" t="s">
        <v>185</v>
      </c>
    </row>
    <row r="34" spans="1:3" ht="27.65" customHeight="1">
      <c r="A34" s="3" t="s">
        <v>85</v>
      </c>
      <c r="B34" s="4" t="s">
        <v>86</v>
      </c>
      <c r="C34" s="4" t="s">
        <v>87</v>
      </c>
    </row>
    <row r="35" spans="1:3" ht="16.75" customHeight="1">
      <c r="A35" s="3" t="s">
        <v>88</v>
      </c>
      <c r="B35" s="4" t="s">
        <v>89</v>
      </c>
      <c r="C35" s="4" t="s">
        <v>90</v>
      </c>
    </row>
    <row r="36" spans="1:3" ht="16.75" customHeight="1">
      <c r="A36" s="3" t="s">
        <v>91</v>
      </c>
      <c r="B36" s="4" t="s">
        <v>92</v>
      </c>
      <c r="C36" s="4" t="s">
        <v>93</v>
      </c>
    </row>
    <row r="37" spans="1:3" ht="16.75" customHeight="1">
      <c r="A37" s="448" t="s">
        <v>94</v>
      </c>
      <c r="B37" s="450" t="s">
        <v>95</v>
      </c>
      <c r="C37" s="449" t="s">
        <v>96</v>
      </c>
    </row>
    <row r="38" spans="1:3" ht="16.75" customHeight="1">
      <c r="A38" s="3" t="s">
        <v>97</v>
      </c>
      <c r="B38" s="4" t="s">
        <v>98</v>
      </c>
      <c r="C38" s="4" t="s">
        <v>99</v>
      </c>
    </row>
    <row r="39" spans="1:3" ht="16.75" customHeight="1">
      <c r="A39" s="3" t="s">
        <v>100</v>
      </c>
      <c r="B39" s="4" t="s">
        <v>101</v>
      </c>
      <c r="C39" s="4" t="s">
        <v>102</v>
      </c>
    </row>
    <row r="40" spans="1:3" ht="16.75" customHeight="1">
      <c r="A40" s="3" t="s">
        <v>103</v>
      </c>
      <c r="B40" s="4" t="s">
        <v>104</v>
      </c>
      <c r="C40" s="4" t="s">
        <v>185</v>
      </c>
    </row>
    <row r="41" spans="1:3" ht="16.75" customHeight="1">
      <c r="A41" s="3" t="s">
        <v>105</v>
      </c>
      <c r="B41" s="4" t="s">
        <v>106</v>
      </c>
      <c r="C41" s="4" t="s">
        <v>107</v>
      </c>
    </row>
    <row r="42" spans="1:3" ht="27.65" customHeight="1">
      <c r="A42" s="3" t="s">
        <v>108</v>
      </c>
      <c r="B42" s="4" t="s">
        <v>109</v>
      </c>
      <c r="C42" s="4" t="s">
        <v>110</v>
      </c>
    </row>
    <row r="43" spans="1:3" ht="27.65" customHeight="1">
      <c r="A43" s="3" t="s">
        <v>111</v>
      </c>
      <c r="B43" s="4" t="s">
        <v>112</v>
      </c>
      <c r="C43" s="4" t="s">
        <v>113</v>
      </c>
    </row>
    <row r="44" spans="1:3" ht="16.75" customHeight="1">
      <c r="A44" s="3" t="s">
        <v>114</v>
      </c>
      <c r="B44" s="4" t="s">
        <v>115</v>
      </c>
      <c r="C44" s="4" t="s">
        <v>185</v>
      </c>
    </row>
    <row r="45" spans="1:3" ht="16.75" customHeight="1">
      <c r="A45" s="3" t="s">
        <v>116</v>
      </c>
      <c r="B45" s="4" t="s">
        <v>117</v>
      </c>
      <c r="C45" s="4" t="s">
        <v>118</v>
      </c>
    </row>
    <row r="46" spans="1:3" ht="15" customHeight="1"/>
  </sheetData>
  <mergeCells count="2">
    <mergeCell ref="A2:C2"/>
    <mergeCell ref="A3:C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21084-B782-46D4-AF62-B611C1068785}">
  <sheetPr>
    <pageSetUpPr fitToPage="1"/>
  </sheetPr>
  <dimension ref="A1:AD141"/>
  <sheetViews>
    <sheetView zoomScale="80" zoomScaleNormal="80" workbookViewId="0">
      <pane xSplit="2" ySplit="14" topLeftCell="C15" activePane="bottomRight" state="frozen"/>
      <selection activeCell="D31" sqref="D31"/>
      <selection pane="topRight" activeCell="D31" sqref="D31"/>
      <selection pane="bottomLeft" activeCell="D31" sqref="D31"/>
      <selection pane="bottomRight" activeCell="M148" sqref="M148"/>
    </sheetView>
  </sheetViews>
  <sheetFormatPr defaultRowHeight="14.5" outlineLevelRow="1"/>
  <cols>
    <col min="1" max="1" width="4.7265625" style="383" bestFit="1" customWidth="1"/>
    <col min="2" max="2" width="24.26953125" style="383" bestFit="1" customWidth="1"/>
    <col min="3" max="3" width="15.1796875" style="383" bestFit="1" customWidth="1"/>
    <col min="4" max="4" width="12.26953125" style="383" bestFit="1" customWidth="1"/>
    <col min="5" max="5" width="15.1796875" style="383" bestFit="1" customWidth="1"/>
    <col min="6" max="6" width="14.453125" style="384" bestFit="1" customWidth="1"/>
    <col min="7" max="7" width="10.7265625" style="384" bestFit="1" customWidth="1"/>
    <col min="8" max="8" width="13" style="384" bestFit="1" customWidth="1"/>
    <col min="9" max="9" width="12.453125" style="384" bestFit="1" customWidth="1"/>
    <col min="10" max="11" width="14.54296875" style="383" bestFit="1" customWidth="1"/>
    <col min="12" max="12" width="12.26953125" style="383" bestFit="1" customWidth="1"/>
    <col min="13" max="13" width="9.81640625" style="383" bestFit="1" customWidth="1"/>
    <col min="14" max="15" width="13.81640625" style="383" bestFit="1" customWidth="1"/>
    <col min="16" max="16" width="15.81640625" style="383" customWidth="1"/>
    <col min="17" max="17" width="11.54296875" style="383" customWidth="1"/>
    <col min="18" max="18" width="10.26953125" style="383" customWidth="1"/>
    <col min="19" max="19" width="15.1796875" style="383" bestFit="1" customWidth="1"/>
    <col min="20" max="20" width="10.26953125" style="383" customWidth="1"/>
    <col min="21" max="21" width="15.1796875" style="383" bestFit="1" customWidth="1"/>
    <col min="22" max="23" width="13.81640625" style="383" bestFit="1" customWidth="1"/>
    <col min="24" max="24" width="15.1796875" style="383" bestFit="1" customWidth="1"/>
    <col min="25" max="25" width="6.7265625" style="383" bestFit="1" customWidth="1"/>
    <col min="26" max="26" width="9.1796875" style="383"/>
    <col min="27" max="27" width="15.1796875" style="383" bestFit="1" customWidth="1"/>
    <col min="28" max="28" width="13.81640625" style="383" bestFit="1" customWidth="1"/>
    <col min="29" max="29" width="14.81640625" style="383" bestFit="1" customWidth="1"/>
    <col min="30" max="30" width="14.26953125" style="383" bestFit="1" customWidth="1"/>
    <col min="31" max="256" width="9.1796875" style="383"/>
    <col min="257" max="257" width="4.7265625" style="383" bestFit="1" customWidth="1"/>
    <col min="258" max="258" width="24.26953125" style="383" bestFit="1" customWidth="1"/>
    <col min="259" max="259" width="11.81640625" style="383" bestFit="1" customWidth="1"/>
    <col min="260" max="260" width="12.26953125" style="383" bestFit="1" customWidth="1"/>
    <col min="261" max="261" width="12.54296875" style="383" bestFit="1" customWidth="1"/>
    <col min="262" max="262" width="12.26953125" style="383" bestFit="1" customWidth="1"/>
    <col min="263" max="263" width="10.7265625" style="383" bestFit="1" customWidth="1"/>
    <col min="264" max="265" width="12.453125" style="383" bestFit="1" customWidth="1"/>
    <col min="266" max="266" width="12.1796875" style="383" customWidth="1"/>
    <col min="267" max="267" width="14.54296875" style="383" bestFit="1" customWidth="1"/>
    <col min="268" max="268" width="11.81640625" style="383" bestFit="1" customWidth="1"/>
    <col min="269" max="269" width="9.81640625" style="383" bestFit="1" customWidth="1"/>
    <col min="270" max="512" width="9.1796875" style="383"/>
    <col min="513" max="513" width="4.7265625" style="383" bestFit="1" customWidth="1"/>
    <col min="514" max="514" width="24.26953125" style="383" bestFit="1" customWidth="1"/>
    <col min="515" max="515" width="11.81640625" style="383" bestFit="1" customWidth="1"/>
    <col min="516" max="516" width="12.26953125" style="383" bestFit="1" customWidth="1"/>
    <col min="517" max="517" width="12.54296875" style="383" bestFit="1" customWidth="1"/>
    <col min="518" max="518" width="12.26953125" style="383" bestFit="1" customWidth="1"/>
    <col min="519" max="519" width="10.7265625" style="383" bestFit="1" customWidth="1"/>
    <col min="520" max="521" width="12.453125" style="383" bestFit="1" customWidth="1"/>
    <col min="522" max="522" width="12.1796875" style="383" customWidth="1"/>
    <col min="523" max="523" width="14.54296875" style="383" bestFit="1" customWidth="1"/>
    <col min="524" max="524" width="11.81640625" style="383" bestFit="1" customWidth="1"/>
    <col min="525" max="525" width="9.81640625" style="383" bestFit="1" customWidth="1"/>
    <col min="526" max="768" width="9.1796875" style="383"/>
    <col min="769" max="769" width="4.7265625" style="383" bestFit="1" customWidth="1"/>
    <col min="770" max="770" width="24.26953125" style="383" bestFit="1" customWidth="1"/>
    <col min="771" max="771" width="11.81640625" style="383" bestFit="1" customWidth="1"/>
    <col min="772" max="772" width="12.26953125" style="383" bestFit="1" customWidth="1"/>
    <col min="773" max="773" width="12.54296875" style="383" bestFit="1" customWidth="1"/>
    <col min="774" max="774" width="12.26953125" style="383" bestFit="1" customWidth="1"/>
    <col min="775" max="775" width="10.7265625" style="383" bestFit="1" customWidth="1"/>
    <col min="776" max="777" width="12.453125" style="383" bestFit="1" customWidth="1"/>
    <col min="778" max="778" width="12.1796875" style="383" customWidth="1"/>
    <col min="779" max="779" width="14.54296875" style="383" bestFit="1" customWidth="1"/>
    <col min="780" max="780" width="11.81640625" style="383" bestFit="1" customWidth="1"/>
    <col min="781" max="781" width="9.81640625" style="383" bestFit="1" customWidth="1"/>
    <col min="782" max="1024" width="9.1796875" style="383"/>
    <col min="1025" max="1025" width="4.7265625" style="383" bestFit="1" customWidth="1"/>
    <col min="1026" max="1026" width="24.26953125" style="383" bestFit="1" customWidth="1"/>
    <col min="1027" max="1027" width="11.81640625" style="383" bestFit="1" customWidth="1"/>
    <col min="1028" max="1028" width="12.26953125" style="383" bestFit="1" customWidth="1"/>
    <col min="1029" max="1029" width="12.54296875" style="383" bestFit="1" customWidth="1"/>
    <col min="1030" max="1030" width="12.26953125" style="383" bestFit="1" customWidth="1"/>
    <col min="1031" max="1031" width="10.7265625" style="383" bestFit="1" customWidth="1"/>
    <col min="1032" max="1033" width="12.453125" style="383" bestFit="1" customWidth="1"/>
    <col min="1034" max="1034" width="12.1796875" style="383" customWidth="1"/>
    <col min="1035" max="1035" width="14.54296875" style="383" bestFit="1" customWidth="1"/>
    <col min="1036" max="1036" width="11.81640625" style="383" bestFit="1" customWidth="1"/>
    <col min="1037" max="1037" width="9.81640625" style="383" bestFit="1" customWidth="1"/>
    <col min="1038" max="1280" width="9.1796875" style="383"/>
    <col min="1281" max="1281" width="4.7265625" style="383" bestFit="1" customWidth="1"/>
    <col min="1282" max="1282" width="24.26953125" style="383" bestFit="1" customWidth="1"/>
    <col min="1283" max="1283" width="11.81640625" style="383" bestFit="1" customWidth="1"/>
    <col min="1284" max="1284" width="12.26953125" style="383" bestFit="1" customWidth="1"/>
    <col min="1285" max="1285" width="12.54296875" style="383" bestFit="1" customWidth="1"/>
    <col min="1286" max="1286" width="12.26953125" style="383" bestFit="1" customWidth="1"/>
    <col min="1287" max="1287" width="10.7265625" style="383" bestFit="1" customWidth="1"/>
    <col min="1288" max="1289" width="12.453125" style="383" bestFit="1" customWidth="1"/>
    <col min="1290" max="1290" width="12.1796875" style="383" customWidth="1"/>
    <col min="1291" max="1291" width="14.54296875" style="383" bestFit="1" customWidth="1"/>
    <col min="1292" max="1292" width="11.81640625" style="383" bestFit="1" customWidth="1"/>
    <col min="1293" max="1293" width="9.81640625" style="383" bestFit="1" customWidth="1"/>
    <col min="1294" max="1536" width="9.1796875" style="383"/>
    <col min="1537" max="1537" width="4.7265625" style="383" bestFit="1" customWidth="1"/>
    <col min="1538" max="1538" width="24.26953125" style="383" bestFit="1" customWidth="1"/>
    <col min="1539" max="1539" width="11.81640625" style="383" bestFit="1" customWidth="1"/>
    <col min="1540" max="1540" width="12.26953125" style="383" bestFit="1" customWidth="1"/>
    <col min="1541" max="1541" width="12.54296875" style="383" bestFit="1" customWidth="1"/>
    <col min="1542" max="1542" width="12.26953125" style="383" bestFit="1" customWidth="1"/>
    <col min="1543" max="1543" width="10.7265625" style="383" bestFit="1" customWidth="1"/>
    <col min="1544" max="1545" width="12.453125" style="383" bestFit="1" customWidth="1"/>
    <col min="1546" max="1546" width="12.1796875" style="383" customWidth="1"/>
    <col min="1547" max="1547" width="14.54296875" style="383" bestFit="1" customWidth="1"/>
    <col min="1548" max="1548" width="11.81640625" style="383" bestFit="1" customWidth="1"/>
    <col min="1549" max="1549" width="9.81640625" style="383" bestFit="1" customWidth="1"/>
    <col min="1550" max="1792" width="9.1796875" style="383"/>
    <col min="1793" max="1793" width="4.7265625" style="383" bestFit="1" customWidth="1"/>
    <col min="1794" max="1794" width="24.26953125" style="383" bestFit="1" customWidth="1"/>
    <col min="1795" max="1795" width="11.81640625" style="383" bestFit="1" customWidth="1"/>
    <col min="1796" max="1796" width="12.26953125" style="383" bestFit="1" customWidth="1"/>
    <col min="1797" max="1797" width="12.54296875" style="383" bestFit="1" customWidth="1"/>
    <col min="1798" max="1798" width="12.26953125" style="383" bestFit="1" customWidth="1"/>
    <col min="1799" max="1799" width="10.7265625" style="383" bestFit="1" customWidth="1"/>
    <col min="1800" max="1801" width="12.453125" style="383" bestFit="1" customWidth="1"/>
    <col min="1802" max="1802" width="12.1796875" style="383" customWidth="1"/>
    <col min="1803" max="1803" width="14.54296875" style="383" bestFit="1" customWidth="1"/>
    <col min="1804" max="1804" width="11.81640625" style="383" bestFit="1" customWidth="1"/>
    <col min="1805" max="1805" width="9.81640625" style="383" bestFit="1" customWidth="1"/>
    <col min="1806" max="2048" width="9.1796875" style="383"/>
    <col min="2049" max="2049" width="4.7265625" style="383" bestFit="1" customWidth="1"/>
    <col min="2050" max="2050" width="24.26953125" style="383" bestFit="1" customWidth="1"/>
    <col min="2051" max="2051" width="11.81640625" style="383" bestFit="1" customWidth="1"/>
    <col min="2052" max="2052" width="12.26953125" style="383" bestFit="1" customWidth="1"/>
    <col min="2053" max="2053" width="12.54296875" style="383" bestFit="1" customWidth="1"/>
    <col min="2054" max="2054" width="12.26953125" style="383" bestFit="1" customWidth="1"/>
    <col min="2055" max="2055" width="10.7265625" style="383" bestFit="1" customWidth="1"/>
    <col min="2056" max="2057" width="12.453125" style="383" bestFit="1" customWidth="1"/>
    <col min="2058" max="2058" width="12.1796875" style="383" customWidth="1"/>
    <col min="2059" max="2059" width="14.54296875" style="383" bestFit="1" customWidth="1"/>
    <col min="2060" max="2060" width="11.81640625" style="383" bestFit="1" customWidth="1"/>
    <col min="2061" max="2061" width="9.81640625" style="383" bestFit="1" customWidth="1"/>
    <col min="2062" max="2304" width="9.1796875" style="383"/>
    <col min="2305" max="2305" width="4.7265625" style="383" bestFit="1" customWidth="1"/>
    <col min="2306" max="2306" width="24.26953125" style="383" bestFit="1" customWidth="1"/>
    <col min="2307" max="2307" width="11.81640625" style="383" bestFit="1" customWidth="1"/>
    <col min="2308" max="2308" width="12.26953125" style="383" bestFit="1" customWidth="1"/>
    <col min="2309" max="2309" width="12.54296875" style="383" bestFit="1" customWidth="1"/>
    <col min="2310" max="2310" width="12.26953125" style="383" bestFit="1" customWidth="1"/>
    <col min="2311" max="2311" width="10.7265625" style="383" bestFit="1" customWidth="1"/>
    <col min="2312" max="2313" width="12.453125" style="383" bestFit="1" customWidth="1"/>
    <col min="2314" max="2314" width="12.1796875" style="383" customWidth="1"/>
    <col min="2315" max="2315" width="14.54296875" style="383" bestFit="1" customWidth="1"/>
    <col min="2316" max="2316" width="11.81640625" style="383" bestFit="1" customWidth="1"/>
    <col min="2317" max="2317" width="9.81640625" style="383" bestFit="1" customWidth="1"/>
    <col min="2318" max="2560" width="9.1796875" style="383"/>
    <col min="2561" max="2561" width="4.7265625" style="383" bestFit="1" customWidth="1"/>
    <col min="2562" max="2562" width="24.26953125" style="383" bestFit="1" customWidth="1"/>
    <col min="2563" max="2563" width="11.81640625" style="383" bestFit="1" customWidth="1"/>
    <col min="2564" max="2564" width="12.26953125" style="383" bestFit="1" customWidth="1"/>
    <col min="2565" max="2565" width="12.54296875" style="383" bestFit="1" customWidth="1"/>
    <col min="2566" max="2566" width="12.26953125" style="383" bestFit="1" customWidth="1"/>
    <col min="2567" max="2567" width="10.7265625" style="383" bestFit="1" customWidth="1"/>
    <col min="2568" max="2569" width="12.453125" style="383" bestFit="1" customWidth="1"/>
    <col min="2570" max="2570" width="12.1796875" style="383" customWidth="1"/>
    <col min="2571" max="2571" width="14.54296875" style="383" bestFit="1" customWidth="1"/>
    <col min="2572" max="2572" width="11.81640625" style="383" bestFit="1" customWidth="1"/>
    <col min="2573" max="2573" width="9.81640625" style="383" bestFit="1" customWidth="1"/>
    <col min="2574" max="2816" width="9.1796875" style="383"/>
    <col min="2817" max="2817" width="4.7265625" style="383" bestFit="1" customWidth="1"/>
    <col min="2818" max="2818" width="24.26953125" style="383" bestFit="1" customWidth="1"/>
    <col min="2819" max="2819" width="11.81640625" style="383" bestFit="1" customWidth="1"/>
    <col min="2820" max="2820" width="12.26953125" style="383" bestFit="1" customWidth="1"/>
    <col min="2821" max="2821" width="12.54296875" style="383" bestFit="1" customWidth="1"/>
    <col min="2822" max="2822" width="12.26953125" style="383" bestFit="1" customWidth="1"/>
    <col min="2823" max="2823" width="10.7265625" style="383" bestFit="1" customWidth="1"/>
    <col min="2824" max="2825" width="12.453125" style="383" bestFit="1" customWidth="1"/>
    <col min="2826" max="2826" width="12.1796875" style="383" customWidth="1"/>
    <col min="2827" max="2827" width="14.54296875" style="383" bestFit="1" customWidth="1"/>
    <col min="2828" max="2828" width="11.81640625" style="383" bestFit="1" customWidth="1"/>
    <col min="2829" max="2829" width="9.81640625" style="383" bestFit="1" customWidth="1"/>
    <col min="2830" max="3072" width="9.1796875" style="383"/>
    <col min="3073" max="3073" width="4.7265625" style="383" bestFit="1" customWidth="1"/>
    <col min="3074" max="3074" width="24.26953125" style="383" bestFit="1" customWidth="1"/>
    <col min="3075" max="3075" width="11.81640625" style="383" bestFit="1" customWidth="1"/>
    <col min="3076" max="3076" width="12.26953125" style="383" bestFit="1" customWidth="1"/>
    <col min="3077" max="3077" width="12.54296875" style="383" bestFit="1" customWidth="1"/>
    <col min="3078" max="3078" width="12.26953125" style="383" bestFit="1" customWidth="1"/>
    <col min="3079" max="3079" width="10.7265625" style="383" bestFit="1" customWidth="1"/>
    <col min="3080" max="3081" width="12.453125" style="383" bestFit="1" customWidth="1"/>
    <col min="3082" max="3082" width="12.1796875" style="383" customWidth="1"/>
    <col min="3083" max="3083" width="14.54296875" style="383" bestFit="1" customWidth="1"/>
    <col min="3084" max="3084" width="11.81640625" style="383" bestFit="1" customWidth="1"/>
    <col min="3085" max="3085" width="9.81640625" style="383" bestFit="1" customWidth="1"/>
    <col min="3086" max="3328" width="9.1796875" style="383"/>
    <col min="3329" max="3329" width="4.7265625" style="383" bestFit="1" customWidth="1"/>
    <col min="3330" max="3330" width="24.26953125" style="383" bestFit="1" customWidth="1"/>
    <col min="3331" max="3331" width="11.81640625" style="383" bestFit="1" customWidth="1"/>
    <col min="3332" max="3332" width="12.26953125" style="383" bestFit="1" customWidth="1"/>
    <col min="3333" max="3333" width="12.54296875" style="383" bestFit="1" customWidth="1"/>
    <col min="3334" max="3334" width="12.26953125" style="383" bestFit="1" customWidth="1"/>
    <col min="3335" max="3335" width="10.7265625" style="383" bestFit="1" customWidth="1"/>
    <col min="3336" max="3337" width="12.453125" style="383" bestFit="1" customWidth="1"/>
    <col min="3338" max="3338" width="12.1796875" style="383" customWidth="1"/>
    <col min="3339" max="3339" width="14.54296875" style="383" bestFit="1" customWidth="1"/>
    <col min="3340" max="3340" width="11.81640625" style="383" bestFit="1" customWidth="1"/>
    <col min="3341" max="3341" width="9.81640625" style="383" bestFit="1" customWidth="1"/>
    <col min="3342" max="3584" width="9.1796875" style="383"/>
    <col min="3585" max="3585" width="4.7265625" style="383" bestFit="1" customWidth="1"/>
    <col min="3586" max="3586" width="24.26953125" style="383" bestFit="1" customWidth="1"/>
    <col min="3587" max="3587" width="11.81640625" style="383" bestFit="1" customWidth="1"/>
    <col min="3588" max="3588" width="12.26953125" style="383" bestFit="1" customWidth="1"/>
    <col min="3589" max="3589" width="12.54296875" style="383" bestFit="1" customWidth="1"/>
    <col min="3590" max="3590" width="12.26953125" style="383" bestFit="1" customWidth="1"/>
    <col min="3591" max="3591" width="10.7265625" style="383" bestFit="1" customWidth="1"/>
    <col min="3592" max="3593" width="12.453125" style="383" bestFit="1" customWidth="1"/>
    <col min="3594" max="3594" width="12.1796875" style="383" customWidth="1"/>
    <col min="3595" max="3595" width="14.54296875" style="383" bestFit="1" customWidth="1"/>
    <col min="3596" max="3596" width="11.81640625" style="383" bestFit="1" customWidth="1"/>
    <col min="3597" max="3597" width="9.81640625" style="383" bestFit="1" customWidth="1"/>
    <col min="3598" max="3840" width="9.1796875" style="383"/>
    <col min="3841" max="3841" width="4.7265625" style="383" bestFit="1" customWidth="1"/>
    <col min="3842" max="3842" width="24.26953125" style="383" bestFit="1" customWidth="1"/>
    <col min="3843" max="3843" width="11.81640625" style="383" bestFit="1" customWidth="1"/>
    <col min="3844" max="3844" width="12.26953125" style="383" bestFit="1" customWidth="1"/>
    <col min="3845" max="3845" width="12.54296875" style="383" bestFit="1" customWidth="1"/>
    <col min="3846" max="3846" width="12.26953125" style="383" bestFit="1" customWidth="1"/>
    <col min="3847" max="3847" width="10.7265625" style="383" bestFit="1" customWidth="1"/>
    <col min="3848" max="3849" width="12.453125" style="383" bestFit="1" customWidth="1"/>
    <col min="3850" max="3850" width="12.1796875" style="383" customWidth="1"/>
    <col min="3851" max="3851" width="14.54296875" style="383" bestFit="1" customWidth="1"/>
    <col min="3852" max="3852" width="11.81640625" style="383" bestFit="1" customWidth="1"/>
    <col min="3853" max="3853" width="9.81640625" style="383" bestFit="1" customWidth="1"/>
    <col min="3854" max="4096" width="9.1796875" style="383"/>
    <col min="4097" max="4097" width="4.7265625" style="383" bestFit="1" customWidth="1"/>
    <col min="4098" max="4098" width="24.26953125" style="383" bestFit="1" customWidth="1"/>
    <col min="4099" max="4099" width="11.81640625" style="383" bestFit="1" customWidth="1"/>
    <col min="4100" max="4100" width="12.26953125" style="383" bestFit="1" customWidth="1"/>
    <col min="4101" max="4101" width="12.54296875" style="383" bestFit="1" customWidth="1"/>
    <col min="4102" max="4102" width="12.26953125" style="383" bestFit="1" customWidth="1"/>
    <col min="4103" max="4103" width="10.7265625" style="383" bestFit="1" customWidth="1"/>
    <col min="4104" max="4105" width="12.453125" style="383" bestFit="1" customWidth="1"/>
    <col min="4106" max="4106" width="12.1796875" style="383" customWidth="1"/>
    <col min="4107" max="4107" width="14.54296875" style="383" bestFit="1" customWidth="1"/>
    <col min="4108" max="4108" width="11.81640625" style="383" bestFit="1" customWidth="1"/>
    <col min="4109" max="4109" width="9.81640625" style="383" bestFit="1" customWidth="1"/>
    <col min="4110" max="4352" width="9.1796875" style="383"/>
    <col min="4353" max="4353" width="4.7265625" style="383" bestFit="1" customWidth="1"/>
    <col min="4354" max="4354" width="24.26953125" style="383" bestFit="1" customWidth="1"/>
    <col min="4355" max="4355" width="11.81640625" style="383" bestFit="1" customWidth="1"/>
    <col min="4356" max="4356" width="12.26953125" style="383" bestFit="1" customWidth="1"/>
    <col min="4357" max="4357" width="12.54296875" style="383" bestFit="1" customWidth="1"/>
    <col min="4358" max="4358" width="12.26953125" style="383" bestFit="1" customWidth="1"/>
    <col min="4359" max="4359" width="10.7265625" style="383" bestFit="1" customWidth="1"/>
    <col min="4360" max="4361" width="12.453125" style="383" bestFit="1" customWidth="1"/>
    <col min="4362" max="4362" width="12.1796875" style="383" customWidth="1"/>
    <col min="4363" max="4363" width="14.54296875" style="383" bestFit="1" customWidth="1"/>
    <col min="4364" max="4364" width="11.81640625" style="383" bestFit="1" customWidth="1"/>
    <col min="4365" max="4365" width="9.81640625" style="383" bestFit="1" customWidth="1"/>
    <col min="4366" max="4608" width="9.1796875" style="383"/>
    <col min="4609" max="4609" width="4.7265625" style="383" bestFit="1" customWidth="1"/>
    <col min="4610" max="4610" width="24.26953125" style="383" bestFit="1" customWidth="1"/>
    <col min="4611" max="4611" width="11.81640625" style="383" bestFit="1" customWidth="1"/>
    <col min="4612" max="4612" width="12.26953125" style="383" bestFit="1" customWidth="1"/>
    <col min="4613" max="4613" width="12.54296875" style="383" bestFit="1" customWidth="1"/>
    <col min="4614" max="4614" width="12.26953125" style="383" bestFit="1" customWidth="1"/>
    <col min="4615" max="4615" width="10.7265625" style="383" bestFit="1" customWidth="1"/>
    <col min="4616" max="4617" width="12.453125" style="383" bestFit="1" customWidth="1"/>
    <col min="4618" max="4618" width="12.1796875" style="383" customWidth="1"/>
    <col min="4619" max="4619" width="14.54296875" style="383" bestFit="1" customWidth="1"/>
    <col min="4620" max="4620" width="11.81640625" style="383" bestFit="1" customWidth="1"/>
    <col min="4621" max="4621" width="9.81640625" style="383" bestFit="1" customWidth="1"/>
    <col min="4622" max="4864" width="9.1796875" style="383"/>
    <col min="4865" max="4865" width="4.7265625" style="383" bestFit="1" customWidth="1"/>
    <col min="4866" max="4866" width="24.26953125" style="383" bestFit="1" customWidth="1"/>
    <col min="4867" max="4867" width="11.81640625" style="383" bestFit="1" customWidth="1"/>
    <col min="4868" max="4868" width="12.26953125" style="383" bestFit="1" customWidth="1"/>
    <col min="4869" max="4869" width="12.54296875" style="383" bestFit="1" customWidth="1"/>
    <col min="4870" max="4870" width="12.26953125" style="383" bestFit="1" customWidth="1"/>
    <col min="4871" max="4871" width="10.7265625" style="383" bestFit="1" customWidth="1"/>
    <col min="4872" max="4873" width="12.453125" style="383" bestFit="1" customWidth="1"/>
    <col min="4874" max="4874" width="12.1796875" style="383" customWidth="1"/>
    <col min="4875" max="4875" width="14.54296875" style="383" bestFit="1" customWidth="1"/>
    <col min="4876" max="4876" width="11.81640625" style="383" bestFit="1" customWidth="1"/>
    <col min="4877" max="4877" width="9.81640625" style="383" bestFit="1" customWidth="1"/>
    <col min="4878" max="5120" width="9.1796875" style="383"/>
    <col min="5121" max="5121" width="4.7265625" style="383" bestFit="1" customWidth="1"/>
    <col min="5122" max="5122" width="24.26953125" style="383" bestFit="1" customWidth="1"/>
    <col min="5123" max="5123" width="11.81640625" style="383" bestFit="1" customWidth="1"/>
    <col min="5124" max="5124" width="12.26953125" style="383" bestFit="1" customWidth="1"/>
    <col min="5125" max="5125" width="12.54296875" style="383" bestFit="1" customWidth="1"/>
    <col min="5126" max="5126" width="12.26953125" style="383" bestFit="1" customWidth="1"/>
    <col min="5127" max="5127" width="10.7265625" style="383" bestFit="1" customWidth="1"/>
    <col min="5128" max="5129" width="12.453125" style="383" bestFit="1" customWidth="1"/>
    <col min="5130" max="5130" width="12.1796875" style="383" customWidth="1"/>
    <col min="5131" max="5131" width="14.54296875" style="383" bestFit="1" customWidth="1"/>
    <col min="5132" max="5132" width="11.81640625" style="383" bestFit="1" customWidth="1"/>
    <col min="5133" max="5133" width="9.81640625" style="383" bestFit="1" customWidth="1"/>
    <col min="5134" max="5376" width="9.1796875" style="383"/>
    <col min="5377" max="5377" width="4.7265625" style="383" bestFit="1" customWidth="1"/>
    <col min="5378" max="5378" width="24.26953125" style="383" bestFit="1" customWidth="1"/>
    <col min="5379" max="5379" width="11.81640625" style="383" bestFit="1" customWidth="1"/>
    <col min="5380" max="5380" width="12.26953125" style="383" bestFit="1" customWidth="1"/>
    <col min="5381" max="5381" width="12.54296875" style="383" bestFit="1" customWidth="1"/>
    <col min="5382" max="5382" width="12.26953125" style="383" bestFit="1" customWidth="1"/>
    <col min="5383" max="5383" width="10.7265625" style="383" bestFit="1" customWidth="1"/>
    <col min="5384" max="5385" width="12.453125" style="383" bestFit="1" customWidth="1"/>
    <col min="5386" max="5386" width="12.1796875" style="383" customWidth="1"/>
    <col min="5387" max="5387" width="14.54296875" style="383" bestFit="1" customWidth="1"/>
    <col min="5388" max="5388" width="11.81640625" style="383" bestFit="1" customWidth="1"/>
    <col min="5389" max="5389" width="9.81640625" style="383" bestFit="1" customWidth="1"/>
    <col min="5390" max="5632" width="9.1796875" style="383"/>
    <col min="5633" max="5633" width="4.7265625" style="383" bestFit="1" customWidth="1"/>
    <col min="5634" max="5634" width="24.26953125" style="383" bestFit="1" customWidth="1"/>
    <col min="5635" max="5635" width="11.81640625" style="383" bestFit="1" customWidth="1"/>
    <col min="5636" max="5636" width="12.26953125" style="383" bestFit="1" customWidth="1"/>
    <col min="5637" max="5637" width="12.54296875" style="383" bestFit="1" customWidth="1"/>
    <col min="5638" max="5638" width="12.26953125" style="383" bestFit="1" customWidth="1"/>
    <col min="5639" max="5639" width="10.7265625" style="383" bestFit="1" customWidth="1"/>
    <col min="5640" max="5641" width="12.453125" style="383" bestFit="1" customWidth="1"/>
    <col min="5642" max="5642" width="12.1796875" style="383" customWidth="1"/>
    <col min="5643" max="5643" width="14.54296875" style="383" bestFit="1" customWidth="1"/>
    <col min="5644" max="5644" width="11.81640625" style="383" bestFit="1" customWidth="1"/>
    <col min="5645" max="5645" width="9.81640625" style="383" bestFit="1" customWidth="1"/>
    <col min="5646" max="5888" width="9.1796875" style="383"/>
    <col min="5889" max="5889" width="4.7265625" style="383" bestFit="1" customWidth="1"/>
    <col min="5890" max="5890" width="24.26953125" style="383" bestFit="1" customWidth="1"/>
    <col min="5891" max="5891" width="11.81640625" style="383" bestFit="1" customWidth="1"/>
    <col min="5892" max="5892" width="12.26953125" style="383" bestFit="1" customWidth="1"/>
    <col min="5893" max="5893" width="12.54296875" style="383" bestFit="1" customWidth="1"/>
    <col min="5894" max="5894" width="12.26953125" style="383" bestFit="1" customWidth="1"/>
    <col min="5895" max="5895" width="10.7265625" style="383" bestFit="1" customWidth="1"/>
    <col min="5896" max="5897" width="12.453125" style="383" bestFit="1" customWidth="1"/>
    <col min="5898" max="5898" width="12.1796875" style="383" customWidth="1"/>
    <col min="5899" max="5899" width="14.54296875" style="383" bestFit="1" customWidth="1"/>
    <col min="5900" max="5900" width="11.81640625" style="383" bestFit="1" customWidth="1"/>
    <col min="5901" max="5901" width="9.81640625" style="383" bestFit="1" customWidth="1"/>
    <col min="5902" max="6144" width="9.1796875" style="383"/>
    <col min="6145" max="6145" width="4.7265625" style="383" bestFit="1" customWidth="1"/>
    <col min="6146" max="6146" width="24.26953125" style="383" bestFit="1" customWidth="1"/>
    <col min="6147" max="6147" width="11.81640625" style="383" bestFit="1" customWidth="1"/>
    <col min="6148" max="6148" width="12.26953125" style="383" bestFit="1" customWidth="1"/>
    <col min="6149" max="6149" width="12.54296875" style="383" bestFit="1" customWidth="1"/>
    <col min="6150" max="6150" width="12.26953125" style="383" bestFit="1" customWidth="1"/>
    <col min="6151" max="6151" width="10.7265625" style="383" bestFit="1" customWidth="1"/>
    <col min="6152" max="6153" width="12.453125" style="383" bestFit="1" customWidth="1"/>
    <col min="6154" max="6154" width="12.1796875" style="383" customWidth="1"/>
    <col min="6155" max="6155" width="14.54296875" style="383" bestFit="1" customWidth="1"/>
    <col min="6156" max="6156" width="11.81640625" style="383" bestFit="1" customWidth="1"/>
    <col min="6157" max="6157" width="9.81640625" style="383" bestFit="1" customWidth="1"/>
    <col min="6158" max="6400" width="9.1796875" style="383"/>
    <col min="6401" max="6401" width="4.7265625" style="383" bestFit="1" customWidth="1"/>
    <col min="6402" max="6402" width="24.26953125" style="383" bestFit="1" customWidth="1"/>
    <col min="6403" max="6403" width="11.81640625" style="383" bestFit="1" customWidth="1"/>
    <col min="6404" max="6404" width="12.26953125" style="383" bestFit="1" customWidth="1"/>
    <col min="6405" max="6405" width="12.54296875" style="383" bestFit="1" customWidth="1"/>
    <col min="6406" max="6406" width="12.26953125" style="383" bestFit="1" customWidth="1"/>
    <col min="6407" max="6407" width="10.7265625" style="383" bestFit="1" customWidth="1"/>
    <col min="6408" max="6409" width="12.453125" style="383" bestFit="1" customWidth="1"/>
    <col min="6410" max="6410" width="12.1796875" style="383" customWidth="1"/>
    <col min="6411" max="6411" width="14.54296875" style="383" bestFit="1" customWidth="1"/>
    <col min="6412" max="6412" width="11.81640625" style="383" bestFit="1" customWidth="1"/>
    <col min="6413" max="6413" width="9.81640625" style="383" bestFit="1" customWidth="1"/>
    <col min="6414" max="6656" width="9.1796875" style="383"/>
    <col min="6657" max="6657" width="4.7265625" style="383" bestFit="1" customWidth="1"/>
    <col min="6658" max="6658" width="24.26953125" style="383" bestFit="1" customWidth="1"/>
    <col min="6659" max="6659" width="11.81640625" style="383" bestFit="1" customWidth="1"/>
    <col min="6660" max="6660" width="12.26953125" style="383" bestFit="1" customWidth="1"/>
    <col min="6661" max="6661" width="12.54296875" style="383" bestFit="1" customWidth="1"/>
    <col min="6662" max="6662" width="12.26953125" style="383" bestFit="1" customWidth="1"/>
    <col min="6663" max="6663" width="10.7265625" style="383" bestFit="1" customWidth="1"/>
    <col min="6664" max="6665" width="12.453125" style="383" bestFit="1" customWidth="1"/>
    <col min="6666" max="6666" width="12.1796875" style="383" customWidth="1"/>
    <col min="6667" max="6667" width="14.54296875" style="383" bestFit="1" customWidth="1"/>
    <col min="6668" max="6668" width="11.81640625" style="383" bestFit="1" customWidth="1"/>
    <col min="6669" max="6669" width="9.81640625" style="383" bestFit="1" customWidth="1"/>
    <col min="6670" max="6912" width="9.1796875" style="383"/>
    <col min="6913" max="6913" width="4.7265625" style="383" bestFit="1" customWidth="1"/>
    <col min="6914" max="6914" width="24.26953125" style="383" bestFit="1" customWidth="1"/>
    <col min="6915" max="6915" width="11.81640625" style="383" bestFit="1" customWidth="1"/>
    <col min="6916" max="6916" width="12.26953125" style="383" bestFit="1" customWidth="1"/>
    <col min="6917" max="6917" width="12.54296875" style="383" bestFit="1" customWidth="1"/>
    <col min="6918" max="6918" width="12.26953125" style="383" bestFit="1" customWidth="1"/>
    <col min="6919" max="6919" width="10.7265625" style="383" bestFit="1" customWidth="1"/>
    <col min="6920" max="6921" width="12.453125" style="383" bestFit="1" customWidth="1"/>
    <col min="6922" max="6922" width="12.1796875" style="383" customWidth="1"/>
    <col min="6923" max="6923" width="14.54296875" style="383" bestFit="1" customWidth="1"/>
    <col min="6924" max="6924" width="11.81640625" style="383" bestFit="1" customWidth="1"/>
    <col min="6925" max="6925" width="9.81640625" style="383" bestFit="1" customWidth="1"/>
    <col min="6926" max="7168" width="9.1796875" style="383"/>
    <col min="7169" max="7169" width="4.7265625" style="383" bestFit="1" customWidth="1"/>
    <col min="7170" max="7170" width="24.26953125" style="383" bestFit="1" customWidth="1"/>
    <col min="7171" max="7171" width="11.81640625" style="383" bestFit="1" customWidth="1"/>
    <col min="7172" max="7172" width="12.26953125" style="383" bestFit="1" customWidth="1"/>
    <col min="7173" max="7173" width="12.54296875" style="383" bestFit="1" customWidth="1"/>
    <col min="7174" max="7174" width="12.26953125" style="383" bestFit="1" customWidth="1"/>
    <col min="7175" max="7175" width="10.7265625" style="383" bestFit="1" customWidth="1"/>
    <col min="7176" max="7177" width="12.453125" style="383" bestFit="1" customWidth="1"/>
    <col min="7178" max="7178" width="12.1796875" style="383" customWidth="1"/>
    <col min="7179" max="7179" width="14.54296875" style="383" bestFit="1" customWidth="1"/>
    <col min="7180" max="7180" width="11.81640625" style="383" bestFit="1" customWidth="1"/>
    <col min="7181" max="7181" width="9.81640625" style="383" bestFit="1" customWidth="1"/>
    <col min="7182" max="7424" width="9.1796875" style="383"/>
    <col min="7425" max="7425" width="4.7265625" style="383" bestFit="1" customWidth="1"/>
    <col min="7426" max="7426" width="24.26953125" style="383" bestFit="1" customWidth="1"/>
    <col min="7427" max="7427" width="11.81640625" style="383" bestFit="1" customWidth="1"/>
    <col min="7428" max="7428" width="12.26953125" style="383" bestFit="1" customWidth="1"/>
    <col min="7429" max="7429" width="12.54296875" style="383" bestFit="1" customWidth="1"/>
    <col min="7430" max="7430" width="12.26953125" style="383" bestFit="1" customWidth="1"/>
    <col min="7431" max="7431" width="10.7265625" style="383" bestFit="1" customWidth="1"/>
    <col min="7432" max="7433" width="12.453125" style="383" bestFit="1" customWidth="1"/>
    <col min="7434" max="7434" width="12.1796875" style="383" customWidth="1"/>
    <col min="7435" max="7435" width="14.54296875" style="383" bestFit="1" customWidth="1"/>
    <col min="7436" max="7436" width="11.81640625" style="383" bestFit="1" customWidth="1"/>
    <col min="7437" max="7437" width="9.81640625" style="383" bestFit="1" customWidth="1"/>
    <col min="7438" max="7680" width="9.1796875" style="383"/>
    <col min="7681" max="7681" width="4.7265625" style="383" bestFit="1" customWidth="1"/>
    <col min="7682" max="7682" width="24.26953125" style="383" bestFit="1" customWidth="1"/>
    <col min="7683" max="7683" width="11.81640625" style="383" bestFit="1" customWidth="1"/>
    <col min="7684" max="7684" width="12.26953125" style="383" bestFit="1" customWidth="1"/>
    <col min="7685" max="7685" width="12.54296875" style="383" bestFit="1" customWidth="1"/>
    <col min="7686" max="7686" width="12.26953125" style="383" bestFit="1" customWidth="1"/>
    <col min="7687" max="7687" width="10.7265625" style="383" bestFit="1" customWidth="1"/>
    <col min="7688" max="7689" width="12.453125" style="383" bestFit="1" customWidth="1"/>
    <col min="7690" max="7690" width="12.1796875" style="383" customWidth="1"/>
    <col min="7691" max="7691" width="14.54296875" style="383" bestFit="1" customWidth="1"/>
    <col min="7692" max="7692" width="11.81640625" style="383" bestFit="1" customWidth="1"/>
    <col min="7693" max="7693" width="9.81640625" style="383" bestFit="1" customWidth="1"/>
    <col min="7694" max="7936" width="9.1796875" style="383"/>
    <col min="7937" max="7937" width="4.7265625" style="383" bestFit="1" customWidth="1"/>
    <col min="7938" max="7938" width="24.26953125" style="383" bestFit="1" customWidth="1"/>
    <col min="7939" max="7939" width="11.81640625" style="383" bestFit="1" customWidth="1"/>
    <col min="7940" max="7940" width="12.26953125" style="383" bestFit="1" customWidth="1"/>
    <col min="7941" max="7941" width="12.54296875" style="383" bestFit="1" customWidth="1"/>
    <col min="7942" max="7942" width="12.26953125" style="383" bestFit="1" customWidth="1"/>
    <col min="7943" max="7943" width="10.7265625" style="383" bestFit="1" customWidth="1"/>
    <col min="7944" max="7945" width="12.453125" style="383" bestFit="1" customWidth="1"/>
    <col min="7946" max="7946" width="12.1796875" style="383" customWidth="1"/>
    <col min="7947" max="7947" width="14.54296875" style="383" bestFit="1" customWidth="1"/>
    <col min="7948" max="7948" width="11.81640625" style="383" bestFit="1" customWidth="1"/>
    <col min="7949" max="7949" width="9.81640625" style="383" bestFit="1" customWidth="1"/>
    <col min="7950" max="8192" width="9.1796875" style="383"/>
    <col min="8193" max="8193" width="4.7265625" style="383" bestFit="1" customWidth="1"/>
    <col min="8194" max="8194" width="24.26953125" style="383" bestFit="1" customWidth="1"/>
    <col min="8195" max="8195" width="11.81640625" style="383" bestFit="1" customWidth="1"/>
    <col min="8196" max="8196" width="12.26953125" style="383" bestFit="1" customWidth="1"/>
    <col min="8197" max="8197" width="12.54296875" style="383" bestFit="1" customWidth="1"/>
    <col min="8198" max="8198" width="12.26953125" style="383" bestFit="1" customWidth="1"/>
    <col min="8199" max="8199" width="10.7265625" style="383" bestFit="1" customWidth="1"/>
    <col min="8200" max="8201" width="12.453125" style="383" bestFit="1" customWidth="1"/>
    <col min="8202" max="8202" width="12.1796875" style="383" customWidth="1"/>
    <col min="8203" max="8203" width="14.54296875" style="383" bestFit="1" customWidth="1"/>
    <col min="8204" max="8204" width="11.81640625" style="383" bestFit="1" customWidth="1"/>
    <col min="8205" max="8205" width="9.81640625" style="383" bestFit="1" customWidth="1"/>
    <col min="8206" max="8448" width="9.1796875" style="383"/>
    <col min="8449" max="8449" width="4.7265625" style="383" bestFit="1" customWidth="1"/>
    <col min="8450" max="8450" width="24.26953125" style="383" bestFit="1" customWidth="1"/>
    <col min="8451" max="8451" width="11.81640625" style="383" bestFit="1" customWidth="1"/>
    <col min="8452" max="8452" width="12.26953125" style="383" bestFit="1" customWidth="1"/>
    <col min="8453" max="8453" width="12.54296875" style="383" bestFit="1" customWidth="1"/>
    <col min="8454" max="8454" width="12.26953125" style="383" bestFit="1" customWidth="1"/>
    <col min="8455" max="8455" width="10.7265625" style="383" bestFit="1" customWidth="1"/>
    <col min="8456" max="8457" width="12.453125" style="383" bestFit="1" customWidth="1"/>
    <col min="8458" max="8458" width="12.1796875" style="383" customWidth="1"/>
    <col min="8459" max="8459" width="14.54296875" style="383" bestFit="1" customWidth="1"/>
    <col min="8460" max="8460" width="11.81640625" style="383" bestFit="1" customWidth="1"/>
    <col min="8461" max="8461" width="9.81640625" style="383" bestFit="1" customWidth="1"/>
    <col min="8462" max="8704" width="9.1796875" style="383"/>
    <col min="8705" max="8705" width="4.7265625" style="383" bestFit="1" customWidth="1"/>
    <col min="8706" max="8706" width="24.26953125" style="383" bestFit="1" customWidth="1"/>
    <col min="8707" max="8707" width="11.81640625" style="383" bestFit="1" customWidth="1"/>
    <col min="8708" max="8708" width="12.26953125" style="383" bestFit="1" customWidth="1"/>
    <col min="8709" max="8709" width="12.54296875" style="383" bestFit="1" customWidth="1"/>
    <col min="8710" max="8710" width="12.26953125" style="383" bestFit="1" customWidth="1"/>
    <col min="8711" max="8711" width="10.7265625" style="383" bestFit="1" customWidth="1"/>
    <col min="8712" max="8713" width="12.453125" style="383" bestFit="1" customWidth="1"/>
    <col min="8714" max="8714" width="12.1796875" style="383" customWidth="1"/>
    <col min="8715" max="8715" width="14.54296875" style="383" bestFit="1" customWidth="1"/>
    <col min="8716" max="8716" width="11.81640625" style="383" bestFit="1" customWidth="1"/>
    <col min="8717" max="8717" width="9.81640625" style="383" bestFit="1" customWidth="1"/>
    <col min="8718" max="8960" width="9.1796875" style="383"/>
    <col min="8961" max="8961" width="4.7265625" style="383" bestFit="1" customWidth="1"/>
    <col min="8962" max="8962" width="24.26953125" style="383" bestFit="1" customWidth="1"/>
    <col min="8963" max="8963" width="11.81640625" style="383" bestFit="1" customWidth="1"/>
    <col min="8964" max="8964" width="12.26953125" style="383" bestFit="1" customWidth="1"/>
    <col min="8965" max="8965" width="12.54296875" style="383" bestFit="1" customWidth="1"/>
    <col min="8966" max="8966" width="12.26953125" style="383" bestFit="1" customWidth="1"/>
    <col min="8967" max="8967" width="10.7265625" style="383" bestFit="1" customWidth="1"/>
    <col min="8968" max="8969" width="12.453125" style="383" bestFit="1" customWidth="1"/>
    <col min="8970" max="8970" width="12.1796875" style="383" customWidth="1"/>
    <col min="8971" max="8971" width="14.54296875" style="383" bestFit="1" customWidth="1"/>
    <col min="8972" max="8972" width="11.81640625" style="383" bestFit="1" customWidth="1"/>
    <col min="8973" max="8973" width="9.81640625" style="383" bestFit="1" customWidth="1"/>
    <col min="8974" max="9216" width="9.1796875" style="383"/>
    <col min="9217" max="9217" width="4.7265625" style="383" bestFit="1" customWidth="1"/>
    <col min="9218" max="9218" width="24.26953125" style="383" bestFit="1" customWidth="1"/>
    <col min="9219" max="9219" width="11.81640625" style="383" bestFit="1" customWidth="1"/>
    <col min="9220" max="9220" width="12.26953125" style="383" bestFit="1" customWidth="1"/>
    <col min="9221" max="9221" width="12.54296875" style="383" bestFit="1" customWidth="1"/>
    <col min="9222" max="9222" width="12.26953125" style="383" bestFit="1" customWidth="1"/>
    <col min="9223" max="9223" width="10.7265625" style="383" bestFit="1" customWidth="1"/>
    <col min="9224" max="9225" width="12.453125" style="383" bestFit="1" customWidth="1"/>
    <col min="9226" max="9226" width="12.1796875" style="383" customWidth="1"/>
    <col min="9227" max="9227" width="14.54296875" style="383" bestFit="1" customWidth="1"/>
    <col min="9228" max="9228" width="11.81640625" style="383" bestFit="1" customWidth="1"/>
    <col min="9229" max="9229" width="9.81640625" style="383" bestFit="1" customWidth="1"/>
    <col min="9230" max="9472" width="9.1796875" style="383"/>
    <col min="9473" max="9473" width="4.7265625" style="383" bestFit="1" customWidth="1"/>
    <col min="9474" max="9474" width="24.26953125" style="383" bestFit="1" customWidth="1"/>
    <col min="9475" max="9475" width="11.81640625" style="383" bestFit="1" customWidth="1"/>
    <col min="9476" max="9476" width="12.26953125" style="383" bestFit="1" customWidth="1"/>
    <col min="9477" max="9477" width="12.54296875" style="383" bestFit="1" customWidth="1"/>
    <col min="9478" max="9478" width="12.26953125" style="383" bestFit="1" customWidth="1"/>
    <col min="9479" max="9479" width="10.7265625" style="383" bestFit="1" customWidth="1"/>
    <col min="9480" max="9481" width="12.453125" style="383" bestFit="1" customWidth="1"/>
    <col min="9482" max="9482" width="12.1796875" style="383" customWidth="1"/>
    <col min="9483" max="9483" width="14.54296875" style="383" bestFit="1" customWidth="1"/>
    <col min="9484" max="9484" width="11.81640625" style="383" bestFit="1" customWidth="1"/>
    <col min="9485" max="9485" width="9.81640625" style="383" bestFit="1" customWidth="1"/>
    <col min="9486" max="9728" width="9.1796875" style="383"/>
    <col min="9729" max="9729" width="4.7265625" style="383" bestFit="1" customWidth="1"/>
    <col min="9730" max="9730" width="24.26953125" style="383" bestFit="1" customWidth="1"/>
    <col min="9731" max="9731" width="11.81640625" style="383" bestFit="1" customWidth="1"/>
    <col min="9732" max="9732" width="12.26953125" style="383" bestFit="1" customWidth="1"/>
    <col min="9733" max="9733" width="12.54296875" style="383" bestFit="1" customWidth="1"/>
    <col min="9734" max="9734" width="12.26953125" style="383" bestFit="1" customWidth="1"/>
    <col min="9735" max="9735" width="10.7265625" style="383" bestFit="1" customWidth="1"/>
    <col min="9736" max="9737" width="12.453125" style="383" bestFit="1" customWidth="1"/>
    <col min="9738" max="9738" width="12.1796875" style="383" customWidth="1"/>
    <col min="9739" max="9739" width="14.54296875" style="383" bestFit="1" customWidth="1"/>
    <col min="9740" max="9740" width="11.81640625" style="383" bestFit="1" customWidth="1"/>
    <col min="9741" max="9741" width="9.81640625" style="383" bestFit="1" customWidth="1"/>
    <col min="9742" max="9984" width="9.1796875" style="383"/>
    <col min="9985" max="9985" width="4.7265625" style="383" bestFit="1" customWidth="1"/>
    <col min="9986" max="9986" width="24.26953125" style="383" bestFit="1" customWidth="1"/>
    <col min="9987" max="9987" width="11.81640625" style="383" bestFit="1" customWidth="1"/>
    <col min="9988" max="9988" width="12.26953125" style="383" bestFit="1" customWidth="1"/>
    <col min="9989" max="9989" width="12.54296875" style="383" bestFit="1" customWidth="1"/>
    <col min="9990" max="9990" width="12.26953125" style="383" bestFit="1" customWidth="1"/>
    <col min="9991" max="9991" width="10.7265625" style="383" bestFit="1" customWidth="1"/>
    <col min="9992" max="9993" width="12.453125" style="383" bestFit="1" customWidth="1"/>
    <col min="9994" max="9994" width="12.1796875" style="383" customWidth="1"/>
    <col min="9995" max="9995" width="14.54296875" style="383" bestFit="1" customWidth="1"/>
    <col min="9996" max="9996" width="11.81640625" style="383" bestFit="1" customWidth="1"/>
    <col min="9997" max="9997" width="9.81640625" style="383" bestFit="1" customWidth="1"/>
    <col min="9998" max="10240" width="9.1796875" style="383"/>
    <col min="10241" max="10241" width="4.7265625" style="383" bestFit="1" customWidth="1"/>
    <col min="10242" max="10242" width="24.26953125" style="383" bestFit="1" customWidth="1"/>
    <col min="10243" max="10243" width="11.81640625" style="383" bestFit="1" customWidth="1"/>
    <col min="10244" max="10244" width="12.26953125" style="383" bestFit="1" customWidth="1"/>
    <col min="10245" max="10245" width="12.54296875" style="383" bestFit="1" customWidth="1"/>
    <col min="10246" max="10246" width="12.26953125" style="383" bestFit="1" customWidth="1"/>
    <col min="10247" max="10247" width="10.7265625" style="383" bestFit="1" customWidth="1"/>
    <col min="10248" max="10249" width="12.453125" style="383" bestFit="1" customWidth="1"/>
    <col min="10250" max="10250" width="12.1796875" style="383" customWidth="1"/>
    <col min="10251" max="10251" width="14.54296875" style="383" bestFit="1" customWidth="1"/>
    <col min="10252" max="10252" width="11.81640625" style="383" bestFit="1" customWidth="1"/>
    <col min="10253" max="10253" width="9.81640625" style="383" bestFit="1" customWidth="1"/>
    <col min="10254" max="10496" width="9.1796875" style="383"/>
    <col min="10497" max="10497" width="4.7265625" style="383" bestFit="1" customWidth="1"/>
    <col min="10498" max="10498" width="24.26953125" style="383" bestFit="1" customWidth="1"/>
    <col min="10499" max="10499" width="11.81640625" style="383" bestFit="1" customWidth="1"/>
    <col min="10500" max="10500" width="12.26953125" style="383" bestFit="1" customWidth="1"/>
    <col min="10501" max="10501" width="12.54296875" style="383" bestFit="1" customWidth="1"/>
    <col min="10502" max="10502" width="12.26953125" style="383" bestFit="1" customWidth="1"/>
    <col min="10503" max="10503" width="10.7265625" style="383" bestFit="1" customWidth="1"/>
    <col min="10504" max="10505" width="12.453125" style="383" bestFit="1" customWidth="1"/>
    <col min="10506" max="10506" width="12.1796875" style="383" customWidth="1"/>
    <col min="10507" max="10507" width="14.54296875" style="383" bestFit="1" customWidth="1"/>
    <col min="10508" max="10508" width="11.81640625" style="383" bestFit="1" customWidth="1"/>
    <col min="10509" max="10509" width="9.81640625" style="383" bestFit="1" customWidth="1"/>
    <col min="10510" max="10752" width="9.1796875" style="383"/>
    <col min="10753" max="10753" width="4.7265625" style="383" bestFit="1" customWidth="1"/>
    <col min="10754" max="10754" width="24.26953125" style="383" bestFit="1" customWidth="1"/>
    <col min="10755" max="10755" width="11.81640625" style="383" bestFit="1" customWidth="1"/>
    <col min="10756" max="10756" width="12.26953125" style="383" bestFit="1" customWidth="1"/>
    <col min="10757" max="10757" width="12.54296875" style="383" bestFit="1" customWidth="1"/>
    <col min="10758" max="10758" width="12.26953125" style="383" bestFit="1" customWidth="1"/>
    <col min="10759" max="10759" width="10.7265625" style="383" bestFit="1" customWidth="1"/>
    <col min="10760" max="10761" width="12.453125" style="383" bestFit="1" customWidth="1"/>
    <col min="10762" max="10762" width="12.1796875" style="383" customWidth="1"/>
    <col min="10763" max="10763" width="14.54296875" style="383" bestFit="1" customWidth="1"/>
    <col min="10764" max="10764" width="11.81640625" style="383" bestFit="1" customWidth="1"/>
    <col min="10765" max="10765" width="9.81640625" style="383" bestFit="1" customWidth="1"/>
    <col min="10766" max="11008" width="9.1796875" style="383"/>
    <col min="11009" max="11009" width="4.7265625" style="383" bestFit="1" customWidth="1"/>
    <col min="11010" max="11010" width="24.26953125" style="383" bestFit="1" customWidth="1"/>
    <col min="11011" max="11011" width="11.81640625" style="383" bestFit="1" customWidth="1"/>
    <col min="11012" max="11012" width="12.26953125" style="383" bestFit="1" customWidth="1"/>
    <col min="11013" max="11013" width="12.54296875" style="383" bestFit="1" customWidth="1"/>
    <col min="11014" max="11014" width="12.26953125" style="383" bestFit="1" customWidth="1"/>
    <col min="11015" max="11015" width="10.7265625" style="383" bestFit="1" customWidth="1"/>
    <col min="11016" max="11017" width="12.453125" style="383" bestFit="1" customWidth="1"/>
    <col min="11018" max="11018" width="12.1796875" style="383" customWidth="1"/>
    <col min="11019" max="11019" width="14.54296875" style="383" bestFit="1" customWidth="1"/>
    <col min="11020" max="11020" width="11.81640625" style="383" bestFit="1" customWidth="1"/>
    <col min="11021" max="11021" width="9.81640625" style="383" bestFit="1" customWidth="1"/>
    <col min="11022" max="11264" width="9.1796875" style="383"/>
    <col min="11265" max="11265" width="4.7265625" style="383" bestFit="1" customWidth="1"/>
    <col min="11266" max="11266" width="24.26953125" style="383" bestFit="1" customWidth="1"/>
    <col min="11267" max="11267" width="11.81640625" style="383" bestFit="1" customWidth="1"/>
    <col min="11268" max="11268" width="12.26953125" style="383" bestFit="1" customWidth="1"/>
    <col min="11269" max="11269" width="12.54296875" style="383" bestFit="1" customWidth="1"/>
    <col min="11270" max="11270" width="12.26953125" style="383" bestFit="1" customWidth="1"/>
    <col min="11271" max="11271" width="10.7265625" style="383" bestFit="1" customWidth="1"/>
    <col min="11272" max="11273" width="12.453125" style="383" bestFit="1" customWidth="1"/>
    <col min="11274" max="11274" width="12.1796875" style="383" customWidth="1"/>
    <col min="11275" max="11275" width="14.54296875" style="383" bestFit="1" customWidth="1"/>
    <col min="11276" max="11276" width="11.81640625" style="383" bestFit="1" customWidth="1"/>
    <col min="11277" max="11277" width="9.81640625" style="383" bestFit="1" customWidth="1"/>
    <col min="11278" max="11520" width="9.1796875" style="383"/>
    <col min="11521" max="11521" width="4.7265625" style="383" bestFit="1" customWidth="1"/>
    <col min="11522" max="11522" width="24.26953125" style="383" bestFit="1" customWidth="1"/>
    <col min="11523" max="11523" width="11.81640625" style="383" bestFit="1" customWidth="1"/>
    <col min="11524" max="11524" width="12.26953125" style="383" bestFit="1" customWidth="1"/>
    <col min="11525" max="11525" width="12.54296875" style="383" bestFit="1" customWidth="1"/>
    <col min="11526" max="11526" width="12.26953125" style="383" bestFit="1" customWidth="1"/>
    <col min="11527" max="11527" width="10.7265625" style="383" bestFit="1" customWidth="1"/>
    <col min="11528" max="11529" width="12.453125" style="383" bestFit="1" customWidth="1"/>
    <col min="11530" max="11530" width="12.1796875" style="383" customWidth="1"/>
    <col min="11531" max="11531" width="14.54296875" style="383" bestFit="1" customWidth="1"/>
    <col min="11532" max="11532" width="11.81640625" style="383" bestFit="1" customWidth="1"/>
    <col min="11533" max="11533" width="9.81640625" style="383" bestFit="1" customWidth="1"/>
    <col min="11534" max="11776" width="9.1796875" style="383"/>
    <col min="11777" max="11777" width="4.7265625" style="383" bestFit="1" customWidth="1"/>
    <col min="11778" max="11778" width="24.26953125" style="383" bestFit="1" customWidth="1"/>
    <col min="11779" max="11779" width="11.81640625" style="383" bestFit="1" customWidth="1"/>
    <col min="11780" max="11780" width="12.26953125" style="383" bestFit="1" customWidth="1"/>
    <col min="11781" max="11781" width="12.54296875" style="383" bestFit="1" customWidth="1"/>
    <col min="11782" max="11782" width="12.26953125" style="383" bestFit="1" customWidth="1"/>
    <col min="11783" max="11783" width="10.7265625" style="383" bestFit="1" customWidth="1"/>
    <col min="11784" max="11785" width="12.453125" style="383" bestFit="1" customWidth="1"/>
    <col min="11786" max="11786" width="12.1796875" style="383" customWidth="1"/>
    <col min="11787" max="11787" width="14.54296875" style="383" bestFit="1" customWidth="1"/>
    <col min="11788" max="11788" width="11.81640625" style="383" bestFit="1" customWidth="1"/>
    <col min="11789" max="11789" width="9.81640625" style="383" bestFit="1" customWidth="1"/>
    <col min="11790" max="12032" width="9.1796875" style="383"/>
    <col min="12033" max="12033" width="4.7265625" style="383" bestFit="1" customWidth="1"/>
    <col min="12034" max="12034" width="24.26953125" style="383" bestFit="1" customWidth="1"/>
    <col min="12035" max="12035" width="11.81640625" style="383" bestFit="1" customWidth="1"/>
    <col min="12036" max="12036" width="12.26953125" style="383" bestFit="1" customWidth="1"/>
    <col min="12037" max="12037" width="12.54296875" style="383" bestFit="1" customWidth="1"/>
    <col min="12038" max="12038" width="12.26953125" style="383" bestFit="1" customWidth="1"/>
    <col min="12039" max="12039" width="10.7265625" style="383" bestFit="1" customWidth="1"/>
    <col min="12040" max="12041" width="12.453125" style="383" bestFit="1" customWidth="1"/>
    <col min="12042" max="12042" width="12.1796875" style="383" customWidth="1"/>
    <col min="12043" max="12043" width="14.54296875" style="383" bestFit="1" customWidth="1"/>
    <col min="12044" max="12044" width="11.81640625" style="383" bestFit="1" customWidth="1"/>
    <col min="12045" max="12045" width="9.81640625" style="383" bestFit="1" customWidth="1"/>
    <col min="12046" max="12288" width="9.1796875" style="383"/>
    <col min="12289" max="12289" width="4.7265625" style="383" bestFit="1" customWidth="1"/>
    <col min="12290" max="12290" width="24.26953125" style="383" bestFit="1" customWidth="1"/>
    <col min="12291" max="12291" width="11.81640625" style="383" bestFit="1" customWidth="1"/>
    <col min="12292" max="12292" width="12.26953125" style="383" bestFit="1" customWidth="1"/>
    <col min="12293" max="12293" width="12.54296875" style="383" bestFit="1" customWidth="1"/>
    <col min="12294" max="12294" width="12.26953125" style="383" bestFit="1" customWidth="1"/>
    <col min="12295" max="12295" width="10.7265625" style="383" bestFit="1" customWidth="1"/>
    <col min="12296" max="12297" width="12.453125" style="383" bestFit="1" customWidth="1"/>
    <col min="12298" max="12298" width="12.1796875" style="383" customWidth="1"/>
    <col min="12299" max="12299" width="14.54296875" style="383" bestFit="1" customWidth="1"/>
    <col min="12300" max="12300" width="11.81640625" style="383" bestFit="1" customWidth="1"/>
    <col min="12301" max="12301" width="9.81640625" style="383" bestFit="1" customWidth="1"/>
    <col min="12302" max="12544" width="9.1796875" style="383"/>
    <col min="12545" max="12545" width="4.7265625" style="383" bestFit="1" customWidth="1"/>
    <col min="12546" max="12546" width="24.26953125" style="383" bestFit="1" customWidth="1"/>
    <col min="12547" max="12547" width="11.81640625" style="383" bestFit="1" customWidth="1"/>
    <col min="12548" max="12548" width="12.26953125" style="383" bestFit="1" customWidth="1"/>
    <col min="12549" max="12549" width="12.54296875" style="383" bestFit="1" customWidth="1"/>
    <col min="12550" max="12550" width="12.26953125" style="383" bestFit="1" customWidth="1"/>
    <col min="12551" max="12551" width="10.7265625" style="383" bestFit="1" customWidth="1"/>
    <col min="12552" max="12553" width="12.453125" style="383" bestFit="1" customWidth="1"/>
    <col min="12554" max="12554" width="12.1796875" style="383" customWidth="1"/>
    <col min="12555" max="12555" width="14.54296875" style="383" bestFit="1" customWidth="1"/>
    <col min="12556" max="12556" width="11.81640625" style="383" bestFit="1" customWidth="1"/>
    <col min="12557" max="12557" width="9.81640625" style="383" bestFit="1" customWidth="1"/>
    <col min="12558" max="12800" width="9.1796875" style="383"/>
    <col min="12801" max="12801" width="4.7265625" style="383" bestFit="1" customWidth="1"/>
    <col min="12802" max="12802" width="24.26953125" style="383" bestFit="1" customWidth="1"/>
    <col min="12803" max="12803" width="11.81640625" style="383" bestFit="1" customWidth="1"/>
    <col min="12804" max="12804" width="12.26953125" style="383" bestFit="1" customWidth="1"/>
    <col min="12805" max="12805" width="12.54296875" style="383" bestFit="1" customWidth="1"/>
    <col min="12806" max="12806" width="12.26953125" style="383" bestFit="1" customWidth="1"/>
    <col min="12807" max="12807" width="10.7265625" style="383" bestFit="1" customWidth="1"/>
    <col min="12808" max="12809" width="12.453125" style="383" bestFit="1" customWidth="1"/>
    <col min="12810" max="12810" width="12.1796875" style="383" customWidth="1"/>
    <col min="12811" max="12811" width="14.54296875" style="383" bestFit="1" customWidth="1"/>
    <col min="12812" max="12812" width="11.81640625" style="383" bestFit="1" customWidth="1"/>
    <col min="12813" max="12813" width="9.81640625" style="383" bestFit="1" customWidth="1"/>
    <col min="12814" max="13056" width="9.1796875" style="383"/>
    <col min="13057" max="13057" width="4.7265625" style="383" bestFit="1" customWidth="1"/>
    <col min="13058" max="13058" width="24.26953125" style="383" bestFit="1" customWidth="1"/>
    <col min="13059" max="13059" width="11.81640625" style="383" bestFit="1" customWidth="1"/>
    <col min="13060" max="13060" width="12.26953125" style="383" bestFit="1" customWidth="1"/>
    <col min="13061" max="13061" width="12.54296875" style="383" bestFit="1" customWidth="1"/>
    <col min="13062" max="13062" width="12.26953125" style="383" bestFit="1" customWidth="1"/>
    <col min="13063" max="13063" width="10.7265625" style="383" bestFit="1" customWidth="1"/>
    <col min="13064" max="13065" width="12.453125" style="383" bestFit="1" customWidth="1"/>
    <col min="13066" max="13066" width="12.1796875" style="383" customWidth="1"/>
    <col min="13067" max="13067" width="14.54296875" style="383" bestFit="1" customWidth="1"/>
    <col min="13068" max="13068" width="11.81640625" style="383" bestFit="1" customWidth="1"/>
    <col min="13069" max="13069" width="9.81640625" style="383" bestFit="1" customWidth="1"/>
    <col min="13070" max="13312" width="9.1796875" style="383"/>
    <col min="13313" max="13313" width="4.7265625" style="383" bestFit="1" customWidth="1"/>
    <col min="13314" max="13314" width="24.26953125" style="383" bestFit="1" customWidth="1"/>
    <col min="13315" max="13315" width="11.81640625" style="383" bestFit="1" customWidth="1"/>
    <col min="13316" max="13316" width="12.26953125" style="383" bestFit="1" customWidth="1"/>
    <col min="13317" max="13317" width="12.54296875" style="383" bestFit="1" customWidth="1"/>
    <col min="13318" max="13318" width="12.26953125" style="383" bestFit="1" customWidth="1"/>
    <col min="13319" max="13319" width="10.7265625" style="383" bestFit="1" customWidth="1"/>
    <col min="13320" max="13321" width="12.453125" style="383" bestFit="1" customWidth="1"/>
    <col min="13322" max="13322" width="12.1796875" style="383" customWidth="1"/>
    <col min="13323" max="13323" width="14.54296875" style="383" bestFit="1" customWidth="1"/>
    <col min="13324" max="13324" width="11.81640625" style="383" bestFit="1" customWidth="1"/>
    <col min="13325" max="13325" width="9.81640625" style="383" bestFit="1" customWidth="1"/>
    <col min="13326" max="13568" width="9.1796875" style="383"/>
    <col min="13569" max="13569" width="4.7265625" style="383" bestFit="1" customWidth="1"/>
    <col min="13570" max="13570" width="24.26953125" style="383" bestFit="1" customWidth="1"/>
    <col min="13571" max="13571" width="11.81640625" style="383" bestFit="1" customWidth="1"/>
    <col min="13572" max="13572" width="12.26953125" style="383" bestFit="1" customWidth="1"/>
    <col min="13573" max="13573" width="12.54296875" style="383" bestFit="1" customWidth="1"/>
    <col min="13574" max="13574" width="12.26953125" style="383" bestFit="1" customWidth="1"/>
    <col min="13575" max="13575" width="10.7265625" style="383" bestFit="1" customWidth="1"/>
    <col min="13576" max="13577" width="12.453125" style="383" bestFit="1" customWidth="1"/>
    <col min="13578" max="13578" width="12.1796875" style="383" customWidth="1"/>
    <col min="13579" max="13579" width="14.54296875" style="383" bestFit="1" customWidth="1"/>
    <col min="13580" max="13580" width="11.81640625" style="383" bestFit="1" customWidth="1"/>
    <col min="13581" max="13581" width="9.81640625" style="383" bestFit="1" customWidth="1"/>
    <col min="13582" max="13824" width="9.1796875" style="383"/>
    <col min="13825" max="13825" width="4.7265625" style="383" bestFit="1" customWidth="1"/>
    <col min="13826" max="13826" width="24.26953125" style="383" bestFit="1" customWidth="1"/>
    <col min="13827" max="13827" width="11.81640625" style="383" bestFit="1" customWidth="1"/>
    <col min="13828" max="13828" width="12.26953125" style="383" bestFit="1" customWidth="1"/>
    <col min="13829" max="13829" width="12.54296875" style="383" bestFit="1" customWidth="1"/>
    <col min="13830" max="13830" width="12.26953125" style="383" bestFit="1" customWidth="1"/>
    <col min="13831" max="13831" width="10.7265625" style="383" bestFit="1" customWidth="1"/>
    <col min="13832" max="13833" width="12.453125" style="383" bestFit="1" customWidth="1"/>
    <col min="13834" max="13834" width="12.1796875" style="383" customWidth="1"/>
    <col min="13835" max="13835" width="14.54296875" style="383" bestFit="1" customWidth="1"/>
    <col min="13836" max="13836" width="11.81640625" style="383" bestFit="1" customWidth="1"/>
    <col min="13837" max="13837" width="9.81640625" style="383" bestFit="1" customWidth="1"/>
    <col min="13838" max="14080" width="9.1796875" style="383"/>
    <col min="14081" max="14081" width="4.7265625" style="383" bestFit="1" customWidth="1"/>
    <col min="14082" max="14082" width="24.26953125" style="383" bestFit="1" customWidth="1"/>
    <col min="14083" max="14083" width="11.81640625" style="383" bestFit="1" customWidth="1"/>
    <col min="14084" max="14084" width="12.26953125" style="383" bestFit="1" customWidth="1"/>
    <col min="14085" max="14085" width="12.54296875" style="383" bestFit="1" customWidth="1"/>
    <col min="14086" max="14086" width="12.26953125" style="383" bestFit="1" customWidth="1"/>
    <col min="14087" max="14087" width="10.7265625" style="383" bestFit="1" customWidth="1"/>
    <col min="14088" max="14089" width="12.453125" style="383" bestFit="1" customWidth="1"/>
    <col min="14090" max="14090" width="12.1796875" style="383" customWidth="1"/>
    <col min="14091" max="14091" width="14.54296875" style="383" bestFit="1" customWidth="1"/>
    <col min="14092" max="14092" width="11.81640625" style="383" bestFit="1" customWidth="1"/>
    <col min="14093" max="14093" width="9.81640625" style="383" bestFit="1" customWidth="1"/>
    <col min="14094" max="14336" width="9.1796875" style="383"/>
    <col min="14337" max="14337" width="4.7265625" style="383" bestFit="1" customWidth="1"/>
    <col min="14338" max="14338" width="24.26953125" style="383" bestFit="1" customWidth="1"/>
    <col min="14339" max="14339" width="11.81640625" style="383" bestFit="1" customWidth="1"/>
    <col min="14340" max="14340" width="12.26953125" style="383" bestFit="1" customWidth="1"/>
    <col min="14341" max="14341" width="12.54296875" style="383" bestFit="1" customWidth="1"/>
    <col min="14342" max="14342" width="12.26953125" style="383" bestFit="1" customWidth="1"/>
    <col min="14343" max="14343" width="10.7265625" style="383" bestFit="1" customWidth="1"/>
    <col min="14344" max="14345" width="12.453125" style="383" bestFit="1" customWidth="1"/>
    <col min="14346" max="14346" width="12.1796875" style="383" customWidth="1"/>
    <col min="14347" max="14347" width="14.54296875" style="383" bestFit="1" customWidth="1"/>
    <col min="14348" max="14348" width="11.81640625" style="383" bestFit="1" customWidth="1"/>
    <col min="14349" max="14349" width="9.81640625" style="383" bestFit="1" customWidth="1"/>
    <col min="14350" max="14592" width="9.1796875" style="383"/>
    <col min="14593" max="14593" width="4.7265625" style="383" bestFit="1" customWidth="1"/>
    <col min="14594" max="14594" width="24.26953125" style="383" bestFit="1" customWidth="1"/>
    <col min="14595" max="14595" width="11.81640625" style="383" bestFit="1" customWidth="1"/>
    <col min="14596" max="14596" width="12.26953125" style="383" bestFit="1" customWidth="1"/>
    <col min="14597" max="14597" width="12.54296875" style="383" bestFit="1" customWidth="1"/>
    <col min="14598" max="14598" width="12.26953125" style="383" bestFit="1" customWidth="1"/>
    <col min="14599" max="14599" width="10.7265625" style="383" bestFit="1" customWidth="1"/>
    <col min="14600" max="14601" width="12.453125" style="383" bestFit="1" customWidth="1"/>
    <col min="14602" max="14602" width="12.1796875" style="383" customWidth="1"/>
    <col min="14603" max="14603" width="14.54296875" style="383" bestFit="1" customWidth="1"/>
    <col min="14604" max="14604" width="11.81640625" style="383" bestFit="1" customWidth="1"/>
    <col min="14605" max="14605" width="9.81640625" style="383" bestFit="1" customWidth="1"/>
    <col min="14606" max="14848" width="9.1796875" style="383"/>
    <col min="14849" max="14849" width="4.7265625" style="383" bestFit="1" customWidth="1"/>
    <col min="14850" max="14850" width="24.26953125" style="383" bestFit="1" customWidth="1"/>
    <col min="14851" max="14851" width="11.81640625" style="383" bestFit="1" customWidth="1"/>
    <col min="14852" max="14852" width="12.26953125" style="383" bestFit="1" customWidth="1"/>
    <col min="14853" max="14853" width="12.54296875" style="383" bestFit="1" customWidth="1"/>
    <col min="14854" max="14854" width="12.26953125" style="383" bestFit="1" customWidth="1"/>
    <col min="14855" max="14855" width="10.7265625" style="383" bestFit="1" customWidth="1"/>
    <col min="14856" max="14857" width="12.453125" style="383" bestFit="1" customWidth="1"/>
    <col min="14858" max="14858" width="12.1796875" style="383" customWidth="1"/>
    <col min="14859" max="14859" width="14.54296875" style="383" bestFit="1" customWidth="1"/>
    <col min="14860" max="14860" width="11.81640625" style="383" bestFit="1" customWidth="1"/>
    <col min="14861" max="14861" width="9.81640625" style="383" bestFit="1" customWidth="1"/>
    <col min="14862" max="15104" width="9.1796875" style="383"/>
    <col min="15105" max="15105" width="4.7265625" style="383" bestFit="1" customWidth="1"/>
    <col min="15106" max="15106" width="24.26953125" style="383" bestFit="1" customWidth="1"/>
    <col min="15107" max="15107" width="11.81640625" style="383" bestFit="1" customWidth="1"/>
    <col min="15108" max="15108" width="12.26953125" style="383" bestFit="1" customWidth="1"/>
    <col min="15109" max="15109" width="12.54296875" style="383" bestFit="1" customWidth="1"/>
    <col min="15110" max="15110" width="12.26953125" style="383" bestFit="1" customWidth="1"/>
    <col min="15111" max="15111" width="10.7265625" style="383" bestFit="1" customWidth="1"/>
    <col min="15112" max="15113" width="12.453125" style="383" bestFit="1" customWidth="1"/>
    <col min="15114" max="15114" width="12.1796875" style="383" customWidth="1"/>
    <col min="15115" max="15115" width="14.54296875" style="383" bestFit="1" customWidth="1"/>
    <col min="15116" max="15116" width="11.81640625" style="383" bestFit="1" customWidth="1"/>
    <col min="15117" max="15117" width="9.81640625" style="383" bestFit="1" customWidth="1"/>
    <col min="15118" max="15360" width="9.1796875" style="383"/>
    <col min="15361" max="15361" width="4.7265625" style="383" bestFit="1" customWidth="1"/>
    <col min="15362" max="15362" width="24.26953125" style="383" bestFit="1" customWidth="1"/>
    <col min="15363" max="15363" width="11.81640625" style="383" bestFit="1" customWidth="1"/>
    <col min="15364" max="15364" width="12.26953125" style="383" bestFit="1" customWidth="1"/>
    <col min="15365" max="15365" width="12.54296875" style="383" bestFit="1" customWidth="1"/>
    <col min="15366" max="15366" width="12.26953125" style="383" bestFit="1" customWidth="1"/>
    <col min="15367" max="15367" width="10.7265625" style="383" bestFit="1" customWidth="1"/>
    <col min="15368" max="15369" width="12.453125" style="383" bestFit="1" customWidth="1"/>
    <col min="15370" max="15370" width="12.1796875" style="383" customWidth="1"/>
    <col min="15371" max="15371" width="14.54296875" style="383" bestFit="1" customWidth="1"/>
    <col min="15372" max="15372" width="11.81640625" style="383" bestFit="1" customWidth="1"/>
    <col min="15373" max="15373" width="9.81640625" style="383" bestFit="1" customWidth="1"/>
    <col min="15374" max="15616" width="9.1796875" style="383"/>
    <col min="15617" max="15617" width="4.7265625" style="383" bestFit="1" customWidth="1"/>
    <col min="15618" max="15618" width="24.26953125" style="383" bestFit="1" customWidth="1"/>
    <col min="15619" max="15619" width="11.81640625" style="383" bestFit="1" customWidth="1"/>
    <col min="15620" max="15620" width="12.26953125" style="383" bestFit="1" customWidth="1"/>
    <col min="15621" max="15621" width="12.54296875" style="383" bestFit="1" customWidth="1"/>
    <col min="15622" max="15622" width="12.26953125" style="383" bestFit="1" customWidth="1"/>
    <col min="15623" max="15623" width="10.7265625" style="383" bestFit="1" customWidth="1"/>
    <col min="15624" max="15625" width="12.453125" style="383" bestFit="1" customWidth="1"/>
    <col min="15626" max="15626" width="12.1796875" style="383" customWidth="1"/>
    <col min="15627" max="15627" width="14.54296875" style="383" bestFit="1" customWidth="1"/>
    <col min="15628" max="15628" width="11.81640625" style="383" bestFit="1" customWidth="1"/>
    <col min="15629" max="15629" width="9.81640625" style="383" bestFit="1" customWidth="1"/>
    <col min="15630" max="15872" width="9.1796875" style="383"/>
    <col min="15873" max="15873" width="4.7265625" style="383" bestFit="1" customWidth="1"/>
    <col min="15874" max="15874" width="24.26953125" style="383" bestFit="1" customWidth="1"/>
    <col min="15875" max="15875" width="11.81640625" style="383" bestFit="1" customWidth="1"/>
    <col min="15876" max="15876" width="12.26953125" style="383" bestFit="1" customWidth="1"/>
    <col min="15877" max="15877" width="12.54296875" style="383" bestFit="1" customWidth="1"/>
    <col min="15878" max="15878" width="12.26953125" style="383" bestFit="1" customWidth="1"/>
    <col min="15879" max="15879" width="10.7265625" style="383" bestFit="1" customWidth="1"/>
    <col min="15880" max="15881" width="12.453125" style="383" bestFit="1" customWidth="1"/>
    <col min="15882" max="15882" width="12.1796875" style="383" customWidth="1"/>
    <col min="15883" max="15883" width="14.54296875" style="383" bestFit="1" customWidth="1"/>
    <col min="15884" max="15884" width="11.81640625" style="383" bestFit="1" customWidth="1"/>
    <col min="15885" max="15885" width="9.81640625" style="383" bestFit="1" customWidth="1"/>
    <col min="15886" max="16128" width="9.1796875" style="383"/>
    <col min="16129" max="16129" width="4.7265625" style="383" bestFit="1" customWidth="1"/>
    <col min="16130" max="16130" width="24.26953125" style="383" bestFit="1" customWidth="1"/>
    <col min="16131" max="16131" width="11.81640625" style="383" bestFit="1" customWidth="1"/>
    <col min="16132" max="16132" width="12.26953125" style="383" bestFit="1" customWidth="1"/>
    <col min="16133" max="16133" width="12.54296875" style="383" bestFit="1" customWidth="1"/>
    <col min="16134" max="16134" width="12.26953125" style="383" bestFit="1" customWidth="1"/>
    <col min="16135" max="16135" width="10.7265625" style="383" bestFit="1" customWidth="1"/>
    <col min="16136" max="16137" width="12.453125" style="383" bestFit="1" customWidth="1"/>
    <col min="16138" max="16138" width="12.1796875" style="383" customWidth="1"/>
    <col min="16139" max="16139" width="14.54296875" style="383" bestFit="1" customWidth="1"/>
    <col min="16140" max="16140" width="11.81640625" style="383" bestFit="1" customWidth="1"/>
    <col min="16141" max="16141" width="9.81640625" style="383" bestFit="1" customWidth="1"/>
    <col min="16142" max="16384" width="9.1796875" style="383"/>
  </cols>
  <sheetData>
    <row r="1" spans="1:23">
      <c r="A1" s="327" t="str">
        <f>W09_PG_1_of_5!A1</f>
        <v>Kentucky Power Company</v>
      </c>
    </row>
    <row r="2" spans="1:23">
      <c r="A2" s="327" t="str">
        <f>W09_PG_1_of_5!A2</f>
        <v>W09-Remove Tariff P.P.A. Revenues and Non-Transmission Expenses Recovered Through Tariff P.P.A.</v>
      </c>
    </row>
    <row r="3" spans="1:23">
      <c r="A3" s="328" t="s">
        <v>938</v>
      </c>
    </row>
    <row r="4" spans="1:23">
      <c r="A4" s="327" t="str">
        <f>W09_PG_1_of_5!A4</f>
        <v>For the Twelve Months Ended March 31, 2023</v>
      </c>
    </row>
    <row r="5" spans="1:23" ht="15" thickBot="1"/>
    <row r="6" spans="1:23" ht="18.5">
      <c r="A6" s="444"/>
      <c r="B6" s="447"/>
      <c r="C6" s="443"/>
      <c r="D6" s="443"/>
      <c r="E6" s="443"/>
      <c r="F6" s="446"/>
      <c r="G6" s="446"/>
      <c r="H6" s="446"/>
      <c r="I6" s="446"/>
      <c r="J6" s="443"/>
      <c r="K6" s="443"/>
      <c r="L6" s="445" t="s">
        <v>937</v>
      </c>
      <c r="M6" s="444"/>
      <c r="N6" s="443"/>
      <c r="O6" s="443"/>
      <c r="P6" s="443"/>
      <c r="Q6" s="443"/>
      <c r="R6" s="443"/>
      <c r="S6" s="443"/>
      <c r="T6" s="443"/>
      <c r="U6" s="442"/>
      <c r="W6" s="441"/>
    </row>
    <row r="7" spans="1:23">
      <c r="A7" s="429"/>
      <c r="B7" s="428" t="s">
        <v>933</v>
      </c>
      <c r="C7" s="428"/>
      <c r="D7" s="440">
        <f>T8</f>
        <v>7.6200000000000004E-2</v>
      </c>
      <c r="E7" s="428"/>
      <c r="F7" s="436"/>
      <c r="G7" s="436"/>
      <c r="H7" s="436"/>
      <c r="I7" s="436"/>
      <c r="J7" s="428"/>
      <c r="K7" s="428"/>
      <c r="L7" s="427"/>
      <c r="M7" s="429"/>
      <c r="N7" s="428"/>
      <c r="O7" s="428"/>
      <c r="P7" s="428" t="s">
        <v>936</v>
      </c>
      <c r="Q7" s="428"/>
      <c r="R7" s="428"/>
      <c r="S7" s="428"/>
      <c r="T7" s="428" t="s">
        <v>935</v>
      </c>
      <c r="U7" s="427"/>
    </row>
    <row r="8" spans="1:23">
      <c r="A8" s="429"/>
      <c r="B8" s="428" t="s">
        <v>934</v>
      </c>
      <c r="C8" s="428"/>
      <c r="D8" s="439">
        <f>D7/12</f>
        <v>6.3500000000000006E-3</v>
      </c>
      <c r="E8" s="428"/>
      <c r="F8" s="436"/>
      <c r="G8" s="436"/>
      <c r="H8" s="436"/>
      <c r="I8" s="436"/>
      <c r="J8" s="428"/>
      <c r="K8" s="428"/>
      <c r="L8" s="427"/>
      <c r="M8" s="429"/>
      <c r="N8" s="428"/>
      <c r="O8" s="428"/>
      <c r="P8" s="437">
        <v>7.8799999999999995E-2</v>
      </c>
      <c r="Q8" s="428" t="s">
        <v>933</v>
      </c>
      <c r="R8" s="428"/>
      <c r="S8" s="428"/>
      <c r="T8" s="437">
        <v>7.6200000000000004E-2</v>
      </c>
      <c r="U8" s="427" t="s">
        <v>933</v>
      </c>
    </row>
    <row r="9" spans="1:23">
      <c r="A9" s="429"/>
      <c r="B9" s="428" t="s">
        <v>932</v>
      </c>
      <c r="C9" s="428"/>
      <c r="D9" s="438">
        <f>D10/12</f>
        <v>1128292.4667885939</v>
      </c>
      <c r="E9" s="428"/>
      <c r="F9" s="436"/>
      <c r="G9" s="436"/>
      <c r="H9" s="436"/>
      <c r="I9" s="436"/>
      <c r="J9" s="428"/>
      <c r="K9" s="428"/>
      <c r="L9" s="427"/>
      <c r="M9" s="429"/>
      <c r="N9" s="428"/>
      <c r="O9" s="428"/>
      <c r="P9" s="437">
        <v>4.1200000000000001E-2</v>
      </c>
      <c r="Q9" s="428" t="s">
        <v>912</v>
      </c>
      <c r="R9" s="428"/>
      <c r="S9" s="428"/>
      <c r="T9" s="437">
        <v>3.8300000000000001E-2</v>
      </c>
      <c r="U9" s="427" t="s">
        <v>912</v>
      </c>
    </row>
    <row r="10" spans="1:23">
      <c r="A10" s="429"/>
      <c r="B10" s="428" t="s">
        <v>931</v>
      </c>
      <c r="C10" s="428"/>
      <c r="D10" s="438">
        <v>13539509.601463126</v>
      </c>
      <c r="E10" s="428"/>
      <c r="F10" s="436"/>
      <c r="G10" s="436"/>
      <c r="H10" s="436"/>
      <c r="I10" s="436"/>
      <c r="J10" s="428"/>
      <c r="K10" s="428"/>
      <c r="L10" s="427"/>
      <c r="M10" s="429"/>
      <c r="N10" s="428"/>
      <c r="O10" s="428"/>
      <c r="P10" s="437">
        <f>P8-P9</f>
        <v>3.7599999999999995E-2</v>
      </c>
      <c r="Q10" s="428" t="s">
        <v>911</v>
      </c>
      <c r="R10" s="428"/>
      <c r="S10" s="428"/>
      <c r="T10" s="437">
        <f>T8-T9</f>
        <v>3.7900000000000003E-2</v>
      </c>
      <c r="U10" s="427" t="s">
        <v>911</v>
      </c>
    </row>
    <row r="11" spans="1:23">
      <c r="A11" s="429"/>
      <c r="B11" s="428"/>
      <c r="C11" s="428"/>
      <c r="D11" s="413"/>
      <c r="E11" s="428"/>
      <c r="F11" s="436"/>
      <c r="G11" s="436"/>
      <c r="H11" s="436"/>
      <c r="I11" s="436"/>
      <c r="J11" s="428"/>
      <c r="K11" s="428"/>
      <c r="L11" s="427"/>
      <c r="M11" s="429"/>
      <c r="N11" s="428"/>
      <c r="O11" s="428"/>
      <c r="P11" s="435">
        <f>P8/12</f>
        <v>6.566666666666666E-3</v>
      </c>
      <c r="Q11" s="428" t="s">
        <v>930</v>
      </c>
      <c r="R11" s="428"/>
      <c r="S11" s="428"/>
      <c r="T11" s="435">
        <f>T8/12</f>
        <v>6.3500000000000006E-3</v>
      </c>
      <c r="U11" s="427" t="s">
        <v>930</v>
      </c>
    </row>
    <row r="12" spans="1:23">
      <c r="A12" s="429"/>
      <c r="B12" s="428"/>
      <c r="C12" s="434"/>
      <c r="D12" s="433"/>
      <c r="E12" s="432"/>
      <c r="F12" s="431"/>
      <c r="G12" s="431"/>
      <c r="H12" s="431"/>
      <c r="I12" s="431"/>
      <c r="J12" s="430"/>
      <c r="K12" s="430"/>
      <c r="L12" s="427"/>
      <c r="M12" s="429"/>
      <c r="N12" s="428"/>
      <c r="O12" s="428"/>
      <c r="P12" s="428"/>
      <c r="Q12" s="428"/>
      <c r="R12" s="428"/>
      <c r="S12" s="428"/>
      <c r="T12" s="428"/>
      <c r="U12" s="427"/>
    </row>
    <row r="13" spans="1:23">
      <c r="A13" s="429"/>
      <c r="B13" s="428"/>
      <c r="C13" s="725"/>
      <c r="D13" s="725"/>
      <c r="E13" s="725"/>
      <c r="F13" s="725"/>
      <c r="G13" s="725"/>
      <c r="H13" s="431"/>
      <c r="I13" s="431"/>
      <c r="J13" s="430"/>
      <c r="K13" s="430"/>
      <c r="L13" s="427"/>
      <c r="M13" s="429"/>
      <c r="N13" s="428"/>
      <c r="O13" s="428"/>
      <c r="P13" s="428"/>
      <c r="Q13" s="428"/>
      <c r="R13" s="428"/>
      <c r="S13" s="428"/>
      <c r="T13" s="428"/>
      <c r="U13" s="427"/>
    </row>
    <row r="14" spans="1:23" ht="58.5" thickBot="1">
      <c r="A14" s="407" t="s">
        <v>929</v>
      </c>
      <c r="B14" s="425" t="s">
        <v>233</v>
      </c>
      <c r="C14" s="425" t="s">
        <v>928</v>
      </c>
      <c r="D14" s="425" t="s">
        <v>927</v>
      </c>
      <c r="E14" s="426" t="s">
        <v>926</v>
      </c>
      <c r="F14" s="426" t="s">
        <v>925</v>
      </c>
      <c r="G14" s="426" t="s">
        <v>924</v>
      </c>
      <c r="H14" s="426" t="s">
        <v>923</v>
      </c>
      <c r="I14" s="425" t="s">
        <v>922</v>
      </c>
      <c r="J14" s="425" t="s">
        <v>921</v>
      </c>
      <c r="K14" s="425" t="s">
        <v>920</v>
      </c>
      <c r="L14" s="424" t="s">
        <v>919</v>
      </c>
      <c r="M14" s="396"/>
      <c r="N14" s="395"/>
      <c r="O14" s="395"/>
      <c r="P14" s="395"/>
      <c r="Q14" s="395"/>
      <c r="R14" s="395"/>
      <c r="S14" s="395"/>
      <c r="T14" s="395"/>
      <c r="U14" s="423"/>
    </row>
    <row r="15" spans="1:23">
      <c r="A15" s="407"/>
      <c r="B15" s="408"/>
      <c r="C15" s="404"/>
      <c r="D15" s="404"/>
      <c r="E15" s="405"/>
      <c r="F15" s="405">
        <v>0</v>
      </c>
      <c r="G15" s="405"/>
      <c r="H15" s="405">
        <v>0</v>
      </c>
      <c r="I15" s="404">
        <f>L15+H15</f>
        <v>0</v>
      </c>
      <c r="J15" s="404"/>
      <c r="K15" s="404"/>
      <c r="L15" s="403">
        <v>0</v>
      </c>
    </row>
    <row r="16" spans="1:23">
      <c r="A16" s="407">
        <v>1</v>
      </c>
      <c r="B16" s="408">
        <v>43101</v>
      </c>
      <c r="C16" s="414">
        <f>ROUND((15000000/12)*(13/31),2)</f>
        <v>524193.55</v>
      </c>
      <c r="D16" s="404"/>
      <c r="E16" s="405">
        <f t="shared" ref="E16:E51" si="0">C16-D16</f>
        <v>524193.55</v>
      </c>
      <c r="F16" s="405">
        <f t="shared" ref="F16:F51" si="1">E16+F15</f>
        <v>524193.55</v>
      </c>
      <c r="G16" s="405">
        <f t="shared" ref="G16:G51" si="2">-E16*0.21</f>
        <v>-110080.6455</v>
      </c>
      <c r="H16" s="405">
        <f t="shared" ref="H16:H51" si="3">G16+H15</f>
        <v>-110080.6455</v>
      </c>
      <c r="I16" s="404">
        <f t="shared" ref="I16:I51" si="4">F16+H16</f>
        <v>414112.9045</v>
      </c>
      <c r="J16" s="404"/>
      <c r="K16" s="404"/>
      <c r="L16" s="403">
        <f t="shared" ref="L16:L51" si="5">L15+E16+J16+K16</f>
        <v>524193.55</v>
      </c>
    </row>
    <row r="17" spans="1:12">
      <c r="A17" s="407">
        <v>2</v>
      </c>
      <c r="B17" s="408">
        <v>43132</v>
      </c>
      <c r="C17" s="414">
        <f>15000000/12</f>
        <v>1250000</v>
      </c>
      <c r="D17" s="404"/>
      <c r="E17" s="405">
        <f t="shared" si="0"/>
        <v>1250000</v>
      </c>
      <c r="F17" s="405">
        <f t="shared" si="1"/>
        <v>1774193.55</v>
      </c>
      <c r="G17" s="405">
        <f t="shared" si="2"/>
        <v>-262500</v>
      </c>
      <c r="H17" s="405">
        <f t="shared" si="3"/>
        <v>-372580.64549999998</v>
      </c>
      <c r="I17" s="404">
        <f t="shared" si="4"/>
        <v>1401612.9045000002</v>
      </c>
      <c r="J17" s="404">
        <f>ROUND(F16*$P$11,2)</f>
        <v>3442.2</v>
      </c>
      <c r="K17" s="404"/>
      <c r="L17" s="403">
        <f t="shared" si="5"/>
        <v>1777635.75</v>
      </c>
    </row>
    <row r="18" spans="1:12">
      <c r="A18" s="407">
        <v>3</v>
      </c>
      <c r="B18" s="408">
        <v>43160</v>
      </c>
      <c r="C18" s="414">
        <f t="shared" ref="C18:C27" si="6">C17</f>
        <v>1250000</v>
      </c>
      <c r="D18" s="404"/>
      <c r="E18" s="405">
        <f t="shared" si="0"/>
        <v>1250000</v>
      </c>
      <c r="F18" s="405">
        <f t="shared" si="1"/>
        <v>3024193.55</v>
      </c>
      <c r="G18" s="405">
        <f t="shared" si="2"/>
        <v>-262500</v>
      </c>
      <c r="H18" s="405">
        <f t="shared" si="3"/>
        <v>-635080.64549999998</v>
      </c>
      <c r="I18" s="404">
        <f t="shared" si="4"/>
        <v>2389112.9044999997</v>
      </c>
      <c r="J18" s="404">
        <f t="shared" ref="J18:J51" si="7">ROUND(I17*$P$11,2)</f>
        <v>9203.92</v>
      </c>
      <c r="K18" s="404"/>
      <c r="L18" s="403">
        <f t="shared" si="5"/>
        <v>3036839.67</v>
      </c>
    </row>
    <row r="19" spans="1:12">
      <c r="A19" s="407">
        <v>4</v>
      </c>
      <c r="B19" s="408">
        <v>43191</v>
      </c>
      <c r="C19" s="414">
        <f t="shared" si="6"/>
        <v>1250000</v>
      </c>
      <c r="D19" s="404"/>
      <c r="E19" s="405">
        <f t="shared" si="0"/>
        <v>1250000</v>
      </c>
      <c r="F19" s="405">
        <f t="shared" si="1"/>
        <v>4274193.55</v>
      </c>
      <c r="G19" s="405">
        <f t="shared" si="2"/>
        <v>-262500</v>
      </c>
      <c r="H19" s="405">
        <f t="shared" si="3"/>
        <v>-897580.64549999998</v>
      </c>
      <c r="I19" s="404">
        <f t="shared" si="4"/>
        <v>3376612.9044999997</v>
      </c>
      <c r="J19" s="404">
        <f t="shared" si="7"/>
        <v>15688.51</v>
      </c>
      <c r="K19" s="404"/>
      <c r="L19" s="403">
        <f t="shared" si="5"/>
        <v>4302528.18</v>
      </c>
    </row>
    <row r="20" spans="1:12">
      <c r="A20" s="407">
        <v>5</v>
      </c>
      <c r="B20" s="408">
        <v>43221</v>
      </c>
      <c r="C20" s="414">
        <f t="shared" si="6"/>
        <v>1250000</v>
      </c>
      <c r="D20" s="404"/>
      <c r="E20" s="405">
        <f t="shared" si="0"/>
        <v>1250000</v>
      </c>
      <c r="F20" s="405">
        <f t="shared" si="1"/>
        <v>5524193.5499999998</v>
      </c>
      <c r="G20" s="405">
        <f t="shared" si="2"/>
        <v>-262500</v>
      </c>
      <c r="H20" s="405">
        <f t="shared" si="3"/>
        <v>-1160080.6455000001</v>
      </c>
      <c r="I20" s="404">
        <f t="shared" si="4"/>
        <v>4364112.9045000002</v>
      </c>
      <c r="J20" s="404">
        <f t="shared" si="7"/>
        <v>22173.09</v>
      </c>
      <c r="K20" s="404"/>
      <c r="L20" s="403">
        <f t="shared" si="5"/>
        <v>5574701.2699999996</v>
      </c>
    </row>
    <row r="21" spans="1:12">
      <c r="A21" s="407">
        <v>6</v>
      </c>
      <c r="B21" s="408">
        <v>43252</v>
      </c>
      <c r="C21" s="414">
        <f t="shared" si="6"/>
        <v>1250000</v>
      </c>
      <c r="D21" s="404"/>
      <c r="E21" s="405">
        <f t="shared" si="0"/>
        <v>1250000</v>
      </c>
      <c r="F21" s="405">
        <f t="shared" si="1"/>
        <v>6774193.5499999998</v>
      </c>
      <c r="G21" s="405">
        <f t="shared" si="2"/>
        <v>-262500</v>
      </c>
      <c r="H21" s="405">
        <f t="shared" si="3"/>
        <v>-1422580.6455000001</v>
      </c>
      <c r="I21" s="404">
        <f t="shared" si="4"/>
        <v>5351612.9045000002</v>
      </c>
      <c r="J21" s="404">
        <f t="shared" si="7"/>
        <v>28657.67</v>
      </c>
      <c r="K21" s="404"/>
      <c r="L21" s="403">
        <f t="shared" si="5"/>
        <v>6853358.9399999995</v>
      </c>
    </row>
    <row r="22" spans="1:12">
      <c r="A22" s="407">
        <v>7</v>
      </c>
      <c r="B22" s="408">
        <v>43282</v>
      </c>
      <c r="C22" s="414">
        <f t="shared" si="6"/>
        <v>1250000</v>
      </c>
      <c r="D22" s="404"/>
      <c r="E22" s="405">
        <f t="shared" si="0"/>
        <v>1250000</v>
      </c>
      <c r="F22" s="405">
        <f t="shared" si="1"/>
        <v>8024193.5499999998</v>
      </c>
      <c r="G22" s="405">
        <f t="shared" si="2"/>
        <v>-262500</v>
      </c>
      <c r="H22" s="405">
        <f t="shared" si="3"/>
        <v>-1685080.6455000001</v>
      </c>
      <c r="I22" s="404">
        <f t="shared" si="4"/>
        <v>6339112.9045000002</v>
      </c>
      <c r="J22" s="404">
        <f t="shared" si="7"/>
        <v>35142.26</v>
      </c>
      <c r="K22" s="404"/>
      <c r="L22" s="403">
        <f t="shared" si="5"/>
        <v>8138501.1999999993</v>
      </c>
    </row>
    <row r="23" spans="1:12">
      <c r="A23" s="407">
        <v>8</v>
      </c>
      <c r="B23" s="408">
        <v>43313</v>
      </c>
      <c r="C23" s="414">
        <f t="shared" si="6"/>
        <v>1250000</v>
      </c>
      <c r="D23" s="404"/>
      <c r="E23" s="405">
        <f t="shared" si="0"/>
        <v>1250000</v>
      </c>
      <c r="F23" s="405">
        <f t="shared" si="1"/>
        <v>9274193.5500000007</v>
      </c>
      <c r="G23" s="405">
        <f t="shared" si="2"/>
        <v>-262500</v>
      </c>
      <c r="H23" s="405">
        <f t="shared" si="3"/>
        <v>-1947580.6455000001</v>
      </c>
      <c r="I23" s="404">
        <f t="shared" si="4"/>
        <v>7326612.9045000002</v>
      </c>
      <c r="J23" s="404">
        <f t="shared" si="7"/>
        <v>41626.839999999997</v>
      </c>
      <c r="K23" s="404"/>
      <c r="L23" s="403">
        <f t="shared" si="5"/>
        <v>9430128.0399999991</v>
      </c>
    </row>
    <row r="24" spans="1:12">
      <c r="A24" s="407">
        <v>9</v>
      </c>
      <c r="B24" s="408">
        <v>43344</v>
      </c>
      <c r="C24" s="414">
        <f t="shared" si="6"/>
        <v>1250000</v>
      </c>
      <c r="D24" s="404"/>
      <c r="E24" s="405">
        <f t="shared" si="0"/>
        <v>1250000</v>
      </c>
      <c r="F24" s="405">
        <f t="shared" si="1"/>
        <v>10524193.550000001</v>
      </c>
      <c r="G24" s="405">
        <f t="shared" si="2"/>
        <v>-262500</v>
      </c>
      <c r="H24" s="405">
        <f t="shared" si="3"/>
        <v>-2210080.6455000001</v>
      </c>
      <c r="I24" s="404">
        <f t="shared" si="4"/>
        <v>8314112.9045000002</v>
      </c>
      <c r="J24" s="404">
        <f t="shared" si="7"/>
        <v>48111.42</v>
      </c>
      <c r="K24" s="404"/>
      <c r="L24" s="403">
        <f t="shared" si="5"/>
        <v>10728239.459999999</v>
      </c>
    </row>
    <row r="25" spans="1:12">
      <c r="A25" s="407">
        <v>10</v>
      </c>
      <c r="B25" s="408">
        <v>43374</v>
      </c>
      <c r="C25" s="414">
        <f t="shared" si="6"/>
        <v>1250000</v>
      </c>
      <c r="D25" s="404"/>
      <c r="E25" s="405">
        <f t="shared" si="0"/>
        <v>1250000</v>
      </c>
      <c r="F25" s="405">
        <f t="shared" si="1"/>
        <v>11774193.550000001</v>
      </c>
      <c r="G25" s="405">
        <f t="shared" si="2"/>
        <v>-262500</v>
      </c>
      <c r="H25" s="405">
        <f t="shared" si="3"/>
        <v>-2472580.6455000001</v>
      </c>
      <c r="I25" s="404">
        <f t="shared" si="4"/>
        <v>9301612.9045000002</v>
      </c>
      <c r="J25" s="404">
        <f t="shared" si="7"/>
        <v>54596.01</v>
      </c>
      <c r="K25" s="404"/>
      <c r="L25" s="403">
        <f t="shared" si="5"/>
        <v>12032835.469999999</v>
      </c>
    </row>
    <row r="26" spans="1:12">
      <c r="A26" s="407">
        <v>11</v>
      </c>
      <c r="B26" s="408">
        <v>43405</v>
      </c>
      <c r="C26" s="414">
        <f t="shared" si="6"/>
        <v>1250000</v>
      </c>
      <c r="D26" s="404"/>
      <c r="E26" s="405">
        <f t="shared" si="0"/>
        <v>1250000</v>
      </c>
      <c r="F26" s="405">
        <f t="shared" si="1"/>
        <v>13024193.550000001</v>
      </c>
      <c r="G26" s="405">
        <f t="shared" si="2"/>
        <v>-262500</v>
      </c>
      <c r="H26" s="405">
        <f t="shared" si="3"/>
        <v>-2735080.6455000001</v>
      </c>
      <c r="I26" s="404">
        <f t="shared" si="4"/>
        <v>10289112.9045</v>
      </c>
      <c r="J26" s="404">
        <f t="shared" si="7"/>
        <v>61080.59</v>
      </c>
      <c r="K26" s="404"/>
      <c r="L26" s="403">
        <f t="shared" si="5"/>
        <v>13343916.059999999</v>
      </c>
    </row>
    <row r="27" spans="1:12">
      <c r="A27" s="407">
        <v>12</v>
      </c>
      <c r="B27" s="408">
        <v>43435</v>
      </c>
      <c r="C27" s="414">
        <f t="shared" si="6"/>
        <v>1250000</v>
      </c>
      <c r="D27" s="404"/>
      <c r="E27" s="405">
        <f t="shared" si="0"/>
        <v>1250000</v>
      </c>
      <c r="F27" s="405">
        <f t="shared" si="1"/>
        <v>14274193.550000001</v>
      </c>
      <c r="G27" s="405">
        <f t="shared" si="2"/>
        <v>-262500</v>
      </c>
      <c r="H27" s="405">
        <f t="shared" si="3"/>
        <v>-2997580.6455000001</v>
      </c>
      <c r="I27" s="404">
        <f t="shared" si="4"/>
        <v>11276612.9045</v>
      </c>
      <c r="J27" s="404">
        <f t="shared" si="7"/>
        <v>67565.17</v>
      </c>
      <c r="K27" s="404"/>
      <c r="L27" s="403">
        <f t="shared" si="5"/>
        <v>14661481.229999999</v>
      </c>
    </row>
    <row r="28" spans="1:12">
      <c r="A28" s="407">
        <v>13</v>
      </c>
      <c r="B28" s="408">
        <v>43466</v>
      </c>
      <c r="C28" s="414">
        <f>15000000/12</f>
        <v>1250000</v>
      </c>
      <c r="D28" s="404"/>
      <c r="E28" s="405">
        <f t="shared" si="0"/>
        <v>1250000</v>
      </c>
      <c r="F28" s="405">
        <f t="shared" si="1"/>
        <v>15524193.550000001</v>
      </c>
      <c r="G28" s="405">
        <f t="shared" si="2"/>
        <v>-262500</v>
      </c>
      <c r="H28" s="405">
        <f t="shared" si="3"/>
        <v>-3260080.6455000001</v>
      </c>
      <c r="I28" s="404">
        <f t="shared" si="4"/>
        <v>12264112.9045</v>
      </c>
      <c r="J28" s="404">
        <f t="shared" si="7"/>
        <v>74049.759999999995</v>
      </c>
      <c r="K28" s="404"/>
      <c r="L28" s="403">
        <f t="shared" si="5"/>
        <v>15985530.989999998</v>
      </c>
    </row>
    <row r="29" spans="1:12">
      <c r="A29" s="407">
        <v>14</v>
      </c>
      <c r="B29" s="408">
        <v>43497</v>
      </c>
      <c r="C29" s="414">
        <f t="shared" ref="C29:C39" si="8">C28</f>
        <v>1250000</v>
      </c>
      <c r="D29" s="404"/>
      <c r="E29" s="405">
        <f t="shared" si="0"/>
        <v>1250000</v>
      </c>
      <c r="F29" s="405">
        <f t="shared" si="1"/>
        <v>16774193.550000001</v>
      </c>
      <c r="G29" s="405">
        <f t="shared" si="2"/>
        <v>-262500</v>
      </c>
      <c r="H29" s="405">
        <f t="shared" si="3"/>
        <v>-3522580.6455000001</v>
      </c>
      <c r="I29" s="404">
        <f t="shared" si="4"/>
        <v>13251612.9045</v>
      </c>
      <c r="J29" s="404">
        <f t="shared" si="7"/>
        <v>80534.34</v>
      </c>
      <c r="K29" s="404"/>
      <c r="L29" s="403">
        <f t="shared" si="5"/>
        <v>17316065.329999998</v>
      </c>
    </row>
    <row r="30" spans="1:12">
      <c r="A30" s="407">
        <v>15</v>
      </c>
      <c r="B30" s="408">
        <v>43525</v>
      </c>
      <c r="C30" s="414">
        <f t="shared" si="8"/>
        <v>1250000</v>
      </c>
      <c r="D30" s="404"/>
      <c r="E30" s="405">
        <f t="shared" si="0"/>
        <v>1250000</v>
      </c>
      <c r="F30" s="405">
        <f t="shared" si="1"/>
        <v>18024193.550000001</v>
      </c>
      <c r="G30" s="405">
        <f t="shared" si="2"/>
        <v>-262500</v>
      </c>
      <c r="H30" s="405">
        <f t="shared" si="3"/>
        <v>-3785080.6455000001</v>
      </c>
      <c r="I30" s="404">
        <f t="shared" si="4"/>
        <v>14239112.9045</v>
      </c>
      <c r="J30" s="404">
        <f t="shared" si="7"/>
        <v>87018.92</v>
      </c>
      <c r="K30" s="404"/>
      <c r="L30" s="403">
        <f t="shared" si="5"/>
        <v>18653084.25</v>
      </c>
    </row>
    <row r="31" spans="1:12">
      <c r="A31" s="407">
        <v>16</v>
      </c>
      <c r="B31" s="408">
        <v>43556</v>
      </c>
      <c r="C31" s="414">
        <f t="shared" si="8"/>
        <v>1250000</v>
      </c>
      <c r="D31" s="404"/>
      <c r="E31" s="405">
        <f t="shared" si="0"/>
        <v>1250000</v>
      </c>
      <c r="F31" s="405">
        <f t="shared" si="1"/>
        <v>19274193.550000001</v>
      </c>
      <c r="G31" s="405">
        <f t="shared" si="2"/>
        <v>-262500</v>
      </c>
      <c r="H31" s="405">
        <f t="shared" si="3"/>
        <v>-4047580.6455000001</v>
      </c>
      <c r="I31" s="404">
        <f t="shared" si="4"/>
        <v>15226612.9045</v>
      </c>
      <c r="J31" s="404">
        <f t="shared" si="7"/>
        <v>93503.51</v>
      </c>
      <c r="K31" s="404"/>
      <c r="L31" s="403">
        <f t="shared" si="5"/>
        <v>19996587.760000002</v>
      </c>
    </row>
    <row r="32" spans="1:12">
      <c r="A32" s="407">
        <v>17</v>
      </c>
      <c r="B32" s="408">
        <v>43586</v>
      </c>
      <c r="C32" s="414">
        <f t="shared" si="8"/>
        <v>1250000</v>
      </c>
      <c r="D32" s="404"/>
      <c r="E32" s="405">
        <f t="shared" si="0"/>
        <v>1250000</v>
      </c>
      <c r="F32" s="405">
        <f t="shared" si="1"/>
        <v>20524193.550000001</v>
      </c>
      <c r="G32" s="405">
        <f t="shared" si="2"/>
        <v>-262500</v>
      </c>
      <c r="H32" s="405">
        <f t="shared" si="3"/>
        <v>-4310080.6455000006</v>
      </c>
      <c r="I32" s="404">
        <f t="shared" si="4"/>
        <v>16214112.9045</v>
      </c>
      <c r="J32" s="404">
        <f t="shared" si="7"/>
        <v>99988.09</v>
      </c>
      <c r="K32" s="404"/>
      <c r="L32" s="403">
        <f t="shared" si="5"/>
        <v>21346575.850000001</v>
      </c>
    </row>
    <row r="33" spans="1:12">
      <c r="A33" s="407">
        <v>18</v>
      </c>
      <c r="B33" s="408">
        <v>43617</v>
      </c>
      <c r="C33" s="414">
        <f t="shared" si="8"/>
        <v>1250000</v>
      </c>
      <c r="D33" s="404"/>
      <c r="E33" s="405">
        <f t="shared" si="0"/>
        <v>1250000</v>
      </c>
      <c r="F33" s="405">
        <f t="shared" si="1"/>
        <v>21774193.550000001</v>
      </c>
      <c r="G33" s="405">
        <f t="shared" si="2"/>
        <v>-262500</v>
      </c>
      <c r="H33" s="405">
        <f t="shared" si="3"/>
        <v>-4572580.6455000006</v>
      </c>
      <c r="I33" s="404">
        <f t="shared" si="4"/>
        <v>17201612.9045</v>
      </c>
      <c r="J33" s="404">
        <f t="shared" si="7"/>
        <v>106472.67</v>
      </c>
      <c r="K33" s="404"/>
      <c r="L33" s="403">
        <f t="shared" si="5"/>
        <v>22703048.520000003</v>
      </c>
    </row>
    <row r="34" spans="1:12">
      <c r="A34" s="407">
        <v>19</v>
      </c>
      <c r="B34" s="408">
        <v>43647</v>
      </c>
      <c r="C34" s="414">
        <f t="shared" si="8"/>
        <v>1250000</v>
      </c>
      <c r="D34" s="404"/>
      <c r="E34" s="405">
        <f t="shared" si="0"/>
        <v>1250000</v>
      </c>
      <c r="F34" s="405">
        <f t="shared" si="1"/>
        <v>23024193.550000001</v>
      </c>
      <c r="G34" s="405">
        <f t="shared" si="2"/>
        <v>-262500</v>
      </c>
      <c r="H34" s="405">
        <f t="shared" si="3"/>
        <v>-4835080.6455000006</v>
      </c>
      <c r="I34" s="404">
        <f t="shared" si="4"/>
        <v>18189112.9045</v>
      </c>
      <c r="J34" s="404">
        <f t="shared" si="7"/>
        <v>112957.26</v>
      </c>
      <c r="K34" s="404"/>
      <c r="L34" s="403">
        <f t="shared" si="5"/>
        <v>24066005.780000005</v>
      </c>
    </row>
    <row r="35" spans="1:12">
      <c r="A35" s="407">
        <v>20</v>
      </c>
      <c r="B35" s="408">
        <v>43678</v>
      </c>
      <c r="C35" s="414">
        <f t="shared" si="8"/>
        <v>1250000</v>
      </c>
      <c r="D35" s="404"/>
      <c r="E35" s="405">
        <f t="shared" si="0"/>
        <v>1250000</v>
      </c>
      <c r="F35" s="405">
        <f t="shared" si="1"/>
        <v>24274193.550000001</v>
      </c>
      <c r="G35" s="405">
        <f t="shared" si="2"/>
        <v>-262500</v>
      </c>
      <c r="H35" s="405">
        <f t="shared" si="3"/>
        <v>-5097580.6455000006</v>
      </c>
      <c r="I35" s="404">
        <f t="shared" si="4"/>
        <v>19176612.9045</v>
      </c>
      <c r="J35" s="404">
        <f t="shared" si="7"/>
        <v>119441.84</v>
      </c>
      <c r="K35" s="404"/>
      <c r="L35" s="403">
        <f t="shared" si="5"/>
        <v>25435447.620000005</v>
      </c>
    </row>
    <row r="36" spans="1:12">
      <c r="A36" s="407">
        <v>21</v>
      </c>
      <c r="B36" s="408">
        <v>43709</v>
      </c>
      <c r="C36" s="414">
        <f t="shared" si="8"/>
        <v>1250000</v>
      </c>
      <c r="D36" s="404"/>
      <c r="E36" s="405">
        <f t="shared" si="0"/>
        <v>1250000</v>
      </c>
      <c r="F36" s="405">
        <f t="shared" si="1"/>
        <v>25524193.550000001</v>
      </c>
      <c r="G36" s="405">
        <f t="shared" si="2"/>
        <v>-262500</v>
      </c>
      <c r="H36" s="405">
        <f t="shared" si="3"/>
        <v>-5360080.6455000006</v>
      </c>
      <c r="I36" s="404">
        <f t="shared" si="4"/>
        <v>20164112.9045</v>
      </c>
      <c r="J36" s="404">
        <f t="shared" si="7"/>
        <v>125926.42</v>
      </c>
      <c r="K36" s="404"/>
      <c r="L36" s="403">
        <f t="shared" si="5"/>
        <v>26811374.040000007</v>
      </c>
    </row>
    <row r="37" spans="1:12">
      <c r="A37" s="407">
        <v>22</v>
      </c>
      <c r="B37" s="408">
        <v>43739</v>
      </c>
      <c r="C37" s="414">
        <f t="shared" si="8"/>
        <v>1250000</v>
      </c>
      <c r="D37" s="404"/>
      <c r="E37" s="405">
        <f t="shared" si="0"/>
        <v>1250000</v>
      </c>
      <c r="F37" s="405">
        <f t="shared" si="1"/>
        <v>26774193.550000001</v>
      </c>
      <c r="G37" s="405">
        <f t="shared" si="2"/>
        <v>-262500</v>
      </c>
      <c r="H37" s="405">
        <f t="shared" si="3"/>
        <v>-5622580.6455000006</v>
      </c>
      <c r="I37" s="404">
        <f t="shared" si="4"/>
        <v>21151612.9045</v>
      </c>
      <c r="J37" s="404">
        <f t="shared" si="7"/>
        <v>132411.01</v>
      </c>
      <c r="K37" s="404"/>
      <c r="L37" s="403">
        <f t="shared" si="5"/>
        <v>28193785.050000008</v>
      </c>
    </row>
    <row r="38" spans="1:12">
      <c r="A38" s="407">
        <v>23</v>
      </c>
      <c r="B38" s="408">
        <v>43770</v>
      </c>
      <c r="C38" s="414">
        <f t="shared" si="8"/>
        <v>1250000</v>
      </c>
      <c r="D38" s="404"/>
      <c r="E38" s="405">
        <f t="shared" si="0"/>
        <v>1250000</v>
      </c>
      <c r="F38" s="405">
        <f t="shared" si="1"/>
        <v>28024193.550000001</v>
      </c>
      <c r="G38" s="405">
        <f t="shared" si="2"/>
        <v>-262500</v>
      </c>
      <c r="H38" s="405">
        <f t="shared" si="3"/>
        <v>-5885080.6455000006</v>
      </c>
      <c r="I38" s="404">
        <f t="shared" si="4"/>
        <v>22139112.9045</v>
      </c>
      <c r="J38" s="404">
        <f t="shared" si="7"/>
        <v>138895.59</v>
      </c>
      <c r="K38" s="404"/>
      <c r="L38" s="403">
        <f t="shared" si="5"/>
        <v>29582680.640000008</v>
      </c>
    </row>
    <row r="39" spans="1:12">
      <c r="A39" s="407">
        <v>24</v>
      </c>
      <c r="B39" s="408">
        <v>43800</v>
      </c>
      <c r="C39" s="414">
        <f t="shared" si="8"/>
        <v>1250000</v>
      </c>
      <c r="D39" s="404"/>
      <c r="E39" s="405">
        <f t="shared" si="0"/>
        <v>1250000</v>
      </c>
      <c r="F39" s="405">
        <f t="shared" si="1"/>
        <v>29274193.550000001</v>
      </c>
      <c r="G39" s="405">
        <f t="shared" si="2"/>
        <v>-262500</v>
      </c>
      <c r="H39" s="405">
        <f t="shared" si="3"/>
        <v>-6147580.6455000006</v>
      </c>
      <c r="I39" s="404">
        <f t="shared" si="4"/>
        <v>23126612.9045</v>
      </c>
      <c r="J39" s="404">
        <f t="shared" si="7"/>
        <v>145380.17000000001</v>
      </c>
      <c r="K39" s="404"/>
      <c r="L39" s="403">
        <f t="shared" si="5"/>
        <v>30978060.81000001</v>
      </c>
    </row>
    <row r="40" spans="1:12">
      <c r="A40" s="407">
        <v>25</v>
      </c>
      <c r="B40" s="408">
        <v>43831</v>
      </c>
      <c r="C40" s="414">
        <f>ROUND(10000000/12,2)</f>
        <v>833333.33</v>
      </c>
      <c r="D40" s="404"/>
      <c r="E40" s="405">
        <f t="shared" si="0"/>
        <v>833333.33</v>
      </c>
      <c r="F40" s="405">
        <f t="shared" si="1"/>
        <v>30107526.879999999</v>
      </c>
      <c r="G40" s="405">
        <f t="shared" si="2"/>
        <v>-174999.9993</v>
      </c>
      <c r="H40" s="405">
        <f t="shared" si="3"/>
        <v>-6322580.6448000008</v>
      </c>
      <c r="I40" s="404">
        <f t="shared" si="4"/>
        <v>23784946.235199999</v>
      </c>
      <c r="J40" s="404">
        <f t="shared" si="7"/>
        <v>151864.76</v>
      </c>
      <c r="K40" s="404"/>
      <c r="L40" s="403">
        <f t="shared" si="5"/>
        <v>31963258.90000001</v>
      </c>
    </row>
    <row r="41" spans="1:12">
      <c r="A41" s="407">
        <v>26</v>
      </c>
      <c r="B41" s="408">
        <v>43862</v>
      </c>
      <c r="C41" s="414">
        <f t="shared" ref="C41:C51" si="9">C40</f>
        <v>833333.33</v>
      </c>
      <c r="D41" s="404"/>
      <c r="E41" s="405">
        <f t="shared" si="0"/>
        <v>833333.33</v>
      </c>
      <c r="F41" s="405">
        <f t="shared" si="1"/>
        <v>30940860.209999997</v>
      </c>
      <c r="G41" s="405">
        <f t="shared" si="2"/>
        <v>-174999.9993</v>
      </c>
      <c r="H41" s="405">
        <f t="shared" si="3"/>
        <v>-6497580.6441000011</v>
      </c>
      <c r="I41" s="404">
        <f t="shared" si="4"/>
        <v>24443279.565899998</v>
      </c>
      <c r="J41" s="404">
        <f t="shared" si="7"/>
        <v>156187.81</v>
      </c>
      <c r="K41" s="404"/>
      <c r="L41" s="403">
        <f t="shared" si="5"/>
        <v>32952780.040000007</v>
      </c>
    </row>
    <row r="42" spans="1:12">
      <c r="A42" s="407">
        <v>27</v>
      </c>
      <c r="B42" s="408">
        <v>43891</v>
      </c>
      <c r="C42" s="414">
        <f t="shared" si="9"/>
        <v>833333.33</v>
      </c>
      <c r="D42" s="404"/>
      <c r="E42" s="405">
        <f t="shared" si="0"/>
        <v>833333.33</v>
      </c>
      <c r="F42" s="405">
        <f t="shared" si="1"/>
        <v>31774193.539999995</v>
      </c>
      <c r="G42" s="405">
        <f t="shared" si="2"/>
        <v>-174999.9993</v>
      </c>
      <c r="H42" s="405">
        <f t="shared" si="3"/>
        <v>-6672580.6434000013</v>
      </c>
      <c r="I42" s="404">
        <f t="shared" si="4"/>
        <v>25101612.896599993</v>
      </c>
      <c r="J42" s="404">
        <f t="shared" si="7"/>
        <v>160510.87</v>
      </c>
      <c r="K42" s="404"/>
      <c r="L42" s="403">
        <f t="shared" si="5"/>
        <v>33946624.240000002</v>
      </c>
    </row>
    <row r="43" spans="1:12">
      <c r="A43" s="407">
        <v>28</v>
      </c>
      <c r="B43" s="408">
        <v>43922</v>
      </c>
      <c r="C43" s="414">
        <f t="shared" si="9"/>
        <v>833333.33</v>
      </c>
      <c r="D43" s="404"/>
      <c r="E43" s="405">
        <f t="shared" si="0"/>
        <v>833333.33</v>
      </c>
      <c r="F43" s="405">
        <f t="shared" si="1"/>
        <v>32607526.869999994</v>
      </c>
      <c r="G43" s="405">
        <f t="shared" si="2"/>
        <v>-174999.9993</v>
      </c>
      <c r="H43" s="405">
        <f t="shared" si="3"/>
        <v>-6847580.6427000016</v>
      </c>
      <c r="I43" s="404">
        <f t="shared" si="4"/>
        <v>25759946.227299992</v>
      </c>
      <c r="J43" s="404">
        <f t="shared" si="7"/>
        <v>164833.92000000001</v>
      </c>
      <c r="K43" s="404"/>
      <c r="L43" s="403">
        <f t="shared" si="5"/>
        <v>34944791.490000002</v>
      </c>
    </row>
    <row r="44" spans="1:12">
      <c r="A44" s="407">
        <v>29</v>
      </c>
      <c r="B44" s="408">
        <v>43952</v>
      </c>
      <c r="C44" s="414">
        <f t="shared" si="9"/>
        <v>833333.33</v>
      </c>
      <c r="D44" s="404"/>
      <c r="E44" s="405">
        <f t="shared" si="0"/>
        <v>833333.33</v>
      </c>
      <c r="F44" s="405">
        <f t="shared" si="1"/>
        <v>33440860.199999992</v>
      </c>
      <c r="G44" s="405">
        <f t="shared" si="2"/>
        <v>-174999.9993</v>
      </c>
      <c r="H44" s="405">
        <f t="shared" si="3"/>
        <v>-7022580.6420000019</v>
      </c>
      <c r="I44" s="404">
        <f t="shared" si="4"/>
        <v>26418279.557999991</v>
      </c>
      <c r="J44" s="404">
        <f t="shared" si="7"/>
        <v>169156.98</v>
      </c>
      <c r="K44" s="404"/>
      <c r="L44" s="403">
        <f t="shared" si="5"/>
        <v>35947281.799999997</v>
      </c>
    </row>
    <row r="45" spans="1:12">
      <c r="A45" s="407">
        <v>30</v>
      </c>
      <c r="B45" s="408">
        <v>43983</v>
      </c>
      <c r="C45" s="414">
        <f t="shared" si="9"/>
        <v>833333.33</v>
      </c>
      <c r="D45" s="404"/>
      <c r="E45" s="405">
        <f t="shared" si="0"/>
        <v>833333.33</v>
      </c>
      <c r="F45" s="405">
        <f t="shared" si="1"/>
        <v>34274193.529999994</v>
      </c>
      <c r="G45" s="405">
        <f t="shared" si="2"/>
        <v>-174999.9993</v>
      </c>
      <c r="H45" s="405">
        <f t="shared" si="3"/>
        <v>-7197580.6413000021</v>
      </c>
      <c r="I45" s="404">
        <f t="shared" si="4"/>
        <v>27076612.888699993</v>
      </c>
      <c r="J45" s="404">
        <f t="shared" si="7"/>
        <v>173480.04</v>
      </c>
      <c r="K45" s="404"/>
      <c r="L45" s="403">
        <f t="shared" si="5"/>
        <v>36954095.169999994</v>
      </c>
    </row>
    <row r="46" spans="1:12">
      <c r="A46" s="407">
        <v>31</v>
      </c>
      <c r="B46" s="408">
        <v>44013</v>
      </c>
      <c r="C46" s="414">
        <f t="shared" si="9"/>
        <v>833333.33</v>
      </c>
      <c r="D46" s="404"/>
      <c r="E46" s="405">
        <f t="shared" si="0"/>
        <v>833333.33</v>
      </c>
      <c r="F46" s="405">
        <f t="shared" si="1"/>
        <v>35107526.859999992</v>
      </c>
      <c r="G46" s="405">
        <f t="shared" si="2"/>
        <v>-174999.9993</v>
      </c>
      <c r="H46" s="405">
        <f t="shared" si="3"/>
        <v>-7372580.6406000024</v>
      </c>
      <c r="I46" s="404">
        <f t="shared" si="4"/>
        <v>27734946.219399989</v>
      </c>
      <c r="J46" s="404">
        <f t="shared" si="7"/>
        <v>177803.09</v>
      </c>
      <c r="K46" s="404"/>
      <c r="L46" s="403">
        <f t="shared" si="5"/>
        <v>37965231.589999996</v>
      </c>
    </row>
    <row r="47" spans="1:12">
      <c r="A47" s="407">
        <v>32</v>
      </c>
      <c r="B47" s="408">
        <v>44044</v>
      </c>
      <c r="C47" s="414">
        <f t="shared" si="9"/>
        <v>833333.33</v>
      </c>
      <c r="D47" s="404"/>
      <c r="E47" s="405">
        <f t="shared" si="0"/>
        <v>833333.33</v>
      </c>
      <c r="F47" s="405">
        <f t="shared" si="1"/>
        <v>35940860.18999999</v>
      </c>
      <c r="G47" s="405">
        <f t="shared" si="2"/>
        <v>-174999.9993</v>
      </c>
      <c r="H47" s="405">
        <f t="shared" si="3"/>
        <v>-7547580.6399000026</v>
      </c>
      <c r="I47" s="404">
        <f t="shared" si="4"/>
        <v>28393279.550099988</v>
      </c>
      <c r="J47" s="404">
        <f t="shared" si="7"/>
        <v>182126.15</v>
      </c>
      <c r="K47" s="404"/>
      <c r="L47" s="403">
        <f t="shared" si="5"/>
        <v>38980691.069999993</v>
      </c>
    </row>
    <row r="48" spans="1:12">
      <c r="A48" s="407">
        <v>33</v>
      </c>
      <c r="B48" s="408">
        <v>44075</v>
      </c>
      <c r="C48" s="414">
        <f t="shared" si="9"/>
        <v>833333.33</v>
      </c>
      <c r="D48" s="404"/>
      <c r="E48" s="405">
        <f t="shared" si="0"/>
        <v>833333.33</v>
      </c>
      <c r="F48" s="405">
        <f t="shared" si="1"/>
        <v>36774193.519999988</v>
      </c>
      <c r="G48" s="405">
        <f t="shared" si="2"/>
        <v>-174999.9993</v>
      </c>
      <c r="H48" s="405">
        <f t="shared" si="3"/>
        <v>-7722580.6392000029</v>
      </c>
      <c r="I48" s="404">
        <f t="shared" si="4"/>
        <v>29051612.880799986</v>
      </c>
      <c r="J48" s="404">
        <f t="shared" si="7"/>
        <v>186449.2</v>
      </c>
      <c r="K48" s="404"/>
      <c r="L48" s="403">
        <f t="shared" si="5"/>
        <v>40000473.599999994</v>
      </c>
    </row>
    <row r="49" spans="1:12">
      <c r="A49" s="407">
        <v>34</v>
      </c>
      <c r="B49" s="408">
        <v>44105</v>
      </c>
      <c r="C49" s="414">
        <f t="shared" si="9"/>
        <v>833333.33</v>
      </c>
      <c r="D49" s="404"/>
      <c r="E49" s="405">
        <f t="shared" si="0"/>
        <v>833333.33</v>
      </c>
      <c r="F49" s="405">
        <f t="shared" si="1"/>
        <v>37607526.849999987</v>
      </c>
      <c r="G49" s="405">
        <f t="shared" si="2"/>
        <v>-174999.9993</v>
      </c>
      <c r="H49" s="405">
        <f t="shared" si="3"/>
        <v>-7897580.6385000031</v>
      </c>
      <c r="I49" s="404">
        <f t="shared" si="4"/>
        <v>29709946.211499982</v>
      </c>
      <c r="J49" s="404">
        <f t="shared" si="7"/>
        <v>190772.26</v>
      </c>
      <c r="K49" s="404"/>
      <c r="L49" s="403">
        <f t="shared" si="5"/>
        <v>41024579.18999999</v>
      </c>
    </row>
    <row r="50" spans="1:12">
      <c r="A50" s="407">
        <v>35</v>
      </c>
      <c r="B50" s="408">
        <v>44136</v>
      </c>
      <c r="C50" s="414">
        <f t="shared" si="9"/>
        <v>833333.33</v>
      </c>
      <c r="D50" s="404"/>
      <c r="E50" s="405">
        <f t="shared" si="0"/>
        <v>833333.33</v>
      </c>
      <c r="F50" s="405">
        <f t="shared" si="1"/>
        <v>38440860.179999985</v>
      </c>
      <c r="G50" s="405">
        <f t="shared" si="2"/>
        <v>-174999.9993</v>
      </c>
      <c r="H50" s="405">
        <f t="shared" si="3"/>
        <v>-8072580.6378000034</v>
      </c>
      <c r="I50" s="404">
        <f t="shared" si="4"/>
        <v>30368279.54219998</v>
      </c>
      <c r="J50" s="404">
        <f t="shared" si="7"/>
        <v>195095.31</v>
      </c>
      <c r="K50" s="404"/>
      <c r="L50" s="403">
        <f t="shared" si="5"/>
        <v>42053007.829999991</v>
      </c>
    </row>
    <row r="51" spans="1:12">
      <c r="A51" s="407">
        <v>36</v>
      </c>
      <c r="B51" s="408">
        <v>44166</v>
      </c>
      <c r="C51" s="414">
        <f t="shared" si="9"/>
        <v>833333.33</v>
      </c>
      <c r="D51" s="404"/>
      <c r="E51" s="405">
        <f t="shared" si="0"/>
        <v>833333.33</v>
      </c>
      <c r="F51" s="405">
        <f t="shared" si="1"/>
        <v>39274193.509999983</v>
      </c>
      <c r="G51" s="405">
        <f t="shared" si="2"/>
        <v>-174999.9993</v>
      </c>
      <c r="H51" s="405">
        <f t="shared" si="3"/>
        <v>-8247580.6371000037</v>
      </c>
      <c r="I51" s="404">
        <f t="shared" si="4"/>
        <v>31026612.872899979</v>
      </c>
      <c r="J51" s="404">
        <f t="shared" si="7"/>
        <v>199418.37</v>
      </c>
      <c r="K51" s="404"/>
      <c r="L51" s="403">
        <f t="shared" si="5"/>
        <v>43085759.529999986</v>
      </c>
    </row>
    <row r="52" spans="1:12">
      <c r="A52" s="407">
        <v>37</v>
      </c>
      <c r="B52" s="408" t="s">
        <v>918</v>
      </c>
      <c r="C52" s="414"/>
      <c r="D52" s="404"/>
      <c r="E52" s="405"/>
      <c r="F52" s="405"/>
      <c r="G52" s="405"/>
      <c r="H52" s="405"/>
      <c r="I52" s="404"/>
      <c r="J52" s="404">
        <f>ROUND((I51*P11*(13/31)),2)</f>
        <v>85439.95</v>
      </c>
      <c r="K52" s="404"/>
      <c r="L52" s="403">
        <f>L51+J52</f>
        <v>43171199.479999989</v>
      </c>
    </row>
    <row r="53" spans="1:12">
      <c r="A53" s="407">
        <v>38</v>
      </c>
      <c r="B53" s="408" t="s">
        <v>918</v>
      </c>
      <c r="C53" s="414">
        <f>ROUND(5000000/12,2)-0.01</f>
        <v>416666.66</v>
      </c>
      <c r="D53" s="404"/>
      <c r="E53" s="405">
        <f t="shared" ref="E53:E84" si="10">C53-D53</f>
        <v>416666.66</v>
      </c>
      <c r="F53" s="405">
        <f>E53+F51</f>
        <v>39690860.169999979</v>
      </c>
      <c r="G53" s="405">
        <f t="shared" ref="G53:G76" si="11">-E53*0.21</f>
        <v>-87499.998599999992</v>
      </c>
      <c r="H53" s="405">
        <f>G53+H51</f>
        <v>-8335080.6357000032</v>
      </c>
      <c r="I53" s="404">
        <f t="shared" ref="I53:I76" si="12">F53+H53</f>
        <v>31355779.534299977</v>
      </c>
      <c r="J53" s="404">
        <f>ROUND((I51*$T$11*(18/31)),2)</f>
        <v>114398.12</v>
      </c>
      <c r="K53" s="404"/>
      <c r="L53" s="403">
        <f t="shared" ref="L53:L84" si="13">L52+E53+J53+K53</f>
        <v>43702264.259999983</v>
      </c>
    </row>
    <row r="54" spans="1:12">
      <c r="A54" s="407">
        <v>39</v>
      </c>
      <c r="B54" s="408">
        <v>44228</v>
      </c>
      <c r="C54" s="414">
        <f t="shared" ref="C54:C75" si="14">C53</f>
        <v>416666.66</v>
      </c>
      <c r="D54" s="404"/>
      <c r="E54" s="405">
        <f t="shared" si="10"/>
        <v>416666.66</v>
      </c>
      <c r="F54" s="405">
        <f t="shared" ref="F54:F76" si="15">E54+F53</f>
        <v>40107526.829999976</v>
      </c>
      <c r="G54" s="405">
        <f t="shared" si="11"/>
        <v>-87499.998599999992</v>
      </c>
      <c r="H54" s="405">
        <f t="shared" ref="H54:H85" si="16">G54+H53</f>
        <v>-8422580.6343000028</v>
      </c>
      <c r="I54" s="404">
        <f t="shared" si="12"/>
        <v>31684946.195699975</v>
      </c>
      <c r="J54" s="404">
        <f t="shared" ref="J54:J75" si="17">ROUND(I53*$T$11,2)</f>
        <v>199109.2</v>
      </c>
      <c r="K54" s="404"/>
      <c r="L54" s="403">
        <f t="shared" si="13"/>
        <v>44318040.119999982</v>
      </c>
    </row>
    <row r="55" spans="1:12">
      <c r="A55" s="407">
        <v>40</v>
      </c>
      <c r="B55" s="408">
        <v>44256</v>
      </c>
      <c r="C55" s="414">
        <f t="shared" si="14"/>
        <v>416666.66</v>
      </c>
      <c r="D55" s="404"/>
      <c r="E55" s="405">
        <f t="shared" si="10"/>
        <v>416666.66</v>
      </c>
      <c r="F55" s="405">
        <f t="shared" si="15"/>
        <v>40524193.489999972</v>
      </c>
      <c r="G55" s="405">
        <f t="shared" si="11"/>
        <v>-87499.998599999992</v>
      </c>
      <c r="H55" s="405">
        <f t="shared" si="16"/>
        <v>-8510080.6329000033</v>
      </c>
      <c r="I55" s="404">
        <f t="shared" si="12"/>
        <v>32014112.857099969</v>
      </c>
      <c r="J55" s="404">
        <f t="shared" si="17"/>
        <v>201199.41</v>
      </c>
      <c r="K55" s="404"/>
      <c r="L55" s="403">
        <f t="shared" si="13"/>
        <v>44935906.189999975</v>
      </c>
    </row>
    <row r="56" spans="1:12">
      <c r="A56" s="407">
        <v>41</v>
      </c>
      <c r="B56" s="408">
        <v>44287</v>
      </c>
      <c r="C56" s="414">
        <f t="shared" si="14"/>
        <v>416666.66</v>
      </c>
      <c r="D56" s="404"/>
      <c r="E56" s="405">
        <f t="shared" si="10"/>
        <v>416666.66</v>
      </c>
      <c r="F56" s="405">
        <f t="shared" si="15"/>
        <v>40940860.149999969</v>
      </c>
      <c r="G56" s="405">
        <f t="shared" si="11"/>
        <v>-87499.998599999992</v>
      </c>
      <c r="H56" s="405">
        <f t="shared" si="16"/>
        <v>-8597580.6315000039</v>
      </c>
      <c r="I56" s="404">
        <f t="shared" si="12"/>
        <v>32343279.518499963</v>
      </c>
      <c r="J56" s="404">
        <f t="shared" si="17"/>
        <v>203289.62</v>
      </c>
      <c r="K56" s="404"/>
      <c r="L56" s="403">
        <f t="shared" si="13"/>
        <v>45555862.469999969</v>
      </c>
    </row>
    <row r="57" spans="1:12">
      <c r="A57" s="407">
        <v>42</v>
      </c>
      <c r="B57" s="408">
        <v>44317</v>
      </c>
      <c r="C57" s="414">
        <f t="shared" si="14"/>
        <v>416666.66</v>
      </c>
      <c r="D57" s="404"/>
      <c r="E57" s="405">
        <f t="shared" si="10"/>
        <v>416666.66</v>
      </c>
      <c r="F57" s="405">
        <f t="shared" si="15"/>
        <v>41357526.809999965</v>
      </c>
      <c r="G57" s="405">
        <f t="shared" si="11"/>
        <v>-87499.998599999992</v>
      </c>
      <c r="H57" s="405">
        <f t="shared" si="16"/>
        <v>-8685080.6301000044</v>
      </c>
      <c r="I57" s="404">
        <f t="shared" si="12"/>
        <v>32672446.179899961</v>
      </c>
      <c r="J57" s="404">
        <f t="shared" si="17"/>
        <v>205379.82</v>
      </c>
      <c r="K57" s="404"/>
      <c r="L57" s="403">
        <f t="shared" si="13"/>
        <v>46177908.949999966</v>
      </c>
    </row>
    <row r="58" spans="1:12">
      <c r="A58" s="407">
        <v>43</v>
      </c>
      <c r="B58" s="408">
        <v>44348</v>
      </c>
      <c r="C58" s="414">
        <f t="shared" si="14"/>
        <v>416666.66</v>
      </c>
      <c r="D58" s="404"/>
      <c r="E58" s="405">
        <f t="shared" si="10"/>
        <v>416666.66</v>
      </c>
      <c r="F58" s="405">
        <f t="shared" si="15"/>
        <v>41774193.469999962</v>
      </c>
      <c r="G58" s="405">
        <f t="shared" si="11"/>
        <v>-87499.998599999992</v>
      </c>
      <c r="H58" s="405">
        <f t="shared" si="16"/>
        <v>-8772580.6287000049</v>
      </c>
      <c r="I58" s="404">
        <f t="shared" si="12"/>
        <v>33001612.841299959</v>
      </c>
      <c r="J58" s="404">
        <f t="shared" si="17"/>
        <v>207470.03</v>
      </c>
      <c r="K58" s="404"/>
      <c r="L58" s="403">
        <f t="shared" si="13"/>
        <v>46802045.639999963</v>
      </c>
    </row>
    <row r="59" spans="1:12">
      <c r="A59" s="407">
        <v>44</v>
      </c>
      <c r="B59" s="408">
        <v>44378</v>
      </c>
      <c r="C59" s="414">
        <f t="shared" si="14"/>
        <v>416666.66</v>
      </c>
      <c r="D59" s="404"/>
      <c r="E59" s="405">
        <f t="shared" si="10"/>
        <v>416666.66</v>
      </c>
      <c r="F59" s="405">
        <f t="shared" si="15"/>
        <v>42190860.129999958</v>
      </c>
      <c r="G59" s="405">
        <f t="shared" si="11"/>
        <v>-87499.998599999992</v>
      </c>
      <c r="H59" s="405">
        <f t="shared" si="16"/>
        <v>-8860080.6273000054</v>
      </c>
      <c r="I59" s="404">
        <f t="shared" si="12"/>
        <v>33330779.502699953</v>
      </c>
      <c r="J59" s="404">
        <f t="shared" si="17"/>
        <v>209560.24</v>
      </c>
      <c r="K59" s="404"/>
      <c r="L59" s="403">
        <f t="shared" si="13"/>
        <v>47428272.539999962</v>
      </c>
    </row>
    <row r="60" spans="1:12">
      <c r="A60" s="407">
        <v>45</v>
      </c>
      <c r="B60" s="408">
        <v>44409</v>
      </c>
      <c r="C60" s="414">
        <f t="shared" si="14"/>
        <v>416666.66</v>
      </c>
      <c r="D60" s="404"/>
      <c r="E60" s="405">
        <f t="shared" si="10"/>
        <v>416666.66</v>
      </c>
      <c r="F60" s="405">
        <f t="shared" si="15"/>
        <v>42607526.789999954</v>
      </c>
      <c r="G60" s="405">
        <f t="shared" si="11"/>
        <v>-87499.998599999992</v>
      </c>
      <c r="H60" s="405">
        <f t="shared" si="16"/>
        <v>-8947580.6259000059</v>
      </c>
      <c r="I60" s="404">
        <f t="shared" si="12"/>
        <v>33659946.164099947</v>
      </c>
      <c r="J60" s="404">
        <f t="shared" si="17"/>
        <v>211650.45</v>
      </c>
      <c r="K60" s="404"/>
      <c r="L60" s="403">
        <f t="shared" si="13"/>
        <v>48056589.649999961</v>
      </c>
    </row>
    <row r="61" spans="1:12">
      <c r="A61" s="407">
        <v>46</v>
      </c>
      <c r="B61" s="408">
        <v>44440</v>
      </c>
      <c r="C61" s="414">
        <f t="shared" si="14"/>
        <v>416666.66</v>
      </c>
      <c r="D61" s="404"/>
      <c r="E61" s="405">
        <f t="shared" si="10"/>
        <v>416666.66</v>
      </c>
      <c r="F61" s="405">
        <f t="shared" si="15"/>
        <v>43024193.449999951</v>
      </c>
      <c r="G61" s="405">
        <f t="shared" si="11"/>
        <v>-87499.998599999992</v>
      </c>
      <c r="H61" s="405">
        <f t="shared" si="16"/>
        <v>-9035080.6245000064</v>
      </c>
      <c r="I61" s="404">
        <f t="shared" si="12"/>
        <v>33989112.825499944</v>
      </c>
      <c r="J61" s="404">
        <f t="shared" si="17"/>
        <v>213740.66</v>
      </c>
      <c r="K61" s="404"/>
      <c r="L61" s="403">
        <f t="shared" si="13"/>
        <v>48686996.969999954</v>
      </c>
    </row>
    <row r="62" spans="1:12">
      <c r="A62" s="407">
        <v>47</v>
      </c>
      <c r="B62" s="408">
        <v>44470</v>
      </c>
      <c r="C62" s="414">
        <f t="shared" si="14"/>
        <v>416666.66</v>
      </c>
      <c r="D62" s="404"/>
      <c r="E62" s="405">
        <f t="shared" si="10"/>
        <v>416666.66</v>
      </c>
      <c r="F62" s="405">
        <f t="shared" si="15"/>
        <v>43440860.109999947</v>
      </c>
      <c r="G62" s="405">
        <f t="shared" si="11"/>
        <v>-87499.998599999992</v>
      </c>
      <c r="H62" s="405">
        <f t="shared" si="16"/>
        <v>-9122580.623100007</v>
      </c>
      <c r="I62" s="404">
        <f t="shared" si="12"/>
        <v>34318279.486899942</v>
      </c>
      <c r="J62" s="404">
        <f t="shared" si="17"/>
        <v>215830.87</v>
      </c>
      <c r="K62" s="404"/>
      <c r="L62" s="403">
        <f t="shared" si="13"/>
        <v>49319494.499999948</v>
      </c>
    </row>
    <row r="63" spans="1:12">
      <c r="A63" s="407">
        <v>48</v>
      </c>
      <c r="B63" s="408">
        <v>44501</v>
      </c>
      <c r="C63" s="414">
        <f t="shared" si="14"/>
        <v>416666.66</v>
      </c>
      <c r="D63" s="404"/>
      <c r="E63" s="405">
        <f t="shared" si="10"/>
        <v>416666.66</v>
      </c>
      <c r="F63" s="405">
        <f t="shared" si="15"/>
        <v>43857526.769999944</v>
      </c>
      <c r="G63" s="405">
        <f t="shared" si="11"/>
        <v>-87499.998599999992</v>
      </c>
      <c r="H63" s="405">
        <f t="shared" si="16"/>
        <v>-9210080.6217000075</v>
      </c>
      <c r="I63" s="404">
        <f t="shared" si="12"/>
        <v>34647446.148299932</v>
      </c>
      <c r="J63" s="404">
        <f t="shared" si="17"/>
        <v>217921.07</v>
      </c>
      <c r="K63" s="404"/>
      <c r="L63" s="403">
        <f t="shared" si="13"/>
        <v>49954082.229999945</v>
      </c>
    </row>
    <row r="64" spans="1:12">
      <c r="A64" s="407">
        <v>49</v>
      </c>
      <c r="B64" s="408">
        <v>44531</v>
      </c>
      <c r="C64" s="414">
        <f t="shared" si="14"/>
        <v>416666.66</v>
      </c>
      <c r="D64" s="404"/>
      <c r="E64" s="405">
        <f t="shared" si="10"/>
        <v>416666.66</v>
      </c>
      <c r="F64" s="405">
        <f t="shared" si="15"/>
        <v>44274193.42999994</v>
      </c>
      <c r="G64" s="405">
        <f t="shared" si="11"/>
        <v>-87499.998599999992</v>
      </c>
      <c r="H64" s="405">
        <f t="shared" si="16"/>
        <v>-9297580.620300008</v>
      </c>
      <c r="I64" s="404">
        <f t="shared" si="12"/>
        <v>34976612.80969993</v>
      </c>
      <c r="J64" s="404">
        <f t="shared" si="17"/>
        <v>220011.28</v>
      </c>
      <c r="K64" s="404"/>
      <c r="L64" s="403">
        <f t="shared" si="13"/>
        <v>50590760.169999942</v>
      </c>
    </row>
    <row r="65" spans="1:30">
      <c r="A65" s="407">
        <v>50</v>
      </c>
      <c r="B65" s="408">
        <v>44562</v>
      </c>
      <c r="C65" s="414">
        <f t="shared" si="14"/>
        <v>416666.66</v>
      </c>
      <c r="D65" s="404"/>
      <c r="E65" s="405">
        <f t="shared" si="10"/>
        <v>416666.66</v>
      </c>
      <c r="F65" s="405">
        <f t="shared" si="15"/>
        <v>44690860.089999937</v>
      </c>
      <c r="G65" s="405">
        <f t="shared" si="11"/>
        <v>-87499.998599999992</v>
      </c>
      <c r="H65" s="405">
        <f t="shared" si="16"/>
        <v>-9385080.6189000085</v>
      </c>
      <c r="I65" s="404">
        <f t="shared" si="12"/>
        <v>35305779.471099928</v>
      </c>
      <c r="J65" s="404">
        <f t="shared" si="17"/>
        <v>222101.49</v>
      </c>
      <c r="K65" s="404"/>
      <c r="L65" s="403">
        <f t="shared" si="13"/>
        <v>51229528.319999941</v>
      </c>
    </row>
    <row r="66" spans="1:30">
      <c r="A66" s="407">
        <v>51</v>
      </c>
      <c r="B66" s="408">
        <v>44593</v>
      </c>
      <c r="C66" s="414">
        <f t="shared" si="14"/>
        <v>416666.66</v>
      </c>
      <c r="D66" s="404"/>
      <c r="E66" s="405">
        <f t="shared" si="10"/>
        <v>416666.66</v>
      </c>
      <c r="F66" s="405">
        <f t="shared" si="15"/>
        <v>45107526.749999933</v>
      </c>
      <c r="G66" s="405">
        <f t="shared" si="11"/>
        <v>-87499.998599999992</v>
      </c>
      <c r="H66" s="405">
        <f t="shared" si="16"/>
        <v>-9472580.617500009</v>
      </c>
      <c r="I66" s="404">
        <f t="shared" si="12"/>
        <v>35634946.132499926</v>
      </c>
      <c r="J66" s="404">
        <f t="shared" si="17"/>
        <v>224191.7</v>
      </c>
      <c r="K66" s="404"/>
      <c r="L66" s="403">
        <f t="shared" si="13"/>
        <v>51870386.67999994</v>
      </c>
    </row>
    <row r="67" spans="1:30">
      <c r="A67" s="407">
        <v>52</v>
      </c>
      <c r="B67" s="408">
        <v>44621</v>
      </c>
      <c r="C67" s="414">
        <f t="shared" si="14"/>
        <v>416666.66</v>
      </c>
      <c r="D67" s="404"/>
      <c r="E67" s="405">
        <f t="shared" si="10"/>
        <v>416666.66</v>
      </c>
      <c r="F67" s="405">
        <f t="shared" si="15"/>
        <v>45524193.409999929</v>
      </c>
      <c r="G67" s="405">
        <f t="shared" si="11"/>
        <v>-87499.998599999992</v>
      </c>
      <c r="H67" s="405">
        <f t="shared" si="16"/>
        <v>-9560080.6161000095</v>
      </c>
      <c r="I67" s="404">
        <f t="shared" si="12"/>
        <v>35964112.793899924</v>
      </c>
      <c r="J67" s="404">
        <f t="shared" si="17"/>
        <v>226281.91</v>
      </c>
      <c r="K67" s="404"/>
      <c r="L67" s="403">
        <f t="shared" si="13"/>
        <v>52513335.249999933</v>
      </c>
    </row>
    <row r="68" spans="1:30">
      <c r="A68" s="407">
        <v>53</v>
      </c>
      <c r="B68" s="408">
        <v>44652</v>
      </c>
      <c r="C68" s="414">
        <f t="shared" si="14"/>
        <v>416666.66</v>
      </c>
      <c r="D68" s="404"/>
      <c r="E68" s="405">
        <f t="shared" si="10"/>
        <v>416666.66</v>
      </c>
      <c r="F68" s="405">
        <f t="shared" si="15"/>
        <v>45940860.069999926</v>
      </c>
      <c r="G68" s="405">
        <f t="shared" si="11"/>
        <v>-87499.998599999992</v>
      </c>
      <c r="H68" s="405">
        <f t="shared" si="16"/>
        <v>-9647580.61470001</v>
      </c>
      <c r="I68" s="404">
        <f t="shared" si="12"/>
        <v>36293279.455299914</v>
      </c>
      <c r="J68" s="404">
        <f t="shared" si="17"/>
        <v>228372.12</v>
      </c>
      <c r="K68" s="404"/>
      <c r="L68" s="403">
        <f t="shared" si="13"/>
        <v>53158374.029999927</v>
      </c>
    </row>
    <row r="69" spans="1:30">
      <c r="A69" s="407">
        <v>54</v>
      </c>
      <c r="B69" s="408">
        <v>44682</v>
      </c>
      <c r="C69" s="414">
        <f t="shared" si="14"/>
        <v>416666.66</v>
      </c>
      <c r="D69" s="404"/>
      <c r="E69" s="405">
        <f t="shared" si="10"/>
        <v>416666.66</v>
      </c>
      <c r="F69" s="405">
        <f t="shared" si="15"/>
        <v>46357526.729999922</v>
      </c>
      <c r="G69" s="405">
        <f t="shared" si="11"/>
        <v>-87499.998599999992</v>
      </c>
      <c r="H69" s="405">
        <f t="shared" si="16"/>
        <v>-9735080.6133000106</v>
      </c>
      <c r="I69" s="404">
        <f t="shared" si="12"/>
        <v>36622446.116699912</v>
      </c>
      <c r="J69" s="404">
        <f t="shared" si="17"/>
        <v>230462.32</v>
      </c>
      <c r="K69" s="404"/>
      <c r="L69" s="403">
        <f t="shared" si="13"/>
        <v>53805503.009999923</v>
      </c>
    </row>
    <row r="70" spans="1:30">
      <c r="A70" s="407">
        <v>55</v>
      </c>
      <c r="B70" s="408">
        <v>44713</v>
      </c>
      <c r="C70" s="414">
        <f t="shared" si="14"/>
        <v>416666.66</v>
      </c>
      <c r="D70" s="404"/>
      <c r="E70" s="405">
        <f t="shared" si="10"/>
        <v>416666.66</v>
      </c>
      <c r="F70" s="405">
        <f t="shared" si="15"/>
        <v>46774193.389999919</v>
      </c>
      <c r="G70" s="405">
        <f t="shared" si="11"/>
        <v>-87499.998599999992</v>
      </c>
      <c r="H70" s="405">
        <f t="shared" si="16"/>
        <v>-9822580.6119000111</v>
      </c>
      <c r="I70" s="404">
        <f t="shared" si="12"/>
        <v>36951612.778099909</v>
      </c>
      <c r="J70" s="404">
        <f t="shared" si="17"/>
        <v>232552.53</v>
      </c>
      <c r="K70" s="404"/>
      <c r="L70" s="403">
        <f t="shared" si="13"/>
        <v>54454722.199999921</v>
      </c>
    </row>
    <row r="71" spans="1:30">
      <c r="A71" s="407">
        <v>56</v>
      </c>
      <c r="B71" s="408">
        <v>44743</v>
      </c>
      <c r="C71" s="414">
        <f t="shared" si="14"/>
        <v>416666.66</v>
      </c>
      <c r="D71" s="404"/>
      <c r="E71" s="405">
        <f t="shared" si="10"/>
        <v>416666.66</v>
      </c>
      <c r="F71" s="405">
        <f t="shared" si="15"/>
        <v>47190860.049999915</v>
      </c>
      <c r="G71" s="405">
        <f t="shared" si="11"/>
        <v>-87499.998599999992</v>
      </c>
      <c r="H71" s="405">
        <f t="shared" si="16"/>
        <v>-9910080.6105000116</v>
      </c>
      <c r="I71" s="404">
        <f t="shared" si="12"/>
        <v>37280779.4394999</v>
      </c>
      <c r="J71" s="404">
        <f t="shared" si="17"/>
        <v>234642.74</v>
      </c>
      <c r="K71" s="404"/>
      <c r="L71" s="403">
        <f t="shared" si="13"/>
        <v>55106031.59999992</v>
      </c>
      <c r="AD71" s="416"/>
    </row>
    <row r="72" spans="1:30">
      <c r="A72" s="407">
        <v>57</v>
      </c>
      <c r="B72" s="408">
        <v>44774</v>
      </c>
      <c r="C72" s="414">
        <f t="shared" si="14"/>
        <v>416666.66</v>
      </c>
      <c r="D72" s="404"/>
      <c r="E72" s="405">
        <f t="shared" si="10"/>
        <v>416666.66</v>
      </c>
      <c r="F72" s="405">
        <f t="shared" si="15"/>
        <v>47607526.709999911</v>
      </c>
      <c r="G72" s="405">
        <f t="shared" si="11"/>
        <v>-87499.998599999992</v>
      </c>
      <c r="H72" s="405">
        <f t="shared" si="16"/>
        <v>-9997580.6091000121</v>
      </c>
      <c r="I72" s="404">
        <f t="shared" si="12"/>
        <v>37609946.100899898</v>
      </c>
      <c r="J72" s="404">
        <f t="shared" si="17"/>
        <v>236732.95</v>
      </c>
      <c r="K72" s="404"/>
      <c r="L72" s="403">
        <f t="shared" si="13"/>
        <v>55759431.209999919</v>
      </c>
      <c r="R72" s="417"/>
      <c r="S72" s="417"/>
      <c r="T72" s="422" t="s">
        <v>907</v>
      </c>
      <c r="U72" s="421">
        <f>F76</f>
        <v>48965053.569999903</v>
      </c>
      <c r="V72" s="421">
        <f>ROUND(W09_PG_3_of_5!R79,2)</f>
        <v>4571195.91</v>
      </c>
      <c r="W72" s="421">
        <f>ROUND(W09_PG_3_of_5!S79,2)-0.05</f>
        <v>4366698.7</v>
      </c>
      <c r="X72" s="420">
        <f>U72+V72+W72</f>
        <v>57902948.179999903</v>
      </c>
      <c r="Y72" s="420">
        <f>X72-L76</f>
        <v>0</v>
      </c>
      <c r="Z72" s="417"/>
      <c r="AA72" s="419">
        <f>F76</f>
        <v>48965053.569999903</v>
      </c>
      <c r="AB72" s="419">
        <f>V72+W72</f>
        <v>8937894.6099999994</v>
      </c>
      <c r="AC72" s="419">
        <f>-W72</f>
        <v>-4366698.7</v>
      </c>
    </row>
    <row r="73" spans="1:30">
      <c r="A73" s="407">
        <v>58</v>
      </c>
      <c r="B73" s="408">
        <v>44805</v>
      </c>
      <c r="C73" s="414">
        <f t="shared" si="14"/>
        <v>416666.66</v>
      </c>
      <c r="D73" s="404"/>
      <c r="E73" s="405">
        <f t="shared" si="10"/>
        <v>416666.66</v>
      </c>
      <c r="F73" s="405">
        <f t="shared" si="15"/>
        <v>48024193.369999908</v>
      </c>
      <c r="G73" s="405">
        <f t="shared" si="11"/>
        <v>-87499.998599999992</v>
      </c>
      <c r="H73" s="405">
        <f t="shared" si="16"/>
        <v>-10085080.607700013</v>
      </c>
      <c r="I73" s="404">
        <f t="shared" si="12"/>
        <v>37939112.762299895</v>
      </c>
      <c r="J73" s="404">
        <f t="shared" si="17"/>
        <v>238823.16</v>
      </c>
      <c r="K73" s="404"/>
      <c r="L73" s="403">
        <f t="shared" si="13"/>
        <v>56414921.029999912</v>
      </c>
      <c r="R73" s="417"/>
      <c r="S73" s="417"/>
      <c r="T73" s="417"/>
      <c r="U73" s="418">
        <f>U72/$X$72</f>
        <v>0.84564007721653089</v>
      </c>
      <c r="V73" s="418">
        <f>V72/$X$72</f>
        <v>7.8945823203850685E-2</v>
      </c>
      <c r="W73" s="418">
        <f>W72/$X$72</f>
        <v>7.5414099579618463E-2</v>
      </c>
      <c r="X73" s="418">
        <f>X72/$X$72</f>
        <v>1</v>
      </c>
      <c r="Y73" s="417"/>
      <c r="Z73" s="417"/>
      <c r="AA73" s="417"/>
      <c r="AB73" s="417"/>
      <c r="AC73" s="417"/>
      <c r="AD73" s="416"/>
    </row>
    <row r="74" spans="1:30" ht="15" thickBot="1">
      <c r="A74" s="407">
        <v>59</v>
      </c>
      <c r="B74" s="408">
        <v>44835</v>
      </c>
      <c r="C74" s="414">
        <f t="shared" si="14"/>
        <v>416666.66</v>
      </c>
      <c r="D74" s="404"/>
      <c r="E74" s="405">
        <f t="shared" si="10"/>
        <v>416666.66</v>
      </c>
      <c r="F74" s="405">
        <f t="shared" si="15"/>
        <v>48440860.029999904</v>
      </c>
      <c r="G74" s="405">
        <f t="shared" si="11"/>
        <v>-87499.998599999992</v>
      </c>
      <c r="H74" s="405">
        <f t="shared" si="16"/>
        <v>-10172580.606300013</v>
      </c>
      <c r="I74" s="404">
        <f t="shared" si="12"/>
        <v>38268279.423699893</v>
      </c>
      <c r="J74" s="404">
        <f t="shared" si="17"/>
        <v>240913.37</v>
      </c>
      <c r="K74" s="404"/>
      <c r="L74" s="403">
        <f t="shared" si="13"/>
        <v>57072501.059999906</v>
      </c>
    </row>
    <row r="75" spans="1:30" ht="15" thickBot="1">
      <c r="A75" s="407">
        <v>60</v>
      </c>
      <c r="B75" s="408">
        <v>44866</v>
      </c>
      <c r="C75" s="414">
        <f t="shared" si="14"/>
        <v>416666.66</v>
      </c>
      <c r="D75" s="404"/>
      <c r="E75" s="405">
        <f t="shared" si="10"/>
        <v>416666.66</v>
      </c>
      <c r="F75" s="405">
        <f t="shared" si="15"/>
        <v>48857526.689999901</v>
      </c>
      <c r="G75" s="405">
        <f t="shared" si="11"/>
        <v>-87499.998599999992</v>
      </c>
      <c r="H75" s="405">
        <f t="shared" si="16"/>
        <v>-10260080.604900014</v>
      </c>
      <c r="I75" s="404">
        <f t="shared" si="12"/>
        <v>38597446.085099891</v>
      </c>
      <c r="J75" s="404">
        <f t="shared" si="17"/>
        <v>243003.57</v>
      </c>
      <c r="K75" s="404"/>
      <c r="L75" s="403">
        <f t="shared" si="13"/>
        <v>57732171.289999902</v>
      </c>
      <c r="N75" s="726" t="s">
        <v>917</v>
      </c>
      <c r="O75" s="727"/>
      <c r="P75" s="727"/>
      <c r="Q75" s="728"/>
      <c r="S75" s="729" t="s">
        <v>916</v>
      </c>
      <c r="U75" s="731" t="s">
        <v>915</v>
      </c>
      <c r="V75" s="732"/>
      <c r="W75" s="732"/>
      <c r="X75" s="732"/>
      <c r="Y75" s="733"/>
      <c r="AA75" s="731" t="s">
        <v>903</v>
      </c>
      <c r="AB75" s="732"/>
      <c r="AC75" s="733"/>
    </row>
    <row r="76" spans="1:30" ht="15" thickBot="1">
      <c r="A76" s="407">
        <v>61</v>
      </c>
      <c r="B76" s="406" t="s">
        <v>914</v>
      </c>
      <c r="C76" s="414">
        <f>ROUND(C75*8/31,2)</f>
        <v>107526.88</v>
      </c>
      <c r="D76" s="404"/>
      <c r="E76" s="405">
        <f t="shared" si="10"/>
        <v>107526.88</v>
      </c>
      <c r="F76" s="405">
        <f t="shared" si="15"/>
        <v>48965053.569999903</v>
      </c>
      <c r="G76" s="405">
        <f t="shared" si="11"/>
        <v>-22580.644800000002</v>
      </c>
      <c r="H76" s="405">
        <f t="shared" si="16"/>
        <v>-10282661.249700014</v>
      </c>
      <c r="I76" s="404">
        <f t="shared" si="12"/>
        <v>38682392.320299894</v>
      </c>
      <c r="J76" s="404">
        <f>ROUND((I75*$T$11*(8/31)),2)</f>
        <v>63250.01</v>
      </c>
      <c r="K76" s="404"/>
      <c r="L76" s="403">
        <f t="shared" si="13"/>
        <v>57902948.179999903</v>
      </c>
      <c r="N76" s="379" t="s">
        <v>912</v>
      </c>
      <c r="O76" s="378" t="s">
        <v>911</v>
      </c>
      <c r="P76" s="378" t="s">
        <v>158</v>
      </c>
      <c r="Q76" s="415" t="s">
        <v>762</v>
      </c>
      <c r="S76" s="730"/>
      <c r="U76" s="379" t="s">
        <v>913</v>
      </c>
      <c r="V76" s="378" t="s">
        <v>912</v>
      </c>
      <c r="W76" s="378" t="s">
        <v>911</v>
      </c>
      <c r="X76" s="378" t="s">
        <v>158</v>
      </c>
      <c r="Y76" s="377" t="s">
        <v>762</v>
      </c>
      <c r="AA76" s="379">
        <v>1823431</v>
      </c>
      <c r="AB76" s="378">
        <v>1823430</v>
      </c>
      <c r="AC76" s="377">
        <v>1823429</v>
      </c>
    </row>
    <row r="77" spans="1:30">
      <c r="A77" s="407">
        <v>62</v>
      </c>
      <c r="B77" s="406" t="s">
        <v>910</v>
      </c>
      <c r="C77" s="414"/>
      <c r="D77" s="404">
        <f>$D$9*23/31</f>
        <v>837120.21729476319</v>
      </c>
      <c r="E77" s="405">
        <f t="shared" si="10"/>
        <v>-837120.21729476319</v>
      </c>
      <c r="F77" s="405"/>
      <c r="G77" s="405">
        <f>-AVERAGE(G$16:G$76)*23/31</f>
        <v>127151.18749629048</v>
      </c>
      <c r="H77" s="405">
        <f t="shared" si="16"/>
        <v>-10155510.062203724</v>
      </c>
      <c r="I77" s="404">
        <f t="shared" ref="I77:I108" si="18">L77+H77</f>
        <v>47134670.900501415</v>
      </c>
      <c r="J77" s="413"/>
      <c r="K77" s="404">
        <f>ROUND(((L76+H76)*$D$8*(23/31)),2)</f>
        <v>224353</v>
      </c>
      <c r="L77" s="403">
        <f t="shared" si="13"/>
        <v>57290180.962705143</v>
      </c>
      <c r="N77" s="400">
        <f>ROUND(((L76+H76)*($T$9/12)*(23/31)),2)</f>
        <v>112765.35</v>
      </c>
      <c r="O77" s="399">
        <f>ROUND(((L76+H76)*($T$10/12)*(23/31)),2)</f>
        <v>111587.65</v>
      </c>
      <c r="P77" s="399">
        <f t="shared" ref="P77:P108" si="19">N77+O77</f>
        <v>224353</v>
      </c>
      <c r="Q77" s="402">
        <f t="shared" ref="Q77:Q108" si="20">K77-P77</f>
        <v>0</v>
      </c>
      <c r="S77" s="412">
        <f t="shared" ref="S77:S108" si="21">D77-P77</f>
        <v>612767.21729476319</v>
      </c>
      <c r="U77" s="411">
        <f t="shared" ref="U77:U108" si="22">$S77*$U$73</f>
        <v>518180.51694890234</v>
      </c>
      <c r="V77" s="410">
        <f t="shared" ref="V77:V108" si="23">$S77*$V$73</f>
        <v>48375.412401667927</v>
      </c>
      <c r="W77" s="410">
        <f t="shared" ref="W77:W108" si="24">$S77*$W$73</f>
        <v>46211.287944192976</v>
      </c>
      <c r="X77" s="410">
        <f t="shared" ref="X77:X108" si="25">SUM(U77:W77)</f>
        <v>612767.21729476331</v>
      </c>
      <c r="Y77" s="409">
        <f t="shared" ref="Y77:Y108" si="26">X77-S77</f>
        <v>0</v>
      </c>
      <c r="AA77" s="398">
        <f>AA72-U77</f>
        <v>48446873.053051002</v>
      </c>
      <c r="AB77" s="391">
        <f>AB72-V77-W77</f>
        <v>8843307.9096541386</v>
      </c>
      <c r="AC77" s="397">
        <f>AC72+W77</f>
        <v>-4320487.4120558072</v>
      </c>
    </row>
    <row r="78" spans="1:30">
      <c r="A78" s="407">
        <v>63</v>
      </c>
      <c r="B78" s="408">
        <v>44927</v>
      </c>
      <c r="C78" s="404"/>
      <c r="D78" s="404">
        <f t="shared" ref="D78:D109" si="27">$D$9</f>
        <v>1128292.4667885939</v>
      </c>
      <c r="E78" s="405">
        <f t="shared" si="10"/>
        <v>-1128292.4667885939</v>
      </c>
      <c r="F78" s="405"/>
      <c r="G78" s="405">
        <f t="shared" ref="G78:G109" si="28">-AVERAGE(G$16:G$76)</f>
        <v>171377.68749500022</v>
      </c>
      <c r="H78" s="405">
        <f t="shared" si="16"/>
        <v>-9984132.3747087233</v>
      </c>
      <c r="I78" s="404">
        <f t="shared" si="18"/>
        <v>46477061.281426013</v>
      </c>
      <c r="J78" s="404"/>
      <c r="K78" s="404">
        <f t="shared" ref="K78:K109" si="29">(L77+H77)*$D$8</f>
        <v>299305.160218184</v>
      </c>
      <c r="L78" s="403">
        <f t="shared" si="13"/>
        <v>56461193.656134732</v>
      </c>
      <c r="N78" s="400">
        <f t="shared" ref="N78:N109" si="30">ROUND(((L77+H77)*($T$9/12)),2)</f>
        <v>150438.16</v>
      </c>
      <c r="O78" s="399">
        <f t="shared" ref="O78:O109" si="31">ROUND(((L77+H77)*($T$10/12)),2)</f>
        <v>148867</v>
      </c>
      <c r="P78" s="399">
        <f t="shared" si="19"/>
        <v>299305.16000000003</v>
      </c>
      <c r="Q78" s="402">
        <f t="shared" si="20"/>
        <v>2.1818396635353565E-4</v>
      </c>
      <c r="S78" s="401">
        <f t="shared" si="21"/>
        <v>828987.30678859388</v>
      </c>
      <c r="U78" s="400">
        <f t="shared" si="22"/>
        <v>701024.89012423053</v>
      </c>
      <c r="V78" s="399">
        <f t="shared" si="23"/>
        <v>65445.08535996866</v>
      </c>
      <c r="W78" s="399">
        <f t="shared" si="24"/>
        <v>62517.331304394742</v>
      </c>
      <c r="X78" s="399">
        <f t="shared" si="25"/>
        <v>828987.306788594</v>
      </c>
      <c r="Y78" s="397">
        <f t="shared" si="26"/>
        <v>0</v>
      </c>
      <c r="AA78" s="398">
        <f t="shared" ref="AA78:AA109" si="32">AA77-U78</f>
        <v>47745848.162926771</v>
      </c>
      <c r="AB78" s="391">
        <f t="shared" ref="AB78:AB109" si="33">AB77-V78-W78</f>
        <v>8715345.4929897748</v>
      </c>
      <c r="AC78" s="397">
        <f t="shared" ref="AC78:AC109" si="34">AC77+W78</f>
        <v>-4257970.0807514125</v>
      </c>
    </row>
    <row r="79" spans="1:30">
      <c r="A79" s="407">
        <v>64</v>
      </c>
      <c r="B79" s="408">
        <v>44958</v>
      </c>
      <c r="C79" s="404"/>
      <c r="D79" s="404">
        <f t="shared" si="27"/>
        <v>1128292.4667885939</v>
      </c>
      <c r="E79" s="405">
        <f t="shared" si="10"/>
        <v>-1128292.4667885939</v>
      </c>
      <c r="F79" s="405"/>
      <c r="G79" s="405">
        <f t="shared" si="28"/>
        <v>171377.68749500022</v>
      </c>
      <c r="H79" s="405">
        <f t="shared" si="16"/>
        <v>-9812754.6872137226</v>
      </c>
      <c r="I79" s="404">
        <f t="shared" si="18"/>
        <v>45815275.841269463</v>
      </c>
      <c r="J79" s="404"/>
      <c r="K79" s="404">
        <f t="shared" si="29"/>
        <v>295129.33913705521</v>
      </c>
      <c r="L79" s="403">
        <f t="shared" si="13"/>
        <v>55628030.52848319</v>
      </c>
      <c r="N79" s="400">
        <f t="shared" si="30"/>
        <v>148339.29</v>
      </c>
      <c r="O79" s="399">
        <f t="shared" si="31"/>
        <v>146790.04999999999</v>
      </c>
      <c r="P79" s="399">
        <f t="shared" si="19"/>
        <v>295129.33999999997</v>
      </c>
      <c r="Q79" s="402">
        <f t="shared" si="20"/>
        <v>-8.6294475477188826E-4</v>
      </c>
      <c r="S79" s="401">
        <f t="shared" si="21"/>
        <v>833163.12678859395</v>
      </c>
      <c r="U79" s="400">
        <f t="shared" si="22"/>
        <v>704556.13087147288</v>
      </c>
      <c r="V79" s="399">
        <f t="shared" si="23"/>
        <v>65774.748907419766</v>
      </c>
      <c r="W79" s="399">
        <f t="shared" si="24"/>
        <v>62832.247009701307</v>
      </c>
      <c r="X79" s="399">
        <f t="shared" si="25"/>
        <v>833163.12678859395</v>
      </c>
      <c r="Y79" s="397">
        <f t="shared" si="26"/>
        <v>0</v>
      </c>
      <c r="AA79" s="398">
        <f t="shared" si="32"/>
        <v>47041292.032055296</v>
      </c>
      <c r="AB79" s="391">
        <f t="shared" si="33"/>
        <v>8586738.4970726538</v>
      </c>
      <c r="AC79" s="397">
        <f t="shared" si="34"/>
        <v>-4195137.8337417115</v>
      </c>
    </row>
    <row r="80" spans="1:30">
      <c r="A80" s="407">
        <v>65</v>
      </c>
      <c r="B80" s="408">
        <v>44986</v>
      </c>
      <c r="C80" s="404"/>
      <c r="D80" s="404">
        <f t="shared" si="27"/>
        <v>1128292.4667885939</v>
      </c>
      <c r="E80" s="405">
        <f t="shared" si="10"/>
        <v>-1128292.4667885939</v>
      </c>
      <c r="F80" s="405"/>
      <c r="G80" s="405">
        <f t="shared" si="28"/>
        <v>171377.68749500022</v>
      </c>
      <c r="H80" s="405">
        <f t="shared" si="16"/>
        <v>-9641376.999718722</v>
      </c>
      <c r="I80" s="404">
        <f t="shared" si="18"/>
        <v>45149288.063567936</v>
      </c>
      <c r="J80" s="404"/>
      <c r="K80" s="404">
        <f t="shared" si="29"/>
        <v>290927.00159206113</v>
      </c>
      <c r="L80" s="403">
        <f t="shared" si="13"/>
        <v>54790665.063286655</v>
      </c>
      <c r="N80" s="400">
        <f t="shared" si="30"/>
        <v>146227.09</v>
      </c>
      <c r="O80" s="399">
        <f t="shared" si="31"/>
        <v>144699.91</v>
      </c>
      <c r="P80" s="399">
        <f t="shared" si="19"/>
        <v>290927</v>
      </c>
      <c r="Q80" s="402">
        <f t="shared" si="20"/>
        <v>1.5920611331239343E-3</v>
      </c>
      <c r="S80" s="401">
        <f t="shared" si="21"/>
        <v>837365.46678859391</v>
      </c>
      <c r="U80" s="400">
        <f t="shared" si="22"/>
        <v>708109.797993563</v>
      </c>
      <c r="V80" s="399">
        <f t="shared" si="23"/>
        <v>66106.50609810224</v>
      </c>
      <c r="W80" s="399">
        <f t="shared" si="24"/>
        <v>63149.162696928717</v>
      </c>
      <c r="X80" s="399">
        <f t="shared" si="25"/>
        <v>837365.46678859391</v>
      </c>
      <c r="Y80" s="397">
        <f t="shared" si="26"/>
        <v>0</v>
      </c>
      <c r="AA80" s="398">
        <f t="shared" si="32"/>
        <v>46333182.234061733</v>
      </c>
      <c r="AB80" s="391">
        <f t="shared" si="33"/>
        <v>8457482.8282776214</v>
      </c>
      <c r="AC80" s="397">
        <f t="shared" si="34"/>
        <v>-4131988.6710447827</v>
      </c>
    </row>
    <row r="81" spans="1:29">
      <c r="A81" s="407">
        <v>66</v>
      </c>
      <c r="B81" s="408">
        <v>45017</v>
      </c>
      <c r="C81" s="404"/>
      <c r="D81" s="404">
        <f t="shared" si="27"/>
        <v>1128292.4667885939</v>
      </c>
      <c r="E81" s="405">
        <f t="shared" si="10"/>
        <v>-1128292.4667885939</v>
      </c>
      <c r="F81" s="405"/>
      <c r="G81" s="405">
        <f t="shared" si="28"/>
        <v>171377.68749500022</v>
      </c>
      <c r="H81" s="405">
        <f t="shared" si="16"/>
        <v>-9469999.3122237213</v>
      </c>
      <c r="I81" s="404">
        <f t="shared" si="18"/>
        <v>44479071.263477996</v>
      </c>
      <c r="J81" s="404"/>
      <c r="K81" s="404">
        <f t="shared" si="29"/>
        <v>286697.97920365643</v>
      </c>
      <c r="L81" s="403">
        <f t="shared" si="13"/>
        <v>53949070.575701714</v>
      </c>
      <c r="N81" s="400">
        <f t="shared" si="30"/>
        <v>144101.48000000001</v>
      </c>
      <c r="O81" s="399">
        <f t="shared" si="31"/>
        <v>142596.5</v>
      </c>
      <c r="P81" s="399">
        <f t="shared" si="19"/>
        <v>286697.98</v>
      </c>
      <c r="Q81" s="402">
        <f t="shared" si="20"/>
        <v>-7.9634354915469885E-4</v>
      </c>
      <c r="S81" s="401">
        <f t="shared" si="21"/>
        <v>841594.48678859393</v>
      </c>
      <c r="U81" s="400">
        <f t="shared" si="22"/>
        <v>711686.02679291321</v>
      </c>
      <c r="V81" s="399">
        <f t="shared" si="23"/>
        <v>66440.369563347791</v>
      </c>
      <c r="W81" s="399">
        <f t="shared" si="24"/>
        <v>63468.090432332916</v>
      </c>
      <c r="X81" s="399">
        <f t="shared" si="25"/>
        <v>841594.48678859393</v>
      </c>
      <c r="Y81" s="397">
        <f t="shared" si="26"/>
        <v>0</v>
      </c>
      <c r="AA81" s="398">
        <f t="shared" si="32"/>
        <v>45621496.207268819</v>
      </c>
      <c r="AB81" s="391">
        <f t="shared" si="33"/>
        <v>8327574.36828194</v>
      </c>
      <c r="AC81" s="397">
        <f t="shared" si="34"/>
        <v>-4068520.5806124499</v>
      </c>
    </row>
    <row r="82" spans="1:29">
      <c r="A82" s="407">
        <v>67</v>
      </c>
      <c r="B82" s="408">
        <v>45047</v>
      </c>
      <c r="C82" s="404"/>
      <c r="D82" s="404">
        <f t="shared" si="27"/>
        <v>1128292.4667885939</v>
      </c>
      <c r="E82" s="405">
        <f t="shared" si="10"/>
        <v>-1128292.4667885939</v>
      </c>
      <c r="F82" s="405"/>
      <c r="G82" s="405">
        <f t="shared" si="28"/>
        <v>171377.68749500022</v>
      </c>
      <c r="H82" s="405">
        <f t="shared" si="16"/>
        <v>-9298621.6247287206</v>
      </c>
      <c r="I82" s="404">
        <f t="shared" si="18"/>
        <v>43804598.586707488</v>
      </c>
      <c r="J82" s="404"/>
      <c r="K82" s="404">
        <f t="shared" si="29"/>
        <v>282442.10252308531</v>
      </c>
      <c r="L82" s="403">
        <f t="shared" si="13"/>
        <v>53103220.211436205</v>
      </c>
      <c r="N82" s="400">
        <f t="shared" si="30"/>
        <v>141962.37</v>
      </c>
      <c r="O82" s="399">
        <f t="shared" si="31"/>
        <v>140479.73000000001</v>
      </c>
      <c r="P82" s="399">
        <f t="shared" si="19"/>
        <v>282442.09999999998</v>
      </c>
      <c r="Q82" s="402">
        <f t="shared" si="20"/>
        <v>2.5230853352695704E-3</v>
      </c>
      <c r="S82" s="401">
        <f t="shared" si="21"/>
        <v>845850.36678859394</v>
      </c>
      <c r="U82" s="400">
        <f t="shared" si="22"/>
        <v>715284.96948473761</v>
      </c>
      <c r="V82" s="399">
        <f t="shared" si="23"/>
        <v>66776.353513404596</v>
      </c>
      <c r="W82" s="399">
        <f t="shared" si="24"/>
        <v>63789.043790451826</v>
      </c>
      <c r="X82" s="399">
        <f t="shared" si="25"/>
        <v>845850.36678859405</v>
      </c>
      <c r="Y82" s="397">
        <f t="shared" si="26"/>
        <v>0</v>
      </c>
      <c r="AA82" s="398">
        <f t="shared" si="32"/>
        <v>44906211.23778408</v>
      </c>
      <c r="AB82" s="391">
        <f t="shared" si="33"/>
        <v>8197008.9709780831</v>
      </c>
      <c r="AC82" s="397">
        <f t="shared" si="34"/>
        <v>-4004731.5368219982</v>
      </c>
    </row>
    <row r="83" spans="1:29">
      <c r="A83" s="407">
        <v>68</v>
      </c>
      <c r="B83" s="408">
        <v>45078</v>
      </c>
      <c r="C83" s="404"/>
      <c r="D83" s="404">
        <f t="shared" si="27"/>
        <v>1128292.4667885939</v>
      </c>
      <c r="E83" s="405">
        <f t="shared" si="10"/>
        <v>-1128292.4667885939</v>
      </c>
      <c r="F83" s="405"/>
      <c r="G83" s="405">
        <f t="shared" si="28"/>
        <v>171377.68749500022</v>
      </c>
      <c r="H83" s="405">
        <f t="shared" si="16"/>
        <v>-9127243.93723372</v>
      </c>
      <c r="I83" s="404">
        <f t="shared" si="18"/>
        <v>43125843.008439481</v>
      </c>
      <c r="J83" s="404"/>
      <c r="K83" s="404">
        <f t="shared" si="29"/>
        <v>278159.20102559257</v>
      </c>
      <c r="L83" s="403">
        <f t="shared" si="13"/>
        <v>52253086.945673198</v>
      </c>
      <c r="N83" s="400">
        <f t="shared" si="30"/>
        <v>139809.68</v>
      </c>
      <c r="O83" s="399">
        <f t="shared" si="31"/>
        <v>138349.51999999999</v>
      </c>
      <c r="P83" s="399">
        <f t="shared" si="19"/>
        <v>278159.19999999995</v>
      </c>
      <c r="Q83" s="402">
        <f t="shared" si="20"/>
        <v>1.0255926172249019E-3</v>
      </c>
      <c r="S83" s="401">
        <f t="shared" si="21"/>
        <v>850133.26678859396</v>
      </c>
      <c r="U83" s="400">
        <f t="shared" si="22"/>
        <v>718906.76137144829</v>
      </c>
      <c r="V83" s="399">
        <f t="shared" si="23"/>
        <v>67114.470579604371</v>
      </c>
      <c r="W83" s="399">
        <f t="shared" si="24"/>
        <v>64112.034837541374</v>
      </c>
      <c r="X83" s="399">
        <f t="shared" si="25"/>
        <v>850133.26678859408</v>
      </c>
      <c r="Y83" s="397">
        <f t="shared" si="26"/>
        <v>0</v>
      </c>
      <c r="AA83" s="398">
        <f t="shared" si="32"/>
        <v>44187304.476412632</v>
      </c>
      <c r="AB83" s="391">
        <f t="shared" si="33"/>
        <v>8065782.4655609373</v>
      </c>
      <c r="AC83" s="397">
        <f t="shared" si="34"/>
        <v>-3940619.501984457</v>
      </c>
    </row>
    <row r="84" spans="1:29">
      <c r="A84" s="407">
        <v>69</v>
      </c>
      <c r="B84" s="408">
        <v>45108</v>
      </c>
      <c r="C84" s="404"/>
      <c r="D84" s="404">
        <f t="shared" si="27"/>
        <v>1128292.4667885939</v>
      </c>
      <c r="E84" s="405">
        <f t="shared" si="10"/>
        <v>-1128292.4667885939</v>
      </c>
      <c r="F84" s="405"/>
      <c r="G84" s="405">
        <f t="shared" si="28"/>
        <v>171377.68749500022</v>
      </c>
      <c r="H84" s="405">
        <f t="shared" si="16"/>
        <v>-8955866.2497387193</v>
      </c>
      <c r="I84" s="404">
        <f t="shared" si="18"/>
        <v>42442777.332249478</v>
      </c>
      <c r="J84" s="404"/>
      <c r="K84" s="404">
        <f t="shared" si="29"/>
        <v>273849.10310359072</v>
      </c>
      <c r="L84" s="403">
        <f t="shared" si="13"/>
        <v>51398643.581988193</v>
      </c>
      <c r="N84" s="400">
        <f t="shared" si="30"/>
        <v>137643.32</v>
      </c>
      <c r="O84" s="399">
        <f t="shared" si="31"/>
        <v>136205.79</v>
      </c>
      <c r="P84" s="399">
        <f t="shared" si="19"/>
        <v>273849.11</v>
      </c>
      <c r="Q84" s="402">
        <f t="shared" si="20"/>
        <v>-6.8964092643000185E-3</v>
      </c>
      <c r="S84" s="401">
        <f t="shared" si="21"/>
        <v>854443.35678859393</v>
      </c>
      <c r="U84" s="400">
        <f t="shared" si="22"/>
        <v>722551.5462118584</v>
      </c>
      <c r="V84" s="399">
        <f t="shared" si="23"/>
        <v>67454.734182737055</v>
      </c>
      <c r="W84" s="399">
        <f t="shared" si="24"/>
        <v>64437.07639399849</v>
      </c>
      <c r="X84" s="399">
        <f t="shared" si="25"/>
        <v>854443.35678859393</v>
      </c>
      <c r="Y84" s="397">
        <f t="shared" si="26"/>
        <v>0</v>
      </c>
      <c r="AA84" s="398">
        <f t="shared" si="32"/>
        <v>43464752.93020077</v>
      </c>
      <c r="AB84" s="391">
        <f t="shared" si="33"/>
        <v>7933890.6549842022</v>
      </c>
      <c r="AC84" s="397">
        <f t="shared" si="34"/>
        <v>-3876182.4255904583</v>
      </c>
    </row>
    <row r="85" spans="1:29">
      <c r="A85" s="407">
        <v>70</v>
      </c>
      <c r="B85" s="408">
        <v>45139</v>
      </c>
      <c r="C85" s="404"/>
      <c r="D85" s="404">
        <f t="shared" si="27"/>
        <v>1128292.4667885939</v>
      </c>
      <c r="E85" s="405">
        <f t="shared" ref="E85:E116" si="35">C85-D85</f>
        <v>-1128292.4667885939</v>
      </c>
      <c r="F85" s="405"/>
      <c r="G85" s="405">
        <f t="shared" si="28"/>
        <v>171377.68749500022</v>
      </c>
      <c r="H85" s="405">
        <f t="shared" si="16"/>
        <v>-8784488.5622437187</v>
      </c>
      <c r="I85" s="404">
        <f t="shared" si="18"/>
        <v>41755374.189015657</v>
      </c>
      <c r="J85" s="404"/>
      <c r="K85" s="404">
        <f t="shared" si="29"/>
        <v>269511.63605978421</v>
      </c>
      <c r="L85" s="403">
        <f t="shared" ref="L85:L116" si="36">L84+E85+J85+K85</f>
        <v>50539862.751259379</v>
      </c>
      <c r="N85" s="400">
        <f t="shared" si="30"/>
        <v>135463.20000000001</v>
      </c>
      <c r="O85" s="399">
        <f t="shared" si="31"/>
        <v>134048.44</v>
      </c>
      <c r="P85" s="399">
        <f t="shared" si="19"/>
        <v>269511.64</v>
      </c>
      <c r="Q85" s="402">
        <f t="shared" si="20"/>
        <v>-3.9402157999575138E-3</v>
      </c>
      <c r="S85" s="401">
        <f t="shared" si="21"/>
        <v>858780.8267885939</v>
      </c>
      <c r="U85" s="400">
        <f t="shared" si="22"/>
        <v>726219.48467758275</v>
      </c>
      <c r="V85" s="399">
        <f t="shared" si="23"/>
        <v>67797.159322509047</v>
      </c>
      <c r="W85" s="399">
        <f t="shared" si="24"/>
        <v>64764.182788502098</v>
      </c>
      <c r="X85" s="399">
        <f t="shared" si="25"/>
        <v>858780.8267885939</v>
      </c>
      <c r="Y85" s="397">
        <f t="shared" si="26"/>
        <v>0</v>
      </c>
      <c r="AA85" s="398">
        <f t="shared" si="32"/>
        <v>42738533.445523188</v>
      </c>
      <c r="AB85" s="391">
        <f t="shared" si="33"/>
        <v>7801329.3128731912</v>
      </c>
      <c r="AC85" s="397">
        <f t="shared" si="34"/>
        <v>-3811418.2428019564</v>
      </c>
    </row>
    <row r="86" spans="1:29" ht="14.5" customHeight="1" outlineLevel="1">
      <c r="A86" s="407">
        <v>71</v>
      </c>
      <c r="B86" s="408">
        <v>45170</v>
      </c>
      <c r="C86" s="404"/>
      <c r="D86" s="404">
        <f t="shared" si="27"/>
        <v>1128292.4667885939</v>
      </c>
      <c r="E86" s="405">
        <f t="shared" si="35"/>
        <v>-1128292.4667885939</v>
      </c>
      <c r="F86" s="405"/>
      <c r="G86" s="405">
        <f t="shared" si="28"/>
        <v>171377.68749500022</v>
      </c>
      <c r="H86" s="405">
        <f t="shared" ref="H86:H117" si="37">G86+H85</f>
        <v>-8613110.874748718</v>
      </c>
      <c r="I86" s="404">
        <f t="shared" si="18"/>
        <v>41063606.035822317</v>
      </c>
      <c r="J86" s="404"/>
      <c r="K86" s="404">
        <f t="shared" si="29"/>
        <v>265146.62610024947</v>
      </c>
      <c r="L86" s="403">
        <f t="shared" si="36"/>
        <v>49676716.910571031</v>
      </c>
      <c r="N86" s="400">
        <f t="shared" si="30"/>
        <v>133269.24</v>
      </c>
      <c r="O86" s="399">
        <f t="shared" si="31"/>
        <v>131877.39000000001</v>
      </c>
      <c r="P86" s="399">
        <f t="shared" si="19"/>
        <v>265146.63</v>
      </c>
      <c r="Q86" s="402">
        <f t="shared" si="20"/>
        <v>-3.8997505325824022E-3</v>
      </c>
      <c r="S86" s="401">
        <f t="shared" si="21"/>
        <v>863145.83678859391</v>
      </c>
      <c r="U86" s="400">
        <f t="shared" si="22"/>
        <v>729910.71207103378</v>
      </c>
      <c r="V86" s="399">
        <f t="shared" si="23"/>
        <v>68141.758630252094</v>
      </c>
      <c r="W86" s="399">
        <f t="shared" si="24"/>
        <v>65093.366087308124</v>
      </c>
      <c r="X86" s="399">
        <f t="shared" si="25"/>
        <v>863145.83678859402</v>
      </c>
      <c r="Y86" s="397">
        <f t="shared" si="26"/>
        <v>0</v>
      </c>
      <c r="AA86" s="398">
        <f t="shared" si="32"/>
        <v>42008622.733452156</v>
      </c>
      <c r="AB86" s="391">
        <f t="shared" si="33"/>
        <v>7668094.1881556306</v>
      </c>
      <c r="AC86" s="397">
        <f t="shared" si="34"/>
        <v>-3746324.8767146482</v>
      </c>
    </row>
    <row r="87" spans="1:29" ht="14.5" customHeight="1" outlineLevel="1">
      <c r="A87" s="407">
        <v>72</v>
      </c>
      <c r="B87" s="408">
        <v>45200</v>
      </c>
      <c r="C87" s="404"/>
      <c r="D87" s="404">
        <f t="shared" si="27"/>
        <v>1128292.4667885939</v>
      </c>
      <c r="E87" s="405">
        <f t="shared" si="35"/>
        <v>-1128292.4667885939</v>
      </c>
      <c r="F87" s="405"/>
      <c r="G87" s="405">
        <f t="shared" si="28"/>
        <v>171377.68749500022</v>
      </c>
      <c r="H87" s="405">
        <f t="shared" si="37"/>
        <v>-8441733.1872537173</v>
      </c>
      <c r="I87" s="404">
        <f t="shared" si="18"/>
        <v>40367445.15485619</v>
      </c>
      <c r="J87" s="404"/>
      <c r="K87" s="404">
        <f t="shared" si="29"/>
        <v>260753.89832747175</v>
      </c>
      <c r="L87" s="403">
        <f t="shared" si="36"/>
        <v>48809178.342109904</v>
      </c>
      <c r="N87" s="400">
        <f t="shared" si="30"/>
        <v>131061.34</v>
      </c>
      <c r="O87" s="399">
        <f t="shared" si="31"/>
        <v>129692.56</v>
      </c>
      <c r="P87" s="399">
        <f t="shared" si="19"/>
        <v>260753.9</v>
      </c>
      <c r="Q87" s="402">
        <f t="shared" si="20"/>
        <v>-1.6725282475817949E-3</v>
      </c>
      <c r="S87" s="401">
        <f t="shared" si="21"/>
        <v>867538.56678859389</v>
      </c>
      <c r="U87" s="400">
        <f t="shared" si="22"/>
        <v>733625.38060742512</v>
      </c>
      <c r="V87" s="399">
        <f t="shared" si="23"/>
        <v>68488.546316214342</v>
      </c>
      <c r="W87" s="399">
        <f t="shared" si="24"/>
        <v>65424.639864954501</v>
      </c>
      <c r="X87" s="399">
        <f t="shared" si="25"/>
        <v>867538.56678859401</v>
      </c>
      <c r="Y87" s="397">
        <f t="shared" si="26"/>
        <v>0</v>
      </c>
      <c r="AA87" s="398">
        <f t="shared" si="32"/>
        <v>41274997.35284473</v>
      </c>
      <c r="AB87" s="391">
        <f t="shared" si="33"/>
        <v>7534181.0019744625</v>
      </c>
      <c r="AC87" s="397">
        <f t="shared" si="34"/>
        <v>-3680900.2368496936</v>
      </c>
    </row>
    <row r="88" spans="1:29" ht="14.5" customHeight="1" outlineLevel="1">
      <c r="A88" s="407">
        <v>73</v>
      </c>
      <c r="B88" s="408">
        <v>45231</v>
      </c>
      <c r="C88" s="404"/>
      <c r="D88" s="404">
        <f t="shared" si="27"/>
        <v>1128292.4667885939</v>
      </c>
      <c r="E88" s="405">
        <f t="shared" si="35"/>
        <v>-1128292.4667885939</v>
      </c>
      <c r="F88" s="405"/>
      <c r="G88" s="405">
        <f t="shared" si="28"/>
        <v>171377.68749500022</v>
      </c>
      <c r="H88" s="405">
        <f t="shared" si="37"/>
        <v>-8270355.4997587167</v>
      </c>
      <c r="I88" s="404">
        <f t="shared" si="18"/>
        <v>39666863.652295932</v>
      </c>
      <c r="J88" s="404"/>
      <c r="K88" s="404">
        <f t="shared" si="29"/>
        <v>256333.27673333682</v>
      </c>
      <c r="L88" s="403">
        <f t="shared" si="36"/>
        <v>47937219.152054645</v>
      </c>
      <c r="N88" s="400">
        <f t="shared" si="30"/>
        <v>128839.43</v>
      </c>
      <c r="O88" s="399">
        <f t="shared" si="31"/>
        <v>127493.85</v>
      </c>
      <c r="P88" s="399">
        <f t="shared" si="19"/>
        <v>256333.28</v>
      </c>
      <c r="Q88" s="402">
        <f t="shared" si="20"/>
        <v>-3.2666631741449237E-3</v>
      </c>
      <c r="S88" s="401">
        <f t="shared" si="21"/>
        <v>871959.18678859388</v>
      </c>
      <c r="U88" s="400">
        <f t="shared" si="22"/>
        <v>737363.63404557004</v>
      </c>
      <c r="V88" s="399">
        <f t="shared" si="23"/>
        <v>68837.535801185746</v>
      </c>
      <c r="W88" s="399">
        <f t="shared" si="24"/>
        <v>65758.016941838156</v>
      </c>
      <c r="X88" s="399">
        <f t="shared" si="25"/>
        <v>871959.186788594</v>
      </c>
      <c r="Y88" s="397">
        <f t="shared" si="26"/>
        <v>0</v>
      </c>
      <c r="AA88" s="398">
        <f t="shared" si="32"/>
        <v>40537633.718799159</v>
      </c>
      <c r="AB88" s="391">
        <f t="shared" si="33"/>
        <v>7399585.4492314393</v>
      </c>
      <c r="AC88" s="397">
        <f t="shared" si="34"/>
        <v>-3615142.2199078556</v>
      </c>
    </row>
    <row r="89" spans="1:29" ht="14.5" customHeight="1" outlineLevel="1">
      <c r="A89" s="407">
        <v>74</v>
      </c>
      <c r="B89" s="408">
        <v>45261</v>
      </c>
      <c r="C89" s="404"/>
      <c r="D89" s="404">
        <f t="shared" si="27"/>
        <v>1128292.4667885939</v>
      </c>
      <c r="E89" s="405">
        <f t="shared" si="35"/>
        <v>-1128292.4667885939</v>
      </c>
      <c r="F89" s="405"/>
      <c r="G89" s="405">
        <f t="shared" si="28"/>
        <v>171377.68749500022</v>
      </c>
      <c r="H89" s="405">
        <f t="shared" si="37"/>
        <v>-8098977.812263716</v>
      </c>
      <c r="I89" s="404">
        <f t="shared" si="18"/>
        <v>38961833.457194418</v>
      </c>
      <c r="J89" s="404"/>
      <c r="K89" s="404">
        <f t="shared" si="29"/>
        <v>251884.5841920792</v>
      </c>
      <c r="L89" s="403">
        <f t="shared" si="36"/>
        <v>47060811.26945813</v>
      </c>
      <c r="N89" s="400">
        <f t="shared" si="30"/>
        <v>126603.41</v>
      </c>
      <c r="O89" s="399">
        <f t="shared" si="31"/>
        <v>125281.18</v>
      </c>
      <c r="P89" s="399">
        <f t="shared" si="19"/>
        <v>251884.59</v>
      </c>
      <c r="Q89" s="402">
        <f t="shared" si="20"/>
        <v>-5.8079207956325263E-3</v>
      </c>
      <c r="S89" s="401">
        <f t="shared" si="21"/>
        <v>876407.87678859395</v>
      </c>
      <c r="U89" s="400">
        <f t="shared" si="22"/>
        <v>741125.62460068252</v>
      </c>
      <c r="V89" s="399">
        <f t="shared" si="23"/>
        <v>69188.741295414497</v>
      </c>
      <c r="W89" s="399">
        <f t="shared" si="24"/>
        <v>66093.510892497012</v>
      </c>
      <c r="X89" s="399">
        <f t="shared" si="25"/>
        <v>876407.87678859406</v>
      </c>
      <c r="Y89" s="397">
        <f t="shared" si="26"/>
        <v>0</v>
      </c>
      <c r="AA89" s="398">
        <f t="shared" si="32"/>
        <v>39796508.094198473</v>
      </c>
      <c r="AB89" s="391">
        <f t="shared" si="33"/>
        <v>7264303.1970435278</v>
      </c>
      <c r="AC89" s="397">
        <f t="shared" si="34"/>
        <v>-3549048.7090153587</v>
      </c>
    </row>
    <row r="90" spans="1:29" ht="14.5" customHeight="1" outlineLevel="1">
      <c r="A90" s="407">
        <v>75</v>
      </c>
      <c r="B90" s="408">
        <v>45292</v>
      </c>
      <c r="C90" s="404"/>
      <c r="D90" s="404">
        <f t="shared" si="27"/>
        <v>1128292.4667885939</v>
      </c>
      <c r="E90" s="405">
        <f t="shared" si="35"/>
        <v>-1128292.4667885939</v>
      </c>
      <c r="F90" s="405"/>
      <c r="G90" s="405">
        <f t="shared" si="28"/>
        <v>171377.68749500022</v>
      </c>
      <c r="H90" s="405">
        <f t="shared" si="37"/>
        <v>-7927600.1247687154</v>
      </c>
      <c r="I90" s="404">
        <f t="shared" si="18"/>
        <v>38252326.320354</v>
      </c>
      <c r="J90" s="404"/>
      <c r="K90" s="404">
        <f t="shared" si="29"/>
        <v>247407.64245318458</v>
      </c>
      <c r="L90" s="403">
        <f t="shared" si="36"/>
        <v>46179926.445122719</v>
      </c>
      <c r="N90" s="400">
        <f t="shared" si="30"/>
        <v>124353.19</v>
      </c>
      <c r="O90" s="399">
        <f t="shared" si="31"/>
        <v>123054.46</v>
      </c>
      <c r="P90" s="399">
        <f t="shared" si="19"/>
        <v>247407.65000000002</v>
      </c>
      <c r="Q90" s="402">
        <f t="shared" si="20"/>
        <v>-7.5468154391273856E-3</v>
      </c>
      <c r="S90" s="401">
        <f t="shared" si="21"/>
        <v>880884.81678859389</v>
      </c>
      <c r="U90" s="400">
        <f t="shared" si="22"/>
        <v>744911.5044879762</v>
      </c>
      <c r="V90" s="399">
        <f t="shared" si="23"/>
        <v>69542.177009148741</v>
      </c>
      <c r="W90" s="399">
        <f t="shared" si="24"/>
        <v>66431.135291468978</v>
      </c>
      <c r="X90" s="399">
        <f t="shared" si="25"/>
        <v>880884.81678859389</v>
      </c>
      <c r="Y90" s="397">
        <f t="shared" si="26"/>
        <v>0</v>
      </c>
      <c r="AA90" s="398">
        <f t="shared" si="32"/>
        <v>39051596.589710496</v>
      </c>
      <c r="AB90" s="391">
        <f t="shared" si="33"/>
        <v>7128329.88474291</v>
      </c>
      <c r="AC90" s="397">
        <f t="shared" si="34"/>
        <v>-3482617.5737238899</v>
      </c>
    </row>
    <row r="91" spans="1:29" ht="14.5" customHeight="1" outlineLevel="1">
      <c r="A91" s="407">
        <v>76</v>
      </c>
      <c r="B91" s="408">
        <v>45323</v>
      </c>
      <c r="C91" s="404"/>
      <c r="D91" s="404">
        <f t="shared" si="27"/>
        <v>1128292.4667885939</v>
      </c>
      <c r="E91" s="405">
        <f t="shared" si="35"/>
        <v>-1128292.4667885939</v>
      </c>
      <c r="F91" s="405"/>
      <c r="G91" s="405">
        <f t="shared" si="28"/>
        <v>171377.68749500022</v>
      </c>
      <c r="H91" s="405">
        <f t="shared" si="37"/>
        <v>-7756222.4372737147</v>
      </c>
      <c r="I91" s="404">
        <f t="shared" si="18"/>
        <v>37538313.813194647</v>
      </c>
      <c r="J91" s="404"/>
      <c r="K91" s="404">
        <f t="shared" si="29"/>
        <v>242902.27213424793</v>
      </c>
      <c r="L91" s="403">
        <f t="shared" si="36"/>
        <v>45294536.250468366</v>
      </c>
      <c r="N91" s="400">
        <f t="shared" si="30"/>
        <v>122088.67</v>
      </c>
      <c r="O91" s="399">
        <f t="shared" si="31"/>
        <v>120813.6</v>
      </c>
      <c r="P91" s="399">
        <f t="shared" si="19"/>
        <v>242902.27000000002</v>
      </c>
      <c r="Q91" s="402">
        <f t="shared" si="20"/>
        <v>2.1342479158192873E-3</v>
      </c>
      <c r="S91" s="401">
        <f t="shared" si="21"/>
        <v>885390.19678859389</v>
      </c>
      <c r="U91" s="400">
        <f t="shared" si="22"/>
        <v>748721.43437906599</v>
      </c>
      <c r="V91" s="399">
        <f t="shared" si="23"/>
        <v>69897.857942094895</v>
      </c>
      <c r="W91" s="399">
        <f t="shared" si="24"/>
        <v>66770.904467433007</v>
      </c>
      <c r="X91" s="399">
        <f t="shared" si="25"/>
        <v>885390.19678859389</v>
      </c>
      <c r="Y91" s="397">
        <f t="shared" si="26"/>
        <v>0</v>
      </c>
      <c r="AA91" s="398">
        <f t="shared" si="32"/>
        <v>38302875.155331433</v>
      </c>
      <c r="AB91" s="391">
        <f t="shared" si="33"/>
        <v>6991661.1223333823</v>
      </c>
      <c r="AC91" s="397">
        <f t="shared" si="34"/>
        <v>-3415846.6692564567</v>
      </c>
    </row>
    <row r="92" spans="1:29" ht="14.5" customHeight="1" outlineLevel="1">
      <c r="A92" s="407">
        <v>77</v>
      </c>
      <c r="B92" s="408">
        <v>45352</v>
      </c>
      <c r="C92" s="404"/>
      <c r="D92" s="404">
        <f t="shared" si="27"/>
        <v>1128292.4667885939</v>
      </c>
      <c r="E92" s="405">
        <f t="shared" si="35"/>
        <v>-1128292.4667885939</v>
      </c>
      <c r="F92" s="405"/>
      <c r="G92" s="405">
        <f t="shared" si="28"/>
        <v>171377.68749500022</v>
      </c>
      <c r="H92" s="405">
        <f t="shared" si="37"/>
        <v>-7584844.749778714</v>
      </c>
      <c r="I92" s="404">
        <f t="shared" si="18"/>
        <v>36819767.326614842</v>
      </c>
      <c r="J92" s="404"/>
      <c r="K92" s="404">
        <f t="shared" si="29"/>
        <v>238368.29271378604</v>
      </c>
      <c r="L92" s="403">
        <f t="shared" si="36"/>
        <v>44404612.076393552</v>
      </c>
      <c r="N92" s="400">
        <f t="shared" si="30"/>
        <v>119809.78</v>
      </c>
      <c r="O92" s="399">
        <f t="shared" si="31"/>
        <v>118558.51</v>
      </c>
      <c r="P92" s="399">
        <f t="shared" si="19"/>
        <v>238368.28999999998</v>
      </c>
      <c r="Q92" s="402">
        <f t="shared" si="20"/>
        <v>2.7137860597576946E-3</v>
      </c>
      <c r="S92" s="401">
        <f t="shared" si="21"/>
        <v>889924.17678859388</v>
      </c>
      <c r="U92" s="400">
        <f t="shared" si="22"/>
        <v>752555.54957636422</v>
      </c>
      <c r="V92" s="399">
        <f t="shared" si="23"/>
        <v>70255.796725584689</v>
      </c>
      <c r="W92" s="399">
        <f t="shared" si="24"/>
        <v>67112.830486645005</v>
      </c>
      <c r="X92" s="399">
        <f t="shared" si="25"/>
        <v>889924.17678859388</v>
      </c>
      <c r="Y92" s="397">
        <f t="shared" si="26"/>
        <v>0</v>
      </c>
      <c r="AA92" s="398">
        <f t="shared" si="32"/>
        <v>37550319.605755068</v>
      </c>
      <c r="AB92" s="391">
        <f t="shared" si="33"/>
        <v>6854292.4951211521</v>
      </c>
      <c r="AC92" s="397">
        <f t="shared" si="34"/>
        <v>-3348733.8387698117</v>
      </c>
    </row>
    <row r="93" spans="1:29" ht="14.5" customHeight="1" outlineLevel="1">
      <c r="A93" s="407">
        <v>78</v>
      </c>
      <c r="B93" s="408">
        <v>45383</v>
      </c>
      <c r="C93" s="404"/>
      <c r="D93" s="404">
        <f t="shared" si="27"/>
        <v>1128292.4667885939</v>
      </c>
      <c r="E93" s="405">
        <f t="shared" si="35"/>
        <v>-1128292.4667885939</v>
      </c>
      <c r="F93" s="405"/>
      <c r="G93" s="405">
        <f t="shared" si="28"/>
        <v>171377.68749500022</v>
      </c>
      <c r="H93" s="405">
        <f t="shared" si="37"/>
        <v>-7413467.0622837134</v>
      </c>
      <c r="I93" s="404">
        <f t="shared" si="18"/>
        <v>36096658.069845244</v>
      </c>
      <c r="J93" s="404"/>
      <c r="K93" s="404">
        <f t="shared" si="29"/>
        <v>233805.52252400428</v>
      </c>
      <c r="L93" s="403">
        <f t="shared" si="36"/>
        <v>43510125.132128961</v>
      </c>
      <c r="N93" s="400">
        <f t="shared" si="30"/>
        <v>117516.42</v>
      </c>
      <c r="O93" s="399">
        <f t="shared" si="31"/>
        <v>116289.1</v>
      </c>
      <c r="P93" s="399">
        <f t="shared" si="19"/>
        <v>233805.52000000002</v>
      </c>
      <c r="Q93" s="402">
        <f t="shared" si="20"/>
        <v>2.5240042596124113E-3</v>
      </c>
      <c r="S93" s="401">
        <f t="shared" si="21"/>
        <v>894486.94678859389</v>
      </c>
      <c r="U93" s="400">
        <f t="shared" si="22"/>
        <v>756414.01075148548</v>
      </c>
      <c r="V93" s="399">
        <f t="shared" si="23"/>
        <v>70616.008359324522</v>
      </c>
      <c r="W93" s="399">
        <f t="shared" si="24"/>
        <v>67456.927677783897</v>
      </c>
      <c r="X93" s="399">
        <f t="shared" si="25"/>
        <v>894486.94678859389</v>
      </c>
      <c r="Y93" s="397">
        <f t="shared" si="26"/>
        <v>0</v>
      </c>
      <c r="AA93" s="398">
        <f t="shared" si="32"/>
        <v>36793905.595003583</v>
      </c>
      <c r="AB93" s="391">
        <f t="shared" si="33"/>
        <v>6716219.5590840438</v>
      </c>
      <c r="AC93" s="397">
        <f t="shared" si="34"/>
        <v>-3281276.9110920276</v>
      </c>
    </row>
    <row r="94" spans="1:29" ht="14.5" customHeight="1" outlineLevel="1">
      <c r="A94" s="407">
        <v>79</v>
      </c>
      <c r="B94" s="408">
        <v>45413</v>
      </c>
      <c r="C94" s="404"/>
      <c r="D94" s="404">
        <f t="shared" si="27"/>
        <v>1128292.4667885939</v>
      </c>
      <c r="E94" s="405">
        <f t="shared" si="35"/>
        <v>-1128292.4667885939</v>
      </c>
      <c r="F94" s="405"/>
      <c r="G94" s="405">
        <f t="shared" si="28"/>
        <v>171377.68749500022</v>
      </c>
      <c r="H94" s="405">
        <f t="shared" si="37"/>
        <v>-7242089.3747887127</v>
      </c>
      <c r="I94" s="404">
        <f t="shared" si="18"/>
        <v>35368957.069295168</v>
      </c>
      <c r="J94" s="404"/>
      <c r="K94" s="404">
        <f t="shared" si="29"/>
        <v>229213.77874351732</v>
      </c>
      <c r="L94" s="403">
        <f t="shared" si="36"/>
        <v>42611046.444083884</v>
      </c>
      <c r="N94" s="400">
        <f t="shared" si="30"/>
        <v>115208.5</v>
      </c>
      <c r="O94" s="399">
        <f t="shared" si="31"/>
        <v>114005.28</v>
      </c>
      <c r="P94" s="399">
        <f t="shared" si="19"/>
        <v>229213.78</v>
      </c>
      <c r="Q94" s="402">
        <f t="shared" si="20"/>
        <v>-1.2564826756715775E-3</v>
      </c>
      <c r="S94" s="401">
        <f t="shared" si="21"/>
        <v>899078.68678859388</v>
      </c>
      <c r="U94" s="400">
        <f t="shared" si="22"/>
        <v>760296.97011964372</v>
      </c>
      <c r="V94" s="399">
        <f t="shared" si="23"/>
        <v>70978.507053562571</v>
      </c>
      <c r="W94" s="399">
        <f t="shared" si="24"/>
        <v>67803.209615387619</v>
      </c>
      <c r="X94" s="399">
        <f t="shared" si="25"/>
        <v>899078.68678859388</v>
      </c>
      <c r="Y94" s="397">
        <f t="shared" si="26"/>
        <v>0</v>
      </c>
      <c r="AA94" s="398">
        <f t="shared" si="32"/>
        <v>36033608.624883942</v>
      </c>
      <c r="AB94" s="391">
        <f t="shared" si="33"/>
        <v>6577437.8424150934</v>
      </c>
      <c r="AC94" s="397">
        <f t="shared" si="34"/>
        <v>-3213473.7014766401</v>
      </c>
    </row>
    <row r="95" spans="1:29" ht="14.5" customHeight="1" outlineLevel="1">
      <c r="A95" s="407">
        <v>80</v>
      </c>
      <c r="B95" s="408">
        <v>45444</v>
      </c>
      <c r="C95" s="404"/>
      <c r="D95" s="404">
        <f t="shared" si="27"/>
        <v>1128292.4667885939</v>
      </c>
      <c r="E95" s="405">
        <f t="shared" si="35"/>
        <v>-1128292.4667885939</v>
      </c>
      <c r="F95" s="405"/>
      <c r="G95" s="405">
        <f t="shared" si="28"/>
        <v>171377.68749500022</v>
      </c>
      <c r="H95" s="405">
        <f t="shared" si="37"/>
        <v>-7070711.687293712</v>
      </c>
      <c r="I95" s="404">
        <f t="shared" si="18"/>
        <v>34636635.167391598</v>
      </c>
      <c r="J95" s="404"/>
      <c r="K95" s="404">
        <f t="shared" si="29"/>
        <v>224592.87739002434</v>
      </c>
      <c r="L95" s="403">
        <f t="shared" si="36"/>
        <v>41707346.854685314</v>
      </c>
      <c r="N95" s="400">
        <f t="shared" si="30"/>
        <v>112885.92</v>
      </c>
      <c r="O95" s="399">
        <f t="shared" si="31"/>
        <v>111706.96</v>
      </c>
      <c r="P95" s="399">
        <f t="shared" si="19"/>
        <v>224592.88</v>
      </c>
      <c r="Q95" s="402">
        <f t="shared" si="20"/>
        <v>-2.6099756651092321E-3</v>
      </c>
      <c r="S95" s="401">
        <f t="shared" si="21"/>
        <v>903699.58678859391</v>
      </c>
      <c r="U95" s="400">
        <f t="shared" si="22"/>
        <v>764204.58835245366</v>
      </c>
      <c r="V95" s="399">
        <f t="shared" si="23"/>
        <v>71343.307808005251</v>
      </c>
      <c r="W95" s="399">
        <f t="shared" si="24"/>
        <v>68151.690628135082</v>
      </c>
      <c r="X95" s="399">
        <f t="shared" si="25"/>
        <v>903699.58678859402</v>
      </c>
      <c r="Y95" s="397">
        <f t="shared" si="26"/>
        <v>0</v>
      </c>
      <c r="AA95" s="398">
        <f t="shared" si="32"/>
        <v>35269404.036531486</v>
      </c>
      <c r="AB95" s="391">
        <f t="shared" si="33"/>
        <v>6437942.8439789535</v>
      </c>
      <c r="AC95" s="397">
        <f t="shared" si="34"/>
        <v>-3145322.010848505</v>
      </c>
    </row>
    <row r="96" spans="1:29" ht="14.5" customHeight="1" outlineLevel="1">
      <c r="A96" s="407">
        <v>81</v>
      </c>
      <c r="B96" s="408">
        <v>45474</v>
      </c>
      <c r="C96" s="404"/>
      <c r="D96" s="404">
        <f t="shared" si="27"/>
        <v>1128292.4667885939</v>
      </c>
      <c r="E96" s="405">
        <f t="shared" si="35"/>
        <v>-1128292.4667885939</v>
      </c>
      <c r="F96" s="405"/>
      <c r="G96" s="405">
        <f t="shared" si="28"/>
        <v>171377.68749500022</v>
      </c>
      <c r="H96" s="405">
        <f t="shared" si="37"/>
        <v>-6899333.9997987114</v>
      </c>
      <c r="I96" s="404">
        <f t="shared" si="18"/>
        <v>33899663.021410942</v>
      </c>
      <c r="J96" s="404"/>
      <c r="K96" s="404">
        <f t="shared" si="29"/>
        <v>219942.63331293667</v>
      </c>
      <c r="L96" s="403">
        <f t="shared" si="36"/>
        <v>40798997.02120965</v>
      </c>
      <c r="N96" s="400">
        <f t="shared" si="30"/>
        <v>110548.59</v>
      </c>
      <c r="O96" s="399">
        <f t="shared" si="31"/>
        <v>109394.04</v>
      </c>
      <c r="P96" s="399">
        <f t="shared" si="19"/>
        <v>219942.63</v>
      </c>
      <c r="Q96" s="402">
        <f t="shared" si="20"/>
        <v>3.3129366638604552E-3</v>
      </c>
      <c r="S96" s="401">
        <f t="shared" si="21"/>
        <v>908349.83678859391</v>
      </c>
      <c r="U96" s="400">
        <f t="shared" si="22"/>
        <v>768137.02612152975</v>
      </c>
      <c r="V96" s="399">
        <f t="shared" si="23"/>
        <v>71710.425622358962</v>
      </c>
      <c r="W96" s="399">
        <f t="shared" si="24"/>
        <v>68502.385044705195</v>
      </c>
      <c r="X96" s="399">
        <f t="shared" si="25"/>
        <v>908349.83678859391</v>
      </c>
      <c r="Y96" s="397">
        <f t="shared" si="26"/>
        <v>0</v>
      </c>
      <c r="AA96" s="398">
        <f t="shared" si="32"/>
        <v>34501267.010409959</v>
      </c>
      <c r="AB96" s="391">
        <f t="shared" si="33"/>
        <v>6297730.0333118895</v>
      </c>
      <c r="AC96" s="397">
        <f t="shared" si="34"/>
        <v>-3076819.6258037998</v>
      </c>
    </row>
    <row r="97" spans="1:29" ht="14.5" customHeight="1" outlineLevel="1">
      <c r="A97" s="407">
        <v>82</v>
      </c>
      <c r="B97" s="408">
        <v>45505</v>
      </c>
      <c r="C97" s="404"/>
      <c r="D97" s="404">
        <f t="shared" si="27"/>
        <v>1128292.4667885939</v>
      </c>
      <c r="E97" s="405">
        <f t="shared" si="35"/>
        <v>-1128292.4667885939</v>
      </c>
      <c r="F97" s="405"/>
      <c r="G97" s="405">
        <f t="shared" si="28"/>
        <v>171377.68749500022</v>
      </c>
      <c r="H97" s="405">
        <f t="shared" si="37"/>
        <v>-6727956.3123037107</v>
      </c>
      <c r="I97" s="404">
        <f t="shared" si="18"/>
        <v>33158011.1023033</v>
      </c>
      <c r="J97" s="404"/>
      <c r="K97" s="404">
        <f t="shared" si="29"/>
        <v>215262.86018595949</v>
      </c>
      <c r="L97" s="403">
        <f t="shared" si="36"/>
        <v>39885967.414607011</v>
      </c>
      <c r="N97" s="400">
        <f t="shared" si="30"/>
        <v>108196.42</v>
      </c>
      <c r="O97" s="399">
        <f t="shared" si="31"/>
        <v>107066.44</v>
      </c>
      <c r="P97" s="399">
        <f t="shared" si="19"/>
        <v>215262.86</v>
      </c>
      <c r="Q97" s="402">
        <f t="shared" si="20"/>
        <v>1.8595950677990913E-4</v>
      </c>
      <c r="S97" s="401">
        <f t="shared" si="21"/>
        <v>913029.60678859393</v>
      </c>
      <c r="U97" s="400">
        <f t="shared" si="22"/>
        <v>772094.42718568537</v>
      </c>
      <c r="V97" s="399">
        <f t="shared" si="23"/>
        <v>72079.873917413643</v>
      </c>
      <c r="W97" s="399">
        <f t="shared" si="24"/>
        <v>68855.30568549491</v>
      </c>
      <c r="X97" s="399">
        <f t="shared" si="25"/>
        <v>913029.60678859393</v>
      </c>
      <c r="Y97" s="397">
        <f t="shared" si="26"/>
        <v>0</v>
      </c>
      <c r="AA97" s="398">
        <f t="shared" si="32"/>
        <v>33729172.583224274</v>
      </c>
      <c r="AB97" s="391">
        <f t="shared" si="33"/>
        <v>6156794.8537089806</v>
      </c>
      <c r="AC97" s="397">
        <f t="shared" si="34"/>
        <v>-3007964.3201183048</v>
      </c>
    </row>
    <row r="98" spans="1:29" ht="14.5" customHeight="1" outlineLevel="1">
      <c r="A98" s="407">
        <v>83</v>
      </c>
      <c r="B98" s="408">
        <v>45536</v>
      </c>
      <c r="C98" s="404"/>
      <c r="D98" s="404">
        <f t="shared" si="27"/>
        <v>1128292.4667885939</v>
      </c>
      <c r="E98" s="405">
        <f t="shared" si="35"/>
        <v>-1128292.4667885939</v>
      </c>
      <c r="F98" s="405"/>
      <c r="G98" s="405">
        <f t="shared" si="28"/>
        <v>171377.68749500022</v>
      </c>
      <c r="H98" s="405">
        <f t="shared" si="37"/>
        <v>-6556578.6248087101</v>
      </c>
      <c r="I98" s="404">
        <f t="shared" si="18"/>
        <v>32411649.693509329</v>
      </c>
      <c r="J98" s="404"/>
      <c r="K98" s="404">
        <f t="shared" si="29"/>
        <v>210553.37049962598</v>
      </c>
      <c r="L98" s="403">
        <f t="shared" si="36"/>
        <v>38968228.318318039</v>
      </c>
      <c r="N98" s="400">
        <f t="shared" si="30"/>
        <v>105829.32</v>
      </c>
      <c r="O98" s="399">
        <f t="shared" si="31"/>
        <v>104724.05</v>
      </c>
      <c r="P98" s="399">
        <f t="shared" si="19"/>
        <v>210553.37</v>
      </c>
      <c r="Q98" s="402">
        <f t="shared" si="20"/>
        <v>4.9962598131969571E-4</v>
      </c>
      <c r="S98" s="401">
        <f t="shared" si="21"/>
        <v>917739.09678859392</v>
      </c>
      <c r="U98" s="400">
        <f t="shared" si="22"/>
        <v>776076.96067293594</v>
      </c>
      <c r="V98" s="399">
        <f t="shared" si="23"/>
        <v>72451.668482333946</v>
      </c>
      <c r="W98" s="399">
        <f t="shared" si="24"/>
        <v>69210.467633324122</v>
      </c>
      <c r="X98" s="399">
        <f t="shared" si="25"/>
        <v>917739.09678859392</v>
      </c>
      <c r="Y98" s="397">
        <f t="shared" si="26"/>
        <v>0</v>
      </c>
      <c r="AA98" s="398">
        <f t="shared" si="32"/>
        <v>32953095.622551337</v>
      </c>
      <c r="AB98" s="391">
        <f t="shared" si="33"/>
        <v>6015132.7175933225</v>
      </c>
      <c r="AC98" s="397">
        <f t="shared" si="34"/>
        <v>-2938753.8524849806</v>
      </c>
    </row>
    <row r="99" spans="1:29" ht="14.5" customHeight="1" outlineLevel="1">
      <c r="A99" s="407">
        <v>84</v>
      </c>
      <c r="B99" s="408">
        <v>45566</v>
      </c>
      <c r="C99" s="404"/>
      <c r="D99" s="404">
        <f t="shared" si="27"/>
        <v>1128292.4667885939</v>
      </c>
      <c r="E99" s="405">
        <f t="shared" si="35"/>
        <v>-1128292.4667885939</v>
      </c>
      <c r="F99" s="405"/>
      <c r="G99" s="405">
        <f t="shared" si="28"/>
        <v>171377.68749500022</v>
      </c>
      <c r="H99" s="405">
        <f t="shared" si="37"/>
        <v>-6385200.9373137094</v>
      </c>
      <c r="I99" s="404">
        <f t="shared" si="18"/>
        <v>31660548.889769513</v>
      </c>
      <c r="J99" s="404"/>
      <c r="K99" s="404">
        <f t="shared" si="29"/>
        <v>205813.97555378426</v>
      </c>
      <c r="L99" s="403">
        <f t="shared" si="36"/>
        <v>38045749.827083223</v>
      </c>
      <c r="N99" s="400">
        <f t="shared" si="30"/>
        <v>103447.18</v>
      </c>
      <c r="O99" s="399">
        <f t="shared" si="31"/>
        <v>102366.79</v>
      </c>
      <c r="P99" s="399">
        <f t="shared" si="19"/>
        <v>205813.96999999997</v>
      </c>
      <c r="Q99" s="402">
        <f t="shared" si="20"/>
        <v>5.5537842854391783E-3</v>
      </c>
      <c r="S99" s="401">
        <f t="shared" si="21"/>
        <v>922478.49678859394</v>
      </c>
      <c r="U99" s="400">
        <f t="shared" si="22"/>
        <v>780084.7872548959</v>
      </c>
      <c r="V99" s="399">
        <f t="shared" si="23"/>
        <v>72825.824316826285</v>
      </c>
      <c r="W99" s="399">
        <f t="shared" si="24"/>
        <v>69567.885216871771</v>
      </c>
      <c r="X99" s="399">
        <f t="shared" si="25"/>
        <v>922478.49678859394</v>
      </c>
      <c r="Y99" s="397">
        <f t="shared" si="26"/>
        <v>0</v>
      </c>
      <c r="AA99" s="398">
        <f t="shared" si="32"/>
        <v>32173010.835296441</v>
      </c>
      <c r="AB99" s="391">
        <f t="shared" si="33"/>
        <v>5872739.0080596237</v>
      </c>
      <c r="AC99" s="397">
        <f t="shared" si="34"/>
        <v>-2869185.9672681089</v>
      </c>
    </row>
    <row r="100" spans="1:29" ht="14.5" customHeight="1" outlineLevel="1">
      <c r="A100" s="407">
        <v>85</v>
      </c>
      <c r="B100" s="408">
        <v>45597</v>
      </c>
      <c r="C100" s="404"/>
      <c r="D100" s="404">
        <f t="shared" si="27"/>
        <v>1128292.4667885939</v>
      </c>
      <c r="E100" s="405">
        <f t="shared" si="35"/>
        <v>-1128292.4667885939</v>
      </c>
      <c r="F100" s="405"/>
      <c r="G100" s="405">
        <f t="shared" si="28"/>
        <v>171377.68749500022</v>
      </c>
      <c r="H100" s="405">
        <f t="shared" si="37"/>
        <v>-6213823.2498187087</v>
      </c>
      <c r="I100" s="404">
        <f t="shared" si="18"/>
        <v>30904678.595925953</v>
      </c>
      <c r="J100" s="404"/>
      <c r="K100" s="404">
        <f t="shared" si="29"/>
        <v>201044.48545003642</v>
      </c>
      <c r="L100" s="403">
        <f t="shared" si="36"/>
        <v>37118501.845744662</v>
      </c>
      <c r="N100" s="400">
        <f t="shared" si="30"/>
        <v>101049.92</v>
      </c>
      <c r="O100" s="399">
        <f t="shared" si="31"/>
        <v>99994.57</v>
      </c>
      <c r="P100" s="399">
        <f t="shared" si="19"/>
        <v>201044.49</v>
      </c>
      <c r="Q100" s="402">
        <f t="shared" si="20"/>
        <v>-4.5499635743908584E-3</v>
      </c>
      <c r="S100" s="401">
        <f t="shared" si="21"/>
        <v>927247.97678859392</v>
      </c>
      <c r="U100" s="400">
        <f t="shared" si="22"/>
        <v>784118.05069037864</v>
      </c>
      <c r="V100" s="399">
        <f t="shared" si="23"/>
        <v>73202.354841680586</v>
      </c>
      <c r="W100" s="399">
        <f t="shared" si="24"/>
        <v>69927.571256534764</v>
      </c>
      <c r="X100" s="399">
        <f t="shared" si="25"/>
        <v>927247.97678859404</v>
      </c>
      <c r="Y100" s="397">
        <f t="shared" si="26"/>
        <v>0</v>
      </c>
      <c r="AA100" s="398">
        <f t="shared" si="32"/>
        <v>31388892.784606062</v>
      </c>
      <c r="AB100" s="391">
        <f t="shared" si="33"/>
        <v>5729609.0819614083</v>
      </c>
      <c r="AC100" s="397">
        <f t="shared" si="34"/>
        <v>-2799258.3960115742</v>
      </c>
    </row>
    <row r="101" spans="1:29" ht="14.5" customHeight="1" outlineLevel="1">
      <c r="A101" s="407">
        <v>86</v>
      </c>
      <c r="B101" s="408">
        <v>45627</v>
      </c>
      <c r="C101" s="404"/>
      <c r="D101" s="404">
        <f t="shared" si="27"/>
        <v>1128292.4667885939</v>
      </c>
      <c r="E101" s="405">
        <f t="shared" si="35"/>
        <v>-1128292.4667885939</v>
      </c>
      <c r="F101" s="405"/>
      <c r="G101" s="405">
        <f t="shared" si="28"/>
        <v>171377.68749500022</v>
      </c>
      <c r="H101" s="405">
        <f t="shared" si="37"/>
        <v>-6042445.5623237081</v>
      </c>
      <c r="I101" s="404">
        <f t="shared" si="18"/>
        <v>30144008.525716487</v>
      </c>
      <c r="J101" s="404"/>
      <c r="K101" s="404">
        <f t="shared" si="29"/>
        <v>196244.70908412983</v>
      </c>
      <c r="L101" s="403">
        <f t="shared" si="36"/>
        <v>36186454.088040195</v>
      </c>
      <c r="N101" s="400">
        <f t="shared" si="30"/>
        <v>98637.43</v>
      </c>
      <c r="O101" s="399">
        <f t="shared" si="31"/>
        <v>97607.28</v>
      </c>
      <c r="P101" s="399">
        <f t="shared" si="19"/>
        <v>196244.71</v>
      </c>
      <c r="Q101" s="402">
        <f t="shared" si="20"/>
        <v>-9.1587015776894987E-4</v>
      </c>
      <c r="S101" s="401">
        <f t="shared" si="21"/>
        <v>932047.75678859395</v>
      </c>
      <c r="U101" s="400">
        <f t="shared" si="22"/>
        <v>788176.937020201</v>
      </c>
      <c r="V101" s="399">
        <f t="shared" si="23"/>
        <v>73581.277424977961</v>
      </c>
      <c r="W101" s="399">
        <f t="shared" si="24"/>
        <v>70289.542343415029</v>
      </c>
      <c r="X101" s="399">
        <f t="shared" si="25"/>
        <v>932047.75678859395</v>
      </c>
      <c r="Y101" s="397">
        <f t="shared" si="26"/>
        <v>0</v>
      </c>
      <c r="AA101" s="398">
        <f t="shared" si="32"/>
        <v>30600715.847585861</v>
      </c>
      <c r="AB101" s="391">
        <f t="shared" si="33"/>
        <v>5585738.2621930148</v>
      </c>
      <c r="AC101" s="397">
        <f t="shared" si="34"/>
        <v>-2728968.8536681593</v>
      </c>
    </row>
    <row r="102" spans="1:29" ht="14.5" customHeight="1" outlineLevel="1">
      <c r="A102" s="407">
        <v>87</v>
      </c>
      <c r="B102" s="408">
        <v>45658</v>
      </c>
      <c r="C102" s="404"/>
      <c r="D102" s="404">
        <f t="shared" si="27"/>
        <v>1128292.4667885939</v>
      </c>
      <c r="E102" s="405">
        <f t="shared" si="35"/>
        <v>-1128292.4667885939</v>
      </c>
      <c r="F102" s="405"/>
      <c r="G102" s="405">
        <f t="shared" si="28"/>
        <v>171377.68749500022</v>
      </c>
      <c r="H102" s="405">
        <f t="shared" si="37"/>
        <v>-5871067.8748287074</v>
      </c>
      <c r="I102" s="404">
        <f t="shared" si="18"/>
        <v>29378508.200561192</v>
      </c>
      <c r="J102" s="404"/>
      <c r="K102" s="404">
        <f t="shared" si="29"/>
        <v>191414.45413829971</v>
      </c>
      <c r="L102" s="403">
        <f t="shared" si="36"/>
        <v>35249576.075389899</v>
      </c>
      <c r="N102" s="400">
        <f t="shared" si="30"/>
        <v>96209.63</v>
      </c>
      <c r="O102" s="399">
        <f t="shared" si="31"/>
        <v>95204.83</v>
      </c>
      <c r="P102" s="399">
        <f t="shared" si="19"/>
        <v>191414.46000000002</v>
      </c>
      <c r="Q102" s="402">
        <f t="shared" si="20"/>
        <v>-5.8617003087420017E-3</v>
      </c>
      <c r="S102" s="401">
        <f t="shared" si="21"/>
        <v>936878.00678859395</v>
      </c>
      <c r="U102" s="400">
        <f t="shared" si="22"/>
        <v>792261.59000317613</v>
      </c>
      <c r="V102" s="399">
        <f t="shared" si="23"/>
        <v>73962.605487508365</v>
      </c>
      <c r="W102" s="399">
        <f t="shared" si="24"/>
        <v>70653.811297909488</v>
      </c>
      <c r="X102" s="399">
        <f t="shared" si="25"/>
        <v>936878.00678859395</v>
      </c>
      <c r="Y102" s="397">
        <f t="shared" si="26"/>
        <v>0</v>
      </c>
      <c r="AA102" s="398">
        <f t="shared" si="32"/>
        <v>29808454.257582683</v>
      </c>
      <c r="AB102" s="391">
        <f t="shared" si="33"/>
        <v>5441121.8454075968</v>
      </c>
      <c r="AC102" s="397">
        <f t="shared" si="34"/>
        <v>-2658315.04237025</v>
      </c>
    </row>
    <row r="103" spans="1:29" ht="14.5" customHeight="1" outlineLevel="1">
      <c r="A103" s="407">
        <v>88</v>
      </c>
      <c r="B103" s="408">
        <v>45689</v>
      </c>
      <c r="C103" s="404"/>
      <c r="D103" s="404">
        <f t="shared" si="27"/>
        <v>1128292.4667885939</v>
      </c>
      <c r="E103" s="405">
        <f t="shared" si="35"/>
        <v>-1128292.4667885939</v>
      </c>
      <c r="F103" s="405"/>
      <c r="G103" s="405">
        <f t="shared" si="28"/>
        <v>171377.68749500022</v>
      </c>
      <c r="H103" s="405">
        <f t="shared" si="37"/>
        <v>-5699690.1873337068</v>
      </c>
      <c r="I103" s="404">
        <f t="shared" si="18"/>
        <v>28608146.948341157</v>
      </c>
      <c r="J103" s="404"/>
      <c r="K103" s="404">
        <f t="shared" si="29"/>
        <v>186553.5270735636</v>
      </c>
      <c r="L103" s="403">
        <f t="shared" si="36"/>
        <v>34307837.135674864</v>
      </c>
      <c r="N103" s="400">
        <f t="shared" si="30"/>
        <v>93766.41</v>
      </c>
      <c r="O103" s="399">
        <f t="shared" si="31"/>
        <v>92787.12</v>
      </c>
      <c r="P103" s="399">
        <f t="shared" si="19"/>
        <v>186553.53</v>
      </c>
      <c r="Q103" s="402">
        <f t="shared" si="20"/>
        <v>-2.9264363984111696E-3</v>
      </c>
      <c r="S103" s="401">
        <f t="shared" si="21"/>
        <v>941738.93678859388</v>
      </c>
      <c r="U103" s="400">
        <f t="shared" si="22"/>
        <v>796372.18722372025</v>
      </c>
      <c r="V103" s="399">
        <f t="shared" si="23"/>
        <v>74346.355607894642</v>
      </c>
      <c r="W103" s="399">
        <f t="shared" si="24"/>
        <v>71020.393956979038</v>
      </c>
      <c r="X103" s="399">
        <f t="shared" si="25"/>
        <v>941738.93678859388</v>
      </c>
      <c r="Y103" s="397">
        <f t="shared" si="26"/>
        <v>0</v>
      </c>
      <c r="AA103" s="398">
        <f t="shared" si="32"/>
        <v>29012082.070358962</v>
      </c>
      <c r="AB103" s="391">
        <f t="shared" si="33"/>
        <v>5295755.0958427237</v>
      </c>
      <c r="AC103" s="397">
        <f t="shared" si="34"/>
        <v>-2587294.6484132707</v>
      </c>
    </row>
    <row r="104" spans="1:29" ht="14.5" customHeight="1" outlineLevel="1">
      <c r="A104" s="407">
        <v>89</v>
      </c>
      <c r="B104" s="408">
        <v>45717</v>
      </c>
      <c r="C104" s="404"/>
      <c r="D104" s="404">
        <f t="shared" si="27"/>
        <v>1128292.4667885939</v>
      </c>
      <c r="E104" s="405">
        <f t="shared" si="35"/>
        <v>-1128292.4667885939</v>
      </c>
      <c r="F104" s="405"/>
      <c r="G104" s="405">
        <f t="shared" si="28"/>
        <v>171377.68749500022</v>
      </c>
      <c r="H104" s="405">
        <f t="shared" si="37"/>
        <v>-5528312.4998387061</v>
      </c>
      <c r="I104" s="404">
        <f t="shared" si="18"/>
        <v>27832893.902169529</v>
      </c>
      <c r="J104" s="404"/>
      <c r="K104" s="404">
        <f t="shared" si="29"/>
        <v>181661.73312196636</v>
      </c>
      <c r="L104" s="403">
        <f t="shared" si="36"/>
        <v>33361206.402008235</v>
      </c>
      <c r="N104" s="400">
        <f t="shared" si="30"/>
        <v>91307.67</v>
      </c>
      <c r="O104" s="399">
        <f t="shared" si="31"/>
        <v>90354.06</v>
      </c>
      <c r="P104" s="399">
        <f t="shared" si="19"/>
        <v>181661.72999999998</v>
      </c>
      <c r="Q104" s="402">
        <f t="shared" si="20"/>
        <v>3.1219663796946406E-3</v>
      </c>
      <c r="S104" s="401">
        <f t="shared" si="21"/>
        <v>946630.73678859393</v>
      </c>
      <c r="U104" s="400">
        <f t="shared" si="22"/>
        <v>800508.88935344806</v>
      </c>
      <c r="V104" s="399">
        <f t="shared" si="23"/>
        <v>74732.542785843252</v>
      </c>
      <c r="W104" s="399">
        <f t="shared" si="24"/>
        <v>71389.30464930262</v>
      </c>
      <c r="X104" s="399">
        <f t="shared" si="25"/>
        <v>946630.73678859393</v>
      </c>
      <c r="Y104" s="397">
        <f t="shared" si="26"/>
        <v>0</v>
      </c>
      <c r="AA104" s="398">
        <f t="shared" si="32"/>
        <v>28211573.181005515</v>
      </c>
      <c r="AB104" s="391">
        <f t="shared" si="33"/>
        <v>5149633.2484075781</v>
      </c>
      <c r="AC104" s="397">
        <f t="shared" si="34"/>
        <v>-2515905.343763968</v>
      </c>
    </row>
    <row r="105" spans="1:29" ht="14.5" customHeight="1" outlineLevel="1">
      <c r="A105" s="407">
        <v>90</v>
      </c>
      <c r="B105" s="408">
        <v>45748</v>
      </c>
      <c r="C105" s="404"/>
      <c r="D105" s="404">
        <f t="shared" si="27"/>
        <v>1128292.4667885939</v>
      </c>
      <c r="E105" s="405">
        <f t="shared" si="35"/>
        <v>-1128292.4667885939</v>
      </c>
      <c r="F105" s="405"/>
      <c r="G105" s="405">
        <f t="shared" si="28"/>
        <v>171377.68749500022</v>
      </c>
      <c r="H105" s="405">
        <f t="shared" si="37"/>
        <v>-5356934.8123437054</v>
      </c>
      <c r="I105" s="404">
        <f t="shared" si="18"/>
        <v>27052717.999154713</v>
      </c>
      <c r="J105" s="404"/>
      <c r="K105" s="404">
        <f t="shared" si="29"/>
        <v>176738.87627877653</v>
      </c>
      <c r="L105" s="403">
        <f t="shared" si="36"/>
        <v>32409652.811498418</v>
      </c>
      <c r="N105" s="400">
        <f t="shared" si="30"/>
        <v>88833.32</v>
      </c>
      <c r="O105" s="399">
        <f t="shared" si="31"/>
        <v>87905.56</v>
      </c>
      <c r="P105" s="399">
        <f t="shared" si="19"/>
        <v>176738.88</v>
      </c>
      <c r="Q105" s="402">
        <f t="shared" si="20"/>
        <v>-3.7212234747130424E-3</v>
      </c>
      <c r="S105" s="401">
        <f t="shared" si="21"/>
        <v>951553.58678859391</v>
      </c>
      <c r="U105" s="400">
        <f t="shared" si="22"/>
        <v>804671.84860757354</v>
      </c>
      <c r="V105" s="399">
        <f t="shared" si="23"/>
        <v>75121.181231602328</v>
      </c>
      <c r="W105" s="399">
        <f t="shared" si="24"/>
        <v>71760.55694941814</v>
      </c>
      <c r="X105" s="399">
        <f t="shared" si="25"/>
        <v>951553.58678859402</v>
      </c>
      <c r="Y105" s="397">
        <f t="shared" si="26"/>
        <v>0</v>
      </c>
      <c r="AA105" s="398">
        <f t="shared" si="32"/>
        <v>27406901.332397941</v>
      </c>
      <c r="AB105" s="391">
        <f t="shared" si="33"/>
        <v>5002751.510226558</v>
      </c>
      <c r="AC105" s="397">
        <f t="shared" si="34"/>
        <v>-2444144.7868145499</v>
      </c>
    </row>
    <row r="106" spans="1:29" ht="14.5" customHeight="1" outlineLevel="1">
      <c r="A106" s="407">
        <v>91</v>
      </c>
      <c r="B106" s="408">
        <v>45778</v>
      </c>
      <c r="C106" s="404"/>
      <c r="D106" s="404">
        <f t="shared" si="27"/>
        <v>1128292.4667885939</v>
      </c>
      <c r="E106" s="405">
        <f t="shared" si="35"/>
        <v>-1128292.4667885939</v>
      </c>
      <c r="F106" s="405"/>
      <c r="G106" s="405">
        <f t="shared" si="28"/>
        <v>171377.68749500022</v>
      </c>
      <c r="H106" s="405">
        <f t="shared" si="37"/>
        <v>-5185557.1248487048</v>
      </c>
      <c r="I106" s="404">
        <f t="shared" si="18"/>
        <v>26267587.979155753</v>
      </c>
      <c r="J106" s="404"/>
      <c r="K106" s="404">
        <f t="shared" si="29"/>
        <v>171784.75929463244</v>
      </c>
      <c r="L106" s="403">
        <f t="shared" si="36"/>
        <v>31453145.104004458</v>
      </c>
      <c r="N106" s="400">
        <f t="shared" si="30"/>
        <v>86343.26</v>
      </c>
      <c r="O106" s="399">
        <f t="shared" si="31"/>
        <v>85441.5</v>
      </c>
      <c r="P106" s="399">
        <f t="shared" si="19"/>
        <v>171784.76</v>
      </c>
      <c r="Q106" s="402">
        <f t="shared" si="20"/>
        <v>-7.0536756538785994E-4</v>
      </c>
      <c r="S106" s="401">
        <f t="shared" si="21"/>
        <v>956507.7067885939</v>
      </c>
      <c r="U106" s="400">
        <f t="shared" si="22"/>
        <v>808861.25102691341</v>
      </c>
      <c r="V106" s="399">
        <f t="shared" si="23"/>
        <v>75512.288313252982</v>
      </c>
      <c r="W106" s="399">
        <f t="shared" si="24"/>
        <v>72134.167448427514</v>
      </c>
      <c r="X106" s="399">
        <f t="shared" si="25"/>
        <v>956507.7067885939</v>
      </c>
      <c r="Y106" s="397">
        <f t="shared" si="26"/>
        <v>0</v>
      </c>
      <c r="AA106" s="398">
        <f t="shared" si="32"/>
        <v>26598040.081371028</v>
      </c>
      <c r="AB106" s="391">
        <f t="shared" si="33"/>
        <v>4855105.0544648776</v>
      </c>
      <c r="AC106" s="397">
        <f t="shared" si="34"/>
        <v>-2372010.6193661224</v>
      </c>
    </row>
    <row r="107" spans="1:29" ht="14.5" customHeight="1" outlineLevel="1">
      <c r="A107" s="407">
        <v>92</v>
      </c>
      <c r="B107" s="408">
        <v>45809</v>
      </c>
      <c r="C107" s="404"/>
      <c r="D107" s="404">
        <f t="shared" si="27"/>
        <v>1128292.4667885939</v>
      </c>
      <c r="E107" s="405">
        <f t="shared" si="35"/>
        <v>-1128292.4667885939</v>
      </c>
      <c r="F107" s="405"/>
      <c r="G107" s="405">
        <f t="shared" si="28"/>
        <v>171377.68749500022</v>
      </c>
      <c r="H107" s="405">
        <f t="shared" si="37"/>
        <v>-5014179.4373537041</v>
      </c>
      <c r="I107" s="404">
        <f t="shared" si="18"/>
        <v>25477472.383529797</v>
      </c>
      <c r="J107" s="404"/>
      <c r="K107" s="404">
        <f t="shared" si="29"/>
        <v>166799.18366763904</v>
      </c>
      <c r="L107" s="403">
        <f t="shared" si="36"/>
        <v>30491651.820883501</v>
      </c>
      <c r="N107" s="400">
        <f t="shared" si="30"/>
        <v>83837.38</v>
      </c>
      <c r="O107" s="399">
        <f t="shared" si="31"/>
        <v>82961.8</v>
      </c>
      <c r="P107" s="399">
        <f t="shared" si="19"/>
        <v>166799.18</v>
      </c>
      <c r="Q107" s="402">
        <f t="shared" si="20"/>
        <v>3.6676390445791185E-3</v>
      </c>
      <c r="S107" s="401">
        <f t="shared" si="21"/>
        <v>961493.28678859398</v>
      </c>
      <c r="U107" s="400">
        <f t="shared" si="22"/>
        <v>813077.2572830827</v>
      </c>
      <c r="V107" s="399">
        <f t="shared" si="23"/>
        <v>75905.879030501645</v>
      </c>
      <c r="W107" s="399">
        <f t="shared" si="24"/>
        <v>72510.150475009679</v>
      </c>
      <c r="X107" s="399">
        <f t="shared" si="25"/>
        <v>961493.28678859409</v>
      </c>
      <c r="Y107" s="397">
        <f t="shared" si="26"/>
        <v>0</v>
      </c>
      <c r="AA107" s="398">
        <f t="shared" si="32"/>
        <v>25784962.824087944</v>
      </c>
      <c r="AB107" s="391">
        <f t="shared" si="33"/>
        <v>4706689.0249593668</v>
      </c>
      <c r="AC107" s="397">
        <f t="shared" si="34"/>
        <v>-2299500.4688911126</v>
      </c>
    </row>
    <row r="108" spans="1:29" ht="14.5" customHeight="1" outlineLevel="1">
      <c r="A108" s="407">
        <v>93</v>
      </c>
      <c r="B108" s="408">
        <v>45839</v>
      </c>
      <c r="C108" s="404"/>
      <c r="D108" s="404">
        <f t="shared" si="27"/>
        <v>1128292.4667885939</v>
      </c>
      <c r="E108" s="405">
        <f t="shared" si="35"/>
        <v>-1128292.4667885939</v>
      </c>
      <c r="F108" s="405"/>
      <c r="G108" s="405">
        <f t="shared" si="28"/>
        <v>171377.68749500022</v>
      </c>
      <c r="H108" s="405">
        <f t="shared" si="37"/>
        <v>-4842801.7498587035</v>
      </c>
      <c r="I108" s="404">
        <f t="shared" si="18"/>
        <v>24682339.553871617</v>
      </c>
      <c r="J108" s="404"/>
      <c r="K108" s="404">
        <f t="shared" si="29"/>
        <v>161781.94963541423</v>
      </c>
      <c r="L108" s="403">
        <f t="shared" si="36"/>
        <v>29525141.30373032</v>
      </c>
      <c r="N108" s="400">
        <f t="shared" si="30"/>
        <v>81315.600000000006</v>
      </c>
      <c r="O108" s="399">
        <f t="shared" si="31"/>
        <v>80466.350000000006</v>
      </c>
      <c r="P108" s="399">
        <f t="shared" si="19"/>
        <v>161781.95000000001</v>
      </c>
      <c r="Q108" s="402">
        <f t="shared" si="20"/>
        <v>-3.6458577960729599E-4</v>
      </c>
      <c r="S108" s="401">
        <f t="shared" si="21"/>
        <v>966510.51678859396</v>
      </c>
      <c r="U108" s="400">
        <f t="shared" si="22"/>
        <v>817320.02804769576</v>
      </c>
      <c r="V108" s="399">
        <f t="shared" si="23"/>
        <v>76301.9683830547</v>
      </c>
      <c r="W108" s="399">
        <f t="shared" si="24"/>
        <v>72888.520357843532</v>
      </c>
      <c r="X108" s="399">
        <f t="shared" si="25"/>
        <v>966510.51678859396</v>
      </c>
      <c r="Y108" s="397">
        <f t="shared" si="26"/>
        <v>0</v>
      </c>
      <c r="AA108" s="398">
        <f t="shared" si="32"/>
        <v>24967642.796040248</v>
      </c>
      <c r="AB108" s="391">
        <f t="shared" si="33"/>
        <v>4557498.536218469</v>
      </c>
      <c r="AC108" s="397">
        <f t="shared" si="34"/>
        <v>-2226611.9485332691</v>
      </c>
    </row>
    <row r="109" spans="1:29" ht="14.5" customHeight="1" outlineLevel="1">
      <c r="A109" s="407">
        <v>94</v>
      </c>
      <c r="B109" s="408">
        <v>45870</v>
      </c>
      <c r="C109" s="404"/>
      <c r="D109" s="404">
        <f t="shared" si="27"/>
        <v>1128292.4667885939</v>
      </c>
      <c r="E109" s="405">
        <f t="shared" si="35"/>
        <v>-1128292.4667885939</v>
      </c>
      <c r="F109" s="405"/>
      <c r="G109" s="405">
        <f t="shared" si="28"/>
        <v>171377.68749500022</v>
      </c>
      <c r="H109" s="405">
        <f t="shared" si="37"/>
        <v>-4671424.0623637028</v>
      </c>
      <c r="I109" s="404">
        <f t="shared" ref="I109:I137" si="38">L109+H109</f>
        <v>23882157.630745109</v>
      </c>
      <c r="J109" s="404"/>
      <c r="K109" s="404">
        <f t="shared" si="29"/>
        <v>156732.85616708477</v>
      </c>
      <c r="L109" s="403">
        <f t="shared" si="36"/>
        <v>28553581.693108812</v>
      </c>
      <c r="N109" s="400">
        <f t="shared" si="30"/>
        <v>78777.8</v>
      </c>
      <c r="O109" s="399">
        <f t="shared" si="31"/>
        <v>77955.06</v>
      </c>
      <c r="P109" s="399">
        <f t="shared" ref="P109:P137" si="39">N109+O109</f>
        <v>156732.85999999999</v>
      </c>
      <c r="Q109" s="402">
        <f t="shared" ref="Q109:Q137" si="40">K109-P109</f>
        <v>-3.8329152157530189E-3</v>
      </c>
      <c r="S109" s="401">
        <f t="shared" ref="S109:S136" si="41">D109-P109</f>
        <v>971559.60678859393</v>
      </c>
      <c r="U109" s="400">
        <f t="shared" ref="U109:U137" si="42">$S109*$U$73</f>
        <v>821589.74090516893</v>
      </c>
      <c r="V109" s="399">
        <f t="shared" ref="V109:V137" si="43">$S109*$V$73</f>
        <v>76700.572949535024</v>
      </c>
      <c r="W109" s="399">
        <f t="shared" ref="W109:W137" si="44">$S109*$W$73</f>
        <v>73269.292933889985</v>
      </c>
      <c r="X109" s="399">
        <f t="shared" ref="X109:X137" si="45">SUM(U109:W109)</f>
        <v>971559.60678859393</v>
      </c>
      <c r="Y109" s="397">
        <f t="shared" ref="Y109:Y137" si="46">X109-S109</f>
        <v>0</v>
      </c>
      <c r="AA109" s="398">
        <f t="shared" si="32"/>
        <v>24146053.055135079</v>
      </c>
      <c r="AB109" s="391">
        <f t="shared" si="33"/>
        <v>4407528.6703350442</v>
      </c>
      <c r="AC109" s="397">
        <f t="shared" si="34"/>
        <v>-2153342.655599379</v>
      </c>
    </row>
    <row r="110" spans="1:29" ht="14.5" customHeight="1" outlineLevel="1">
      <c r="A110" s="407">
        <v>95</v>
      </c>
      <c r="B110" s="408">
        <v>45901</v>
      </c>
      <c r="C110" s="404"/>
      <c r="D110" s="404">
        <f t="shared" ref="D110:D136" si="47">$D$9</f>
        <v>1128292.4667885939</v>
      </c>
      <c r="E110" s="405">
        <f t="shared" si="35"/>
        <v>-1128292.4667885939</v>
      </c>
      <c r="F110" s="405"/>
      <c r="G110" s="405">
        <f t="shared" ref="G110:G136" si="48">-AVERAGE(G$16:G$76)</f>
        <v>171377.68749500022</v>
      </c>
      <c r="H110" s="405">
        <f t="shared" si="37"/>
        <v>-4500046.3748687021</v>
      </c>
      <c r="I110" s="404">
        <f t="shared" si="38"/>
        <v>23076894.552406747</v>
      </c>
      <c r="J110" s="404"/>
      <c r="K110" s="404">
        <f t="shared" ref="K110:K136" si="49">(L109+H109)*$D$8</f>
        <v>151651.70095523147</v>
      </c>
      <c r="L110" s="403">
        <f t="shared" si="36"/>
        <v>27576940.927275449</v>
      </c>
      <c r="N110" s="400">
        <f t="shared" ref="N110:N136" si="50">ROUND(((L109+H109)*($T$9/12)),2)</f>
        <v>76223.89</v>
      </c>
      <c r="O110" s="399">
        <f t="shared" ref="O110:O136" si="51">ROUND(((L109+H109)*($T$10/12)),2)</f>
        <v>75427.81</v>
      </c>
      <c r="P110" s="399">
        <f t="shared" si="39"/>
        <v>151651.70000000001</v>
      </c>
      <c r="Q110" s="402">
        <f t="shared" si="40"/>
        <v>9.5523145864717662E-4</v>
      </c>
      <c r="S110" s="401">
        <f t="shared" si="41"/>
        <v>976640.76678859396</v>
      </c>
      <c r="U110" s="400">
        <f t="shared" si="42"/>
        <v>825886.57343991857</v>
      </c>
      <c r="V110" s="399">
        <f t="shared" si="43"/>
        <v>77101.709308565507</v>
      </c>
      <c r="W110" s="399">
        <f t="shared" si="44"/>
        <v>73652.48404010995</v>
      </c>
      <c r="X110" s="399">
        <f t="shared" si="45"/>
        <v>976640.76678859396</v>
      </c>
      <c r="Y110" s="397">
        <f t="shared" si="46"/>
        <v>0</v>
      </c>
      <c r="AA110" s="398">
        <f t="shared" ref="AA110:AA137" si="52">AA109-U110</f>
        <v>23320166.48169516</v>
      </c>
      <c r="AB110" s="391">
        <f t="shared" ref="AB110:AB137" si="53">AB109-V110-W110</f>
        <v>4256774.4769863682</v>
      </c>
      <c r="AC110" s="397">
        <f t="shared" ref="AC110:AC137" si="54">AC109+W110</f>
        <v>-2079690.1715592691</v>
      </c>
    </row>
    <row r="111" spans="1:29" ht="14.5" customHeight="1" outlineLevel="1">
      <c r="A111" s="407">
        <v>96</v>
      </c>
      <c r="B111" s="408">
        <v>45931</v>
      </c>
      <c r="C111" s="404"/>
      <c r="D111" s="404">
        <f t="shared" si="47"/>
        <v>1128292.4667885939</v>
      </c>
      <c r="E111" s="405">
        <f t="shared" si="35"/>
        <v>-1128292.4667885939</v>
      </c>
      <c r="F111" s="405"/>
      <c r="G111" s="405">
        <f t="shared" si="48"/>
        <v>171377.68749500022</v>
      </c>
      <c r="H111" s="405">
        <f t="shared" si="37"/>
        <v>-4328668.6873737015</v>
      </c>
      <c r="I111" s="404">
        <f t="shared" si="38"/>
        <v>22266518.053520937</v>
      </c>
      <c r="J111" s="404"/>
      <c r="K111" s="404">
        <f t="shared" si="49"/>
        <v>146538.28040778285</v>
      </c>
      <c r="L111" s="403">
        <f t="shared" si="36"/>
        <v>26595186.740894638</v>
      </c>
      <c r="N111" s="400">
        <f t="shared" si="50"/>
        <v>73653.759999999995</v>
      </c>
      <c r="O111" s="399">
        <f t="shared" si="51"/>
        <v>72884.53</v>
      </c>
      <c r="P111" s="399">
        <f t="shared" si="39"/>
        <v>146538.28999999998</v>
      </c>
      <c r="Q111" s="402">
        <f t="shared" si="40"/>
        <v>-9.5922171312849969E-3</v>
      </c>
      <c r="S111" s="401">
        <f t="shared" si="41"/>
        <v>981754.17678859388</v>
      </c>
      <c r="U111" s="400">
        <f t="shared" si="42"/>
        <v>830210.6778671582</v>
      </c>
      <c r="V111" s="399">
        <f t="shared" si="43"/>
        <v>77505.391670394296</v>
      </c>
      <c r="W111" s="399">
        <f t="shared" si="44"/>
        <v>74038.107251041365</v>
      </c>
      <c r="X111" s="399">
        <f t="shared" si="45"/>
        <v>981754.17678859388</v>
      </c>
      <c r="Y111" s="397">
        <f t="shared" si="46"/>
        <v>0</v>
      </c>
      <c r="AA111" s="398">
        <f t="shared" si="52"/>
        <v>22489955.803828001</v>
      </c>
      <c r="AB111" s="391">
        <f t="shared" si="53"/>
        <v>4105230.9780649324</v>
      </c>
      <c r="AC111" s="397">
        <f t="shared" si="54"/>
        <v>-2005652.0643082277</v>
      </c>
    </row>
    <row r="112" spans="1:29" ht="14.5" customHeight="1" outlineLevel="1">
      <c r="A112" s="407">
        <v>97</v>
      </c>
      <c r="B112" s="408">
        <v>45962</v>
      </c>
      <c r="C112" s="404"/>
      <c r="D112" s="404">
        <f t="shared" si="47"/>
        <v>1128292.4667885939</v>
      </c>
      <c r="E112" s="405">
        <f t="shared" si="35"/>
        <v>-1128292.4667885939</v>
      </c>
      <c r="F112" s="405"/>
      <c r="G112" s="405">
        <f t="shared" si="48"/>
        <v>171377.68749500022</v>
      </c>
      <c r="H112" s="405">
        <f t="shared" si="37"/>
        <v>-4157290.9998787013</v>
      </c>
      <c r="I112" s="404">
        <f t="shared" si="38"/>
        <v>21450995.663867202</v>
      </c>
      <c r="J112" s="404"/>
      <c r="K112" s="404">
        <f t="shared" si="49"/>
        <v>141392.38963985795</v>
      </c>
      <c r="L112" s="403">
        <f t="shared" si="36"/>
        <v>25608286.663745902</v>
      </c>
      <c r="N112" s="400">
        <f t="shared" si="50"/>
        <v>71067.3</v>
      </c>
      <c r="O112" s="399">
        <f t="shared" si="51"/>
        <v>70325.09</v>
      </c>
      <c r="P112" s="399">
        <f t="shared" si="39"/>
        <v>141392.39000000001</v>
      </c>
      <c r="Q112" s="402">
        <f t="shared" si="40"/>
        <v>-3.601420612540096E-4</v>
      </c>
      <c r="S112" s="401">
        <f t="shared" si="41"/>
        <v>986900.0767885939</v>
      </c>
      <c r="U112" s="400">
        <f t="shared" si="42"/>
        <v>834562.25714050676</v>
      </c>
      <c r="V112" s="399">
        <f t="shared" si="43"/>
        <v>77911.638982018994</v>
      </c>
      <c r="W112" s="399">
        <f t="shared" si="44"/>
        <v>74426.180666068132</v>
      </c>
      <c r="X112" s="399">
        <f t="shared" si="45"/>
        <v>986900.0767885939</v>
      </c>
      <c r="Y112" s="397">
        <f t="shared" si="46"/>
        <v>0</v>
      </c>
      <c r="AA112" s="398">
        <f t="shared" si="52"/>
        <v>21655393.546687495</v>
      </c>
      <c r="AB112" s="391">
        <f t="shared" si="53"/>
        <v>3952893.1584168454</v>
      </c>
      <c r="AC112" s="397">
        <f t="shared" si="54"/>
        <v>-1931225.8836421596</v>
      </c>
    </row>
    <row r="113" spans="1:29" ht="14.5" customHeight="1" outlineLevel="1">
      <c r="A113" s="407">
        <v>98</v>
      </c>
      <c r="B113" s="408">
        <v>45992</v>
      </c>
      <c r="C113" s="404"/>
      <c r="D113" s="404">
        <f t="shared" si="47"/>
        <v>1128292.4667885939</v>
      </c>
      <c r="E113" s="405">
        <f t="shared" si="35"/>
        <v>-1128292.4667885939</v>
      </c>
      <c r="F113" s="405"/>
      <c r="G113" s="405">
        <f t="shared" si="48"/>
        <v>171377.68749500022</v>
      </c>
      <c r="H113" s="405">
        <f t="shared" si="37"/>
        <v>-3985913.3123837011</v>
      </c>
      <c r="I113" s="404">
        <f t="shared" si="38"/>
        <v>20630294.707039166</v>
      </c>
      <c r="J113" s="404"/>
      <c r="K113" s="404">
        <f t="shared" si="49"/>
        <v>136213.82246555673</v>
      </c>
      <c r="L113" s="403">
        <f t="shared" si="36"/>
        <v>24616208.019422866</v>
      </c>
      <c r="N113" s="400">
        <f t="shared" si="50"/>
        <v>68464.429999999993</v>
      </c>
      <c r="O113" s="399">
        <f t="shared" si="51"/>
        <v>67749.39</v>
      </c>
      <c r="P113" s="399">
        <f t="shared" si="39"/>
        <v>136213.82</v>
      </c>
      <c r="Q113" s="402">
        <f t="shared" si="40"/>
        <v>2.4655567249283195E-3</v>
      </c>
      <c r="S113" s="401">
        <f t="shared" si="41"/>
        <v>992078.64678859385</v>
      </c>
      <c r="U113" s="400">
        <f t="shared" si="42"/>
        <v>838941.463475178</v>
      </c>
      <c r="V113" s="399">
        <f t="shared" si="43"/>
        <v>78320.465453687764</v>
      </c>
      <c r="W113" s="399">
        <f t="shared" si="44"/>
        <v>74816.717859728145</v>
      </c>
      <c r="X113" s="399">
        <f t="shared" si="45"/>
        <v>992078.64678859396</v>
      </c>
      <c r="Y113" s="397">
        <f t="shared" si="46"/>
        <v>0</v>
      </c>
      <c r="AA113" s="398">
        <f t="shared" si="52"/>
        <v>20816452.083212316</v>
      </c>
      <c r="AB113" s="391">
        <f t="shared" si="53"/>
        <v>3799755.9751034295</v>
      </c>
      <c r="AC113" s="397">
        <f t="shared" si="54"/>
        <v>-1856409.1657824316</v>
      </c>
    </row>
    <row r="114" spans="1:29" ht="14.5" customHeight="1" outlineLevel="1">
      <c r="A114" s="407">
        <v>99</v>
      </c>
      <c r="B114" s="408">
        <v>46023</v>
      </c>
      <c r="C114" s="404"/>
      <c r="D114" s="404">
        <f t="shared" si="47"/>
        <v>1128292.4667885939</v>
      </c>
      <c r="E114" s="405">
        <f t="shared" si="35"/>
        <v>-1128292.4667885939</v>
      </c>
      <c r="F114" s="405"/>
      <c r="G114" s="405">
        <f t="shared" si="48"/>
        <v>171377.68749500022</v>
      </c>
      <c r="H114" s="405">
        <f t="shared" si="37"/>
        <v>-3814535.6248887009</v>
      </c>
      <c r="I114" s="404">
        <f t="shared" si="38"/>
        <v>19804382.299135271</v>
      </c>
      <c r="J114" s="404"/>
      <c r="K114" s="404">
        <f t="shared" si="49"/>
        <v>131002.37138969872</v>
      </c>
      <c r="L114" s="403">
        <f t="shared" si="36"/>
        <v>23618917.924023971</v>
      </c>
      <c r="N114" s="400">
        <f t="shared" si="50"/>
        <v>65845.02</v>
      </c>
      <c r="O114" s="399">
        <f t="shared" si="51"/>
        <v>65157.35</v>
      </c>
      <c r="P114" s="399">
        <f t="shared" si="39"/>
        <v>131002.37</v>
      </c>
      <c r="Q114" s="402">
        <f t="shared" si="40"/>
        <v>1.3896987220505252E-3</v>
      </c>
      <c r="S114" s="401">
        <f t="shared" si="41"/>
        <v>997290.09678859392</v>
      </c>
      <c r="U114" s="400">
        <f t="shared" si="42"/>
        <v>843348.47445558815</v>
      </c>
      <c r="V114" s="399">
        <f t="shared" si="43"/>
        <v>78731.887664023467</v>
      </c>
      <c r="W114" s="399">
        <f t="shared" si="44"/>
        <v>75209.734668982361</v>
      </c>
      <c r="X114" s="399">
        <f t="shared" si="45"/>
        <v>997290.09678859392</v>
      </c>
      <c r="Y114" s="397">
        <f t="shared" si="46"/>
        <v>0</v>
      </c>
      <c r="AA114" s="398">
        <f t="shared" si="52"/>
        <v>19973103.608756728</v>
      </c>
      <c r="AB114" s="391">
        <f t="shared" si="53"/>
        <v>3645814.352770424</v>
      </c>
      <c r="AC114" s="397">
        <f t="shared" si="54"/>
        <v>-1781199.4311134492</v>
      </c>
    </row>
    <row r="115" spans="1:29" ht="14.5" customHeight="1" outlineLevel="1">
      <c r="A115" s="407">
        <v>100</v>
      </c>
      <c r="B115" s="408">
        <v>46054</v>
      </c>
      <c r="C115" s="404"/>
      <c r="D115" s="404">
        <f t="shared" si="47"/>
        <v>1128292.4667885939</v>
      </c>
      <c r="E115" s="405">
        <f t="shared" si="35"/>
        <v>-1128292.4667885939</v>
      </c>
      <c r="F115" s="405"/>
      <c r="G115" s="405">
        <f t="shared" si="48"/>
        <v>171377.68749500022</v>
      </c>
      <c r="H115" s="405">
        <f t="shared" si="37"/>
        <v>-3643157.9373937007</v>
      </c>
      <c r="I115" s="404">
        <f t="shared" si="38"/>
        <v>18973225.347441189</v>
      </c>
      <c r="J115" s="404"/>
      <c r="K115" s="404">
        <f t="shared" si="49"/>
        <v>125757.82759950898</v>
      </c>
      <c r="L115" s="403">
        <f t="shared" si="36"/>
        <v>22616383.284834888</v>
      </c>
      <c r="N115" s="400">
        <f t="shared" si="50"/>
        <v>63208.99</v>
      </c>
      <c r="O115" s="399">
        <f t="shared" si="51"/>
        <v>62548.84</v>
      </c>
      <c r="P115" s="399">
        <f t="shared" si="39"/>
        <v>125757.82999999999</v>
      </c>
      <c r="Q115" s="402">
        <f t="shared" si="40"/>
        <v>-2.4004910083021969E-3</v>
      </c>
      <c r="S115" s="401">
        <f t="shared" si="41"/>
        <v>1002534.636788594</v>
      </c>
      <c r="U115" s="400">
        <f t="shared" si="42"/>
        <v>847783.46766615333</v>
      </c>
      <c r="V115" s="399">
        <f t="shared" si="43"/>
        <v>79145.922191649006</v>
      </c>
      <c r="W115" s="399">
        <f t="shared" si="44"/>
        <v>75605.246930791647</v>
      </c>
      <c r="X115" s="399">
        <f t="shared" si="45"/>
        <v>1002534.636788594</v>
      </c>
      <c r="Y115" s="397">
        <f t="shared" si="46"/>
        <v>0</v>
      </c>
      <c r="AA115" s="398">
        <f t="shared" si="52"/>
        <v>19125320.141090576</v>
      </c>
      <c r="AB115" s="391">
        <f t="shared" si="53"/>
        <v>3491063.1836479832</v>
      </c>
      <c r="AC115" s="397">
        <f t="shared" si="54"/>
        <v>-1705594.1841826574</v>
      </c>
    </row>
    <row r="116" spans="1:29" ht="14.5" customHeight="1" outlineLevel="1">
      <c r="A116" s="407">
        <v>101</v>
      </c>
      <c r="B116" s="408">
        <v>46082</v>
      </c>
      <c r="C116" s="404"/>
      <c r="D116" s="404">
        <f t="shared" si="47"/>
        <v>1128292.4667885939</v>
      </c>
      <c r="E116" s="405">
        <f t="shared" si="35"/>
        <v>-1128292.4667885939</v>
      </c>
      <c r="F116" s="405"/>
      <c r="G116" s="405">
        <f t="shared" si="48"/>
        <v>171377.68749500022</v>
      </c>
      <c r="H116" s="405">
        <f t="shared" si="37"/>
        <v>-3471780.2498987005</v>
      </c>
      <c r="I116" s="404">
        <f t="shared" si="38"/>
        <v>18136790.549103845</v>
      </c>
      <c r="J116" s="404"/>
      <c r="K116" s="404">
        <f t="shared" si="49"/>
        <v>120479.98095625156</v>
      </c>
      <c r="L116" s="403">
        <f t="shared" si="36"/>
        <v>21608570.799002547</v>
      </c>
      <c r="N116" s="400">
        <f t="shared" si="50"/>
        <v>60556.21</v>
      </c>
      <c r="O116" s="399">
        <f t="shared" si="51"/>
        <v>59923.77</v>
      </c>
      <c r="P116" s="399">
        <f t="shared" si="39"/>
        <v>120479.98</v>
      </c>
      <c r="Q116" s="402">
        <f t="shared" si="40"/>
        <v>9.5625156245660037E-4</v>
      </c>
      <c r="S116" s="401">
        <f t="shared" si="41"/>
        <v>1007812.4867885939</v>
      </c>
      <c r="U116" s="400">
        <f t="shared" si="42"/>
        <v>852246.6291476906</v>
      </c>
      <c r="V116" s="399">
        <f t="shared" si="43"/>
        <v>79562.586404645437</v>
      </c>
      <c r="W116" s="399">
        <f t="shared" si="44"/>
        <v>76003.271236257933</v>
      </c>
      <c r="X116" s="399">
        <f t="shared" si="45"/>
        <v>1007812.486788594</v>
      </c>
      <c r="Y116" s="397">
        <f t="shared" si="46"/>
        <v>0</v>
      </c>
      <c r="AA116" s="398">
        <f t="shared" si="52"/>
        <v>18273073.511942886</v>
      </c>
      <c r="AB116" s="391">
        <f t="shared" si="53"/>
        <v>3335497.3260070798</v>
      </c>
      <c r="AC116" s="397">
        <f t="shared" si="54"/>
        <v>-1629590.9129463995</v>
      </c>
    </row>
    <row r="117" spans="1:29" ht="14.5" customHeight="1" outlineLevel="1">
      <c r="A117" s="407">
        <v>102</v>
      </c>
      <c r="B117" s="408">
        <v>46113</v>
      </c>
      <c r="C117" s="404"/>
      <c r="D117" s="404">
        <f t="shared" si="47"/>
        <v>1128292.4667885939</v>
      </c>
      <c r="E117" s="405">
        <f t="shared" ref="E117:E137" si="55">C117-D117</f>
        <v>-1128292.4667885939</v>
      </c>
      <c r="F117" s="405"/>
      <c r="G117" s="405">
        <f t="shared" si="48"/>
        <v>171377.68749500022</v>
      </c>
      <c r="H117" s="405">
        <f t="shared" si="37"/>
        <v>-3300402.5624037003</v>
      </c>
      <c r="I117" s="404">
        <f t="shared" si="38"/>
        <v>17295044.389797062</v>
      </c>
      <c r="J117" s="404"/>
      <c r="K117" s="404">
        <f t="shared" si="49"/>
        <v>115168.61998680943</v>
      </c>
      <c r="L117" s="403">
        <f t="shared" ref="L117:L137" si="56">L116+E117+J117+K117</f>
        <v>20595446.952200763</v>
      </c>
      <c r="N117" s="400">
        <f t="shared" si="50"/>
        <v>57886.59</v>
      </c>
      <c r="O117" s="399">
        <f t="shared" si="51"/>
        <v>57282.03</v>
      </c>
      <c r="P117" s="399">
        <f t="shared" si="39"/>
        <v>115168.62</v>
      </c>
      <c r="Q117" s="402">
        <f t="shared" si="40"/>
        <v>-1.3190569006837904E-5</v>
      </c>
      <c r="S117" s="401">
        <f t="shared" si="41"/>
        <v>1013123.8467885939</v>
      </c>
      <c r="U117" s="400">
        <f t="shared" si="42"/>
        <v>856738.12802821537</v>
      </c>
      <c r="V117" s="399">
        <f t="shared" si="43"/>
        <v>79981.896092177441</v>
      </c>
      <c r="W117" s="399">
        <f t="shared" si="44"/>
        <v>76403.822668201145</v>
      </c>
      <c r="X117" s="399">
        <f t="shared" si="45"/>
        <v>1013123.846788594</v>
      </c>
      <c r="Y117" s="397">
        <f t="shared" si="46"/>
        <v>0</v>
      </c>
      <c r="AA117" s="398">
        <f t="shared" si="52"/>
        <v>17416335.383914672</v>
      </c>
      <c r="AB117" s="391">
        <f t="shared" si="53"/>
        <v>3179111.6072467011</v>
      </c>
      <c r="AC117" s="397">
        <f t="shared" si="54"/>
        <v>-1553187.0902781985</v>
      </c>
    </row>
    <row r="118" spans="1:29" ht="14.5" customHeight="1" outlineLevel="1">
      <c r="A118" s="407">
        <v>103</v>
      </c>
      <c r="B118" s="408">
        <v>46143</v>
      </c>
      <c r="C118" s="404"/>
      <c r="D118" s="404">
        <f t="shared" si="47"/>
        <v>1128292.4667885939</v>
      </c>
      <c r="E118" s="405">
        <f t="shared" si="55"/>
        <v>-1128292.4667885939</v>
      </c>
      <c r="F118" s="405"/>
      <c r="G118" s="405">
        <f t="shared" si="48"/>
        <v>171377.68749500022</v>
      </c>
      <c r="H118" s="405">
        <f t="shared" ref="H118:H137" si="57">G118+H117</f>
        <v>-3129024.8749087001</v>
      </c>
      <c r="I118" s="404">
        <f t="shared" si="38"/>
        <v>16447953.14237868</v>
      </c>
      <c r="J118" s="404"/>
      <c r="K118" s="404">
        <f t="shared" si="49"/>
        <v>109823.53187521135</v>
      </c>
      <c r="L118" s="403">
        <f t="shared" si="56"/>
        <v>19576978.017287381</v>
      </c>
      <c r="N118" s="400">
        <f t="shared" si="50"/>
        <v>55200.02</v>
      </c>
      <c r="O118" s="399">
        <f t="shared" si="51"/>
        <v>54623.519999999997</v>
      </c>
      <c r="P118" s="399">
        <f t="shared" si="39"/>
        <v>109823.54</v>
      </c>
      <c r="Q118" s="402">
        <f t="shared" si="40"/>
        <v>-8.1247886409983039E-3</v>
      </c>
      <c r="S118" s="401">
        <f t="shared" si="41"/>
        <v>1018468.9267885939</v>
      </c>
      <c r="U118" s="400">
        <f t="shared" si="42"/>
        <v>861258.14189214387</v>
      </c>
      <c r="V118" s="399">
        <f t="shared" si="43"/>
        <v>80403.86783286788</v>
      </c>
      <c r="W118" s="399">
        <f t="shared" si="44"/>
        <v>76806.917063582165</v>
      </c>
      <c r="X118" s="399">
        <f t="shared" si="45"/>
        <v>1018468.9267885939</v>
      </c>
      <c r="Y118" s="397">
        <f t="shared" si="46"/>
        <v>0</v>
      </c>
      <c r="AA118" s="398">
        <f t="shared" si="52"/>
        <v>16555077.242022527</v>
      </c>
      <c r="AB118" s="391">
        <f t="shared" si="53"/>
        <v>3021900.822350251</v>
      </c>
      <c r="AC118" s="397">
        <f t="shared" si="54"/>
        <v>-1476380.1732146163</v>
      </c>
    </row>
    <row r="119" spans="1:29" ht="14.5" customHeight="1" outlineLevel="1">
      <c r="A119" s="407">
        <v>104</v>
      </c>
      <c r="B119" s="408">
        <v>46174</v>
      </c>
      <c r="C119" s="404"/>
      <c r="D119" s="404">
        <f t="shared" si="47"/>
        <v>1128292.4667885939</v>
      </c>
      <c r="E119" s="405">
        <f t="shared" si="55"/>
        <v>-1128292.4667885939</v>
      </c>
      <c r="F119" s="405"/>
      <c r="G119" s="405">
        <f t="shared" si="48"/>
        <v>171377.68749500022</v>
      </c>
      <c r="H119" s="405">
        <f t="shared" si="57"/>
        <v>-2957647.1874136999</v>
      </c>
      <c r="I119" s="404">
        <f t="shared" si="38"/>
        <v>15595482.865539193</v>
      </c>
      <c r="J119" s="404"/>
      <c r="K119" s="404">
        <f t="shared" si="49"/>
        <v>104444.50245410463</v>
      </c>
      <c r="L119" s="403">
        <f t="shared" si="56"/>
        <v>18553130.052952893</v>
      </c>
      <c r="N119" s="400">
        <f t="shared" si="50"/>
        <v>52496.38</v>
      </c>
      <c r="O119" s="399">
        <f t="shared" si="51"/>
        <v>51948.12</v>
      </c>
      <c r="P119" s="399">
        <f t="shared" si="39"/>
        <v>104444.5</v>
      </c>
      <c r="Q119" s="402">
        <f t="shared" si="40"/>
        <v>2.4541046295780689E-3</v>
      </c>
      <c r="S119" s="401">
        <f t="shared" si="41"/>
        <v>1023847.9667885939</v>
      </c>
      <c r="U119" s="400">
        <f t="shared" si="42"/>
        <v>865806.87369309471</v>
      </c>
      <c r="V119" s="399">
        <f t="shared" si="43"/>
        <v>80828.520573714326</v>
      </c>
      <c r="W119" s="399">
        <f t="shared" si="44"/>
        <v>77212.572521784925</v>
      </c>
      <c r="X119" s="399">
        <f t="shared" si="45"/>
        <v>1023847.9667885939</v>
      </c>
      <c r="Y119" s="397">
        <f t="shared" si="46"/>
        <v>0</v>
      </c>
      <c r="AA119" s="398">
        <f t="shared" si="52"/>
        <v>15689270.368329432</v>
      </c>
      <c r="AB119" s="391">
        <f t="shared" si="53"/>
        <v>2863859.7292547519</v>
      </c>
      <c r="AC119" s="397">
        <f t="shared" si="54"/>
        <v>-1399167.6006928314</v>
      </c>
    </row>
    <row r="120" spans="1:29" ht="14.5" customHeight="1" outlineLevel="1">
      <c r="A120" s="407">
        <v>105</v>
      </c>
      <c r="B120" s="408">
        <v>46204</v>
      </c>
      <c r="C120" s="404"/>
      <c r="D120" s="404">
        <f t="shared" si="47"/>
        <v>1128292.4667885939</v>
      </c>
      <c r="E120" s="405">
        <f t="shared" si="55"/>
        <v>-1128292.4667885939</v>
      </c>
      <c r="F120" s="405"/>
      <c r="G120" s="405">
        <f t="shared" si="48"/>
        <v>171377.68749500022</v>
      </c>
      <c r="H120" s="405">
        <f t="shared" si="57"/>
        <v>-2786269.4999186997</v>
      </c>
      <c r="I120" s="404">
        <f t="shared" si="38"/>
        <v>14737599.402441774</v>
      </c>
      <c r="J120" s="404"/>
      <c r="K120" s="404">
        <f t="shared" si="49"/>
        <v>99031.316196173881</v>
      </c>
      <c r="L120" s="403">
        <f t="shared" si="56"/>
        <v>17523868.902360473</v>
      </c>
      <c r="N120" s="400">
        <f t="shared" si="50"/>
        <v>49775.58</v>
      </c>
      <c r="O120" s="399">
        <f t="shared" si="51"/>
        <v>49255.73</v>
      </c>
      <c r="P120" s="399">
        <f t="shared" si="39"/>
        <v>99031.31</v>
      </c>
      <c r="Q120" s="402">
        <f t="shared" si="40"/>
        <v>6.1961738829268143E-3</v>
      </c>
      <c r="S120" s="401">
        <f t="shared" si="41"/>
        <v>1029261.1567885939</v>
      </c>
      <c r="U120" s="400">
        <f t="shared" si="42"/>
        <v>870384.48410268244</v>
      </c>
      <c r="V120" s="399">
        <f t="shared" si="43"/>
        <v>81255.869314423166</v>
      </c>
      <c r="W120" s="399">
        <f t="shared" si="44"/>
        <v>77620.803371488306</v>
      </c>
      <c r="X120" s="399">
        <f t="shared" si="45"/>
        <v>1029261.156788594</v>
      </c>
      <c r="Y120" s="397">
        <f t="shared" si="46"/>
        <v>0</v>
      </c>
      <c r="AA120" s="398">
        <f t="shared" si="52"/>
        <v>14818885.884226749</v>
      </c>
      <c r="AB120" s="391">
        <f t="shared" si="53"/>
        <v>2704983.0565688405</v>
      </c>
      <c r="AC120" s="397">
        <f t="shared" si="54"/>
        <v>-1321546.7973213431</v>
      </c>
    </row>
    <row r="121" spans="1:29" ht="14.5" customHeight="1" outlineLevel="1">
      <c r="A121" s="407">
        <v>106</v>
      </c>
      <c r="B121" s="408">
        <v>46235</v>
      </c>
      <c r="C121" s="404"/>
      <c r="D121" s="404">
        <f t="shared" si="47"/>
        <v>1128292.4667885939</v>
      </c>
      <c r="E121" s="405">
        <f t="shared" si="55"/>
        <v>-1128292.4667885939</v>
      </c>
      <c r="F121" s="405"/>
      <c r="G121" s="405">
        <f t="shared" si="48"/>
        <v>171377.68749500022</v>
      </c>
      <c r="H121" s="405">
        <f t="shared" si="57"/>
        <v>-2614891.8124236995</v>
      </c>
      <c r="I121" s="404">
        <f t="shared" si="38"/>
        <v>13874268.379353683</v>
      </c>
      <c r="J121" s="404"/>
      <c r="K121" s="404">
        <f t="shared" si="49"/>
        <v>93583.756205505269</v>
      </c>
      <c r="L121" s="403">
        <f t="shared" si="56"/>
        <v>16489160.191777384</v>
      </c>
      <c r="N121" s="400">
        <f t="shared" si="50"/>
        <v>47037.5</v>
      </c>
      <c r="O121" s="399">
        <f t="shared" si="51"/>
        <v>46546.25</v>
      </c>
      <c r="P121" s="399">
        <f t="shared" si="39"/>
        <v>93583.75</v>
      </c>
      <c r="Q121" s="402">
        <f t="shared" si="40"/>
        <v>6.205505269463174E-3</v>
      </c>
      <c r="S121" s="401">
        <f t="shared" si="41"/>
        <v>1034708.7167885939</v>
      </c>
      <c r="U121" s="400">
        <f t="shared" si="42"/>
        <v>874991.15916172415</v>
      </c>
      <c r="V121" s="399">
        <f t="shared" si="43"/>
        <v>81685.931423075541</v>
      </c>
      <c r="W121" s="399">
        <f t="shared" si="44"/>
        <v>78031.626203794265</v>
      </c>
      <c r="X121" s="399">
        <f t="shared" si="45"/>
        <v>1034708.7167885939</v>
      </c>
      <c r="Y121" s="397">
        <f t="shared" si="46"/>
        <v>0</v>
      </c>
      <c r="AA121" s="398">
        <f t="shared" si="52"/>
        <v>13943894.725065025</v>
      </c>
      <c r="AB121" s="391">
        <f t="shared" si="53"/>
        <v>2545265.498941971</v>
      </c>
      <c r="AC121" s="397">
        <f t="shared" si="54"/>
        <v>-1243515.1711175488</v>
      </c>
    </row>
    <row r="122" spans="1:29" ht="14.5" customHeight="1" outlineLevel="1">
      <c r="A122" s="407">
        <v>107</v>
      </c>
      <c r="B122" s="408">
        <v>46266</v>
      </c>
      <c r="C122" s="404"/>
      <c r="D122" s="404">
        <f t="shared" si="47"/>
        <v>1128292.4667885939</v>
      </c>
      <c r="E122" s="405">
        <f t="shared" si="55"/>
        <v>-1128292.4667885939</v>
      </c>
      <c r="F122" s="405"/>
      <c r="G122" s="405">
        <f t="shared" si="48"/>
        <v>171377.68749500022</v>
      </c>
      <c r="H122" s="405">
        <f t="shared" si="57"/>
        <v>-2443514.1249286993</v>
      </c>
      <c r="I122" s="404">
        <f t="shared" si="38"/>
        <v>13005455.204268986</v>
      </c>
      <c r="J122" s="404"/>
      <c r="K122" s="404">
        <f t="shared" si="49"/>
        <v>88101.604208895893</v>
      </c>
      <c r="L122" s="403">
        <f t="shared" si="56"/>
        <v>15448969.329197686</v>
      </c>
      <c r="N122" s="400">
        <f t="shared" si="50"/>
        <v>44282.04</v>
      </c>
      <c r="O122" s="399">
        <f t="shared" si="51"/>
        <v>43819.56</v>
      </c>
      <c r="P122" s="399">
        <f t="shared" si="39"/>
        <v>88101.6</v>
      </c>
      <c r="Q122" s="402">
        <f t="shared" si="40"/>
        <v>4.2088958871318027E-3</v>
      </c>
      <c r="S122" s="401">
        <f t="shared" si="41"/>
        <v>1040190.8667885939</v>
      </c>
      <c r="U122" s="400">
        <f t="shared" si="42"/>
        <v>879627.08491103677</v>
      </c>
      <c r="V122" s="399">
        <f t="shared" si="43"/>
        <v>82118.724267752536</v>
      </c>
      <c r="W122" s="399">
        <f t="shared" si="44"/>
        <v>78445.057609804673</v>
      </c>
      <c r="X122" s="399">
        <f t="shared" si="45"/>
        <v>1040190.8667885939</v>
      </c>
      <c r="Y122" s="397">
        <f t="shared" si="46"/>
        <v>0</v>
      </c>
      <c r="AA122" s="398">
        <f t="shared" si="52"/>
        <v>13064267.640153987</v>
      </c>
      <c r="AB122" s="391">
        <f t="shared" si="53"/>
        <v>2384701.7170644142</v>
      </c>
      <c r="AC122" s="397">
        <f t="shared" si="54"/>
        <v>-1165070.1135077442</v>
      </c>
    </row>
    <row r="123" spans="1:29" ht="14.5" customHeight="1" outlineLevel="1">
      <c r="A123" s="407">
        <v>108</v>
      </c>
      <c r="B123" s="408">
        <v>46296</v>
      </c>
      <c r="C123" s="404"/>
      <c r="D123" s="404">
        <f t="shared" si="47"/>
        <v>1128292.4667885939</v>
      </c>
      <c r="E123" s="405">
        <f t="shared" si="55"/>
        <v>-1128292.4667885939</v>
      </c>
      <c r="F123" s="405"/>
      <c r="G123" s="405">
        <f t="shared" si="48"/>
        <v>171377.68749500022</v>
      </c>
      <c r="H123" s="405">
        <f t="shared" si="57"/>
        <v>-2272136.4374336991</v>
      </c>
      <c r="I123" s="404">
        <f t="shared" si="38"/>
        <v>12131125.065522501</v>
      </c>
      <c r="J123" s="404"/>
      <c r="K123" s="404">
        <f t="shared" si="49"/>
        <v>82584.640547108065</v>
      </c>
      <c r="L123" s="403">
        <f t="shared" si="56"/>
        <v>14403261.5029562</v>
      </c>
      <c r="N123" s="400">
        <f t="shared" si="50"/>
        <v>41509.08</v>
      </c>
      <c r="O123" s="399">
        <f t="shared" si="51"/>
        <v>41075.56</v>
      </c>
      <c r="P123" s="399">
        <f t="shared" si="39"/>
        <v>82584.639999999999</v>
      </c>
      <c r="Q123" s="402">
        <f t="shared" si="40"/>
        <v>5.4710806580260396E-4</v>
      </c>
      <c r="S123" s="401">
        <f t="shared" si="41"/>
        <v>1045707.8267885939</v>
      </c>
      <c r="U123" s="400">
        <f t="shared" si="42"/>
        <v>884292.44739143725</v>
      </c>
      <c r="V123" s="399">
        <f t="shared" si="43"/>
        <v>82554.265216535248</v>
      </c>
      <c r="W123" s="399">
        <f t="shared" si="44"/>
        <v>78861.114180621429</v>
      </c>
      <c r="X123" s="399">
        <f t="shared" si="45"/>
        <v>1045707.826788594</v>
      </c>
      <c r="Y123" s="397">
        <f t="shared" si="46"/>
        <v>0</v>
      </c>
      <c r="AA123" s="398">
        <f t="shared" si="52"/>
        <v>12179975.19276255</v>
      </c>
      <c r="AB123" s="391">
        <f t="shared" si="53"/>
        <v>2223286.3376672575</v>
      </c>
      <c r="AC123" s="397">
        <f t="shared" si="54"/>
        <v>-1086208.9993271227</v>
      </c>
    </row>
    <row r="124" spans="1:29" ht="14.5" customHeight="1" outlineLevel="1">
      <c r="A124" s="407">
        <v>109</v>
      </c>
      <c r="B124" s="408">
        <v>46327</v>
      </c>
      <c r="C124" s="404"/>
      <c r="D124" s="404">
        <f t="shared" si="47"/>
        <v>1128292.4667885939</v>
      </c>
      <c r="E124" s="405">
        <f t="shared" si="55"/>
        <v>-1128292.4667885939</v>
      </c>
      <c r="F124" s="405"/>
      <c r="G124" s="405">
        <f t="shared" si="48"/>
        <v>171377.68749500022</v>
      </c>
      <c r="H124" s="405">
        <f t="shared" si="57"/>
        <v>-2100758.749938699</v>
      </c>
      <c r="I124" s="404">
        <f t="shared" si="38"/>
        <v>11251242.930394975</v>
      </c>
      <c r="J124" s="404"/>
      <c r="K124" s="404">
        <f t="shared" si="49"/>
        <v>77032.644166067897</v>
      </c>
      <c r="L124" s="403">
        <f t="shared" si="56"/>
        <v>13352001.680333674</v>
      </c>
      <c r="N124" s="400">
        <f t="shared" si="50"/>
        <v>38718.51</v>
      </c>
      <c r="O124" s="399">
        <f t="shared" si="51"/>
        <v>38314.14</v>
      </c>
      <c r="P124" s="399">
        <f t="shared" si="39"/>
        <v>77032.649999999994</v>
      </c>
      <c r="Q124" s="402">
        <f t="shared" si="40"/>
        <v>-5.8339320967206731E-3</v>
      </c>
      <c r="S124" s="401">
        <f t="shared" si="41"/>
        <v>1051259.816788594</v>
      </c>
      <c r="U124" s="400">
        <f t="shared" si="42"/>
        <v>888987.43264374277</v>
      </c>
      <c r="V124" s="399">
        <f t="shared" si="43"/>
        <v>82992.571637504807</v>
      </c>
      <c r="W124" s="399">
        <f t="shared" si="44"/>
        <v>79279.812507346491</v>
      </c>
      <c r="X124" s="399">
        <f t="shared" si="45"/>
        <v>1051259.816788594</v>
      </c>
      <c r="Y124" s="397">
        <f t="shared" si="46"/>
        <v>0</v>
      </c>
      <c r="AA124" s="398">
        <f t="shared" si="52"/>
        <v>11290987.760118807</v>
      </c>
      <c r="AB124" s="391">
        <f t="shared" si="53"/>
        <v>2061013.9535224063</v>
      </c>
      <c r="AC124" s="397">
        <f t="shared" si="54"/>
        <v>-1006929.1868197762</v>
      </c>
    </row>
    <row r="125" spans="1:29" ht="14.5" customHeight="1" outlineLevel="1">
      <c r="A125" s="407">
        <v>110</v>
      </c>
      <c r="B125" s="408">
        <v>46357</v>
      </c>
      <c r="C125" s="404"/>
      <c r="D125" s="404">
        <f t="shared" si="47"/>
        <v>1128292.4667885939</v>
      </c>
      <c r="E125" s="405">
        <f t="shared" si="55"/>
        <v>-1128292.4667885939</v>
      </c>
      <c r="F125" s="405"/>
      <c r="G125" s="405">
        <f t="shared" si="48"/>
        <v>171377.68749500022</v>
      </c>
      <c r="H125" s="405">
        <f t="shared" si="57"/>
        <v>-1929381.0624436988</v>
      </c>
      <c r="I125" s="404">
        <f t="shared" si="38"/>
        <v>10365773.54370939</v>
      </c>
      <c r="J125" s="404"/>
      <c r="K125" s="404">
        <f t="shared" si="49"/>
        <v>71445.3926080081</v>
      </c>
      <c r="L125" s="403">
        <f t="shared" si="56"/>
        <v>12295154.606153088</v>
      </c>
      <c r="N125" s="400">
        <f t="shared" si="50"/>
        <v>35910.22</v>
      </c>
      <c r="O125" s="399">
        <f t="shared" si="51"/>
        <v>35535.18</v>
      </c>
      <c r="P125" s="399">
        <f t="shared" si="39"/>
        <v>71445.399999999994</v>
      </c>
      <c r="Q125" s="402">
        <f t="shared" si="40"/>
        <v>-7.3919918941101059E-3</v>
      </c>
      <c r="S125" s="401">
        <f t="shared" si="41"/>
        <v>1056847.066788594</v>
      </c>
      <c r="U125" s="400">
        <f t="shared" si="42"/>
        <v>893712.23516517086</v>
      </c>
      <c r="V125" s="399">
        <f t="shared" si="43"/>
        <v>83433.661688200518</v>
      </c>
      <c r="W125" s="399">
        <f t="shared" si="44"/>
        <v>79701.169935222715</v>
      </c>
      <c r="X125" s="399">
        <f t="shared" si="45"/>
        <v>1056847.0667885942</v>
      </c>
      <c r="Y125" s="397">
        <f t="shared" si="46"/>
        <v>0</v>
      </c>
      <c r="AA125" s="398">
        <f t="shared" si="52"/>
        <v>10397275.524953635</v>
      </c>
      <c r="AB125" s="391">
        <f t="shared" si="53"/>
        <v>1897879.1218989831</v>
      </c>
      <c r="AC125" s="397">
        <f t="shared" si="54"/>
        <v>-927228.01688455348</v>
      </c>
    </row>
    <row r="126" spans="1:29" ht="14.5" customHeight="1" outlineLevel="1">
      <c r="A126" s="407">
        <v>111</v>
      </c>
      <c r="B126" s="408">
        <v>46388</v>
      </c>
      <c r="C126" s="404"/>
      <c r="D126" s="404">
        <f t="shared" si="47"/>
        <v>1128292.4667885939</v>
      </c>
      <c r="E126" s="405">
        <f t="shared" si="55"/>
        <v>-1128292.4667885939</v>
      </c>
      <c r="F126" s="405"/>
      <c r="G126" s="405">
        <f t="shared" si="48"/>
        <v>171377.68749500022</v>
      </c>
      <c r="H126" s="405">
        <f t="shared" si="57"/>
        <v>-1758003.3749486986</v>
      </c>
      <c r="I126" s="404">
        <f t="shared" si="38"/>
        <v>9474681.4264183491</v>
      </c>
      <c r="J126" s="404"/>
      <c r="K126" s="404">
        <f t="shared" si="49"/>
        <v>65822.662002554629</v>
      </c>
      <c r="L126" s="403">
        <f t="shared" si="56"/>
        <v>11232684.801367048</v>
      </c>
      <c r="N126" s="400">
        <f t="shared" si="50"/>
        <v>33084.089999999997</v>
      </c>
      <c r="O126" s="399">
        <f t="shared" si="51"/>
        <v>32738.57</v>
      </c>
      <c r="P126" s="399">
        <f t="shared" si="39"/>
        <v>65822.66</v>
      </c>
      <c r="Q126" s="402">
        <f t="shared" si="40"/>
        <v>2.0025546255055815E-3</v>
      </c>
      <c r="S126" s="401">
        <f t="shared" si="41"/>
        <v>1062469.806788594</v>
      </c>
      <c r="U126" s="400">
        <f t="shared" si="42"/>
        <v>898467.0494529393</v>
      </c>
      <c r="V126" s="399">
        <f t="shared" si="43"/>
        <v>83877.553526161733</v>
      </c>
      <c r="W126" s="399">
        <f t="shared" si="44"/>
        <v>80125.203809493018</v>
      </c>
      <c r="X126" s="399">
        <f t="shared" si="45"/>
        <v>1062469.806788594</v>
      </c>
      <c r="Y126" s="397">
        <f t="shared" si="46"/>
        <v>0</v>
      </c>
      <c r="AA126" s="398">
        <f t="shared" si="52"/>
        <v>9498808.4755006954</v>
      </c>
      <c r="AB126" s="391">
        <f t="shared" si="53"/>
        <v>1733876.3645633284</v>
      </c>
      <c r="AC126" s="397">
        <f t="shared" si="54"/>
        <v>-847102.81307506049</v>
      </c>
    </row>
    <row r="127" spans="1:29" ht="14.5" customHeight="1" outlineLevel="1">
      <c r="A127" s="407">
        <v>112</v>
      </c>
      <c r="B127" s="408">
        <v>46419</v>
      </c>
      <c r="C127" s="404"/>
      <c r="D127" s="404">
        <f t="shared" si="47"/>
        <v>1128292.4667885939</v>
      </c>
      <c r="E127" s="405">
        <f t="shared" si="55"/>
        <v>-1128292.4667885939</v>
      </c>
      <c r="F127" s="405"/>
      <c r="G127" s="405">
        <f t="shared" si="48"/>
        <v>171377.68749500022</v>
      </c>
      <c r="H127" s="405">
        <f t="shared" si="57"/>
        <v>-1586625.6874536984</v>
      </c>
      <c r="I127" s="404">
        <f t="shared" si="38"/>
        <v>8577930.874182513</v>
      </c>
      <c r="J127" s="404"/>
      <c r="K127" s="404">
        <f t="shared" si="49"/>
        <v>60164.227057756521</v>
      </c>
      <c r="L127" s="403">
        <f t="shared" si="56"/>
        <v>10164556.561636211</v>
      </c>
      <c r="N127" s="400">
        <f t="shared" si="50"/>
        <v>30240.02</v>
      </c>
      <c r="O127" s="399">
        <f t="shared" si="51"/>
        <v>29924.2</v>
      </c>
      <c r="P127" s="399">
        <f t="shared" si="39"/>
        <v>60164.22</v>
      </c>
      <c r="Q127" s="402">
        <f t="shared" si="40"/>
        <v>7.0577565202256665E-3</v>
      </c>
      <c r="S127" s="401">
        <f t="shared" si="41"/>
        <v>1068128.2467885939</v>
      </c>
      <c r="U127" s="400">
        <f t="shared" si="42"/>
        <v>903252.05309146433</v>
      </c>
      <c r="V127" s="399">
        <f t="shared" si="43"/>
        <v>84324.263730011327</v>
      </c>
      <c r="W127" s="399">
        <f t="shared" si="44"/>
        <v>80551.929967118311</v>
      </c>
      <c r="X127" s="399">
        <f t="shared" si="45"/>
        <v>1068128.2467885939</v>
      </c>
      <c r="Y127" s="397">
        <f t="shared" si="46"/>
        <v>0</v>
      </c>
      <c r="AA127" s="398">
        <f t="shared" si="52"/>
        <v>8595556.4224092308</v>
      </c>
      <c r="AB127" s="391">
        <f t="shared" si="53"/>
        <v>1569000.1708661988</v>
      </c>
      <c r="AC127" s="397">
        <f t="shared" si="54"/>
        <v>-766550.88310794218</v>
      </c>
    </row>
    <row r="128" spans="1:29" ht="14.5" customHeight="1" outlineLevel="1">
      <c r="A128" s="407">
        <v>113</v>
      </c>
      <c r="B128" s="408">
        <v>46447</v>
      </c>
      <c r="C128" s="404"/>
      <c r="D128" s="404">
        <f t="shared" si="47"/>
        <v>1128292.4667885939</v>
      </c>
      <c r="E128" s="405">
        <f t="shared" si="55"/>
        <v>-1128292.4667885939</v>
      </c>
      <c r="F128" s="405"/>
      <c r="G128" s="405">
        <f t="shared" si="48"/>
        <v>171377.68749500022</v>
      </c>
      <c r="H128" s="405">
        <f t="shared" si="57"/>
        <v>-1415247.9999586982</v>
      </c>
      <c r="I128" s="404">
        <f t="shared" si="38"/>
        <v>7675485.9559399784</v>
      </c>
      <c r="J128" s="404"/>
      <c r="K128" s="404">
        <f t="shared" si="49"/>
        <v>54469.861051058964</v>
      </c>
      <c r="L128" s="403">
        <f t="shared" si="56"/>
        <v>9090733.9558986761</v>
      </c>
      <c r="N128" s="400">
        <f t="shared" si="50"/>
        <v>27377.9</v>
      </c>
      <c r="O128" s="399">
        <f t="shared" si="51"/>
        <v>27091.97</v>
      </c>
      <c r="P128" s="399">
        <f t="shared" si="39"/>
        <v>54469.87</v>
      </c>
      <c r="Q128" s="402">
        <f t="shared" si="40"/>
        <v>-8.9489410383976065E-3</v>
      </c>
      <c r="S128" s="401">
        <f t="shared" si="41"/>
        <v>1073822.5967885938</v>
      </c>
      <c r="U128" s="400">
        <f t="shared" si="42"/>
        <v>908067.42366516218</v>
      </c>
      <c r="V128" s="399">
        <f t="shared" si="43"/>
        <v>84773.808878372161</v>
      </c>
      <c r="W128" s="399">
        <f t="shared" si="44"/>
        <v>80981.364245059493</v>
      </c>
      <c r="X128" s="399">
        <f t="shared" si="45"/>
        <v>1073822.5967885938</v>
      </c>
      <c r="Y128" s="397">
        <f t="shared" si="46"/>
        <v>0</v>
      </c>
      <c r="AA128" s="398">
        <f t="shared" si="52"/>
        <v>7687488.9987440687</v>
      </c>
      <c r="AB128" s="391">
        <f t="shared" si="53"/>
        <v>1403244.9977427672</v>
      </c>
      <c r="AC128" s="397">
        <f t="shared" si="54"/>
        <v>-685569.51886288263</v>
      </c>
    </row>
    <row r="129" spans="1:29" ht="14.5" customHeight="1" outlineLevel="1">
      <c r="A129" s="407">
        <v>114</v>
      </c>
      <c r="B129" s="408">
        <v>46478</v>
      </c>
      <c r="C129" s="404"/>
      <c r="D129" s="404">
        <f t="shared" si="47"/>
        <v>1128292.4667885939</v>
      </c>
      <c r="E129" s="405">
        <f t="shared" si="55"/>
        <v>-1128292.4667885939</v>
      </c>
      <c r="F129" s="405"/>
      <c r="G129" s="405">
        <f t="shared" si="48"/>
        <v>171377.68749500022</v>
      </c>
      <c r="H129" s="405">
        <f t="shared" si="57"/>
        <v>-1243870.312463698</v>
      </c>
      <c r="I129" s="404">
        <f t="shared" si="38"/>
        <v>6767310.512466603</v>
      </c>
      <c r="J129" s="404"/>
      <c r="K129" s="404">
        <f t="shared" si="49"/>
        <v>48739.335820218868</v>
      </c>
      <c r="L129" s="403">
        <f t="shared" si="56"/>
        <v>8011180.8249303009</v>
      </c>
      <c r="N129" s="400">
        <f t="shared" si="50"/>
        <v>24497.59</v>
      </c>
      <c r="O129" s="399">
        <f t="shared" si="51"/>
        <v>24241.74</v>
      </c>
      <c r="P129" s="399">
        <f t="shared" si="39"/>
        <v>48739.33</v>
      </c>
      <c r="Q129" s="402">
        <f t="shared" si="40"/>
        <v>5.820218866574578E-3</v>
      </c>
      <c r="S129" s="401">
        <f t="shared" si="41"/>
        <v>1079553.1367885938</v>
      </c>
      <c r="U129" s="400">
        <f t="shared" si="42"/>
        <v>912913.39795325464</v>
      </c>
      <c r="V129" s="399">
        <f t="shared" si="43"/>
        <v>85226.21107607476</v>
      </c>
      <c r="W129" s="399">
        <f t="shared" si="44"/>
        <v>81413.527759264485</v>
      </c>
      <c r="X129" s="399">
        <f t="shared" si="45"/>
        <v>1079553.1367885938</v>
      </c>
      <c r="Y129" s="397">
        <f t="shared" si="46"/>
        <v>0</v>
      </c>
      <c r="AA129" s="398">
        <f t="shared" si="52"/>
        <v>6774575.6007908136</v>
      </c>
      <c r="AB129" s="391">
        <f t="shared" si="53"/>
        <v>1236605.258907428</v>
      </c>
      <c r="AC129" s="397">
        <f t="shared" si="54"/>
        <v>-604155.99110361817</v>
      </c>
    </row>
    <row r="130" spans="1:29" ht="14.5" customHeight="1" outlineLevel="1">
      <c r="A130" s="407">
        <v>115</v>
      </c>
      <c r="B130" s="408">
        <v>46508</v>
      </c>
      <c r="C130" s="404"/>
      <c r="D130" s="404">
        <f t="shared" si="47"/>
        <v>1128292.4667885939</v>
      </c>
      <c r="E130" s="405">
        <f t="shared" si="55"/>
        <v>-1128292.4667885939</v>
      </c>
      <c r="F130" s="405"/>
      <c r="G130" s="405">
        <f t="shared" si="48"/>
        <v>171377.68749500022</v>
      </c>
      <c r="H130" s="405">
        <f t="shared" si="57"/>
        <v>-1072492.6249686978</v>
      </c>
      <c r="I130" s="404">
        <f t="shared" si="38"/>
        <v>5853368.1549271718</v>
      </c>
      <c r="J130" s="404"/>
      <c r="K130" s="404">
        <f t="shared" si="49"/>
        <v>42972.421754162933</v>
      </c>
      <c r="L130" s="403">
        <f t="shared" si="56"/>
        <v>6925860.77989587</v>
      </c>
      <c r="N130" s="400">
        <f t="shared" si="50"/>
        <v>21599</v>
      </c>
      <c r="O130" s="399">
        <f t="shared" si="51"/>
        <v>21373.42</v>
      </c>
      <c r="P130" s="399">
        <f t="shared" si="39"/>
        <v>42972.42</v>
      </c>
      <c r="Q130" s="402">
        <f t="shared" si="40"/>
        <v>1.7541629349580035E-3</v>
      </c>
      <c r="S130" s="401">
        <f t="shared" si="41"/>
        <v>1085320.046788594</v>
      </c>
      <c r="U130" s="400">
        <f t="shared" si="42"/>
        <v>917790.12817095558</v>
      </c>
      <c r="V130" s="399">
        <f t="shared" si="43"/>
        <v>85681.4845333673</v>
      </c>
      <c r="W130" s="399">
        <f t="shared" si="44"/>
        <v>81848.434084271197</v>
      </c>
      <c r="X130" s="399">
        <f t="shared" si="45"/>
        <v>1085320.0467885942</v>
      </c>
      <c r="Y130" s="397">
        <f t="shared" si="46"/>
        <v>0</v>
      </c>
      <c r="AA130" s="398">
        <f t="shared" si="52"/>
        <v>5856785.4726198576</v>
      </c>
      <c r="AB130" s="391">
        <f t="shared" si="53"/>
        <v>1069075.3402897897</v>
      </c>
      <c r="AC130" s="397">
        <f t="shared" si="54"/>
        <v>-522307.55701934698</v>
      </c>
    </row>
    <row r="131" spans="1:29" ht="14.5" customHeight="1" outlineLevel="1">
      <c r="A131" s="407">
        <v>116</v>
      </c>
      <c r="B131" s="408">
        <v>46539</v>
      </c>
      <c r="C131" s="404"/>
      <c r="D131" s="404">
        <f t="shared" si="47"/>
        <v>1128292.4667885939</v>
      </c>
      <c r="E131" s="405">
        <f t="shared" si="55"/>
        <v>-1128292.4667885939</v>
      </c>
      <c r="F131" s="405"/>
      <c r="G131" s="405">
        <f t="shared" si="48"/>
        <v>171377.68749500022</v>
      </c>
      <c r="H131" s="405">
        <f t="shared" si="57"/>
        <v>-901114.93747369759</v>
      </c>
      <c r="I131" s="404">
        <f t="shared" si="38"/>
        <v>4933622.263417366</v>
      </c>
      <c r="J131" s="404"/>
      <c r="K131" s="404">
        <f t="shared" si="49"/>
        <v>37168.887783787541</v>
      </c>
      <c r="L131" s="403">
        <f t="shared" si="56"/>
        <v>5834737.2008910635</v>
      </c>
      <c r="N131" s="400">
        <f t="shared" si="50"/>
        <v>18682</v>
      </c>
      <c r="O131" s="399">
        <f t="shared" si="51"/>
        <v>18486.89</v>
      </c>
      <c r="P131" s="399">
        <f t="shared" si="39"/>
        <v>37168.89</v>
      </c>
      <c r="Q131" s="402">
        <f t="shared" si="40"/>
        <v>-2.2162124587339349E-3</v>
      </c>
      <c r="S131" s="401">
        <f t="shared" si="41"/>
        <v>1091123.576788594</v>
      </c>
      <c r="U131" s="400">
        <f t="shared" si="42"/>
        <v>922697.82572828396</v>
      </c>
      <c r="V131" s="399">
        <f t="shared" si="43"/>
        <v>86139.648986705535</v>
      </c>
      <c r="W131" s="399">
        <f t="shared" si="44"/>
        <v>82286.102073604503</v>
      </c>
      <c r="X131" s="399">
        <f t="shared" si="45"/>
        <v>1091123.576788594</v>
      </c>
      <c r="Y131" s="397">
        <f t="shared" si="46"/>
        <v>0</v>
      </c>
      <c r="AA131" s="398">
        <f t="shared" si="52"/>
        <v>4934087.6468915734</v>
      </c>
      <c r="AB131" s="391">
        <f t="shared" si="53"/>
        <v>900649.58922947966</v>
      </c>
      <c r="AC131" s="397">
        <f t="shared" si="54"/>
        <v>-440021.4549457425</v>
      </c>
    </row>
    <row r="132" spans="1:29" ht="14.5" customHeight="1" outlineLevel="1">
      <c r="A132" s="407">
        <v>117</v>
      </c>
      <c r="B132" s="408">
        <v>46569</v>
      </c>
      <c r="C132" s="404"/>
      <c r="D132" s="404">
        <f t="shared" si="47"/>
        <v>1128292.4667885939</v>
      </c>
      <c r="E132" s="405">
        <f t="shared" si="55"/>
        <v>-1128292.4667885939</v>
      </c>
      <c r="F132" s="405"/>
      <c r="G132" s="405">
        <f t="shared" si="48"/>
        <v>171377.68749500022</v>
      </c>
      <c r="H132" s="405">
        <f t="shared" si="57"/>
        <v>-729737.24997869739</v>
      </c>
      <c r="I132" s="404">
        <f t="shared" si="38"/>
        <v>4008035.985496473</v>
      </c>
      <c r="J132" s="404"/>
      <c r="K132" s="404">
        <f t="shared" si="49"/>
        <v>31328.501372700277</v>
      </c>
      <c r="L132" s="403">
        <f t="shared" si="56"/>
        <v>4737773.2354751704</v>
      </c>
      <c r="N132" s="400">
        <f t="shared" si="50"/>
        <v>15746.48</v>
      </c>
      <c r="O132" s="399">
        <f t="shared" si="51"/>
        <v>15582.02</v>
      </c>
      <c r="P132" s="399">
        <f t="shared" si="39"/>
        <v>31328.5</v>
      </c>
      <c r="Q132" s="402">
        <f t="shared" si="40"/>
        <v>1.3727002769883256E-3</v>
      </c>
      <c r="S132" s="401">
        <f t="shared" si="41"/>
        <v>1096963.9667885939</v>
      </c>
      <c r="U132" s="400">
        <f t="shared" si="42"/>
        <v>927636.69357885863</v>
      </c>
      <c r="V132" s="399">
        <f t="shared" si="43"/>
        <v>86600.723383087068</v>
      </c>
      <c r="W132" s="399">
        <f t="shared" si="44"/>
        <v>82726.549826648305</v>
      </c>
      <c r="X132" s="399">
        <f t="shared" si="45"/>
        <v>1096963.9667885939</v>
      </c>
      <c r="Y132" s="397">
        <f t="shared" si="46"/>
        <v>0</v>
      </c>
      <c r="AA132" s="398">
        <f t="shared" si="52"/>
        <v>4006450.9533127146</v>
      </c>
      <c r="AB132" s="391">
        <f t="shared" si="53"/>
        <v>731322.31601974426</v>
      </c>
      <c r="AC132" s="397">
        <f t="shared" si="54"/>
        <v>-357294.90511909418</v>
      </c>
    </row>
    <row r="133" spans="1:29" ht="14.5" customHeight="1" outlineLevel="1">
      <c r="A133" s="407">
        <v>118</v>
      </c>
      <c r="B133" s="408">
        <v>46600</v>
      </c>
      <c r="C133" s="404"/>
      <c r="D133" s="404">
        <f t="shared" si="47"/>
        <v>1128292.4667885939</v>
      </c>
      <c r="E133" s="405">
        <f t="shared" si="55"/>
        <v>-1128292.4667885939</v>
      </c>
      <c r="F133" s="405"/>
      <c r="G133" s="405">
        <f t="shared" si="48"/>
        <v>171377.68749500022</v>
      </c>
      <c r="H133" s="405">
        <f t="shared" si="57"/>
        <v>-558359.5624836972</v>
      </c>
      <c r="I133" s="404">
        <f t="shared" si="38"/>
        <v>3076572.2347107823</v>
      </c>
      <c r="J133" s="404"/>
      <c r="K133" s="404">
        <f t="shared" si="49"/>
        <v>25451.028507902607</v>
      </c>
      <c r="L133" s="403">
        <f t="shared" si="56"/>
        <v>3634931.7971944795</v>
      </c>
      <c r="N133" s="400">
        <f t="shared" si="50"/>
        <v>12792.31</v>
      </c>
      <c r="O133" s="399">
        <f t="shared" si="51"/>
        <v>12658.71</v>
      </c>
      <c r="P133" s="399">
        <f t="shared" si="39"/>
        <v>25451.019999999997</v>
      </c>
      <c r="Q133" s="402">
        <f t="shared" si="40"/>
        <v>8.5079026102903299E-3</v>
      </c>
      <c r="S133" s="401">
        <f t="shared" si="41"/>
        <v>1102841.4467885939</v>
      </c>
      <c r="U133" s="400">
        <f t="shared" si="42"/>
        <v>932606.92621989723</v>
      </c>
      <c r="V133" s="399">
        <f t="shared" si="43"/>
        <v>87064.725880051235</v>
      </c>
      <c r="W133" s="399">
        <f t="shared" si="44"/>
        <v>83169.794688645517</v>
      </c>
      <c r="X133" s="399">
        <f t="shared" si="45"/>
        <v>1102841.4467885941</v>
      </c>
      <c r="Y133" s="397">
        <f t="shared" si="46"/>
        <v>0</v>
      </c>
      <c r="AA133" s="398">
        <f t="shared" si="52"/>
        <v>3073844.0270928172</v>
      </c>
      <c r="AB133" s="391">
        <f t="shared" si="53"/>
        <v>561087.79545104748</v>
      </c>
      <c r="AC133" s="397">
        <f t="shared" si="54"/>
        <v>-274125.11043044867</v>
      </c>
    </row>
    <row r="134" spans="1:29" ht="14.5" customHeight="1" outlineLevel="1">
      <c r="A134" s="407">
        <v>119</v>
      </c>
      <c r="B134" s="408">
        <v>46631</v>
      </c>
      <c r="C134" s="404"/>
      <c r="D134" s="404">
        <f t="shared" si="47"/>
        <v>1128292.4667885939</v>
      </c>
      <c r="E134" s="405">
        <f t="shared" si="55"/>
        <v>-1128292.4667885939</v>
      </c>
      <c r="F134" s="405"/>
      <c r="G134" s="405">
        <f t="shared" si="48"/>
        <v>171377.68749500022</v>
      </c>
      <c r="H134" s="405">
        <f t="shared" si="57"/>
        <v>-386981.874988697</v>
      </c>
      <c r="I134" s="404">
        <f t="shared" si="38"/>
        <v>2139193.689107602</v>
      </c>
      <c r="J134" s="404"/>
      <c r="K134" s="404">
        <f t="shared" si="49"/>
        <v>19536.233690413468</v>
      </c>
      <c r="L134" s="403">
        <f t="shared" si="56"/>
        <v>2526175.564096299</v>
      </c>
      <c r="N134" s="400">
        <f t="shared" si="50"/>
        <v>9819.39</v>
      </c>
      <c r="O134" s="399">
        <f t="shared" si="51"/>
        <v>9716.84</v>
      </c>
      <c r="P134" s="399">
        <f t="shared" si="39"/>
        <v>19536.23</v>
      </c>
      <c r="Q134" s="402">
        <f t="shared" si="40"/>
        <v>3.6904134685755707E-3</v>
      </c>
      <c r="S134" s="401">
        <f t="shared" si="41"/>
        <v>1108756.2367885939</v>
      </c>
      <c r="U134" s="400">
        <f t="shared" si="42"/>
        <v>937608.70969221683</v>
      </c>
      <c r="V134" s="399">
        <f t="shared" si="43"/>
        <v>87531.67384567915</v>
      </c>
      <c r="W134" s="399">
        <f t="shared" si="44"/>
        <v>83615.853250698055</v>
      </c>
      <c r="X134" s="399">
        <f t="shared" si="45"/>
        <v>1108756.2367885939</v>
      </c>
      <c r="Y134" s="397">
        <f t="shared" si="46"/>
        <v>0</v>
      </c>
      <c r="AA134" s="398">
        <f t="shared" si="52"/>
        <v>2136235.3174006003</v>
      </c>
      <c r="AB134" s="391">
        <f t="shared" si="53"/>
        <v>389940.26835467026</v>
      </c>
      <c r="AC134" s="397">
        <f t="shared" si="54"/>
        <v>-190509.2571797506</v>
      </c>
    </row>
    <row r="135" spans="1:29" ht="14.5" customHeight="1" outlineLevel="1">
      <c r="A135" s="407">
        <v>120</v>
      </c>
      <c r="B135" s="408">
        <v>46661</v>
      </c>
      <c r="C135" s="404"/>
      <c r="D135" s="404">
        <f t="shared" si="47"/>
        <v>1128292.4667885939</v>
      </c>
      <c r="E135" s="405">
        <f t="shared" si="55"/>
        <v>-1128292.4667885939</v>
      </c>
      <c r="F135" s="405"/>
      <c r="G135" s="405">
        <f t="shared" si="48"/>
        <v>171377.68749500022</v>
      </c>
      <c r="H135" s="405">
        <f t="shared" si="57"/>
        <v>-215604.18749369678</v>
      </c>
      <c r="I135" s="404">
        <f t="shared" si="38"/>
        <v>1195862.7897398416</v>
      </c>
      <c r="J135" s="404"/>
      <c r="K135" s="404">
        <f t="shared" si="49"/>
        <v>13583.879925833275</v>
      </c>
      <c r="L135" s="403">
        <f t="shared" si="56"/>
        <v>1411466.9772335384</v>
      </c>
      <c r="N135" s="400">
        <f t="shared" si="50"/>
        <v>6827.59</v>
      </c>
      <c r="O135" s="399">
        <f t="shared" si="51"/>
        <v>6756.29</v>
      </c>
      <c r="P135" s="399">
        <f t="shared" si="39"/>
        <v>13583.880000000001</v>
      </c>
      <c r="Q135" s="402">
        <f t="shared" si="40"/>
        <v>-7.4166726335533895E-5</v>
      </c>
      <c r="S135" s="401">
        <f t="shared" si="41"/>
        <v>1114708.586788594</v>
      </c>
      <c r="U135" s="400">
        <f t="shared" si="42"/>
        <v>942642.25540583674</v>
      </c>
      <c r="V135" s="399">
        <f t="shared" si="43"/>
        <v>88001.587016426594</v>
      </c>
      <c r="W135" s="399">
        <f t="shared" si="44"/>
        <v>84064.744366330793</v>
      </c>
      <c r="X135" s="399">
        <f t="shared" si="45"/>
        <v>1114708.5867885943</v>
      </c>
      <c r="Y135" s="397">
        <f t="shared" si="46"/>
        <v>0</v>
      </c>
      <c r="AA135" s="398">
        <f t="shared" si="52"/>
        <v>1193593.0619947636</v>
      </c>
      <c r="AB135" s="391">
        <f t="shared" si="53"/>
        <v>217873.93697191286</v>
      </c>
      <c r="AC135" s="397">
        <f t="shared" si="54"/>
        <v>-106444.5128134198</v>
      </c>
    </row>
    <row r="136" spans="1:29" ht="14.5" customHeight="1" outlineLevel="1">
      <c r="A136" s="407">
        <v>121</v>
      </c>
      <c r="B136" s="408">
        <v>46692</v>
      </c>
      <c r="C136" s="404"/>
      <c r="D136" s="404">
        <f t="shared" si="47"/>
        <v>1128292.4667885939</v>
      </c>
      <c r="E136" s="405">
        <f t="shared" si="55"/>
        <v>-1128292.4667885939</v>
      </c>
      <c r="F136" s="405"/>
      <c r="G136" s="405">
        <f t="shared" si="48"/>
        <v>171377.68749500022</v>
      </c>
      <c r="H136" s="405">
        <f t="shared" si="57"/>
        <v>-44226.499998696556</v>
      </c>
      <c r="I136" s="404">
        <f t="shared" si="38"/>
        <v>246541.73916109593</v>
      </c>
      <c r="J136" s="404"/>
      <c r="K136" s="404">
        <f t="shared" si="49"/>
        <v>7593.7287148479945</v>
      </c>
      <c r="L136" s="403">
        <f t="shared" si="56"/>
        <v>290768.23915979249</v>
      </c>
      <c r="N136" s="400">
        <f t="shared" si="50"/>
        <v>3816.8</v>
      </c>
      <c r="O136" s="399">
        <f t="shared" si="51"/>
        <v>3776.93</v>
      </c>
      <c r="P136" s="399">
        <f t="shared" si="39"/>
        <v>7593.73</v>
      </c>
      <c r="Q136" s="402">
        <f t="shared" si="40"/>
        <v>-1.2851520050389809E-3</v>
      </c>
      <c r="S136" s="401">
        <f t="shared" si="41"/>
        <v>1120698.7367885939</v>
      </c>
      <c r="U136" s="400">
        <f t="shared" si="42"/>
        <v>947707.76631437521</v>
      </c>
      <c r="V136" s="399">
        <f t="shared" si="43"/>
        <v>88474.484339291128</v>
      </c>
      <c r="W136" s="399">
        <f t="shared" si="44"/>
        <v>84516.486134927647</v>
      </c>
      <c r="X136" s="399">
        <f t="shared" si="45"/>
        <v>1120698.7367885939</v>
      </c>
      <c r="Y136" s="397">
        <f t="shared" si="46"/>
        <v>0</v>
      </c>
      <c r="AA136" s="398">
        <f t="shared" si="52"/>
        <v>245885.29568038834</v>
      </c>
      <c r="AB136" s="391">
        <f t="shared" si="53"/>
        <v>44882.966497694084</v>
      </c>
      <c r="AC136" s="397">
        <f t="shared" si="54"/>
        <v>-21928.026678492155</v>
      </c>
    </row>
    <row r="137" spans="1:29" ht="14.5" customHeight="1" outlineLevel="1" thickBot="1">
      <c r="A137" s="407">
        <v>122</v>
      </c>
      <c r="B137" s="406" t="s">
        <v>909</v>
      </c>
      <c r="C137" s="404"/>
      <c r="D137" s="404">
        <f>$D$9*8/31</f>
        <v>291172.24949383066</v>
      </c>
      <c r="E137" s="405">
        <f t="shared" si="55"/>
        <v>-291172.24949383066</v>
      </c>
      <c r="F137" s="405"/>
      <c r="G137" s="405">
        <f>-AVERAGE(G$16:G$76)*8/31</f>
        <v>44226.499998709733</v>
      </c>
      <c r="H137" s="405">
        <f t="shared" si="57"/>
        <v>1.3176759239286184E-8</v>
      </c>
      <c r="I137" s="404">
        <f t="shared" si="38"/>
        <v>-1.739126105348987E-7</v>
      </c>
      <c r="J137" s="404"/>
      <c r="K137" s="404">
        <f>(L136+H136)*$D$8*8/31</f>
        <v>404.01033385108627</v>
      </c>
      <c r="L137" s="403">
        <f t="shared" si="56"/>
        <v>-1.8708936977418489E-7</v>
      </c>
      <c r="N137" s="400">
        <f>ROUND(((L136+H136)*($T$9/12)*(8/31)),2)</f>
        <v>203.07</v>
      </c>
      <c r="O137" s="399">
        <f>ROUND(((L136+H136)*($T$10/12)*(8/31)),2)</f>
        <v>200.94</v>
      </c>
      <c r="P137" s="399">
        <f t="shared" si="39"/>
        <v>404.01</v>
      </c>
      <c r="Q137" s="402">
        <f t="shared" si="40"/>
        <v>3.3385108628181115E-4</v>
      </c>
      <c r="S137" s="401">
        <f>D137-P137+0.02</f>
        <v>290768.25949383067</v>
      </c>
      <c r="U137" s="400">
        <f t="shared" si="42"/>
        <v>245885.29341047927</v>
      </c>
      <c r="V137" s="399">
        <f t="shared" si="43"/>
        <v>22954.939607291333</v>
      </c>
      <c r="W137" s="399">
        <f t="shared" si="44"/>
        <v>21928.026476060088</v>
      </c>
      <c r="X137" s="399">
        <f t="shared" si="45"/>
        <v>290768.25949383067</v>
      </c>
      <c r="Y137" s="397">
        <f t="shared" si="46"/>
        <v>0</v>
      </c>
      <c r="AA137" s="398">
        <f t="shared" si="52"/>
        <v>2.2699090768583119E-3</v>
      </c>
      <c r="AB137" s="391">
        <f t="shared" si="53"/>
        <v>4.1434266313444823E-4</v>
      </c>
      <c r="AC137" s="397">
        <f t="shared" si="54"/>
        <v>-2.0243206745362841E-4</v>
      </c>
    </row>
    <row r="138" spans="1:29" ht="15" thickBot="1">
      <c r="A138" s="396"/>
      <c r="B138" s="395" t="s">
        <v>507</v>
      </c>
      <c r="C138" s="394">
        <f>SUM(C15:C137)</f>
        <v>48965053.569999903</v>
      </c>
      <c r="D138" s="394">
        <f>SUM(D15:D137)</f>
        <v>67697548.00731574</v>
      </c>
      <c r="E138" s="394">
        <f>SUM(E15:E137)</f>
        <v>-18732494.437315762</v>
      </c>
      <c r="F138" s="394"/>
      <c r="G138" s="394">
        <f>SUM(G15:G137)</f>
        <v>1.3176759239286184E-8</v>
      </c>
      <c r="H138" s="394"/>
      <c r="I138" s="394"/>
      <c r="J138" s="394">
        <f>SUM(J15:J137)</f>
        <v>8937894.6100000031</v>
      </c>
      <c r="K138" s="394">
        <f>SUM(K15:K137)</f>
        <v>9794599.8273156211</v>
      </c>
      <c r="L138" s="393"/>
      <c r="N138" s="389">
        <f>SUM(N77:N137)</f>
        <v>4923007.5299999965</v>
      </c>
      <c r="O138" s="388">
        <f>SUM(O77:O137)</f>
        <v>4871592.3199999975</v>
      </c>
      <c r="P138" s="388">
        <f>SUM(P77:P137)</f>
        <v>9794599.8500000015</v>
      </c>
      <c r="Q138" s="392"/>
      <c r="R138" s="391"/>
      <c r="S138" s="390">
        <f>SUM(S77:S137)</f>
        <v>57902948.177315637</v>
      </c>
      <c r="U138" s="389">
        <f>SUM(U77:U137)</f>
        <v>48965053.567729972</v>
      </c>
      <c r="V138" s="388">
        <f>SUM(V77:V137)</f>
        <v>4571195.9097880889</v>
      </c>
      <c r="W138" s="388">
        <f>SUM(W77:W137)</f>
        <v>4366698.6997975698</v>
      </c>
      <c r="X138" s="388">
        <f>SUM(X77:X137)</f>
        <v>57902948.177315637</v>
      </c>
      <c r="Y138" s="385"/>
      <c r="AA138" s="387"/>
      <c r="AB138" s="386"/>
      <c r="AC138" s="385"/>
    </row>
    <row r="141" spans="1:29">
      <c r="B141" s="44" t="s">
        <v>2</v>
      </c>
      <c r="C141" s="44" t="s">
        <v>3</v>
      </c>
    </row>
  </sheetData>
  <mergeCells count="5">
    <mergeCell ref="C13:G13"/>
    <mergeCell ref="N75:Q75"/>
    <mergeCell ref="S75:S76"/>
    <mergeCell ref="U75:Y75"/>
    <mergeCell ref="AA75:AC75"/>
  </mergeCells>
  <pageMargins left="0.25" right="0.25" top="0.25" bottom="0.25" header="0.25" footer="0.25"/>
  <pageSetup scale="62" firstPageNumber="6" fitToHeight="100" orientation="portrait" useFirstPageNumber="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2C58B-BCF0-4E3C-8D28-3AD4DE7ECF68}">
  <dimension ref="A1:D24"/>
  <sheetViews>
    <sheetView showRuler="0" workbookViewId="0">
      <selection sqref="A1:D1"/>
    </sheetView>
  </sheetViews>
  <sheetFormatPr defaultColWidth="13.7265625" defaultRowHeight="12.5"/>
  <cols>
    <col min="1" max="1" width="67.7265625" style="41" customWidth="1"/>
    <col min="2" max="2" width="18.26953125" style="41" customWidth="1"/>
    <col min="3" max="3" width="17.26953125" style="41" customWidth="1"/>
    <col min="4" max="4" width="12.54296875" style="41" customWidth="1"/>
    <col min="5" max="16384" width="13.7265625" style="41"/>
  </cols>
  <sheetData>
    <row r="1" spans="1:4" ht="15" customHeight="1">
      <c r="A1" s="711" t="s">
        <v>0</v>
      </c>
      <c r="B1" s="709"/>
      <c r="C1" s="709"/>
    </row>
    <row r="2" spans="1:4" ht="15" customHeight="1">
      <c r="A2" s="712" t="s">
        <v>252</v>
      </c>
      <c r="B2" s="709"/>
      <c r="C2" s="709"/>
      <c r="D2" s="709"/>
    </row>
    <row r="3" spans="1:4" ht="15" customHeight="1">
      <c r="A3" s="712" t="s">
        <v>251</v>
      </c>
      <c r="B3" s="709"/>
      <c r="C3" s="709"/>
    </row>
    <row r="4" spans="1:4" ht="15" customHeight="1">
      <c r="A4" s="711" t="s">
        <v>119</v>
      </c>
      <c r="B4" s="709"/>
      <c r="C4" s="709"/>
      <c r="D4" s="709"/>
    </row>
    <row r="5" spans="1:4" ht="15" customHeight="1"/>
    <row r="6" spans="1:4" ht="15" customHeight="1">
      <c r="A6" s="67" t="s">
        <v>250</v>
      </c>
      <c r="B6" s="67" t="s">
        <v>249</v>
      </c>
      <c r="C6" s="67" t="s">
        <v>248</v>
      </c>
      <c r="D6" s="81"/>
    </row>
    <row r="7" spans="1:4" ht="15" customHeight="1">
      <c r="A7" s="80" t="s">
        <v>247</v>
      </c>
      <c r="B7" s="58"/>
      <c r="C7" s="58"/>
    </row>
    <row r="8" spans="1:4" ht="15" customHeight="1">
      <c r="A8" s="79" t="s">
        <v>246</v>
      </c>
      <c r="C8" s="77">
        <f>W10_PG_2_of_2!B8</f>
        <v>-336159</v>
      </c>
    </row>
    <row r="9" spans="1:4" ht="15" customHeight="1">
      <c r="A9" s="76" t="s">
        <v>245</v>
      </c>
      <c r="C9" s="77">
        <f>W10_PG_2_of_2!B9</f>
        <v>46762</v>
      </c>
    </row>
    <row r="10" spans="1:4" ht="15" customHeight="1">
      <c r="A10" s="76" t="s">
        <v>244</v>
      </c>
      <c r="C10" s="77">
        <f>W10_PG_2_of_2!B10</f>
        <v>-2655.93</v>
      </c>
    </row>
    <row r="11" spans="1:4" ht="15" customHeight="1">
      <c r="A11" s="76" t="s">
        <v>243</v>
      </c>
      <c r="C11" s="75">
        <f>W10_PG_2_of_2!B11</f>
        <v>-15727.27</v>
      </c>
    </row>
    <row r="12" spans="1:4" ht="15" customHeight="1" thickBot="1">
      <c r="A12" s="40" t="s">
        <v>242</v>
      </c>
      <c r="B12" s="74" t="s">
        <v>241</v>
      </c>
      <c r="C12" s="73">
        <f>SUM(C8:C11)</f>
        <v>-307780.2</v>
      </c>
    </row>
    <row r="13" spans="1:4" ht="15" customHeight="1" thickTop="1">
      <c r="C13" s="63"/>
    </row>
    <row r="14" spans="1:4" ht="15" customHeight="1">
      <c r="A14" s="78" t="s">
        <v>240</v>
      </c>
    </row>
    <row r="15" spans="1:4" ht="15" customHeight="1">
      <c r="A15" s="76" t="s">
        <v>239</v>
      </c>
      <c r="C15" s="77">
        <f>-W10_PG_2_of_2!B16</f>
        <v>-289397</v>
      </c>
    </row>
    <row r="16" spans="1:4" ht="15" customHeight="1">
      <c r="A16" s="76" t="s">
        <v>238</v>
      </c>
      <c r="C16" s="77">
        <f>-W10_PG_2_of_2!B17</f>
        <v>-349051.04</v>
      </c>
    </row>
    <row r="17" spans="1:3" ht="15" customHeight="1">
      <c r="A17" s="76" t="s">
        <v>237</v>
      </c>
      <c r="C17" s="75">
        <f>-W10_PG_2_of_2!B18</f>
        <v>349051.04</v>
      </c>
    </row>
    <row r="18" spans="1:3" ht="15" customHeight="1" thickBot="1">
      <c r="A18" s="40" t="s">
        <v>236</v>
      </c>
      <c r="B18" s="74" t="s">
        <v>235</v>
      </c>
      <c r="C18" s="73">
        <f>SUM(C15:C17)</f>
        <v>-289397.00000000006</v>
      </c>
    </row>
    <row r="19" spans="1:3" ht="15" customHeight="1" thickTop="1">
      <c r="C19" s="63"/>
    </row>
    <row r="20" spans="1:3" ht="15" customHeight="1">
      <c r="A20" s="40"/>
    </row>
    <row r="21" spans="1:3" ht="15" customHeight="1">
      <c r="C21" s="54"/>
    </row>
    <row r="22" spans="1:3" ht="15" customHeight="1">
      <c r="C22" s="54"/>
    </row>
    <row r="23" spans="1:3" ht="15" customHeight="1">
      <c r="A23" s="72" t="s">
        <v>2</v>
      </c>
      <c r="B23" s="44" t="s">
        <v>3</v>
      </c>
    </row>
    <row r="24" spans="1:3" ht="15" customHeight="1"/>
  </sheetData>
  <mergeCells count="4">
    <mergeCell ref="A2:D2"/>
    <mergeCell ref="A1:C1"/>
    <mergeCell ref="A4:D4"/>
    <mergeCell ref="A3:C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29082-676F-46C7-BC16-FD87531945D2}">
  <dimension ref="A1:H60"/>
  <sheetViews>
    <sheetView showRuler="0" workbookViewId="0">
      <selection sqref="A1:C1"/>
    </sheetView>
  </sheetViews>
  <sheetFormatPr defaultColWidth="13.7265625" defaultRowHeight="12.5"/>
  <cols>
    <col min="1" max="1" width="52.81640625" style="41" customWidth="1"/>
    <col min="2" max="2" width="36.453125" style="41" customWidth="1"/>
    <col min="3" max="3" width="16" style="41" customWidth="1"/>
    <col min="4" max="9" width="33.7265625" style="41" customWidth="1"/>
    <col min="10" max="16384" width="13.7265625" style="41"/>
  </cols>
  <sheetData>
    <row r="1" spans="1:5" ht="15" customHeight="1">
      <c r="A1" s="711" t="s">
        <v>0</v>
      </c>
      <c r="B1" s="709"/>
      <c r="C1" s="709"/>
    </row>
    <row r="2" spans="1:5" ht="15" customHeight="1">
      <c r="A2" s="712" t="s">
        <v>252</v>
      </c>
      <c r="B2" s="709"/>
      <c r="C2" s="709"/>
      <c r="D2" s="709"/>
    </row>
    <row r="3" spans="1:5" ht="15" customHeight="1">
      <c r="A3" s="54" t="s">
        <v>287</v>
      </c>
    </row>
    <row r="4" spans="1:5" ht="15" customHeight="1">
      <c r="A4" s="711" t="s">
        <v>119</v>
      </c>
      <c r="B4" s="709"/>
      <c r="C4" s="709"/>
      <c r="D4" s="709"/>
      <c r="E4" s="709"/>
    </row>
    <row r="5" spans="1:5" ht="15" customHeight="1"/>
    <row r="6" spans="1:5" ht="15" customHeight="1">
      <c r="B6" s="2" t="s">
        <v>280</v>
      </c>
    </row>
    <row r="7" spans="1:5" ht="15" customHeight="1">
      <c r="B7" s="91" t="s">
        <v>286</v>
      </c>
    </row>
    <row r="8" spans="1:5" ht="16.75" customHeight="1">
      <c r="A8" s="72" t="s">
        <v>285</v>
      </c>
      <c r="B8" s="90">
        <f>C28</f>
        <v>-336159</v>
      </c>
    </row>
    <row r="9" spans="1:5" ht="16.75" customHeight="1">
      <c r="A9" s="72" t="s">
        <v>284</v>
      </c>
      <c r="B9" s="52">
        <f>C31</f>
        <v>46762</v>
      </c>
    </row>
    <row r="10" spans="1:5" ht="16.75" customHeight="1">
      <c r="A10" s="72" t="s">
        <v>283</v>
      </c>
      <c r="B10" s="52">
        <f>-C27</f>
        <v>-2655.93</v>
      </c>
      <c r="C10" s="54"/>
      <c r="D10" s="54"/>
    </row>
    <row r="11" spans="1:5" ht="16.75" customHeight="1">
      <c r="A11" s="72" t="s">
        <v>282</v>
      </c>
      <c r="B11" s="89">
        <f>-C29+C56</f>
        <v>-15727.27</v>
      </c>
    </row>
    <row r="12" spans="1:5" ht="15" customHeight="1" thickBot="1">
      <c r="A12" s="46" t="s">
        <v>281</v>
      </c>
      <c r="B12" s="88">
        <f>SUM(B8:B11)</f>
        <v>-307780.2</v>
      </c>
      <c r="C12" s="54"/>
      <c r="D12" s="54"/>
    </row>
    <row r="13" spans="1:5" ht="15" customHeight="1" thickTop="1">
      <c r="B13" s="63"/>
      <c r="C13" s="54"/>
      <c r="D13" s="54"/>
    </row>
    <row r="14" spans="1:5" ht="15" customHeight="1">
      <c r="B14" s="2" t="s">
        <v>280</v>
      </c>
      <c r="C14" s="54"/>
      <c r="D14" s="54"/>
    </row>
    <row r="15" spans="1:5" ht="15" customHeight="1">
      <c r="B15" s="91" t="s">
        <v>279</v>
      </c>
      <c r="C15" s="54"/>
      <c r="D15" s="54"/>
    </row>
    <row r="16" spans="1:5" ht="15" customHeight="1">
      <c r="A16" s="72" t="s">
        <v>278</v>
      </c>
      <c r="B16" s="90">
        <f>C32</f>
        <v>289397</v>
      </c>
      <c r="C16" s="54"/>
      <c r="D16" s="54"/>
    </row>
    <row r="17" spans="1:8" ht="15" customHeight="1">
      <c r="A17" s="72" t="s">
        <v>277</v>
      </c>
      <c r="B17" s="52">
        <f>-B18</f>
        <v>349051.04</v>
      </c>
      <c r="C17" s="54"/>
      <c r="D17" s="54"/>
    </row>
    <row r="18" spans="1:8" ht="15" customHeight="1">
      <c r="A18" s="72" t="s">
        <v>276</v>
      </c>
      <c r="B18" s="89">
        <f>C42</f>
        <v>-349051.04</v>
      </c>
      <c r="C18" s="54"/>
      <c r="D18" s="54"/>
    </row>
    <row r="19" spans="1:8" ht="15" customHeight="1" thickBot="1">
      <c r="A19" s="46" t="s">
        <v>275</v>
      </c>
      <c r="B19" s="88">
        <f>SUM(B16:B18)</f>
        <v>289397.00000000006</v>
      </c>
      <c r="C19" s="54"/>
      <c r="D19" s="54"/>
    </row>
    <row r="20" spans="1:8" ht="15" customHeight="1" thickTop="1">
      <c r="B20" s="63"/>
      <c r="C20" s="54"/>
      <c r="D20" s="54"/>
    </row>
    <row r="21" spans="1:8" ht="15" customHeight="1">
      <c r="A21" s="54"/>
    </row>
    <row r="22" spans="1:8" ht="16.75" customHeight="1">
      <c r="A22" s="83" t="s">
        <v>260</v>
      </c>
      <c r="B22" s="83" t="s">
        <v>259</v>
      </c>
      <c r="C22" s="54"/>
    </row>
    <row r="23" spans="1:8" ht="16.75" customHeight="1">
      <c r="A23" s="83" t="s">
        <v>178</v>
      </c>
      <c r="B23" s="83" t="s">
        <v>274</v>
      </c>
      <c r="C23" s="54"/>
      <c r="D23" s="54"/>
      <c r="E23" s="54"/>
      <c r="F23" s="54"/>
      <c r="G23" s="54"/>
      <c r="H23" s="54"/>
    </row>
    <row r="24" spans="1:8" ht="15" customHeight="1">
      <c r="A24" s="54"/>
      <c r="B24" s="54"/>
      <c r="C24" s="54"/>
      <c r="D24" s="54"/>
      <c r="E24" s="54"/>
      <c r="F24" s="54"/>
      <c r="G24" s="54"/>
      <c r="H24" s="54"/>
    </row>
    <row r="25" spans="1:8" ht="15" customHeight="1">
      <c r="A25" s="83" t="s">
        <v>179</v>
      </c>
      <c r="B25" s="83"/>
      <c r="C25" s="83"/>
      <c r="D25" s="54"/>
      <c r="E25" s="54"/>
      <c r="F25" s="54"/>
      <c r="G25" s="54"/>
      <c r="H25" s="54"/>
    </row>
    <row r="26" spans="1:8" ht="15" customHeight="1">
      <c r="A26" s="83" t="s">
        <v>177</v>
      </c>
      <c r="B26" s="83" t="s">
        <v>257</v>
      </c>
      <c r="C26" s="83" t="s">
        <v>158</v>
      </c>
      <c r="D26" s="54"/>
      <c r="E26" s="54"/>
      <c r="F26" s="54"/>
      <c r="G26" s="54"/>
      <c r="H26" s="54"/>
    </row>
    <row r="27" spans="1:8" ht="16.75" customHeight="1">
      <c r="A27" s="61" t="s">
        <v>273</v>
      </c>
      <c r="B27" s="54" t="s">
        <v>272</v>
      </c>
      <c r="C27" s="52">
        <v>2655.93</v>
      </c>
      <c r="D27" s="54"/>
      <c r="E27" s="54"/>
      <c r="F27" s="54"/>
      <c r="G27" s="54"/>
      <c r="H27" s="54"/>
    </row>
    <row r="28" spans="1:8" ht="16.75" customHeight="1">
      <c r="A28" s="61" t="s">
        <v>271</v>
      </c>
      <c r="B28" s="54" t="s">
        <v>270</v>
      </c>
      <c r="C28" s="52">
        <v>-336159</v>
      </c>
      <c r="D28" s="54"/>
      <c r="E28" s="54"/>
      <c r="F28" s="54"/>
      <c r="G28" s="54"/>
      <c r="H28" s="54"/>
    </row>
    <row r="29" spans="1:8" ht="16.75" customHeight="1">
      <c r="A29" s="61" t="s">
        <v>269</v>
      </c>
      <c r="B29" s="54" t="s">
        <v>268</v>
      </c>
      <c r="C29" s="52">
        <v>14744.28</v>
      </c>
      <c r="D29" s="54"/>
      <c r="E29" s="54"/>
      <c r="F29" s="54"/>
      <c r="G29" s="54"/>
      <c r="H29" s="54"/>
    </row>
    <row r="30" spans="1:8" ht="16.75" customHeight="1">
      <c r="A30" s="61" t="s">
        <v>254</v>
      </c>
      <c r="B30" s="54" t="s">
        <v>267</v>
      </c>
      <c r="C30" s="52">
        <v>-17400.21</v>
      </c>
      <c r="D30" s="54"/>
      <c r="E30" s="54"/>
      <c r="F30" s="54"/>
      <c r="G30" s="54"/>
      <c r="H30" s="54"/>
    </row>
    <row r="31" spans="1:8" ht="16.75" customHeight="1">
      <c r="A31" s="61" t="s">
        <v>254</v>
      </c>
      <c r="B31" s="54" t="s">
        <v>266</v>
      </c>
      <c r="C31" s="52">
        <v>46762</v>
      </c>
      <c r="D31" s="54"/>
      <c r="E31" s="54"/>
      <c r="F31" s="54"/>
      <c r="G31" s="54"/>
      <c r="H31" s="54"/>
    </row>
    <row r="32" spans="1:8" ht="16.75" customHeight="1">
      <c r="A32" s="61" t="s">
        <v>265</v>
      </c>
      <c r="B32" s="54" t="s">
        <v>264</v>
      </c>
      <c r="C32" s="52">
        <v>289397</v>
      </c>
      <c r="D32" s="54"/>
      <c r="E32" s="54"/>
      <c r="F32" s="54"/>
      <c r="G32" s="54"/>
      <c r="H32" s="54"/>
    </row>
    <row r="33" spans="1:8" ht="15" customHeight="1">
      <c r="A33" s="83" t="s">
        <v>172</v>
      </c>
      <c r="B33" s="87"/>
      <c r="C33" s="86">
        <v>0</v>
      </c>
      <c r="D33" s="54"/>
      <c r="E33" s="54"/>
      <c r="F33" s="54"/>
      <c r="G33" s="54"/>
      <c r="H33" s="54"/>
    </row>
    <row r="34" spans="1:8" ht="15" customHeight="1">
      <c r="A34" s="54"/>
      <c r="B34" s="54"/>
      <c r="C34" s="54"/>
      <c r="D34" s="54"/>
      <c r="E34" s="54"/>
      <c r="F34" s="54"/>
      <c r="G34" s="54"/>
      <c r="H34" s="54"/>
    </row>
    <row r="35" spans="1:8" ht="15" customHeight="1"/>
    <row r="36" spans="1:8" ht="15" customHeight="1">
      <c r="A36" s="83" t="s">
        <v>260</v>
      </c>
      <c r="B36" s="83" t="s">
        <v>259</v>
      </c>
      <c r="C36" s="54"/>
      <c r="D36" s="54"/>
      <c r="E36" s="54"/>
      <c r="F36" s="54"/>
      <c r="G36" s="54"/>
      <c r="H36" s="54"/>
    </row>
    <row r="37" spans="1:8" ht="15" customHeight="1">
      <c r="A37" s="83" t="s">
        <v>178</v>
      </c>
      <c r="B37" s="83" t="s">
        <v>263</v>
      </c>
      <c r="C37" s="54"/>
      <c r="D37" s="54"/>
      <c r="E37" s="54"/>
      <c r="F37" s="54"/>
      <c r="G37" s="54"/>
      <c r="H37" s="54"/>
    </row>
    <row r="38" spans="1:8" ht="15" customHeight="1">
      <c r="A38" s="54"/>
      <c r="B38" s="54"/>
      <c r="C38" s="54"/>
    </row>
    <row r="39" spans="1:8" ht="15" customHeight="1">
      <c r="A39" s="83" t="s">
        <v>179</v>
      </c>
      <c r="B39" s="83"/>
      <c r="C39" s="83"/>
    </row>
    <row r="40" spans="1:8" ht="15" customHeight="1">
      <c r="A40" s="83" t="s">
        <v>177</v>
      </c>
      <c r="B40" s="83" t="s">
        <v>257</v>
      </c>
      <c r="C40" s="83" t="s">
        <v>158</v>
      </c>
    </row>
    <row r="41" spans="1:8" ht="15" customHeight="1">
      <c r="A41" s="85">
        <v>1823012</v>
      </c>
      <c r="B41" s="72" t="s">
        <v>262</v>
      </c>
      <c r="C41" s="52">
        <v>349051.04</v>
      </c>
      <c r="D41" s="54"/>
    </row>
    <row r="42" spans="1:8" ht="15" customHeight="1">
      <c r="A42" s="85">
        <v>9080009</v>
      </c>
      <c r="B42" s="54" t="s">
        <v>261</v>
      </c>
      <c r="C42" s="52">
        <v>-349051.04</v>
      </c>
      <c r="D42" s="54"/>
    </row>
    <row r="43" spans="1:8" ht="15" customHeight="1">
      <c r="A43" s="83" t="s">
        <v>172</v>
      </c>
      <c r="B43" s="83"/>
      <c r="C43" s="82">
        <v>0</v>
      </c>
      <c r="D43" s="54"/>
    </row>
    <row r="44" spans="1:8" ht="15" customHeight="1">
      <c r="A44" s="54"/>
      <c r="B44" s="54"/>
      <c r="C44" s="54"/>
      <c r="D44" s="54"/>
    </row>
    <row r="45" spans="1:8" ht="15" customHeight="1">
      <c r="A45" s="54"/>
      <c r="B45" s="54"/>
      <c r="C45" s="54"/>
      <c r="D45" s="54"/>
    </row>
    <row r="46" spans="1:8" ht="15" customHeight="1">
      <c r="A46" s="83" t="s">
        <v>260</v>
      </c>
      <c r="B46" s="83" t="s">
        <v>259</v>
      </c>
      <c r="C46" s="54"/>
      <c r="D46" s="54"/>
    </row>
    <row r="47" spans="1:8" ht="15" customHeight="1">
      <c r="A47" s="83" t="s">
        <v>178</v>
      </c>
      <c r="B47" s="83" t="s">
        <v>258</v>
      </c>
      <c r="C47" s="54"/>
    </row>
    <row r="48" spans="1:8" ht="15" customHeight="1">
      <c r="A48" s="54"/>
      <c r="B48" s="54"/>
      <c r="C48" s="54"/>
    </row>
    <row r="49" spans="1:4" ht="15" customHeight="1">
      <c r="A49" s="83" t="s">
        <v>179</v>
      </c>
      <c r="B49" s="83"/>
      <c r="C49" s="83"/>
    </row>
    <row r="50" spans="1:4" ht="15" customHeight="1">
      <c r="A50" s="83" t="s">
        <v>177</v>
      </c>
      <c r="B50" s="83" t="s">
        <v>257</v>
      </c>
      <c r="C50" s="83" t="s">
        <v>158</v>
      </c>
      <c r="D50" s="54"/>
    </row>
    <row r="51" spans="1:4" ht="15" customHeight="1">
      <c r="A51" s="61">
        <v>1823009</v>
      </c>
      <c r="B51" s="54" t="s">
        <v>253</v>
      </c>
      <c r="C51" s="52">
        <v>-393.89</v>
      </c>
      <c r="D51" s="54"/>
    </row>
    <row r="52" spans="1:4" ht="15" customHeight="1">
      <c r="A52" s="61">
        <v>1823010</v>
      </c>
      <c r="B52" s="54" t="s">
        <v>256</v>
      </c>
      <c r="C52" s="52">
        <v>-991.99</v>
      </c>
      <c r="D52" s="54"/>
    </row>
    <row r="53" spans="1:4" ht="15" customHeight="1">
      <c r="A53" s="61">
        <v>1823011</v>
      </c>
      <c r="B53" s="54" t="s">
        <v>253</v>
      </c>
      <c r="C53" s="52">
        <v>10703.97</v>
      </c>
      <c r="D53" s="54"/>
    </row>
    <row r="54" spans="1:4" ht="15" customHeight="1">
      <c r="A54" s="61">
        <v>1823012</v>
      </c>
      <c r="B54" s="72" t="s">
        <v>253</v>
      </c>
      <c r="C54" s="52">
        <v>-9318.09</v>
      </c>
    </row>
    <row r="55" spans="1:4" ht="15" customHeight="1">
      <c r="A55" s="61">
        <v>2543247</v>
      </c>
      <c r="B55" s="72" t="s">
        <v>255</v>
      </c>
      <c r="C55" s="52">
        <v>982.99</v>
      </c>
    </row>
    <row r="56" spans="1:4" ht="15" customHeight="1">
      <c r="A56" s="84" t="s">
        <v>254</v>
      </c>
      <c r="B56" s="72" t="s">
        <v>253</v>
      </c>
      <c r="C56" s="52">
        <v>-982.99</v>
      </c>
    </row>
    <row r="57" spans="1:4" ht="15" customHeight="1">
      <c r="A57" s="83" t="s">
        <v>172</v>
      </c>
      <c r="B57" s="83"/>
      <c r="C57" s="82">
        <v>0</v>
      </c>
    </row>
    <row r="58" spans="1:4" ht="15" customHeight="1">
      <c r="A58" s="72"/>
      <c r="B58" s="44"/>
      <c r="C58" s="54"/>
    </row>
    <row r="59" spans="1:4" ht="15" customHeight="1">
      <c r="A59" s="72" t="s">
        <v>2</v>
      </c>
      <c r="B59" s="44" t="s">
        <v>3</v>
      </c>
      <c r="C59" s="54"/>
    </row>
    <row r="60" spans="1:4" ht="15" customHeight="1">
      <c r="A60" s="54"/>
      <c r="B60" s="54"/>
      <c r="C60" s="54"/>
    </row>
  </sheetData>
  <mergeCells count="3">
    <mergeCell ref="A2:D2"/>
    <mergeCell ref="A1:C1"/>
    <mergeCell ref="A4:E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6F446-9083-46B4-9CD4-8E081DE050FE}">
  <dimension ref="A1:E29"/>
  <sheetViews>
    <sheetView showRuler="0" workbookViewId="0">
      <selection sqref="A1:D1"/>
    </sheetView>
  </sheetViews>
  <sheetFormatPr defaultColWidth="13.7265625" defaultRowHeight="12.5"/>
  <cols>
    <col min="1" max="1" width="44" style="41" customWidth="1"/>
    <col min="2" max="2" width="20.453125" style="41" customWidth="1"/>
    <col min="3" max="3" width="16" style="41" customWidth="1"/>
    <col min="4" max="4" width="17" style="41" customWidth="1"/>
    <col min="5" max="16384" width="13.7265625" style="41"/>
  </cols>
  <sheetData>
    <row r="1" spans="1:5" ht="15" customHeight="1">
      <c r="A1" s="711" t="s">
        <v>0</v>
      </c>
      <c r="B1" s="709"/>
      <c r="C1" s="709"/>
    </row>
    <row r="2" spans="1:5" ht="15" customHeight="1">
      <c r="A2" s="712" t="s">
        <v>298</v>
      </c>
      <c r="B2" s="709"/>
      <c r="C2" s="709"/>
      <c r="D2" s="709"/>
    </row>
    <row r="3" spans="1:5" ht="15" customHeight="1">
      <c r="A3" s="44" t="s">
        <v>297</v>
      </c>
    </row>
    <row r="4" spans="1:5" ht="15" customHeight="1">
      <c r="A4" s="711" t="s">
        <v>119</v>
      </c>
      <c r="B4" s="709"/>
      <c r="C4" s="709"/>
      <c r="D4" s="709"/>
    </row>
    <row r="5" spans="1:5" ht="16.75" customHeight="1"/>
    <row r="6" spans="1:5" ht="27.65" customHeight="1">
      <c r="A6" s="713" t="s">
        <v>296</v>
      </c>
      <c r="B6" s="714" t="s">
        <v>213</v>
      </c>
      <c r="C6" s="71" t="s">
        <v>295</v>
      </c>
      <c r="D6" s="71" t="s">
        <v>294</v>
      </c>
      <c r="E6" s="59"/>
    </row>
    <row r="7" spans="1:5" ht="15" customHeight="1">
      <c r="A7" s="713"/>
      <c r="B7" s="715"/>
      <c r="C7" s="95" t="s">
        <v>293</v>
      </c>
      <c r="D7" s="95" t="s">
        <v>292</v>
      </c>
      <c r="E7" s="59"/>
    </row>
    <row r="8" spans="1:5" ht="15" customHeight="1">
      <c r="A8" s="58" t="s">
        <v>291</v>
      </c>
      <c r="B8" s="58" t="s">
        <v>201</v>
      </c>
      <c r="C8" s="55">
        <v>40040.99</v>
      </c>
      <c r="D8" s="55">
        <v>40040.99</v>
      </c>
    </row>
    <row r="9" spans="1:5" ht="15" customHeight="1">
      <c r="B9" s="54" t="s">
        <v>200</v>
      </c>
      <c r="C9" s="51">
        <v>39994.32</v>
      </c>
      <c r="D9" s="51">
        <v>39994.32</v>
      </c>
    </row>
    <row r="10" spans="1:5" ht="15" customHeight="1">
      <c r="B10" s="54" t="s">
        <v>199</v>
      </c>
      <c r="C10" s="51">
        <v>39932.5</v>
      </c>
      <c r="D10" s="51">
        <v>39932.5</v>
      </c>
    </row>
    <row r="11" spans="1:5" ht="15" customHeight="1">
      <c r="B11" s="54" t="s">
        <v>198</v>
      </c>
      <c r="C11" s="51">
        <v>39876.67</v>
      </c>
      <c r="D11" s="51">
        <v>39876.67</v>
      </c>
    </row>
    <row r="12" spans="1:5" ht="15" customHeight="1">
      <c r="B12" s="54" t="s">
        <v>197</v>
      </c>
      <c r="C12" s="51">
        <v>39811.75</v>
      </c>
      <c r="D12" s="51">
        <v>39811.75</v>
      </c>
    </row>
    <row r="13" spans="1:5" ht="15" customHeight="1">
      <c r="B13" s="54" t="s">
        <v>196</v>
      </c>
      <c r="C13" s="51">
        <v>39562.76</v>
      </c>
      <c r="D13" s="51">
        <v>39562.76</v>
      </c>
    </row>
    <row r="14" spans="1:5" ht="15" customHeight="1">
      <c r="B14" s="54" t="s">
        <v>195</v>
      </c>
      <c r="C14" s="51">
        <v>39466.54</v>
      </c>
      <c r="D14" s="51">
        <v>39466.54</v>
      </c>
    </row>
    <row r="15" spans="1:5" ht="15" customHeight="1">
      <c r="B15" s="54" t="s">
        <v>194</v>
      </c>
      <c r="C15" s="51">
        <v>39517.129999999997</v>
      </c>
      <c r="D15" s="51">
        <v>39517.129999999997</v>
      </c>
    </row>
    <row r="16" spans="1:5" ht="15" customHeight="1">
      <c r="B16" s="54" t="s">
        <v>193</v>
      </c>
      <c r="C16" s="51">
        <v>39559.919999999998</v>
      </c>
      <c r="D16" s="51">
        <v>39559.919999999998</v>
      </c>
    </row>
    <row r="17" spans="1:4" ht="15" customHeight="1">
      <c r="B17" s="54" t="s">
        <v>192</v>
      </c>
      <c r="C17" s="51">
        <v>39526.480000000003</v>
      </c>
      <c r="D17" s="51">
        <v>39526.480000000003</v>
      </c>
    </row>
    <row r="18" spans="1:4" ht="15" customHeight="1">
      <c r="B18" s="54" t="s">
        <v>191</v>
      </c>
      <c r="C18" s="51">
        <v>39377</v>
      </c>
      <c r="D18" s="51">
        <v>39377</v>
      </c>
    </row>
    <row r="19" spans="1:4" ht="15" customHeight="1">
      <c r="B19" s="65" t="s">
        <v>190</v>
      </c>
      <c r="C19" s="50">
        <v>39546.89</v>
      </c>
      <c r="D19" s="50">
        <v>39546.89</v>
      </c>
    </row>
    <row r="20" spans="1:4" ht="15" customHeight="1" thickBot="1">
      <c r="A20" s="54" t="s">
        <v>158</v>
      </c>
      <c r="B20" s="58"/>
      <c r="C20" s="94">
        <f>SUM(C8:C19)</f>
        <v>476212.94999999995</v>
      </c>
      <c r="D20" s="94">
        <f>SUM(D8:D19)</f>
        <v>476212.94999999995</v>
      </c>
    </row>
    <row r="21" spans="1:4" ht="15" customHeight="1" thickTop="1">
      <c r="C21" s="63"/>
      <c r="D21" s="63"/>
    </row>
    <row r="22" spans="1:4" ht="15" customHeight="1"/>
    <row r="23" spans="1:4" ht="27.65" customHeight="1">
      <c r="A23" s="734" t="s">
        <v>290</v>
      </c>
      <c r="B23" s="734"/>
      <c r="C23" s="59"/>
    </row>
    <row r="24" spans="1:4" ht="27.65" customHeight="1">
      <c r="A24" s="93" t="s">
        <v>289</v>
      </c>
      <c r="B24" s="92">
        <f>-C20</f>
        <v>-476212.94999999995</v>
      </c>
      <c r="C24" s="59"/>
    </row>
    <row r="25" spans="1:4" ht="27.65" customHeight="1">
      <c r="A25" s="93" t="s">
        <v>288</v>
      </c>
      <c r="B25" s="92">
        <f>-D20</f>
        <v>-476212.94999999995</v>
      </c>
      <c r="C25" s="59"/>
    </row>
    <row r="26" spans="1:4" ht="15" customHeight="1">
      <c r="A26" s="58"/>
      <c r="B26" s="58"/>
    </row>
    <row r="27" spans="1:4" ht="15" customHeight="1"/>
    <row r="28" spans="1:4" ht="15" customHeight="1">
      <c r="A28" s="72" t="s">
        <v>2</v>
      </c>
      <c r="B28" s="44" t="s">
        <v>3</v>
      </c>
    </row>
    <row r="29" spans="1:4" ht="15" customHeight="1"/>
  </sheetData>
  <mergeCells count="6">
    <mergeCell ref="A23:B23"/>
    <mergeCell ref="A2:D2"/>
    <mergeCell ref="A1:C1"/>
    <mergeCell ref="A4:D4"/>
    <mergeCell ref="B6:B7"/>
    <mergeCell ref="A6: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21BB7-7902-4494-BC66-465B2DDABFD9}">
  <dimension ref="A1:F29"/>
  <sheetViews>
    <sheetView showRuler="0" workbookViewId="0">
      <selection sqref="A1:D1"/>
    </sheetView>
  </sheetViews>
  <sheetFormatPr defaultColWidth="13.7265625" defaultRowHeight="12.5"/>
  <cols>
    <col min="1" max="1" width="36.81640625" style="41" customWidth="1"/>
    <col min="2" max="4" width="14.453125" style="41" customWidth="1"/>
    <col min="5" max="16384" width="13.7265625" style="41"/>
  </cols>
  <sheetData>
    <row r="1" spans="1:6" ht="15" customHeight="1">
      <c r="A1" s="711" t="s">
        <v>0</v>
      </c>
      <c r="B1" s="709"/>
      <c r="C1" s="709"/>
    </row>
    <row r="2" spans="1:6" ht="15" customHeight="1">
      <c r="A2" s="712" t="s">
        <v>303</v>
      </c>
      <c r="B2" s="709"/>
      <c r="C2" s="709"/>
      <c r="D2" s="709"/>
    </row>
    <row r="3" spans="1:6" ht="15" customHeight="1">
      <c r="A3" s="712" t="s">
        <v>302</v>
      </c>
      <c r="B3" s="709"/>
      <c r="C3" s="709"/>
      <c r="D3" s="709"/>
    </row>
    <row r="4" spans="1:6" ht="15" customHeight="1">
      <c r="A4" s="711" t="s">
        <v>119</v>
      </c>
      <c r="B4" s="709"/>
      <c r="C4" s="709"/>
      <c r="D4" s="709"/>
      <c r="E4" s="709"/>
    </row>
    <row r="5" spans="1:6" ht="15" customHeight="1"/>
    <row r="6" spans="1:6" ht="15" customHeight="1">
      <c r="C6" s="735" t="s">
        <v>227</v>
      </c>
      <c r="D6" s="735"/>
      <c r="E6" s="735"/>
      <c r="F6" s="59"/>
    </row>
    <row r="7" spans="1:6" ht="15" customHeight="1">
      <c r="A7" s="60" t="s">
        <v>296</v>
      </c>
      <c r="B7" s="60" t="s">
        <v>213</v>
      </c>
      <c r="C7" s="102">
        <v>4261000</v>
      </c>
      <c r="D7" s="102">
        <v>9080000</v>
      </c>
      <c r="E7" s="102">
        <v>2420088</v>
      </c>
      <c r="F7" s="59"/>
    </row>
    <row r="8" spans="1:6" ht="15" customHeight="1">
      <c r="A8" s="58" t="s">
        <v>301</v>
      </c>
      <c r="B8" s="58" t="s">
        <v>201</v>
      </c>
      <c r="C8" s="55">
        <v>30976.22</v>
      </c>
      <c r="D8" s="55">
        <v>30976.22</v>
      </c>
      <c r="E8" s="55">
        <v>-61952.44</v>
      </c>
    </row>
    <row r="9" spans="1:6" ht="15" customHeight="1">
      <c r="B9" s="54" t="s">
        <v>200</v>
      </c>
      <c r="C9" s="51">
        <v>31062.720000000001</v>
      </c>
      <c r="D9" s="51">
        <v>31062.720000000001</v>
      </c>
      <c r="E9" s="51">
        <v>-62125.440000000002</v>
      </c>
    </row>
    <row r="10" spans="1:6" ht="15" customHeight="1">
      <c r="B10" s="54" t="s">
        <v>199</v>
      </c>
      <c r="C10" s="51">
        <v>31059.14</v>
      </c>
      <c r="D10" s="51">
        <v>31059.14</v>
      </c>
      <c r="E10" s="51">
        <v>-62118.28</v>
      </c>
    </row>
    <row r="11" spans="1:6" ht="15" customHeight="1">
      <c r="B11" s="54" t="s">
        <v>198</v>
      </c>
      <c r="C11" s="51">
        <v>31076.43</v>
      </c>
      <c r="D11" s="51">
        <v>31076.43</v>
      </c>
      <c r="E11" s="51">
        <v>-62152.86</v>
      </c>
    </row>
    <row r="12" spans="1:6" ht="15" customHeight="1">
      <c r="B12" s="54" t="s">
        <v>197</v>
      </c>
      <c r="C12" s="51">
        <v>31123.26</v>
      </c>
      <c r="D12" s="51">
        <v>31123.26</v>
      </c>
      <c r="E12" s="51">
        <v>-62246.52</v>
      </c>
    </row>
    <row r="13" spans="1:6" ht="15" customHeight="1">
      <c r="B13" s="54" t="s">
        <v>196</v>
      </c>
      <c r="C13" s="51">
        <v>30983.52</v>
      </c>
      <c r="D13" s="51">
        <v>30983.52</v>
      </c>
      <c r="E13" s="51">
        <v>-61967.040000000001</v>
      </c>
    </row>
    <row r="14" spans="1:6" ht="15" customHeight="1">
      <c r="B14" s="54" t="s">
        <v>195</v>
      </c>
      <c r="C14" s="51">
        <v>31030.85</v>
      </c>
      <c r="D14" s="51">
        <v>31030.85</v>
      </c>
      <c r="E14" s="51">
        <v>-62061.7</v>
      </c>
    </row>
    <row r="15" spans="1:6" ht="15" customHeight="1">
      <c r="B15" s="54" t="s">
        <v>194</v>
      </c>
      <c r="C15" s="51">
        <v>31051.34</v>
      </c>
      <c r="D15" s="51">
        <v>31051.34</v>
      </c>
      <c r="E15" s="51">
        <v>-62102.68</v>
      </c>
    </row>
    <row r="16" spans="1:6" ht="15" customHeight="1">
      <c r="B16" s="54" t="s">
        <v>193</v>
      </c>
      <c r="C16" s="51">
        <v>31103.1</v>
      </c>
      <c r="D16" s="51">
        <v>31103.1</v>
      </c>
      <c r="E16" s="51">
        <v>-62206.2</v>
      </c>
    </row>
    <row r="17" spans="1:5" ht="15" customHeight="1">
      <c r="B17" s="54" t="s">
        <v>192</v>
      </c>
      <c r="C17" s="51">
        <v>31204.34</v>
      </c>
      <c r="D17" s="51">
        <v>31204.34</v>
      </c>
      <c r="E17" s="51">
        <v>-62408.68</v>
      </c>
    </row>
    <row r="18" spans="1:5" ht="15" customHeight="1">
      <c r="B18" s="54" t="s">
        <v>191</v>
      </c>
      <c r="C18" s="51">
        <v>30924.42</v>
      </c>
      <c r="D18" s="51">
        <v>30924.42</v>
      </c>
      <c r="E18" s="51">
        <v>-61848.84</v>
      </c>
    </row>
    <row r="19" spans="1:5" ht="15" customHeight="1">
      <c r="B19" s="65" t="s">
        <v>190</v>
      </c>
      <c r="C19" s="50">
        <v>31167.86</v>
      </c>
      <c r="D19" s="50">
        <v>31167.86</v>
      </c>
      <c r="E19" s="50">
        <v>-62335.72</v>
      </c>
    </row>
    <row r="20" spans="1:5" ht="15" customHeight="1" thickBot="1">
      <c r="A20" s="101" t="s">
        <v>158</v>
      </c>
      <c r="B20" s="101"/>
      <c r="C20" s="64">
        <f>SUM(C8:C19)</f>
        <v>372763.2</v>
      </c>
      <c r="D20" s="64">
        <f>SUM(D8:D19)</f>
        <v>372763.2</v>
      </c>
      <c r="E20" s="64">
        <f>SUM(E8:E19)</f>
        <v>-745526.4</v>
      </c>
    </row>
    <row r="21" spans="1:5" ht="15" customHeight="1" thickTop="1">
      <c r="A21" s="100"/>
      <c r="B21" s="100"/>
      <c r="C21" s="63"/>
      <c r="D21" s="63"/>
      <c r="E21" s="63"/>
    </row>
    <row r="22" spans="1:5" ht="15" customHeight="1">
      <c r="A22" s="735" t="s">
        <v>290</v>
      </c>
      <c r="B22" s="735"/>
      <c r="C22" s="99"/>
    </row>
    <row r="23" spans="1:5" ht="42.65" customHeight="1">
      <c r="A23" s="98" t="s">
        <v>300</v>
      </c>
      <c r="B23" s="97">
        <f>-D20</f>
        <v>-372763.2</v>
      </c>
      <c r="C23" s="96"/>
    </row>
    <row r="24" spans="1:5" ht="44.15" customHeight="1">
      <c r="A24" s="98" t="s">
        <v>299</v>
      </c>
      <c r="B24" s="97">
        <f>-D20</f>
        <v>-372763.2</v>
      </c>
      <c r="C24" s="96"/>
    </row>
    <row r="25" spans="1:5" ht="15" customHeight="1">
      <c r="A25" s="58"/>
      <c r="B25" s="58"/>
    </row>
    <row r="26" spans="1:5" ht="15" customHeight="1"/>
    <row r="27" spans="1:5" ht="15" customHeight="1">
      <c r="A27" s="44" t="s">
        <v>2</v>
      </c>
      <c r="B27" s="44" t="s">
        <v>3</v>
      </c>
    </row>
    <row r="28" spans="1:5" ht="15" customHeight="1"/>
    <row r="29" spans="1:5" ht="15" customHeight="1"/>
  </sheetData>
  <mergeCells count="6">
    <mergeCell ref="A22:B22"/>
    <mergeCell ref="A2:D2"/>
    <mergeCell ref="A1:C1"/>
    <mergeCell ref="A4:E4"/>
    <mergeCell ref="A3:D3"/>
    <mergeCell ref="C6:E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FA37-17C5-43FB-B8D2-3A9298A9CA15}">
  <dimension ref="A1:C14"/>
  <sheetViews>
    <sheetView showRuler="0" workbookViewId="0">
      <selection activeCell="B35" sqref="B35"/>
    </sheetView>
  </sheetViews>
  <sheetFormatPr defaultColWidth="13.7265625" defaultRowHeight="12.5"/>
  <cols>
    <col min="1" max="1" width="29.54296875" style="41" customWidth="1"/>
    <col min="2" max="3" width="24.453125" style="41" customWidth="1"/>
    <col min="4" max="16384" width="13.7265625" style="41"/>
  </cols>
  <sheetData>
    <row r="1" spans="1:3" ht="16.75" customHeight="1">
      <c r="A1" s="711" t="s">
        <v>0</v>
      </c>
      <c r="B1" s="709"/>
      <c r="C1" s="709"/>
    </row>
    <row r="2" spans="1:3" ht="16.75" customHeight="1">
      <c r="A2" s="712" t="s">
        <v>308</v>
      </c>
      <c r="B2" s="709"/>
      <c r="C2" s="709"/>
    </row>
    <row r="3" spans="1:3" ht="16.75" customHeight="1">
      <c r="A3" s="711" t="s">
        <v>119</v>
      </c>
      <c r="B3" s="709"/>
      <c r="C3" s="709"/>
    </row>
    <row r="4" spans="1:3" ht="15" customHeight="1"/>
    <row r="5" spans="1:3" ht="15" customHeight="1"/>
    <row r="6" spans="1:3" ht="15" customHeight="1">
      <c r="A6" s="712" t="s">
        <v>307</v>
      </c>
      <c r="B6" s="709"/>
      <c r="C6" s="709"/>
    </row>
    <row r="7" spans="1:3" ht="15" customHeight="1"/>
    <row r="8" spans="1:3" ht="15" customHeight="1">
      <c r="B8" s="104"/>
    </row>
    <row r="9" spans="1:3" ht="15" customHeight="1">
      <c r="A9" s="93" t="s">
        <v>306</v>
      </c>
      <c r="B9" s="71" t="s">
        <v>305</v>
      </c>
      <c r="C9" s="59"/>
    </row>
    <row r="10" spans="1:3" ht="15" customHeight="1">
      <c r="A10" s="103" t="s">
        <v>304</v>
      </c>
      <c r="B10" s="56">
        <v>39415318.469999999</v>
      </c>
    </row>
    <row r="11" spans="1:3" ht="15" customHeight="1"/>
    <row r="12" spans="1:3" ht="15" customHeight="1"/>
    <row r="13" spans="1:3" ht="15" customHeight="1">
      <c r="A13" s="44" t="s">
        <v>2</v>
      </c>
      <c r="B13" s="44" t="s">
        <v>3</v>
      </c>
    </row>
    <row r="14" spans="1:3" ht="15" customHeight="1"/>
  </sheetData>
  <mergeCells count="4">
    <mergeCell ref="A2:C2"/>
    <mergeCell ref="A1:C1"/>
    <mergeCell ref="A3:C3"/>
    <mergeCell ref="A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4C429-1A79-453A-B02C-7F36D5B70FAF}">
  <dimension ref="A1:F31"/>
  <sheetViews>
    <sheetView showRuler="0" workbookViewId="0">
      <selection activeCell="H22" sqref="H22"/>
    </sheetView>
  </sheetViews>
  <sheetFormatPr defaultColWidth="13.7265625" defaultRowHeight="12.5"/>
  <cols>
    <col min="1" max="1" width="14.81640625" style="41" customWidth="1"/>
    <col min="2" max="2" width="23.7265625" style="41" customWidth="1"/>
    <col min="3" max="16384" width="13.7265625" style="41"/>
  </cols>
  <sheetData>
    <row r="1" spans="1:6" ht="15" customHeight="1">
      <c r="A1" s="711" t="s">
        <v>0</v>
      </c>
      <c r="B1" s="709"/>
      <c r="C1" s="709"/>
    </row>
    <row r="2" spans="1:6" ht="15" customHeight="1">
      <c r="A2" s="712" t="s">
        <v>308</v>
      </c>
      <c r="B2" s="709"/>
      <c r="C2" s="709"/>
      <c r="D2" s="709"/>
    </row>
    <row r="3" spans="1:6" ht="15" customHeight="1">
      <c r="A3" s="711" t="s">
        <v>119</v>
      </c>
      <c r="B3" s="709"/>
      <c r="C3" s="709"/>
      <c r="D3" s="709"/>
      <c r="E3" s="709"/>
    </row>
    <row r="4" spans="1:6" ht="15" customHeight="1"/>
    <row r="5" spans="1:6" ht="15" customHeight="1"/>
    <row r="6" spans="1:6" ht="15" customHeight="1">
      <c r="A6" s="708" t="s">
        <v>332</v>
      </c>
      <c r="B6" s="708"/>
      <c r="C6" s="708"/>
      <c r="D6" s="708"/>
      <c r="E6" s="708"/>
      <c r="F6" s="54"/>
    </row>
    <row r="7" spans="1:6" ht="15" customHeight="1">
      <c r="A7" s="208"/>
      <c r="B7" s="209"/>
      <c r="C7" s="210"/>
      <c r="D7" s="54"/>
      <c r="E7" s="54"/>
      <c r="F7" s="54"/>
    </row>
    <row r="8" spans="1:6" ht="16.75" customHeight="1">
      <c r="A8" s="208"/>
      <c r="B8" s="211">
        <v>4310002</v>
      </c>
      <c r="C8" s="212"/>
      <c r="D8" s="54"/>
      <c r="E8" s="54"/>
      <c r="F8" s="54"/>
    </row>
    <row r="9" spans="1:6" ht="15" customHeight="1">
      <c r="A9" s="208" t="s">
        <v>213</v>
      </c>
      <c r="B9" s="210" t="s">
        <v>331</v>
      </c>
      <c r="C9" s="210" t="s">
        <v>330</v>
      </c>
      <c r="D9" s="54"/>
      <c r="E9" s="54"/>
      <c r="F9" s="54"/>
    </row>
    <row r="10" spans="1:6" ht="15" customHeight="1">
      <c r="A10" s="107" t="s">
        <v>329</v>
      </c>
      <c r="B10" s="52">
        <v>2930.98</v>
      </c>
      <c r="C10" s="51">
        <v>0</v>
      </c>
      <c r="D10" s="54"/>
      <c r="E10" s="712" t="s">
        <v>328</v>
      </c>
      <c r="F10" s="712"/>
    </row>
    <row r="11" spans="1:6" ht="15" customHeight="1">
      <c r="A11" s="107" t="s">
        <v>327</v>
      </c>
      <c r="B11" s="52">
        <v>3162.44</v>
      </c>
      <c r="C11" s="51">
        <v>0</v>
      </c>
      <c r="D11" s="54"/>
      <c r="E11" s="54"/>
      <c r="F11" s="54"/>
    </row>
    <row r="12" spans="1:6" ht="15" customHeight="1">
      <c r="A12" s="107" t="s">
        <v>326</v>
      </c>
      <c r="B12" s="52">
        <v>3703.16</v>
      </c>
      <c r="C12" s="51">
        <v>0</v>
      </c>
      <c r="D12" s="54"/>
      <c r="E12" s="54"/>
      <c r="F12" s="54"/>
    </row>
    <row r="13" spans="1:6" ht="15" customHeight="1">
      <c r="A13" s="44" t="s">
        <v>325</v>
      </c>
      <c r="B13" s="52">
        <v>1173.3</v>
      </c>
      <c r="C13" s="51">
        <v>0</v>
      </c>
      <c r="D13" s="54" t="s">
        <v>311</v>
      </c>
      <c r="E13" s="54"/>
      <c r="F13" s="54"/>
    </row>
    <row r="14" spans="1:6" ht="15" customHeight="1">
      <c r="A14" s="107" t="s">
        <v>324</v>
      </c>
      <c r="B14" s="52">
        <v>3461.7</v>
      </c>
      <c r="C14" s="51">
        <v>0</v>
      </c>
      <c r="D14" s="54"/>
      <c r="E14" s="54"/>
      <c r="F14" s="54"/>
    </row>
    <row r="15" spans="1:6" ht="15" customHeight="1">
      <c r="A15" s="107" t="s">
        <v>323</v>
      </c>
      <c r="B15" s="52">
        <v>3464.45</v>
      </c>
      <c r="C15" s="51">
        <v>0</v>
      </c>
      <c r="D15" s="54"/>
      <c r="E15" s="54"/>
      <c r="F15" s="54"/>
    </row>
    <row r="16" spans="1:6" ht="15" customHeight="1">
      <c r="A16" s="107" t="s">
        <v>322</v>
      </c>
      <c r="B16" s="52">
        <v>3302.38</v>
      </c>
      <c r="C16" s="51">
        <v>0</v>
      </c>
      <c r="D16" s="54"/>
      <c r="E16" s="54"/>
      <c r="F16" s="54"/>
    </row>
    <row r="17" spans="1:6" ht="15" customHeight="1">
      <c r="A17" s="44" t="s">
        <v>321</v>
      </c>
      <c r="B17" s="52">
        <v>1180.75</v>
      </c>
      <c r="C17" s="51">
        <v>0</v>
      </c>
      <c r="D17" s="54" t="s">
        <v>311</v>
      </c>
      <c r="E17" s="54"/>
      <c r="F17" s="54"/>
    </row>
    <row r="18" spans="1:6" ht="15" customHeight="1">
      <c r="A18" s="107" t="s">
        <v>320</v>
      </c>
      <c r="B18" s="52">
        <v>3494.11</v>
      </c>
      <c r="C18" s="51">
        <v>0</v>
      </c>
      <c r="D18" s="54"/>
      <c r="E18" s="54"/>
      <c r="F18" s="54"/>
    </row>
    <row r="19" spans="1:6" ht="15" customHeight="1">
      <c r="A19" s="107" t="s">
        <v>319</v>
      </c>
      <c r="B19" s="52">
        <v>3346.38</v>
      </c>
      <c r="C19" s="106">
        <v>0</v>
      </c>
      <c r="D19" s="54"/>
      <c r="E19" s="54"/>
      <c r="F19" s="54"/>
    </row>
    <row r="20" spans="1:6" ht="15" customHeight="1">
      <c r="A20" s="107" t="s">
        <v>318</v>
      </c>
      <c r="B20" s="52">
        <v>3536.27</v>
      </c>
      <c r="C20" s="51">
        <v>0</v>
      </c>
      <c r="D20" s="54"/>
      <c r="E20" s="54"/>
      <c r="F20" s="54"/>
    </row>
    <row r="21" spans="1:6" ht="15" customHeight="1">
      <c r="A21" s="44" t="s">
        <v>317</v>
      </c>
      <c r="B21" s="52">
        <v>405.02</v>
      </c>
      <c r="C21" s="51">
        <v>0</v>
      </c>
      <c r="D21" s="54" t="s">
        <v>311</v>
      </c>
      <c r="E21" s="54"/>
      <c r="F21" s="54"/>
    </row>
    <row r="22" spans="1:6" ht="15" customHeight="1">
      <c r="A22" s="107" t="s">
        <v>316</v>
      </c>
      <c r="B22" s="52">
        <v>144324.89000000001</v>
      </c>
      <c r="C22" s="51">
        <v>0</v>
      </c>
      <c r="D22" s="54"/>
      <c r="E22" s="712" t="s">
        <v>315</v>
      </c>
      <c r="F22" s="712"/>
    </row>
    <row r="23" spans="1:6" ht="15" customHeight="1">
      <c r="A23" s="107" t="s">
        <v>314</v>
      </c>
      <c r="B23" s="52">
        <v>129978.89</v>
      </c>
      <c r="C23" s="106">
        <v>0</v>
      </c>
      <c r="D23" s="54"/>
      <c r="E23" s="54"/>
      <c r="F23" s="54"/>
    </row>
    <row r="24" spans="1:6" ht="15" customHeight="1">
      <c r="A24" s="107" t="s">
        <v>313</v>
      </c>
      <c r="B24" s="52">
        <v>144822.96</v>
      </c>
      <c r="C24" s="106">
        <v>0</v>
      </c>
      <c r="D24" s="54"/>
      <c r="E24" s="54"/>
      <c r="F24" s="54"/>
    </row>
    <row r="25" spans="1:6" ht="15" customHeight="1">
      <c r="A25" s="44" t="s">
        <v>312</v>
      </c>
      <c r="B25" s="52">
        <v>117.56</v>
      </c>
      <c r="C25" s="61">
        <v>0</v>
      </c>
      <c r="D25" s="54" t="s">
        <v>311</v>
      </c>
      <c r="E25" s="54"/>
      <c r="F25" s="54"/>
    </row>
    <row r="26" spans="1:6" ht="15" customHeight="1">
      <c r="A26" s="44"/>
      <c r="B26" s="65"/>
      <c r="C26" s="54" t="s">
        <v>310</v>
      </c>
      <c r="D26" s="54"/>
      <c r="E26" s="54"/>
      <c r="F26" s="54"/>
    </row>
    <row r="27" spans="1:6" ht="15" customHeight="1" thickBot="1">
      <c r="A27" s="44" t="s">
        <v>309</v>
      </c>
      <c r="B27" s="105">
        <f>SUM(B10:B25)</f>
        <v>452405.24000000005</v>
      </c>
      <c r="C27" s="61">
        <v>0</v>
      </c>
      <c r="D27" s="54"/>
      <c r="E27" s="54"/>
      <c r="F27" s="54"/>
    </row>
    <row r="28" spans="1:6" ht="15" customHeight="1" thickTop="1">
      <c r="B28" s="63"/>
    </row>
    <row r="29" spans="1:6" ht="15" customHeight="1"/>
    <row r="30" spans="1:6" ht="15" customHeight="1">
      <c r="A30" s="44" t="s">
        <v>2</v>
      </c>
      <c r="B30" s="44" t="s">
        <v>3</v>
      </c>
    </row>
    <row r="31" spans="1:6" ht="15" customHeight="1"/>
  </sheetData>
  <mergeCells count="6">
    <mergeCell ref="E22:F22"/>
    <mergeCell ref="A2:D2"/>
    <mergeCell ref="A1:C1"/>
    <mergeCell ref="A3:E3"/>
    <mergeCell ref="A6:E6"/>
    <mergeCell ref="E10: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3BC10-8A6E-429B-B694-F0EFC2CEBF11}">
  <dimension ref="A1:H48"/>
  <sheetViews>
    <sheetView showRuler="0" workbookViewId="0">
      <selection activeCell="F20" sqref="F20"/>
    </sheetView>
  </sheetViews>
  <sheetFormatPr defaultColWidth="13.7265625" defaultRowHeight="12.5"/>
  <cols>
    <col min="1" max="3" width="25.1796875" style="41" customWidth="1"/>
    <col min="4" max="6" width="18.1796875" style="41" customWidth="1"/>
    <col min="7" max="16384" width="13.7265625" style="41"/>
  </cols>
  <sheetData>
    <row r="1" spans="1:8" ht="15" customHeight="1">
      <c r="A1" s="711" t="s">
        <v>0</v>
      </c>
      <c r="B1" s="711"/>
      <c r="C1" s="711"/>
      <c r="D1" s="711"/>
      <c r="E1" s="711"/>
      <c r="F1" s="711"/>
    </row>
    <row r="2" spans="1:8" ht="15" customHeight="1">
      <c r="A2" s="712" t="s">
        <v>353</v>
      </c>
      <c r="B2" s="712"/>
      <c r="C2" s="712"/>
      <c r="D2" s="712"/>
      <c r="E2" s="712"/>
      <c r="F2" s="712"/>
    </row>
    <row r="3" spans="1:8" ht="15" customHeight="1">
      <c r="A3" s="711" t="s">
        <v>352</v>
      </c>
      <c r="B3" s="711"/>
      <c r="C3" s="711"/>
      <c r="D3" s="711"/>
      <c r="E3" s="711"/>
      <c r="F3" s="711"/>
    </row>
    <row r="4" spans="1:8" ht="15" customHeight="1">
      <c r="A4" s="44"/>
      <c r="B4" s="44"/>
      <c r="C4" s="44"/>
      <c r="D4" s="44"/>
      <c r="E4" s="44"/>
      <c r="F4" s="44"/>
    </row>
    <row r="5" spans="1:8" ht="16.75" customHeight="1">
      <c r="A5" s="54"/>
      <c r="B5" s="54"/>
      <c r="C5" s="54"/>
      <c r="D5" s="54"/>
      <c r="E5" s="54"/>
      <c r="F5" s="54"/>
      <c r="G5" s="54"/>
      <c r="H5" s="54"/>
    </row>
    <row r="6" spans="1:8" ht="15" customHeight="1">
      <c r="A6" s="65"/>
      <c r="B6" s="65"/>
      <c r="C6" s="54"/>
      <c r="D6" s="54"/>
      <c r="E6" s="54"/>
      <c r="F6" s="54"/>
      <c r="G6" s="54"/>
      <c r="H6" s="54"/>
    </row>
    <row r="7" spans="1:8" ht="16.75" customHeight="1">
      <c r="A7" s="93" t="s">
        <v>177</v>
      </c>
      <c r="B7" s="93" t="s">
        <v>259</v>
      </c>
      <c r="C7" s="59"/>
      <c r="D7" s="54"/>
      <c r="E7" s="54"/>
      <c r="F7" s="54"/>
      <c r="G7" s="54"/>
      <c r="H7" s="54"/>
    </row>
    <row r="8" spans="1:8" ht="16.75" customHeight="1">
      <c r="A8" s="93" t="s">
        <v>351</v>
      </c>
      <c r="B8" s="93" t="s">
        <v>349</v>
      </c>
      <c r="C8" s="59"/>
      <c r="D8" s="54"/>
      <c r="E8" s="54"/>
      <c r="F8" s="54"/>
      <c r="G8" s="54"/>
      <c r="H8" s="54"/>
    </row>
    <row r="9" spans="1:8" ht="16.75" customHeight="1">
      <c r="A9" s="93" t="s">
        <v>350</v>
      </c>
      <c r="B9" s="93" t="s">
        <v>259</v>
      </c>
      <c r="C9" s="59"/>
      <c r="D9" s="54"/>
      <c r="E9" s="54"/>
      <c r="F9" s="54"/>
      <c r="G9" s="54"/>
      <c r="H9" s="54"/>
    </row>
    <row r="10" spans="1:8" ht="16.75" customHeight="1">
      <c r="A10" s="93" t="s">
        <v>178</v>
      </c>
      <c r="B10" s="93" t="s">
        <v>349</v>
      </c>
      <c r="C10" s="59"/>
      <c r="D10" s="54"/>
      <c r="E10" s="54"/>
      <c r="F10" s="54"/>
      <c r="G10" s="54"/>
      <c r="H10" s="54"/>
    </row>
    <row r="11" spans="1:8" ht="16.75" customHeight="1">
      <c r="A11" s="48"/>
      <c r="B11" s="58"/>
      <c r="C11" s="54"/>
      <c r="D11" s="54"/>
      <c r="E11" s="54"/>
      <c r="F11" s="54"/>
      <c r="G11" s="54"/>
      <c r="H11" s="54"/>
    </row>
    <row r="12" spans="1:8" ht="39.25" customHeight="1">
      <c r="A12" s="93" t="s">
        <v>348</v>
      </c>
      <c r="B12" s="109"/>
      <c r="C12" s="65"/>
      <c r="D12" s="54"/>
      <c r="E12" s="54"/>
      <c r="F12" s="54"/>
      <c r="G12" s="54"/>
      <c r="H12" s="54"/>
    </row>
    <row r="13" spans="1:8" ht="16.75" customHeight="1">
      <c r="A13" s="93" t="s">
        <v>347</v>
      </c>
      <c r="B13" s="93" t="s">
        <v>260</v>
      </c>
      <c r="C13" s="93" t="s">
        <v>158</v>
      </c>
      <c r="D13" s="59"/>
      <c r="E13" s="54"/>
      <c r="F13" s="54"/>
      <c r="G13" s="54"/>
      <c r="H13" s="54"/>
    </row>
    <row r="14" spans="1:8" ht="16.75" customHeight="1">
      <c r="A14" s="70">
        <v>110</v>
      </c>
      <c r="B14" s="58" t="s">
        <v>338</v>
      </c>
      <c r="C14" s="56">
        <v>561850.51</v>
      </c>
      <c r="D14" s="54"/>
      <c r="E14" s="54"/>
      <c r="F14" s="54"/>
      <c r="G14" s="54"/>
      <c r="H14" s="54"/>
    </row>
    <row r="15" spans="1:8" ht="16.75" customHeight="1">
      <c r="A15" s="54"/>
      <c r="B15" s="54" t="s">
        <v>337</v>
      </c>
      <c r="C15" s="52">
        <v>-310929.21999999997</v>
      </c>
      <c r="D15" s="54"/>
      <c r="E15" s="54"/>
      <c r="F15" s="54"/>
      <c r="G15" s="54"/>
      <c r="H15" s="54"/>
    </row>
    <row r="16" spans="1:8" ht="16.75" customHeight="1">
      <c r="A16" s="54"/>
      <c r="B16" s="54" t="s">
        <v>346</v>
      </c>
      <c r="C16" s="52">
        <v>175457.84</v>
      </c>
    </row>
    <row r="17" spans="1:3" ht="16.75" customHeight="1">
      <c r="A17" s="54"/>
      <c r="B17" s="54" t="s">
        <v>345</v>
      </c>
      <c r="C17" s="52">
        <v>204095.01</v>
      </c>
    </row>
    <row r="18" spans="1:3" ht="16.75" customHeight="1">
      <c r="A18" s="54"/>
      <c r="B18" s="54" t="s">
        <v>344</v>
      </c>
      <c r="C18" s="52">
        <v>273394.05</v>
      </c>
    </row>
    <row r="19" spans="1:3" ht="16.75" customHeight="1">
      <c r="A19" s="54"/>
      <c r="B19" s="54" t="s">
        <v>343</v>
      </c>
      <c r="C19" s="52">
        <v>2819485.9</v>
      </c>
    </row>
    <row r="20" spans="1:3" ht="16.75" customHeight="1">
      <c r="A20" s="54"/>
      <c r="B20" s="54" t="s">
        <v>342</v>
      </c>
      <c r="C20" s="52">
        <v>13905350.52</v>
      </c>
    </row>
    <row r="21" spans="1:3" ht="16.75" customHeight="1">
      <c r="A21" s="54"/>
      <c r="B21" s="54" t="s">
        <v>336</v>
      </c>
      <c r="C21" s="52">
        <v>2747091.55</v>
      </c>
    </row>
    <row r="22" spans="1:3" ht="16.75" customHeight="1">
      <c r="A22" s="54"/>
      <c r="B22" s="54" t="s">
        <v>341</v>
      </c>
      <c r="C22" s="52">
        <v>-17135289.68</v>
      </c>
    </row>
    <row r="23" spans="1:3" ht="16.75" customHeight="1">
      <c r="A23" s="54"/>
      <c r="B23" s="54" t="s">
        <v>335</v>
      </c>
      <c r="C23" s="52">
        <v>476919.51</v>
      </c>
    </row>
    <row r="24" spans="1:3" ht="16.75" customHeight="1">
      <c r="A24" s="54"/>
      <c r="B24" s="54" t="s">
        <v>340</v>
      </c>
      <c r="C24" s="52">
        <v>-1571291.57</v>
      </c>
    </row>
    <row r="25" spans="1:3" ht="16.75" customHeight="1">
      <c r="A25" s="54"/>
      <c r="B25" s="54" t="s">
        <v>334</v>
      </c>
      <c r="C25" s="52">
        <v>5187349.53</v>
      </c>
    </row>
    <row r="26" spans="1:3" ht="16.75" customHeight="1">
      <c r="A26" s="40" t="s">
        <v>339</v>
      </c>
      <c r="B26" s="40"/>
      <c r="C26" s="108">
        <v>7333483.9500000002</v>
      </c>
    </row>
    <row r="27" spans="1:3" ht="16.75" customHeight="1">
      <c r="A27" s="61">
        <v>180</v>
      </c>
      <c r="B27" s="54" t="s">
        <v>338</v>
      </c>
      <c r="C27" s="52">
        <v>36514</v>
      </c>
    </row>
    <row r="28" spans="1:3" ht="16.75" customHeight="1">
      <c r="A28" s="54"/>
      <c r="B28" s="54" t="s">
        <v>337</v>
      </c>
      <c r="C28" s="52">
        <v>26.15</v>
      </c>
    </row>
    <row r="29" spans="1:3" ht="16.75" customHeight="1">
      <c r="A29" s="54"/>
      <c r="B29" s="54" t="s">
        <v>336</v>
      </c>
      <c r="C29" s="52">
        <v>41606.449999999997</v>
      </c>
    </row>
    <row r="30" spans="1:3" ht="16.75" customHeight="1">
      <c r="A30" s="54"/>
      <c r="B30" s="54" t="s">
        <v>335</v>
      </c>
      <c r="C30" s="52">
        <v>1096.71</v>
      </c>
    </row>
    <row r="31" spans="1:3" ht="16.75" customHeight="1">
      <c r="A31" s="54"/>
      <c r="B31" s="54" t="s">
        <v>334</v>
      </c>
      <c r="C31" s="52">
        <v>10628.51</v>
      </c>
    </row>
    <row r="32" spans="1:3" ht="16.75" customHeight="1">
      <c r="A32" s="40" t="s">
        <v>333</v>
      </c>
      <c r="B32" s="40"/>
      <c r="C32" s="108">
        <v>89871.82</v>
      </c>
    </row>
    <row r="33" spans="1:3" ht="16.75" customHeight="1">
      <c r="A33" s="54" t="s">
        <v>172</v>
      </c>
      <c r="B33" s="54"/>
      <c r="C33" s="52">
        <v>7423355.7699999996</v>
      </c>
    </row>
    <row r="34" spans="1:3" ht="15" customHeight="1"/>
    <row r="35" spans="1:3" ht="15" customHeight="1">
      <c r="A35" s="44" t="s">
        <v>2</v>
      </c>
      <c r="B35" s="44" t="s">
        <v>3</v>
      </c>
    </row>
    <row r="36" spans="1:3" ht="15" customHeight="1"/>
    <row r="37" spans="1:3" ht="15" customHeight="1"/>
    <row r="38" spans="1:3" ht="15" customHeight="1"/>
    <row r="39" spans="1:3" ht="15" customHeight="1"/>
    <row r="40" spans="1:3" ht="15" customHeight="1"/>
    <row r="41" spans="1:3" ht="15" customHeight="1"/>
    <row r="42" spans="1:3" ht="15" customHeight="1"/>
    <row r="43" spans="1:3" ht="15" customHeight="1"/>
    <row r="44" spans="1:3" ht="15" customHeight="1"/>
    <row r="45" spans="1:3" ht="15" customHeight="1"/>
    <row r="46" spans="1:3" ht="15" customHeight="1"/>
    <row r="47" spans="1:3" ht="15" customHeight="1"/>
    <row r="48" spans="1:3" ht="15" customHeight="1"/>
  </sheetData>
  <mergeCells count="3">
    <mergeCell ref="A1:F1"/>
    <mergeCell ref="A2:F2"/>
    <mergeCell ref="A3:F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4C949-824B-46A9-BD5C-78514A723601}">
  <dimension ref="A1:F30"/>
  <sheetViews>
    <sheetView showRuler="0" workbookViewId="0">
      <selection activeCell="F15" sqref="F15"/>
    </sheetView>
  </sheetViews>
  <sheetFormatPr defaultColWidth="13.7265625" defaultRowHeight="12.5"/>
  <cols>
    <col min="1" max="1" width="57.7265625" style="41" bestFit="1" customWidth="1"/>
    <col min="2" max="4" width="14.1796875" style="41" bestFit="1" customWidth="1"/>
    <col min="5" max="5" width="3.26953125" style="41" customWidth="1"/>
    <col min="6" max="6" width="18.81640625" style="41" bestFit="1" customWidth="1"/>
    <col min="7" max="16384" width="13.7265625" style="41"/>
  </cols>
  <sheetData>
    <row r="1" spans="1:6" ht="15" customHeight="1">
      <c r="A1" s="711" t="s">
        <v>0</v>
      </c>
      <c r="B1" s="711"/>
      <c r="C1" s="711"/>
      <c r="D1" s="711"/>
    </row>
    <row r="2" spans="1:6" ht="15" customHeight="1">
      <c r="A2" s="712" t="s">
        <v>353</v>
      </c>
      <c r="B2" s="712"/>
      <c r="C2" s="712"/>
      <c r="D2" s="712"/>
    </row>
    <row r="3" spans="1:6" ht="15" customHeight="1">
      <c r="A3" s="711" t="s">
        <v>352</v>
      </c>
      <c r="B3" s="711"/>
      <c r="C3" s="711"/>
      <c r="D3" s="711"/>
    </row>
    <row r="4" spans="1:6" ht="15" customHeight="1">
      <c r="A4" s="44"/>
      <c r="B4" s="44"/>
      <c r="C4" s="44"/>
      <c r="D4" s="44"/>
    </row>
    <row r="5" spans="1:6" ht="16.75" customHeight="1">
      <c r="A5" s="38"/>
      <c r="B5" s="38"/>
      <c r="C5" s="38"/>
      <c r="D5" s="38"/>
      <c r="E5" s="38"/>
      <c r="F5" s="38"/>
    </row>
    <row r="6" spans="1:6" ht="15" customHeight="1">
      <c r="A6" s="38"/>
      <c r="B6" s="544">
        <v>44286</v>
      </c>
      <c r="C6" s="544">
        <v>44651</v>
      </c>
      <c r="D6" s="544">
        <v>45016</v>
      </c>
      <c r="E6" s="38"/>
      <c r="F6" s="545" t="s">
        <v>1094</v>
      </c>
    </row>
    <row r="7" spans="1:6" ht="16.75" customHeight="1">
      <c r="A7" s="38" t="s">
        <v>1097</v>
      </c>
      <c r="B7" s="546">
        <v>59577051.509999998</v>
      </c>
      <c r="C7" s="546">
        <v>3324125.9499999899</v>
      </c>
      <c r="D7" s="546">
        <v>24194768.73</v>
      </c>
      <c r="E7" s="38"/>
      <c r="F7" s="547">
        <f>SUM(B7:D7)/3</f>
        <v>29031982.063333329</v>
      </c>
    </row>
    <row r="8" spans="1:6" ht="16.75" customHeight="1">
      <c r="A8" s="38" t="s">
        <v>1098</v>
      </c>
      <c r="B8" s="548">
        <v>2821752.52</v>
      </c>
      <c r="C8" s="548">
        <v>247793.78</v>
      </c>
      <c r="D8" s="548">
        <v>89871.819999999992</v>
      </c>
      <c r="E8" s="38"/>
      <c r="F8" s="547">
        <f>SUM(B8:D8)/3</f>
        <v>1053139.3733333333</v>
      </c>
    </row>
    <row r="9" spans="1:6" ht="16.75" customHeight="1" thickBot="1">
      <c r="A9" s="38" t="s">
        <v>158</v>
      </c>
      <c r="B9" s="549">
        <f>SUM(B7:B8)</f>
        <v>62398804.030000001</v>
      </c>
      <c r="C9" s="549">
        <f>SUM(C7:C8)</f>
        <v>3571919.7299999897</v>
      </c>
      <c r="D9" s="549">
        <f>SUM(D7:D8)</f>
        <v>24284640.550000001</v>
      </c>
      <c r="E9" s="38"/>
      <c r="F9" s="549">
        <f>SUM(F7:F8)</f>
        <v>30085121.436666664</v>
      </c>
    </row>
    <row r="10" spans="1:6" ht="16.75" customHeight="1" thickTop="1">
      <c r="A10" s="38"/>
      <c r="B10" s="38"/>
      <c r="C10" s="38"/>
      <c r="D10" s="38"/>
      <c r="E10" s="38"/>
      <c r="F10" s="38"/>
    </row>
    <row r="11" spans="1:6" ht="16.75" customHeight="1">
      <c r="A11" s="38"/>
      <c r="B11" s="38"/>
      <c r="C11" s="38"/>
      <c r="D11" s="38"/>
      <c r="E11" s="38"/>
      <c r="F11" s="38"/>
    </row>
    <row r="12" spans="1:6" ht="16.75" customHeight="1">
      <c r="A12" s="38"/>
      <c r="B12" s="544">
        <v>44286</v>
      </c>
      <c r="C12" s="544">
        <v>44651</v>
      </c>
      <c r="D12" s="544">
        <v>45016</v>
      </c>
      <c r="E12" s="38"/>
      <c r="F12" s="545" t="s">
        <v>1094</v>
      </c>
    </row>
    <row r="13" spans="1:6" ht="16.75" customHeight="1">
      <c r="A13" s="38" t="s">
        <v>1095</v>
      </c>
      <c r="B13" s="546">
        <v>13919320.990000002</v>
      </c>
      <c r="C13" s="546">
        <v>3225794.3699999889</v>
      </c>
      <c r="D13" s="546">
        <v>10656162.920000002</v>
      </c>
      <c r="E13" s="38"/>
      <c r="F13" s="547">
        <f>SUM(B13:D13)/3</f>
        <v>9267092.7599999979</v>
      </c>
    </row>
    <row r="14" spans="1:6" ht="16.75" customHeight="1">
      <c r="A14" s="38" t="s">
        <v>1096</v>
      </c>
      <c r="B14" s="550">
        <v>374678.99000000022</v>
      </c>
      <c r="C14" s="550">
        <v>81024.080000000016</v>
      </c>
      <c r="D14" s="550">
        <v>89871.819999999992</v>
      </c>
      <c r="E14" s="38"/>
      <c r="F14" s="547">
        <f>SUM(B14:D14)/3</f>
        <v>181858.29666666675</v>
      </c>
    </row>
    <row r="15" spans="1:6" ht="16.75" customHeight="1" thickBot="1">
      <c r="A15" s="38" t="s">
        <v>158</v>
      </c>
      <c r="B15" s="549">
        <f>SUM(B13:B14)</f>
        <v>14293999.980000002</v>
      </c>
      <c r="C15" s="549">
        <f>SUM(C13:C14)</f>
        <v>3306818.449999989</v>
      </c>
      <c r="D15" s="549">
        <f>SUM(D13:D14)</f>
        <v>10746034.740000002</v>
      </c>
      <c r="E15" s="38"/>
      <c r="F15" s="549">
        <f>SUM(F13:F14)</f>
        <v>9448951.0566666648</v>
      </c>
    </row>
    <row r="16" spans="1:6" ht="16.75" customHeight="1" thickTop="1">
      <c r="A16" s="542"/>
      <c r="B16" s="543"/>
      <c r="C16" s="543"/>
    </row>
    <row r="17" spans="1:1" ht="15" customHeight="1">
      <c r="A17" s="44" t="s">
        <v>1099</v>
      </c>
    </row>
    <row r="18" spans="1:1" ht="15" customHeight="1"/>
    <row r="19" spans="1:1" ht="15" customHeight="1"/>
    <row r="20" spans="1:1" ht="15" customHeight="1"/>
    <row r="21" spans="1:1" ht="15" customHeight="1"/>
    <row r="22" spans="1:1" ht="15" customHeight="1"/>
    <row r="23" spans="1:1" ht="15" customHeight="1"/>
    <row r="24" spans="1:1" ht="15" customHeight="1"/>
    <row r="25" spans="1:1" ht="15" customHeight="1"/>
    <row r="26" spans="1:1" ht="15" customHeight="1"/>
    <row r="27" spans="1:1" ht="15" customHeight="1"/>
    <row r="28" spans="1:1" ht="15" customHeight="1"/>
    <row r="29" spans="1:1" ht="15" customHeight="1"/>
    <row r="30" spans="1:1" ht="15" customHeight="1"/>
  </sheetData>
  <mergeCells count="3">
    <mergeCell ref="A1:D1"/>
    <mergeCell ref="A2:D2"/>
    <mergeCell ref="A3:D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B15B3-441F-48C1-B78D-D8D20AC9CA2B}">
  <dimension ref="A1:F20"/>
  <sheetViews>
    <sheetView showRuler="0" workbookViewId="0">
      <selection sqref="A1:E1"/>
    </sheetView>
  </sheetViews>
  <sheetFormatPr defaultColWidth="13.7265625" defaultRowHeight="12.5"/>
  <cols>
    <col min="1" max="1" width="20" style="41" customWidth="1"/>
    <col min="2" max="2" width="31.1796875" style="41" customWidth="1"/>
    <col min="3" max="5" width="28" style="41" customWidth="1"/>
    <col min="6" max="6" width="6" style="41" customWidth="1"/>
    <col min="7" max="16384" width="13.7265625" style="41"/>
  </cols>
  <sheetData>
    <row r="1" spans="1:6" ht="15" customHeight="1">
      <c r="A1" s="711" t="s">
        <v>0</v>
      </c>
      <c r="B1" s="709"/>
      <c r="C1" s="709"/>
      <c r="D1" s="709"/>
      <c r="E1" s="709"/>
    </row>
    <row r="2" spans="1:6" ht="15" customHeight="1">
      <c r="A2" s="712" t="s">
        <v>369</v>
      </c>
      <c r="B2" s="709"/>
      <c r="C2" s="709"/>
      <c r="D2" s="709"/>
      <c r="E2" s="709"/>
    </row>
    <row r="3" spans="1:6" ht="15" customHeight="1">
      <c r="A3" s="712" t="s">
        <v>368</v>
      </c>
      <c r="B3" s="709"/>
      <c r="C3" s="709"/>
      <c r="D3" s="709"/>
      <c r="E3" s="709"/>
    </row>
    <row r="4" spans="1:6" ht="15" customHeight="1">
      <c r="A4" s="711" t="s">
        <v>119</v>
      </c>
      <c r="B4" s="709"/>
      <c r="C4" s="709"/>
      <c r="D4" s="709"/>
      <c r="E4" s="709"/>
    </row>
    <row r="5" spans="1:6" ht="15" customHeight="1"/>
    <row r="6" spans="1:6" ht="15" customHeight="1"/>
    <row r="7" spans="1:6" ht="39.25" customHeight="1">
      <c r="A7" s="2" t="s">
        <v>227</v>
      </c>
      <c r="B7" s="2" t="s">
        <v>367</v>
      </c>
      <c r="C7" s="2" t="s">
        <v>366</v>
      </c>
      <c r="D7" s="2" t="s">
        <v>365</v>
      </c>
      <c r="E7" s="2" t="s">
        <v>364</v>
      </c>
    </row>
    <row r="8" spans="1:6" ht="15" customHeight="1">
      <c r="A8" s="61" t="s">
        <v>363</v>
      </c>
      <c r="B8" s="54" t="s">
        <v>362</v>
      </c>
      <c r="C8" s="77">
        <v>3541730.57</v>
      </c>
      <c r="D8" s="77">
        <v>1792451</v>
      </c>
      <c r="E8" s="77">
        <f>C8-D8</f>
        <v>1749279.5699999998</v>
      </c>
    </row>
    <row r="9" spans="1:6" ht="15" customHeight="1">
      <c r="A9" s="61" t="s">
        <v>361</v>
      </c>
      <c r="B9" s="54" t="s">
        <v>360</v>
      </c>
      <c r="C9" s="77">
        <v>-2107047.09</v>
      </c>
      <c r="D9" s="77">
        <v>-2107047</v>
      </c>
      <c r="E9" s="77">
        <f>C9-D9</f>
        <v>-8.9999999850988388E-2</v>
      </c>
    </row>
    <row r="10" spans="1:6" ht="15" customHeight="1">
      <c r="A10" s="61" t="s">
        <v>359</v>
      </c>
      <c r="B10" s="54" t="s">
        <v>358</v>
      </c>
      <c r="C10" s="77">
        <v>1038595.87</v>
      </c>
      <c r="D10" s="77">
        <v>1038596</v>
      </c>
      <c r="E10" s="77">
        <f>C10-D10</f>
        <v>-0.13000000000465661</v>
      </c>
    </row>
    <row r="11" spans="1:6" ht="15" customHeight="1">
      <c r="A11" s="61" t="s">
        <v>357</v>
      </c>
      <c r="B11" s="54" t="s">
        <v>356</v>
      </c>
      <c r="C11" s="75">
        <v>359437.53</v>
      </c>
      <c r="D11" s="75">
        <v>359438</v>
      </c>
      <c r="E11" s="75">
        <f>C11-D11</f>
        <v>-0.46999999997206032</v>
      </c>
    </row>
    <row r="12" spans="1:6" ht="16.75" customHeight="1" thickBot="1">
      <c r="A12" s="708" t="s">
        <v>355</v>
      </c>
      <c r="B12" s="709"/>
      <c r="C12" s="88">
        <f>SUM(C8:C11)</f>
        <v>2832716.88</v>
      </c>
      <c r="D12" s="88">
        <f>SUM(D8:D11)</f>
        <v>1083438</v>
      </c>
      <c r="E12" s="88">
        <f>SUM(E8:E11)</f>
        <v>1749278.8800000001</v>
      </c>
      <c r="F12" s="54"/>
    </row>
    <row r="13" spans="1:6" ht="15" customHeight="1" thickTop="1">
      <c r="C13" s="63"/>
      <c r="D13" s="63"/>
      <c r="E13" s="63"/>
    </row>
    <row r="14" spans="1:6" ht="15" customHeight="1"/>
    <row r="15" spans="1:6" ht="64.150000000000006" customHeight="1">
      <c r="A15" s="736" t="s">
        <v>354</v>
      </c>
      <c r="B15" s="736"/>
      <c r="C15" s="736"/>
      <c r="D15" s="736"/>
      <c r="E15" s="736"/>
    </row>
    <row r="16" spans="1:6" ht="15" customHeight="1">
      <c r="A16" s="54"/>
    </row>
    <row r="17" spans="1:2" ht="15" customHeight="1"/>
    <row r="18" spans="1:2" ht="15" customHeight="1"/>
    <row r="19" spans="1:2" ht="15" customHeight="1">
      <c r="A19" s="44" t="s">
        <v>2</v>
      </c>
      <c r="B19" s="44" t="s">
        <v>3</v>
      </c>
    </row>
    <row r="20" spans="1:2" ht="15" customHeight="1"/>
  </sheetData>
  <mergeCells count="6">
    <mergeCell ref="A15:E15"/>
    <mergeCell ref="A2:E2"/>
    <mergeCell ref="A1:E1"/>
    <mergeCell ref="A4:E4"/>
    <mergeCell ref="A3:E3"/>
    <mergeCell ref="A12:B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E2042-9464-4BBB-8F4C-631254FB0EAE}">
  <dimension ref="A1:M25"/>
  <sheetViews>
    <sheetView showRuler="0" topLeftCell="E1" workbookViewId="0">
      <selection sqref="A1:G4"/>
    </sheetView>
  </sheetViews>
  <sheetFormatPr defaultColWidth="13.7265625" defaultRowHeight="12.5"/>
  <cols>
    <col min="1" max="1" width="11.26953125" style="41" customWidth="1"/>
    <col min="2" max="2" width="16.453125" style="41" customWidth="1"/>
    <col min="3" max="3" width="16" style="41" customWidth="1"/>
    <col min="4" max="12" width="16.7265625" style="41" customWidth="1"/>
    <col min="13" max="16384" width="13.7265625" style="41"/>
  </cols>
  <sheetData>
    <row r="1" spans="1:13" ht="15" customHeight="1">
      <c r="A1" s="711" t="s">
        <v>0</v>
      </c>
      <c r="B1" s="709"/>
      <c r="C1" s="709"/>
    </row>
    <row r="2" spans="1:13" ht="15" customHeight="1">
      <c r="A2" s="712" t="s">
        <v>215</v>
      </c>
      <c r="B2" s="709"/>
      <c r="C2" s="709"/>
      <c r="D2" s="709"/>
      <c r="E2" s="709"/>
      <c r="F2" s="709"/>
      <c r="G2" s="709"/>
    </row>
    <row r="3" spans="1:13" ht="15" customHeight="1">
      <c r="A3" s="712" t="s">
        <v>214</v>
      </c>
      <c r="B3" s="709"/>
      <c r="C3" s="709"/>
      <c r="D3" s="709"/>
      <c r="E3" s="709"/>
      <c r="F3" s="709"/>
      <c r="G3" s="709"/>
    </row>
    <row r="4" spans="1:13" ht="15" customHeight="1">
      <c r="A4" s="711" t="s">
        <v>119</v>
      </c>
      <c r="B4" s="709"/>
      <c r="C4" s="709"/>
      <c r="D4" s="709"/>
      <c r="E4" s="709"/>
      <c r="F4" s="709"/>
      <c r="G4" s="709"/>
    </row>
    <row r="5" spans="1:13" ht="15" customHeight="1"/>
    <row r="6" spans="1:13" ht="39.25" customHeight="1">
      <c r="A6" s="60" t="s">
        <v>213</v>
      </c>
      <c r="B6" s="60" t="s">
        <v>212</v>
      </c>
      <c r="C6" s="60" t="s">
        <v>211</v>
      </c>
      <c r="D6" s="60" t="s">
        <v>210</v>
      </c>
      <c r="E6" s="60" t="s">
        <v>209</v>
      </c>
      <c r="F6" s="60" t="s">
        <v>208</v>
      </c>
      <c r="G6" s="60" t="s">
        <v>207</v>
      </c>
      <c r="H6" s="60" t="s">
        <v>206</v>
      </c>
      <c r="I6" s="60" t="s">
        <v>205</v>
      </c>
      <c r="J6" s="60" t="s">
        <v>204</v>
      </c>
      <c r="K6" s="60" t="s">
        <v>203</v>
      </c>
      <c r="L6" s="60" t="s">
        <v>202</v>
      </c>
      <c r="M6" s="59"/>
    </row>
    <row r="7" spans="1:13" ht="15" customHeight="1">
      <c r="A7" s="58" t="s">
        <v>201</v>
      </c>
      <c r="B7" s="55">
        <v>2386771.37</v>
      </c>
      <c r="C7" s="56">
        <v>409599960</v>
      </c>
      <c r="D7" s="57">
        <f t="shared" ref="D7:D18" si="0">B7/C7</f>
        <v>5.827079109089757E-3</v>
      </c>
      <c r="E7" s="56">
        <v>7048466</v>
      </c>
      <c r="F7" s="56">
        <v>134457438</v>
      </c>
      <c r="G7" s="56">
        <f t="shared" ref="G7:G18" si="1">E7+F7</f>
        <v>141505904</v>
      </c>
      <c r="H7" s="55">
        <f t="shared" ref="H7:H18" si="2">(E7*D7)+(F7*D7)</f>
        <v>824566.09701126069</v>
      </c>
      <c r="I7" s="55">
        <v>-873569.93</v>
      </c>
      <c r="J7" s="55">
        <f t="shared" ref="J7:J18" si="3">I7+H7+B7</f>
        <v>2337767.5370112606</v>
      </c>
      <c r="K7" s="55">
        <v>0</v>
      </c>
      <c r="L7" s="55">
        <f t="shared" ref="L7:L18" si="4">J7*(1-K7)</f>
        <v>2337767.5370112606</v>
      </c>
    </row>
    <row r="8" spans="1:13" ht="15" customHeight="1">
      <c r="A8" s="54" t="s">
        <v>200</v>
      </c>
      <c r="B8" s="51">
        <v>2041111.92</v>
      </c>
      <c r="C8" s="52">
        <v>273574950</v>
      </c>
      <c r="D8" s="53">
        <f t="shared" si="0"/>
        <v>7.4608874825710467E-3</v>
      </c>
      <c r="E8" s="52">
        <v>165984254</v>
      </c>
      <c r="F8" s="52">
        <v>146482292</v>
      </c>
      <c r="G8" s="52">
        <f t="shared" si="1"/>
        <v>312466546</v>
      </c>
      <c r="H8" s="51">
        <f t="shared" si="2"/>
        <v>2331277.74177361</v>
      </c>
      <c r="I8" s="51">
        <v>-824566.1</v>
      </c>
      <c r="J8" s="51">
        <f t="shared" si="3"/>
        <v>3547823.5617736098</v>
      </c>
      <c r="K8" s="51">
        <v>0</v>
      </c>
      <c r="L8" s="51">
        <f t="shared" si="4"/>
        <v>3547823.5617736098</v>
      </c>
    </row>
    <row r="9" spans="1:13" ht="15" customHeight="1">
      <c r="A9" s="54" t="s">
        <v>199</v>
      </c>
      <c r="B9" s="51">
        <v>2472520.75</v>
      </c>
      <c r="C9" s="52">
        <v>431149098</v>
      </c>
      <c r="D9" s="53">
        <f t="shared" si="0"/>
        <v>5.734723234884281E-3</v>
      </c>
      <c r="E9" s="52">
        <v>113438215</v>
      </c>
      <c r="F9" s="52">
        <v>168616294</v>
      </c>
      <c r="G9" s="52">
        <f t="shared" si="1"/>
        <v>282054509</v>
      </c>
      <c r="H9" s="51">
        <f t="shared" si="2"/>
        <v>1617504.5462661777</v>
      </c>
      <c r="I9" s="51">
        <v>-2331277.7400000002</v>
      </c>
      <c r="J9" s="51">
        <f t="shared" si="3"/>
        <v>1758747.5562661774</v>
      </c>
      <c r="K9" s="51">
        <v>0</v>
      </c>
      <c r="L9" s="51">
        <f t="shared" si="4"/>
        <v>1758747.5562661774</v>
      </c>
    </row>
    <row r="10" spans="1:13" ht="15" customHeight="1">
      <c r="A10" s="54" t="s">
        <v>198</v>
      </c>
      <c r="B10" s="51">
        <v>2762529.43</v>
      </c>
      <c r="C10" s="52">
        <v>456478375</v>
      </c>
      <c r="D10" s="53">
        <f t="shared" si="0"/>
        <v>6.0518297936895697E-3</v>
      </c>
      <c r="E10" s="52">
        <v>118501472</v>
      </c>
      <c r="F10" s="52">
        <v>175145233</v>
      </c>
      <c r="G10" s="52">
        <f t="shared" si="1"/>
        <v>293646705</v>
      </c>
      <c r="H10" s="51">
        <f t="shared" si="2"/>
        <v>1777099.878137772</v>
      </c>
      <c r="I10" s="51">
        <v>-1617504.55</v>
      </c>
      <c r="J10" s="51">
        <f t="shared" si="3"/>
        <v>2922124.7581377719</v>
      </c>
      <c r="K10" s="51">
        <v>0</v>
      </c>
      <c r="L10" s="51">
        <f t="shared" si="4"/>
        <v>2922124.7581377719</v>
      </c>
    </row>
    <row r="11" spans="1:13" ht="15" customHeight="1">
      <c r="A11" s="54" t="s">
        <v>197</v>
      </c>
      <c r="B11" s="51">
        <v>2842288.24</v>
      </c>
      <c r="C11" s="52">
        <v>469360015</v>
      </c>
      <c r="D11" s="53">
        <f t="shared" si="0"/>
        <v>6.0556676094362244E-3</v>
      </c>
      <c r="E11" s="52">
        <v>113328977</v>
      </c>
      <c r="F11" s="52">
        <v>181776708</v>
      </c>
      <c r="G11" s="52">
        <f t="shared" si="1"/>
        <v>295105685</v>
      </c>
      <c r="H11" s="51">
        <f t="shared" si="2"/>
        <v>1787061.9380149893</v>
      </c>
      <c r="I11" s="51">
        <v>-1777099.88</v>
      </c>
      <c r="J11" s="51">
        <f t="shared" si="3"/>
        <v>2852250.2980149896</v>
      </c>
      <c r="K11" s="51">
        <v>0</v>
      </c>
      <c r="L11" s="51">
        <f t="shared" si="4"/>
        <v>2852250.2980149896</v>
      </c>
    </row>
    <row r="12" spans="1:13" ht="15" customHeight="1">
      <c r="A12" s="54" t="s">
        <v>196</v>
      </c>
      <c r="B12" s="51">
        <v>2451766.04</v>
      </c>
      <c r="C12" s="52">
        <v>452628532</v>
      </c>
      <c r="D12" s="53">
        <f t="shared" si="0"/>
        <v>5.4167288773567636E-3</v>
      </c>
      <c r="E12" s="52">
        <v>96941273</v>
      </c>
      <c r="F12" s="52">
        <v>142167111</v>
      </c>
      <c r="G12" s="52">
        <f t="shared" si="1"/>
        <v>239108384</v>
      </c>
      <c r="H12" s="51">
        <f t="shared" si="2"/>
        <v>1295185.2884309101</v>
      </c>
      <c r="I12" s="51">
        <v>-1787061.94</v>
      </c>
      <c r="J12" s="51">
        <f t="shared" si="3"/>
        <v>1959889.3884309102</v>
      </c>
      <c r="K12" s="51">
        <v>0</v>
      </c>
      <c r="L12" s="51">
        <f t="shared" si="4"/>
        <v>1959889.3884309102</v>
      </c>
    </row>
    <row r="13" spans="1:13" ht="15" customHeight="1">
      <c r="A13" s="54" t="s">
        <v>195</v>
      </c>
      <c r="B13" s="51">
        <v>2178984.0099999998</v>
      </c>
      <c r="C13" s="52">
        <v>397234708</v>
      </c>
      <c r="D13" s="53">
        <f t="shared" si="0"/>
        <v>5.485381730541028E-3</v>
      </c>
      <c r="E13" s="52">
        <v>101546643</v>
      </c>
      <c r="F13" s="52">
        <v>157549006</v>
      </c>
      <c r="G13" s="52">
        <f t="shared" si="1"/>
        <v>259095649</v>
      </c>
      <c r="H13" s="51">
        <f t="shared" si="2"/>
        <v>1421238.5394872706</v>
      </c>
      <c r="I13" s="51">
        <v>-1295185.29</v>
      </c>
      <c r="J13" s="51">
        <f t="shared" si="3"/>
        <v>2305037.2594872704</v>
      </c>
      <c r="K13" s="51">
        <v>0</v>
      </c>
      <c r="L13" s="51">
        <f t="shared" si="4"/>
        <v>2305037.2594872704</v>
      </c>
    </row>
    <row r="14" spans="1:13" ht="15" customHeight="1">
      <c r="A14" s="54" t="s">
        <v>194</v>
      </c>
      <c r="B14" s="51">
        <v>2154037.83</v>
      </c>
      <c r="C14" s="52">
        <v>397904922</v>
      </c>
      <c r="D14" s="53">
        <f t="shared" si="0"/>
        <v>5.4134485674947243E-3</v>
      </c>
      <c r="E14" s="52">
        <v>93164385</v>
      </c>
      <c r="F14" s="52">
        <v>200283430</v>
      </c>
      <c r="G14" s="52">
        <f t="shared" si="1"/>
        <v>293447815</v>
      </c>
      <c r="H14" s="51">
        <f t="shared" si="2"/>
        <v>1588564.6537462068</v>
      </c>
      <c r="I14" s="51">
        <v>-1421238.54</v>
      </c>
      <c r="J14" s="51">
        <f t="shared" si="3"/>
        <v>2321363.9437462068</v>
      </c>
      <c r="K14" s="51">
        <v>0</v>
      </c>
      <c r="L14" s="51">
        <f t="shared" si="4"/>
        <v>2321363.9437462068</v>
      </c>
    </row>
    <row r="15" spans="1:13" ht="15" customHeight="1">
      <c r="A15" s="54" t="s">
        <v>193</v>
      </c>
      <c r="B15" s="51">
        <v>2590373.44</v>
      </c>
      <c r="C15" s="52">
        <v>486905570</v>
      </c>
      <c r="D15" s="53">
        <f t="shared" si="0"/>
        <v>5.3200735411591199E-3</v>
      </c>
      <c r="E15" s="52">
        <v>101772615</v>
      </c>
      <c r="F15" s="52">
        <v>227064922</v>
      </c>
      <c r="G15" s="52">
        <f t="shared" si="1"/>
        <v>328837537</v>
      </c>
      <c r="H15" s="51">
        <f t="shared" si="2"/>
        <v>1749439.8799336334</v>
      </c>
      <c r="I15" s="51">
        <v>-1588564.65</v>
      </c>
      <c r="J15" s="51">
        <f t="shared" si="3"/>
        <v>2751248.6699336334</v>
      </c>
      <c r="K15" s="51">
        <v>0</v>
      </c>
      <c r="L15" s="51">
        <f t="shared" si="4"/>
        <v>2751248.6699336334</v>
      </c>
    </row>
    <row r="16" spans="1:13" ht="15" customHeight="1">
      <c r="A16" s="54" t="s">
        <v>192</v>
      </c>
      <c r="B16" s="51">
        <v>2916273.13</v>
      </c>
      <c r="C16" s="52">
        <v>642553757</v>
      </c>
      <c r="D16" s="53">
        <f t="shared" si="0"/>
        <v>4.5385667708421782E-3</v>
      </c>
      <c r="E16" s="52">
        <v>9479450</v>
      </c>
      <c r="F16" s="52">
        <v>175386076</v>
      </c>
      <c r="G16" s="52">
        <f t="shared" si="1"/>
        <v>184865526</v>
      </c>
      <c r="H16" s="51">
        <f t="shared" si="2"/>
        <v>839024.53337786067</v>
      </c>
      <c r="I16" s="51">
        <v>-1749439.88</v>
      </c>
      <c r="J16" s="51">
        <f t="shared" si="3"/>
        <v>2005857.7833778607</v>
      </c>
      <c r="K16" s="51">
        <v>0</v>
      </c>
      <c r="L16" s="51">
        <f t="shared" si="4"/>
        <v>2005857.7833778607</v>
      </c>
    </row>
    <row r="17" spans="1:12" ht="15" customHeight="1">
      <c r="A17" s="54" t="s">
        <v>191</v>
      </c>
      <c r="B17" s="51">
        <v>2473596.4900000002</v>
      </c>
      <c r="C17" s="52">
        <v>446613531</v>
      </c>
      <c r="D17" s="53">
        <f t="shared" si="0"/>
        <v>5.5385614593033913E-3</v>
      </c>
      <c r="E17" s="52">
        <v>24477559</v>
      </c>
      <c r="F17" s="52">
        <v>130374852</v>
      </c>
      <c r="G17" s="52">
        <f t="shared" si="1"/>
        <v>154852411</v>
      </c>
      <c r="H17" s="51">
        <f t="shared" si="2"/>
        <v>857659.5954448086</v>
      </c>
      <c r="I17" s="51">
        <v>-839024.53</v>
      </c>
      <c r="J17" s="51">
        <f t="shared" si="3"/>
        <v>2492231.5554448087</v>
      </c>
      <c r="K17" s="51">
        <v>0</v>
      </c>
      <c r="L17" s="51">
        <f t="shared" si="4"/>
        <v>2492231.5554448087</v>
      </c>
    </row>
    <row r="18" spans="1:12" ht="15" customHeight="1">
      <c r="A18" s="54" t="s">
        <v>190</v>
      </c>
      <c r="B18" s="51">
        <v>1729947.06</v>
      </c>
      <c r="C18" s="52">
        <v>453382635</v>
      </c>
      <c r="D18" s="53">
        <f t="shared" si="0"/>
        <v>3.815644725784436E-3</v>
      </c>
      <c r="E18" s="52">
        <v>2258577</v>
      </c>
      <c r="F18" s="52">
        <v>151606523</v>
      </c>
      <c r="G18" s="52">
        <f t="shared" si="1"/>
        <v>153865100</v>
      </c>
      <c r="H18" s="51">
        <f t="shared" si="2"/>
        <v>587094.55729729484</v>
      </c>
      <c r="I18" s="51">
        <v>-857659.6</v>
      </c>
      <c r="J18" s="51">
        <f t="shared" si="3"/>
        <v>1459382.0172972949</v>
      </c>
      <c r="K18" s="51">
        <v>0</v>
      </c>
      <c r="L18" s="50">
        <f t="shared" si="4"/>
        <v>1459382.0172972949</v>
      </c>
    </row>
    <row r="19" spans="1:12" ht="16.75" customHeight="1">
      <c r="A19" s="712" t="s">
        <v>189</v>
      </c>
      <c r="B19" s="709"/>
      <c r="L19" s="49">
        <f>SUM(L7:L18)</f>
        <v>28713724.328921791</v>
      </c>
    </row>
    <row r="20" spans="1:12" ht="15" customHeight="1">
      <c r="L20" s="48"/>
    </row>
    <row r="21" spans="1:12" ht="15" customHeight="1">
      <c r="J21" s="710" t="s">
        <v>188</v>
      </c>
      <c r="K21" s="709"/>
      <c r="L21" s="47">
        <f>-L19</f>
        <v>-28713724.328921791</v>
      </c>
    </row>
    <row r="22" spans="1:12" ht="15" customHeight="1">
      <c r="K22" s="46" t="s">
        <v>187</v>
      </c>
      <c r="L22" s="45" t="s">
        <v>186</v>
      </c>
    </row>
    <row r="23" spans="1:12" ht="15" customHeight="1"/>
    <row r="24" spans="1:12" ht="15" customHeight="1">
      <c r="A24" s="44" t="s">
        <v>2</v>
      </c>
      <c r="B24" s="44" t="s">
        <v>3</v>
      </c>
    </row>
    <row r="25" spans="1:12" ht="15" customHeight="1"/>
  </sheetData>
  <mergeCells count="6">
    <mergeCell ref="J21:K21"/>
    <mergeCell ref="A1:C1"/>
    <mergeCell ref="A2:G2"/>
    <mergeCell ref="A3:G3"/>
    <mergeCell ref="A4:G4"/>
    <mergeCell ref="A19:B1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C3987-C8C4-480C-A22F-38074AF0E2E2}">
  <dimension ref="A1:G50"/>
  <sheetViews>
    <sheetView showRuler="0" workbookViewId="0">
      <selection sqref="A1:E1"/>
    </sheetView>
  </sheetViews>
  <sheetFormatPr defaultColWidth="13.7265625" defaultRowHeight="12.5"/>
  <cols>
    <col min="1" max="16384" width="13.7265625" style="41"/>
  </cols>
  <sheetData>
    <row r="1" spans="1:7" ht="15" customHeight="1">
      <c r="A1" s="711" t="s">
        <v>0</v>
      </c>
      <c r="B1" s="711"/>
      <c r="C1" s="711"/>
      <c r="D1" s="711"/>
      <c r="E1" s="711"/>
    </row>
    <row r="2" spans="1:7" ht="15" customHeight="1">
      <c r="A2" s="712" t="s">
        <v>369</v>
      </c>
      <c r="B2" s="712"/>
      <c r="C2" s="712"/>
      <c r="D2" s="712"/>
      <c r="E2" s="712"/>
    </row>
    <row r="3" spans="1:7" ht="15" customHeight="1">
      <c r="A3" s="712" t="s">
        <v>372</v>
      </c>
      <c r="B3" s="712"/>
      <c r="C3" s="712"/>
      <c r="D3" s="712"/>
      <c r="E3" s="712"/>
    </row>
    <row r="4" spans="1:7" ht="15" customHeight="1">
      <c r="A4" s="711" t="s">
        <v>119</v>
      </c>
      <c r="B4" s="711"/>
      <c r="C4" s="711"/>
      <c r="D4" s="711"/>
      <c r="E4" s="711"/>
    </row>
    <row r="5" spans="1:7" ht="15" customHeight="1"/>
    <row r="6" spans="1:7" ht="15" customHeight="1">
      <c r="A6" s="65"/>
      <c r="B6" s="65"/>
      <c r="C6" s="54"/>
      <c r="D6" s="54"/>
      <c r="E6" s="54"/>
      <c r="F6" s="54"/>
    </row>
    <row r="7" spans="1:7" ht="39.25" customHeight="1">
      <c r="A7" s="71" t="s">
        <v>179</v>
      </c>
      <c r="B7" s="71" t="s">
        <v>371</v>
      </c>
      <c r="C7" s="59"/>
      <c r="D7" s="54"/>
      <c r="E7" s="54"/>
      <c r="F7" s="54"/>
    </row>
    <row r="8" spans="1:7" ht="16.75" customHeight="1">
      <c r="A8" s="111"/>
      <c r="B8" s="71" t="s">
        <v>370</v>
      </c>
      <c r="C8" s="109"/>
      <c r="D8" s="65"/>
      <c r="E8" s="65"/>
      <c r="F8" s="65"/>
    </row>
    <row r="9" spans="1:7" ht="16.75" customHeight="1">
      <c r="A9" s="71" t="s">
        <v>164</v>
      </c>
      <c r="B9" s="110">
        <v>1823411</v>
      </c>
      <c r="C9" s="110">
        <v>1823516</v>
      </c>
      <c r="D9" s="110">
        <v>1823547</v>
      </c>
      <c r="E9" s="110">
        <v>1823550</v>
      </c>
      <c r="F9" s="110">
        <v>4073000</v>
      </c>
      <c r="G9" s="59"/>
    </row>
    <row r="10" spans="1:7" ht="16.75" customHeight="1">
      <c r="A10" s="58" t="s">
        <v>338</v>
      </c>
      <c r="B10" s="56">
        <v>-49790</v>
      </c>
      <c r="C10" s="56">
        <v>58529</v>
      </c>
      <c r="D10" s="56">
        <v>-28850</v>
      </c>
      <c r="E10" s="56">
        <v>-9984</v>
      </c>
      <c r="F10" s="56">
        <v>30095.49</v>
      </c>
    </row>
    <row r="11" spans="1:7" ht="16.75" customHeight="1">
      <c r="A11" s="54" t="s">
        <v>337</v>
      </c>
      <c r="B11" s="52">
        <v>-49790</v>
      </c>
      <c r="C11" s="52">
        <v>58529</v>
      </c>
      <c r="D11" s="52">
        <v>-28850</v>
      </c>
      <c r="E11" s="52">
        <v>-9984</v>
      </c>
      <c r="F11" s="52">
        <v>30095.49</v>
      </c>
    </row>
    <row r="12" spans="1:7" ht="16.75" customHeight="1">
      <c r="A12" s="54" t="s">
        <v>346</v>
      </c>
      <c r="B12" s="52">
        <v>-49790</v>
      </c>
      <c r="C12" s="52">
        <v>58529</v>
      </c>
      <c r="D12" s="52">
        <v>-28850</v>
      </c>
      <c r="E12" s="52">
        <v>-9984</v>
      </c>
      <c r="F12" s="52">
        <v>30095.49</v>
      </c>
    </row>
    <row r="13" spans="1:7" ht="16.75" customHeight="1">
      <c r="A13" s="54" t="s">
        <v>345</v>
      </c>
      <c r="B13" s="52">
        <v>-49790</v>
      </c>
      <c r="C13" s="52">
        <v>58529</v>
      </c>
      <c r="D13" s="52">
        <v>-28850</v>
      </c>
      <c r="E13" s="52">
        <v>-9984</v>
      </c>
      <c r="F13" s="52">
        <v>30095.49</v>
      </c>
    </row>
    <row r="14" spans="1:7" ht="16.75" customHeight="1">
      <c r="A14" s="54" t="s">
        <v>344</v>
      </c>
      <c r="B14" s="52">
        <v>-49790</v>
      </c>
      <c r="C14" s="52">
        <v>58529</v>
      </c>
      <c r="D14" s="52">
        <v>-28850</v>
      </c>
      <c r="E14" s="52">
        <v>-9984</v>
      </c>
      <c r="F14" s="52">
        <v>30095.49</v>
      </c>
    </row>
    <row r="15" spans="1:7" ht="16.75" customHeight="1">
      <c r="A15" s="54" t="s">
        <v>343</v>
      </c>
      <c r="B15" s="52">
        <v>-49790</v>
      </c>
      <c r="C15" s="52">
        <v>58529</v>
      </c>
      <c r="D15" s="52">
        <v>-28850</v>
      </c>
      <c r="E15" s="52">
        <v>-9984</v>
      </c>
      <c r="F15" s="52">
        <v>30095.49</v>
      </c>
    </row>
    <row r="16" spans="1:7" ht="16.75" customHeight="1">
      <c r="A16" s="54" t="s">
        <v>342</v>
      </c>
      <c r="B16" s="52">
        <v>-49790</v>
      </c>
      <c r="C16" s="52">
        <v>58529</v>
      </c>
      <c r="D16" s="52">
        <v>-28850</v>
      </c>
      <c r="E16" s="52">
        <v>-9984</v>
      </c>
      <c r="F16" s="52">
        <v>30095.49</v>
      </c>
    </row>
    <row r="17" spans="1:6" ht="16.75" customHeight="1">
      <c r="A17" s="54" t="s">
        <v>336</v>
      </c>
      <c r="B17" s="52">
        <v>-49790</v>
      </c>
      <c r="C17" s="52">
        <v>58529</v>
      </c>
      <c r="D17" s="52">
        <v>-28850</v>
      </c>
      <c r="E17" s="52">
        <v>-9984</v>
      </c>
      <c r="F17" s="52">
        <v>30095.49</v>
      </c>
    </row>
    <row r="18" spans="1:6" ht="16.75" customHeight="1">
      <c r="A18" s="54" t="s">
        <v>341</v>
      </c>
      <c r="B18" s="52">
        <v>-49790</v>
      </c>
      <c r="C18" s="52">
        <v>58529</v>
      </c>
      <c r="D18" s="52">
        <v>-28850</v>
      </c>
      <c r="E18" s="52">
        <v>-9984</v>
      </c>
      <c r="F18" s="52">
        <v>30095.49</v>
      </c>
    </row>
    <row r="19" spans="1:6" ht="16.75" customHeight="1">
      <c r="A19" s="54" t="s">
        <v>335</v>
      </c>
      <c r="B19" s="52">
        <v>-49790</v>
      </c>
      <c r="C19" s="52">
        <v>58529</v>
      </c>
      <c r="D19" s="52">
        <v>-28850</v>
      </c>
      <c r="E19" s="52">
        <v>-9984</v>
      </c>
      <c r="F19" s="52">
        <v>30095.49</v>
      </c>
    </row>
    <row r="20" spans="1:6" ht="16.75" customHeight="1">
      <c r="A20" s="54" t="s">
        <v>340</v>
      </c>
      <c r="B20" s="52">
        <v>-49790</v>
      </c>
      <c r="C20" s="52">
        <v>58529</v>
      </c>
      <c r="D20" s="52">
        <v>-28850</v>
      </c>
      <c r="E20" s="52">
        <v>-9984</v>
      </c>
      <c r="F20" s="52">
        <v>30095.49</v>
      </c>
    </row>
    <row r="21" spans="1:6" ht="16.75" customHeight="1">
      <c r="A21" s="54" t="s">
        <v>334</v>
      </c>
      <c r="B21" s="89">
        <v>-49790</v>
      </c>
      <c r="C21" s="89">
        <v>58529</v>
      </c>
      <c r="D21" s="89">
        <v>-28850</v>
      </c>
      <c r="E21" s="89">
        <v>-9984</v>
      </c>
      <c r="F21" s="89">
        <v>30095.49</v>
      </c>
    </row>
    <row r="22" spans="1:6" ht="16.75" customHeight="1" thickBot="1">
      <c r="A22" s="54" t="s">
        <v>172</v>
      </c>
      <c r="B22" s="105">
        <v>-597484</v>
      </c>
      <c r="C22" s="105">
        <v>702349</v>
      </c>
      <c r="D22" s="105">
        <v>-346199</v>
      </c>
      <c r="E22" s="105">
        <v>-119813</v>
      </c>
      <c r="F22" s="105">
        <v>361145.88</v>
      </c>
    </row>
    <row r="23" spans="1:6" ht="15" customHeight="1" thickTop="1">
      <c r="A23" s="54"/>
      <c r="B23" s="63"/>
      <c r="C23" s="63"/>
      <c r="D23" s="63"/>
      <c r="E23" s="63"/>
      <c r="F23" s="63"/>
    </row>
    <row r="24" spans="1:6" ht="15" customHeight="1"/>
    <row r="25" spans="1:6" ht="15" customHeight="1">
      <c r="A25" s="44" t="s">
        <v>2</v>
      </c>
      <c r="B25" s="44" t="s">
        <v>3</v>
      </c>
    </row>
    <row r="26" spans="1:6" ht="15" customHeight="1"/>
    <row r="27" spans="1:6" ht="15" customHeight="1"/>
    <row r="28" spans="1:6" ht="15" customHeight="1"/>
    <row r="29" spans="1:6" ht="15" customHeight="1"/>
    <row r="30" spans="1:6" ht="15" customHeight="1"/>
    <row r="31" spans="1:6" ht="15" customHeight="1"/>
    <row r="32" spans="1:6" ht="15" customHeight="1"/>
    <row r="33" s="41" customFormat="1" ht="15" customHeight="1"/>
    <row r="34" s="41" customFormat="1" ht="15" customHeight="1"/>
    <row r="35" s="41" customFormat="1" ht="15" customHeight="1"/>
    <row r="36" s="41" customFormat="1" ht="15" customHeight="1"/>
    <row r="37" s="41" customFormat="1" ht="15" customHeight="1"/>
    <row r="38" s="41" customFormat="1" ht="15" customHeight="1"/>
    <row r="39" s="41" customFormat="1" ht="15" customHeight="1"/>
    <row r="40" s="41" customFormat="1" ht="15" customHeight="1"/>
    <row r="41" s="41" customFormat="1" ht="15" customHeight="1"/>
    <row r="42" s="41" customFormat="1" ht="15" customHeight="1"/>
    <row r="43" s="41" customFormat="1" ht="15" customHeight="1"/>
    <row r="44" s="41" customFormat="1" ht="15" customHeight="1"/>
    <row r="45" s="41" customFormat="1" ht="15" customHeight="1"/>
    <row r="46" s="41" customFormat="1" ht="15" customHeight="1"/>
    <row r="47" s="41" customFormat="1" ht="15" customHeight="1"/>
    <row r="48" s="41" customFormat="1" ht="15" customHeight="1"/>
    <row r="49" s="41" customFormat="1" ht="15" customHeight="1"/>
    <row r="50" s="41" customFormat="1" ht="15" customHeight="1"/>
  </sheetData>
  <mergeCells count="4">
    <mergeCell ref="A1:E1"/>
    <mergeCell ref="A2:E2"/>
    <mergeCell ref="A3:E3"/>
    <mergeCell ref="A4:E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38116-695C-4BFB-B635-23773B7CDA1C}">
  <dimension ref="A1:E50"/>
  <sheetViews>
    <sheetView showRuler="0" topLeftCell="A46" workbookViewId="0">
      <selection sqref="A1:E1"/>
    </sheetView>
  </sheetViews>
  <sheetFormatPr defaultColWidth="13.7265625" defaultRowHeight="12.5"/>
  <cols>
    <col min="1" max="1" width="18.54296875" style="41" customWidth="1"/>
    <col min="2" max="16384" width="13.7265625" style="41"/>
  </cols>
  <sheetData>
    <row r="1" spans="1:5" ht="15" customHeight="1">
      <c r="A1" s="711" t="s">
        <v>0</v>
      </c>
      <c r="B1" s="709"/>
      <c r="C1" s="709"/>
      <c r="D1" s="709"/>
      <c r="E1" s="709"/>
    </row>
    <row r="2" spans="1:5" ht="15" customHeight="1">
      <c r="A2" s="711" t="s">
        <v>380</v>
      </c>
      <c r="B2" s="709"/>
      <c r="C2" s="709"/>
      <c r="D2" s="709"/>
      <c r="E2" s="709"/>
    </row>
    <row r="3" spans="1:5" ht="15" customHeight="1">
      <c r="A3" s="711" t="s">
        <v>379</v>
      </c>
      <c r="B3" s="709"/>
      <c r="C3" s="709"/>
      <c r="D3" s="709"/>
      <c r="E3" s="709"/>
    </row>
    <row r="4" spans="1:5" ht="15" customHeight="1">
      <c r="A4" s="711" t="s">
        <v>119</v>
      </c>
      <c r="B4" s="709"/>
      <c r="C4" s="709"/>
      <c r="D4" s="709"/>
      <c r="E4" s="709"/>
    </row>
    <row r="5" spans="1:5" ht="15" customHeight="1"/>
    <row r="6" spans="1:5" ht="27.65" customHeight="1">
      <c r="A6" s="120" t="s">
        <v>187</v>
      </c>
      <c r="B6" s="120" t="s">
        <v>378</v>
      </c>
      <c r="C6" s="67" t="s">
        <v>377</v>
      </c>
      <c r="D6" s="119"/>
    </row>
    <row r="7" spans="1:5" ht="15" customHeight="1">
      <c r="A7" s="117">
        <v>500</v>
      </c>
      <c r="B7" s="97">
        <f>SUMIF(W20_PG_2_of_3!$P$7:$P$11,A7,W20_PG_2_of_3!$N$7:$N$11)+SUMIF(W20_PG_3_of_3!$A$13:$A$69,A7,W20_PG_3_of_3!$N$13:$N$69)</f>
        <v>3485.7200000000003</v>
      </c>
      <c r="C7" s="97">
        <f>SUMIF(W20_PG_2_of_3!$P$7:$P$11,A7,W20_PG_2_of_3!$M$7:$M$11)+SUMIF(W20_PG_3_of_3!$A$13:$A$69,A7,W20_PG_3_of_3!$M$13:$M$69)</f>
        <v>0</v>
      </c>
      <c r="D7" s="96"/>
    </row>
    <row r="8" spans="1:5" ht="15" customHeight="1">
      <c r="A8" s="117">
        <v>501</v>
      </c>
      <c r="B8" s="97">
        <f>SUMIF(W20_PG_2_of_3!$P$7:$P$11,A8,W20_PG_2_of_3!$N$7:$N$11)+SUMIF(W20_PG_3_of_3!$A$13:$A$69,A8,W20_PG_3_of_3!$N$13:$N$69)</f>
        <v>1674.5299999999997</v>
      </c>
      <c r="C8" s="97">
        <f>SUMIF(W20_PG_2_of_3!$P$7:$P$11,A8,W20_PG_2_of_3!$M$7:$M$11)+SUMIF(W20_PG_3_of_3!$A$13:$A$69,A8,W20_PG_3_of_3!$M$13:$M$69)</f>
        <v>0</v>
      </c>
      <c r="D8" s="96"/>
    </row>
    <row r="9" spans="1:5" ht="15" customHeight="1">
      <c r="A9" s="117">
        <v>502</v>
      </c>
      <c r="B9" s="97">
        <f>SUMIF(W20_PG_2_of_3!$P$7:$P$11,A9,W20_PG_2_of_3!$N$7:$N$11)+SUMIF(W20_PG_3_of_3!$A$13:$A$69,A9,W20_PG_3_of_3!$N$13:$N$69)</f>
        <v>729.89999999999975</v>
      </c>
      <c r="C9" s="97">
        <f>SUMIF(W20_PG_2_of_3!$P$7:$P$11,A9,W20_PG_2_of_3!$M$7:$M$11)+SUMIF(W20_PG_3_of_3!$A$13:$A$69,A9,W20_PG_3_of_3!$M$13:$M$69)</f>
        <v>0</v>
      </c>
      <c r="D9" s="96"/>
    </row>
    <row r="10" spans="1:5" ht="15" customHeight="1">
      <c r="A10" s="117">
        <v>505</v>
      </c>
      <c r="B10" s="97">
        <f>SUMIF(W20_PG_2_of_3!$P$7:$P$11,A10,W20_PG_2_of_3!$N$7:$N$11)+SUMIF(W20_PG_3_of_3!$A$13:$A$69,A10,W20_PG_3_of_3!$N$13:$N$69)</f>
        <v>12.630000000000011</v>
      </c>
      <c r="C10" s="93"/>
      <c r="D10" s="96"/>
    </row>
    <row r="11" spans="1:5" ht="15" customHeight="1">
      <c r="A11" s="117">
        <v>506</v>
      </c>
      <c r="B11" s="97">
        <f>SUMIF(W20_PG_2_of_3!$P$7:$P$11,A11,W20_PG_2_of_3!$N$7:$N$11)+SUMIF(W20_PG_3_of_3!$A$13:$A$69,A11,W20_PG_3_of_3!$N$13:$N$69)</f>
        <v>17347.489999999998</v>
      </c>
      <c r="C11" s="97">
        <f>SUMIF(W20_PG_2_of_3!$P$7:$P$11,A11,W20_PG_2_of_3!$M$7:$M$11)+SUMIF(W20_PG_3_of_3!$A$13:$A$69,A11,W20_PG_3_of_3!$M$13:$M$69)</f>
        <v>0</v>
      </c>
      <c r="D11" s="96"/>
    </row>
    <row r="12" spans="1:5" ht="15" customHeight="1">
      <c r="A12" s="117">
        <v>510</v>
      </c>
      <c r="B12" s="97">
        <f>SUMIF(W20_PG_2_of_3!$P$7:$P$11,A12,W20_PG_2_of_3!$N$7:$N$11)+SUMIF(W20_PG_3_of_3!$A$13:$A$69,A12,W20_PG_3_of_3!$N$13:$N$69)</f>
        <v>1100.8999999999996</v>
      </c>
      <c r="C12" s="97">
        <f>SUMIF(W20_PG_2_of_3!$P$7:$P$11,A12,W20_PG_2_of_3!$M$7:$M$11)+SUMIF(W20_PG_3_of_3!$A$13:$A$69,A12,W20_PG_3_of_3!$M$13:$M$69)</f>
        <v>0</v>
      </c>
      <c r="D12" s="96"/>
    </row>
    <row r="13" spans="1:5" ht="15" customHeight="1">
      <c r="A13" s="117">
        <v>511</v>
      </c>
      <c r="B13" s="97">
        <f>SUMIF(W20_PG_2_of_3!$P$7:$P$11,A13,W20_PG_2_of_3!$N$7:$N$11)+SUMIF(W20_PG_3_of_3!$A$13:$A$69,A13,W20_PG_3_of_3!$N$13:$N$69)</f>
        <v>215.72999999999996</v>
      </c>
      <c r="C13" s="97">
        <f>SUMIF(W20_PG_2_of_3!$P$7:$P$11,A13,W20_PG_2_of_3!$M$7:$M$11)+SUMIF(W20_PG_3_of_3!$A$13:$A$69,A13,W20_PG_3_of_3!$M$13:$M$69)</f>
        <v>0</v>
      </c>
      <c r="D13" s="96"/>
    </row>
    <row r="14" spans="1:5" ht="15" customHeight="1">
      <c r="A14" s="117">
        <v>512</v>
      </c>
      <c r="B14" s="97">
        <f>SUMIF(W20_PG_2_of_3!$P$7:$P$11,A14,W20_PG_2_of_3!$N$7:$N$11)+SUMIF(W20_PG_3_of_3!$A$13:$A$69,A14,W20_PG_3_of_3!$N$13:$N$69)</f>
        <v>1289.9999999999995</v>
      </c>
      <c r="C14" s="97">
        <f>SUMIF(W20_PG_2_of_3!$P$7:$P$11,A14,W20_PG_2_of_3!$M$7:$M$11)+SUMIF(W20_PG_3_of_3!$A$13:$A$69,A14,W20_PG_3_of_3!$M$13:$M$69)</f>
        <v>0</v>
      </c>
      <c r="D14" s="96"/>
    </row>
    <row r="15" spans="1:5" ht="15" customHeight="1">
      <c r="A15" s="117">
        <v>513</v>
      </c>
      <c r="B15" s="97">
        <f>SUMIF(W20_PG_2_of_3!$P$7:$P$11,A15,W20_PG_2_of_3!$N$7:$N$11)+SUMIF(W20_PG_3_of_3!$A$13:$A$69,A15,W20_PG_3_of_3!$N$13:$N$69)</f>
        <v>427.68000000000012</v>
      </c>
      <c r="C15" s="97">
        <f>SUMIF(W20_PG_2_of_3!$P$7:$P$11,A15,W20_PG_2_of_3!$M$7:$M$11)+SUMIF(W20_PG_3_of_3!$A$13:$A$69,A15,W20_PG_3_of_3!$M$13:$M$69)</f>
        <v>0</v>
      </c>
      <c r="D15" s="96"/>
    </row>
    <row r="16" spans="1:5" ht="15" customHeight="1">
      <c r="A16" s="117">
        <v>514</v>
      </c>
      <c r="B16" s="97">
        <f>SUMIF(W20_PG_2_of_3!$P$7:$P$11,A16,W20_PG_2_of_3!$N$7:$N$11)+SUMIF(W20_PG_3_of_3!$A$13:$A$69,A16,W20_PG_3_of_3!$N$13:$N$69)</f>
        <v>437.81</v>
      </c>
      <c r="C16" s="97">
        <f>SUMIF(W20_PG_2_of_3!$P$7:$P$11,A16,W20_PG_2_of_3!$M$7:$M$11)+SUMIF(W20_PG_3_of_3!$A$13:$A$69,A16,W20_PG_3_of_3!$M$13:$M$69)</f>
        <v>0</v>
      </c>
      <c r="D16" s="96"/>
    </row>
    <row r="17" spans="1:4" ht="15" customHeight="1">
      <c r="A17" s="117">
        <v>566</v>
      </c>
      <c r="B17" s="97">
        <f>SUMIF(W20_PG_2_of_3!$P$7:$P$11,A17,W20_PG_2_of_3!$N$7:$N$11)+SUMIF(W20_PG_3_of_3!$A$13:$A$69,A17,W20_PG_3_of_3!$N$13:$N$69)</f>
        <v>396.99</v>
      </c>
      <c r="C17" s="97">
        <f>SUMIF(W20_PG_2_of_3!$P$7:$P$11,A17,W20_PG_2_of_3!$M$7:$M$11)+SUMIF(W20_PG_3_of_3!$A$13:$A$69,A17,W20_PG_3_of_3!$M$13:$M$69)</f>
        <v>0</v>
      </c>
      <c r="D17" s="96"/>
    </row>
    <row r="18" spans="1:4" ht="15" customHeight="1">
      <c r="A18" s="117">
        <v>571</v>
      </c>
      <c r="B18" s="97">
        <f>SUMIF(W20_PG_2_of_3!$P$7:$P$11,A18,W20_PG_2_of_3!$N$7:$N$11)+SUMIF(W20_PG_3_of_3!$A$13:$A$69,A18,W20_PG_3_of_3!$N$13:$N$69)</f>
        <v>54.92</v>
      </c>
      <c r="C18" s="97">
        <f>SUMIF(W20_PG_2_of_3!$P$7:$P$11,A18,W20_PG_2_of_3!$M$7:$M$11)+SUMIF(W20_PG_3_of_3!$A$13:$A$69,A18,W20_PG_3_of_3!$M$13:$M$69)</f>
        <v>0</v>
      </c>
      <c r="D18" s="96"/>
    </row>
    <row r="19" spans="1:4" ht="15" customHeight="1">
      <c r="A19" s="117">
        <v>580</v>
      </c>
      <c r="B19" s="97">
        <f>SUMIF(W20_PG_2_of_3!$P$7:$P$11,A19,W20_PG_2_of_3!$N$7:$N$11)+SUMIF(W20_PG_3_of_3!$A$13:$A$69,A19,W20_PG_3_of_3!$N$13:$N$69)</f>
        <v>1291.76</v>
      </c>
      <c r="C19" s="97">
        <f>SUMIF(W20_PG_2_of_3!$P$7:$P$11,A19,W20_PG_2_of_3!$M$7:$M$11)+SUMIF(W20_PG_3_of_3!$A$13:$A$69,A19,W20_PG_3_of_3!$M$13:$M$69)</f>
        <v>0</v>
      </c>
      <c r="D19" s="96"/>
    </row>
    <row r="20" spans="1:4" ht="15" customHeight="1">
      <c r="A20" s="117">
        <v>583</v>
      </c>
      <c r="B20" s="97">
        <f>SUMIF(W20_PG_2_of_3!$P$7:$P$11,A20,W20_PG_2_of_3!$N$7:$N$11)+SUMIF(W20_PG_3_of_3!$A$13:$A$69,A20,W20_PG_3_of_3!$N$13:$N$69)</f>
        <v>8958.42</v>
      </c>
      <c r="C20" s="97">
        <f>SUMIF(W20_PG_2_of_3!$P$7:$P$11,A20,W20_PG_2_of_3!$M$7:$M$11)+SUMIF(W20_PG_3_of_3!$A$13:$A$69,A20,W20_PG_3_of_3!$M$13:$M$69)</f>
        <v>0</v>
      </c>
      <c r="D20" s="96"/>
    </row>
    <row r="21" spans="1:4" ht="15" customHeight="1">
      <c r="A21" s="117">
        <v>584</v>
      </c>
      <c r="B21" s="97">
        <f>SUMIF(W20_PG_2_of_3!$P$7:$P$11,A21,W20_PG_2_of_3!$N$7:$N$11)+SUMIF(W20_PG_3_of_3!$A$13:$A$69,A21,W20_PG_3_of_3!$N$13:$N$69)</f>
        <v>54.62</v>
      </c>
      <c r="C21" s="97">
        <f>SUMIF(W20_PG_2_of_3!$P$7:$P$11,A21,W20_PG_2_of_3!$M$7:$M$11)+SUMIF(W20_PG_3_of_3!$A$13:$A$69,A21,W20_PG_3_of_3!$M$13:$M$69)</f>
        <v>0</v>
      </c>
      <c r="D21" s="96"/>
    </row>
    <row r="22" spans="1:4" ht="15" customHeight="1">
      <c r="A22" s="117">
        <v>585</v>
      </c>
      <c r="B22" s="97">
        <f>SUMIF(W20_PG_2_of_3!$P$7:$P$11,A22,W20_PG_2_of_3!$N$7:$N$11)+SUMIF(W20_PG_3_of_3!$A$13:$A$69,A22,W20_PG_3_of_3!$N$13:$N$69)</f>
        <v>79.95</v>
      </c>
      <c r="C22" s="97">
        <f>SUMIF(W20_PG_2_of_3!$P$7:$P$11,A22,W20_PG_2_of_3!$M$7:$M$11)+SUMIF(W20_PG_3_of_3!$A$13:$A$69,A22,W20_PG_3_of_3!$M$13:$M$69)</f>
        <v>0</v>
      </c>
      <c r="D22" s="96"/>
    </row>
    <row r="23" spans="1:4" ht="15" customHeight="1">
      <c r="A23" s="117">
        <v>586</v>
      </c>
      <c r="B23" s="97">
        <f>SUMIF(W20_PG_2_of_3!$P$7:$P$11,A23,W20_PG_2_of_3!$N$7:$N$11)+SUMIF(W20_PG_3_of_3!$A$13:$A$69,A23,W20_PG_3_of_3!$N$13:$N$69)</f>
        <v>25869.55</v>
      </c>
      <c r="C23" s="97">
        <f>SUMIF(W20_PG_2_of_3!$P$7:$P$11,A23,W20_PG_2_of_3!$M$7:$M$11)+SUMIF(W20_PG_3_of_3!$A$13:$A$69,A23,W20_PG_3_of_3!$M$13:$M$69)</f>
        <v>0</v>
      </c>
      <c r="D23" s="96"/>
    </row>
    <row r="24" spans="1:4" ht="15" customHeight="1">
      <c r="A24" s="117">
        <v>587</v>
      </c>
      <c r="B24" s="97">
        <f>W20_PG_3_of_3!N46</f>
        <v>1810.3999999999999</v>
      </c>
      <c r="C24" s="97">
        <f>SUMIF(W20_PG_2_of_3!$P$7:$P$11,A24,W20_PG_2_of_3!$M$7:$M$11)+SUMIF(W20_PG_3_of_3!$A$13:$A$69,A24,W20_PG_3_of_3!$M$13:$M$69)</f>
        <v>0</v>
      </c>
      <c r="D24" s="96"/>
    </row>
    <row r="25" spans="1:4" ht="15" customHeight="1">
      <c r="A25" s="117">
        <v>588</v>
      </c>
      <c r="B25" s="97">
        <f>SUMIF(W20_PG_2_of_3!$P$7:$P$11,A25,W20_PG_2_of_3!$N$7:$N$11)+SUMIF(W20_PG_3_of_3!$A$13:$A$69,A25,W20_PG_3_of_3!$N$13:$N$69)</f>
        <v>32658.629999999997</v>
      </c>
      <c r="C25" s="97">
        <f>SUMIF(W20_PG_2_of_3!$P$7:$P$11,A25,W20_PG_2_of_3!$M$7:$M$11)+SUMIF(W20_PG_3_of_3!$A$13:$A$69,A25,W20_PG_3_of_3!$M$13:$M$69)</f>
        <v>0</v>
      </c>
      <c r="D25" s="96"/>
    </row>
    <row r="26" spans="1:4" ht="15" customHeight="1">
      <c r="A26" s="117">
        <v>590</v>
      </c>
      <c r="B26" s="97">
        <f>SUMIF(W20_PG_2_of_3!$P$7:$P$11,A26,W20_PG_2_of_3!$N$7:$N$11)+SUMIF(W20_PG_3_of_3!$A$13:$A$69,A26,W20_PG_3_of_3!$N$13:$N$69)</f>
        <v>-11.79</v>
      </c>
      <c r="C26" s="97">
        <f>SUMIF(W20_PG_2_of_3!$P$7:$P$11,A26,W20_PG_2_of_3!$M$7:$M$11)+SUMIF(W20_PG_3_of_3!$A$13:$A$69,A26,W20_PG_3_of_3!$M$13:$M$69)</f>
        <v>0</v>
      </c>
      <c r="D26" s="96"/>
    </row>
    <row r="27" spans="1:4" ht="15" customHeight="1">
      <c r="A27" s="117">
        <v>593</v>
      </c>
      <c r="B27" s="97">
        <f>SUMIF(W20_PG_2_of_3!$P$7:$P$11,A27,W20_PG_2_of_3!$N$7:$N$11)+SUMIF(W20_PG_3_of_3!$A$13:$A$69,A27,W20_PG_3_of_3!$N$13:$N$69)</f>
        <v>102662.61999999998</v>
      </c>
      <c r="C27" s="97">
        <f>SUMIF(W20_PG_2_of_3!$P$7:$P$11,A27,W20_PG_2_of_3!$M$7:$M$11)+SUMIF(W20_PG_3_of_3!$A$13:$A$69,A27,W20_PG_3_of_3!$M$13:$M$69)</f>
        <v>0</v>
      </c>
      <c r="D27" s="96"/>
    </row>
    <row r="28" spans="1:4" ht="15" customHeight="1">
      <c r="A28" s="117">
        <v>594</v>
      </c>
      <c r="B28" s="97">
        <f>SUMIF(W20_PG_2_of_3!$P$7:$P$11,A28,W20_PG_2_of_3!$N$7:$N$11)+SUMIF(W20_PG_3_of_3!$A$13:$A$69,A28,W20_PG_3_of_3!$N$13:$N$69)</f>
        <v>462.33</v>
      </c>
      <c r="C28" s="97">
        <f>SUMIF(W20_PG_2_of_3!$P$7:$P$11,A28,W20_PG_2_of_3!$M$7:$M$11)+SUMIF(W20_PG_3_of_3!$A$13:$A$69,A28,W20_PG_3_of_3!$M$13:$M$69)</f>
        <v>0</v>
      </c>
      <c r="D28" s="96"/>
    </row>
    <row r="29" spans="1:4" ht="15" customHeight="1">
      <c r="A29" s="117">
        <v>595</v>
      </c>
      <c r="B29" s="97">
        <f>SUMIF(W20_PG_2_of_3!$P$7:$P$11,A29,W20_PG_2_of_3!$N$7:$N$11)+SUMIF(W20_PG_3_of_3!$A$13:$A$69,A29,W20_PG_3_of_3!$N$13:$N$69)</f>
        <v>-186.06</v>
      </c>
      <c r="C29" s="97">
        <f>SUMIF(W20_PG_2_of_3!$P$7:$P$11,A29,W20_PG_2_of_3!$M$7:$M$11)+SUMIF(W20_PG_3_of_3!$A$13:$A$69,A29,W20_PG_3_of_3!$M$13:$M$69)</f>
        <v>0</v>
      </c>
      <c r="D29" s="96"/>
    </row>
    <row r="30" spans="1:4" ht="15" customHeight="1">
      <c r="A30" s="117">
        <v>596</v>
      </c>
      <c r="B30" s="97">
        <f>SUMIF(W20_PG_2_of_3!$P$7:$P$11,A30,W20_PG_2_of_3!$N$7:$N$11)+SUMIF(W20_PG_3_of_3!$A$13:$A$69,A30,W20_PG_3_of_3!$N$13:$N$69)</f>
        <v>386.94000000000005</v>
      </c>
      <c r="C30" s="97">
        <f>SUMIF(W20_PG_2_of_3!$P$7:$P$11,A30,W20_PG_2_of_3!$M$7:$M$11)+SUMIF(W20_PG_3_of_3!$A$13:$A$69,A30,W20_PG_3_of_3!$M$13:$M$69)</f>
        <v>0</v>
      </c>
      <c r="D30" s="96"/>
    </row>
    <row r="31" spans="1:4" ht="15" customHeight="1">
      <c r="A31" s="117">
        <v>597</v>
      </c>
      <c r="B31" s="97">
        <f>SUMIF(W20_PG_2_of_3!$P$7:$P$11,A31,W20_PG_2_of_3!$N$7:$N$11)+SUMIF(W20_PG_3_of_3!$A$13:$A$69,A31,W20_PG_3_of_3!$N$13:$N$69)</f>
        <v>397.67</v>
      </c>
      <c r="C31" s="97">
        <f>SUMIF(W20_PG_2_of_3!$P$7:$P$11,A31,W20_PG_2_of_3!$M$7:$M$11)+SUMIF(W20_PG_3_of_3!$A$13:$A$69,A31,W20_PG_3_of_3!$M$13:$M$69)</f>
        <v>0</v>
      </c>
      <c r="D31" s="96"/>
    </row>
    <row r="32" spans="1:4" ht="15" customHeight="1">
      <c r="A32" s="117">
        <v>598</v>
      </c>
      <c r="B32" s="97">
        <f>SUMIF(W20_PG_2_of_3!$P$7:$P$11,A32,W20_PG_2_of_3!$N$7:$N$11)+SUMIF(W20_PG_3_of_3!$A$13:$A$69,A32,W20_PG_3_of_3!$N$13:$N$69)</f>
        <v>341.72</v>
      </c>
      <c r="C32" s="97">
        <f>SUMIF(W20_PG_2_of_3!$P$7:$P$11,A32,W20_PG_2_of_3!$M$7:$M$11)+SUMIF(W20_PG_3_of_3!$A$13:$A$69,A32,W20_PG_3_of_3!$M$13:$M$69)</f>
        <v>0</v>
      </c>
      <c r="D32" s="96"/>
    </row>
    <row r="33" spans="1:4" ht="15" customHeight="1">
      <c r="A33" s="117">
        <v>902</v>
      </c>
      <c r="B33" s="97">
        <f>SUMIF(W20_PG_2_of_3!$P$7:$P$11,A33,W20_PG_2_of_3!$N$7:$N$11)+SUMIF(W20_PG_3_of_3!$A$13:$A$69,A33,W20_PG_3_of_3!$N$13:$N$69)</f>
        <v>5925.7</v>
      </c>
      <c r="C33" s="97">
        <f>SUMIF(W20_PG_2_of_3!$P$7:$P$11,A33,W20_PG_2_of_3!$M$7:$M$11)+SUMIF(W20_PG_3_of_3!$A$13:$A$69,A33,W20_PG_3_of_3!$M$13:$M$69)</f>
        <v>0</v>
      </c>
      <c r="D33" s="96"/>
    </row>
    <row r="34" spans="1:4" ht="15" customHeight="1">
      <c r="A34" s="117">
        <v>903</v>
      </c>
      <c r="B34" s="97">
        <f>SUMIF(W20_PG_2_of_3!$P$7:$P$11,A34,W20_PG_2_of_3!$N$7:$N$11)+SUMIF(W20_PG_3_of_3!$A$13:$A$69,A34,W20_PG_3_of_3!$N$13:$N$69)</f>
        <v>15884.689999999997</v>
      </c>
      <c r="C34" s="97">
        <f>SUMIF(W20_PG_2_of_3!$P$7:$P$11,A34,W20_PG_2_of_3!$M$7:$M$11)+SUMIF(W20_PG_3_of_3!$A$13:$A$69,A34,W20_PG_3_of_3!$M$13:$M$69)</f>
        <v>0</v>
      </c>
      <c r="D34" s="96"/>
    </row>
    <row r="35" spans="1:4" ht="15" customHeight="1">
      <c r="A35" s="117">
        <v>908</v>
      </c>
      <c r="B35" s="97">
        <f>SUMIF(W20_PG_2_of_3!$P$7:$P$11,A35,W20_PG_2_of_3!$N$7:$N$11)+SUMIF(W20_PG_3_of_3!$A$13:$A$69,A35,W20_PG_3_of_3!$N$13:$N$69)</f>
        <v>333.07000000000005</v>
      </c>
      <c r="C35" s="97">
        <f>SUMIF(W20_PG_2_of_3!$P$7:$P$11,A35,W20_PG_2_of_3!$M$7:$M$11)+SUMIF(W20_PG_3_of_3!$A$13:$A$69,A35,W20_PG_3_of_3!$M$13:$M$69)</f>
        <v>0</v>
      </c>
      <c r="D35" s="96"/>
    </row>
    <row r="36" spans="1:4" ht="15" customHeight="1">
      <c r="A36" s="117">
        <v>920</v>
      </c>
      <c r="B36" s="97">
        <f>SUMIF(W20_PG_2_of_3!$P$7:$P$11,A36,W20_PG_2_of_3!$N$7:$N$11)+SUMIF(W20_PG_3_of_3!$A$13:$A$69,A36,W20_PG_3_of_3!$N$13:$N$69)</f>
        <v>37.39</v>
      </c>
      <c r="C36" s="97">
        <f>SUMIF(W20_PG_2_of_3!$P$7:$P$11,A36,W20_PG_2_of_3!$M$7:$M$11)+SUMIF(W20_PG_3_of_3!$A$13:$A$69,A36,W20_PG_3_of_3!$M$13:$M$69)</f>
        <v>0</v>
      </c>
      <c r="D36" s="96"/>
    </row>
    <row r="37" spans="1:4" ht="15" customHeight="1">
      <c r="A37" s="117">
        <v>921</v>
      </c>
      <c r="B37" s="97">
        <f>SUMIF(W20_PG_2_of_3!$P$7:$P$11,A37,W20_PG_2_of_3!$N$7:$N$11)+SUMIF(W20_PG_3_of_3!$A$13:$A$69,A37,W20_PG_3_of_3!$N$13:$N$69)</f>
        <v>2877.1900000000005</v>
      </c>
      <c r="C37" s="97">
        <f>SUMIF(W20_PG_2_of_3!$P$7:$P$11,A37,W20_PG_2_of_3!$M$7:$M$11)+SUMIF(W20_PG_3_of_3!$A$13:$A$69,A37,W20_PG_3_of_3!$M$13:$M$69)</f>
        <v>0</v>
      </c>
      <c r="D37" s="96"/>
    </row>
    <row r="38" spans="1:4" ht="15" customHeight="1">
      <c r="A38" s="117">
        <v>928</v>
      </c>
      <c r="B38" s="97">
        <f>SUMIF(W20_PG_2_of_3!$P$7:$P$11,A38,W20_PG_2_of_3!$N$7:$N$11)+SUMIF(W20_PG_3_of_3!$A$13:$A$69,A38,W20_PG_3_of_3!$N$13:$N$69)</f>
        <v>4.45</v>
      </c>
      <c r="C38" s="97">
        <f>SUMIF(W20_PG_2_of_3!$P$7:$P$11,A38,W20_PG_2_of_3!$M$7:$M$11)+SUMIF(W20_PG_3_of_3!$A$13:$A$69,A38,W20_PG_3_of_3!$M$13:$M$69)</f>
        <v>0</v>
      </c>
      <c r="D38" s="96"/>
    </row>
    <row r="39" spans="1:4" ht="15" customHeight="1">
      <c r="A39" s="117">
        <v>930</v>
      </c>
      <c r="B39" s="97">
        <f>SUMIF(W20_PG_2_of_3!$P$7:$P$11,A39,W20_PG_2_of_3!$N$7:$N$11)+SUMIF(W20_PG_3_of_3!$A$13:$A$69,A39,W20_PG_3_of_3!$N$13:$N$69)</f>
        <v>27.700000000000003</v>
      </c>
      <c r="C39" s="97">
        <f>SUMIF(W20_PG_2_of_3!$P$7:$P$11,A39,W20_PG_2_of_3!$M$7:$M$11)+SUMIF(W20_PG_3_of_3!$A$13:$A$69,A39,W20_PG_3_of_3!$M$13:$M$69)</f>
        <v>0</v>
      </c>
      <c r="D39" s="96"/>
    </row>
    <row r="40" spans="1:4" ht="15" customHeight="1">
      <c r="A40" s="117">
        <v>931</v>
      </c>
      <c r="B40" s="97">
        <f>SUMIF(W20_PG_2_of_3!$P$7:$P$11,A40,W20_PG_2_of_3!$N$7:$N$11)+SUMIF(W20_PG_3_of_3!$A$13:$A$69,A40,W20_PG_3_of_3!$N$13:$N$69)</f>
        <v>132068.94</v>
      </c>
      <c r="C40" s="97">
        <f>SUMIF(W20_PG_2_of_3!$P$7:$P$11,A40,W20_PG_2_of_3!$M$7:$M$11)+SUMIF(W20_PG_3_of_3!$A$13:$A$69,A40,W20_PG_3_of_3!$M$13:$M$69)</f>
        <v>0</v>
      </c>
      <c r="D40" s="118"/>
    </row>
    <row r="41" spans="1:4" ht="15" customHeight="1">
      <c r="A41" s="117">
        <v>935</v>
      </c>
      <c r="B41" s="97">
        <f>SUMIF(W20_PG_2_of_3!$P$7:$P$11,A41,W20_PG_2_of_3!$N$7:$N$11)+SUMIF(W20_PG_3_of_3!$A$13:$A$69,A41,W20_PG_3_of_3!$N$13:$N$69)</f>
        <v>84648.099999999977</v>
      </c>
      <c r="C41" s="97">
        <f>SUMIF(W20_PG_2_of_3!$P$7:$P$11,A41,W20_PG_2_of_3!$M$7:$M$11)+SUMIF(W20_PG_3_of_3!$A$13:$A$69,A41,W20_PG_3_of_3!$M$13:$M$69)</f>
        <v>2824.78</v>
      </c>
      <c r="D41" s="96"/>
    </row>
    <row r="42" spans="1:4" ht="15" customHeight="1">
      <c r="A42" s="58"/>
      <c r="B42" s="48"/>
      <c r="C42" s="48"/>
    </row>
    <row r="43" spans="1:4" ht="15" customHeight="1" thickBot="1">
      <c r="B43" s="112">
        <f>SUM(B7:B42)</f>
        <v>443758.29000000004</v>
      </c>
      <c r="C43" s="112">
        <f>SUM(C7:C42)</f>
        <v>2824.78</v>
      </c>
    </row>
    <row r="44" spans="1:4" ht="15" customHeight="1" thickTop="1">
      <c r="B44" s="63"/>
      <c r="C44" s="63"/>
    </row>
    <row r="45" spans="1:4" ht="15" customHeight="1">
      <c r="B45" s="116" t="s">
        <v>376</v>
      </c>
    </row>
    <row r="46" spans="1:4" ht="15" customHeight="1">
      <c r="A46" s="114" t="s">
        <v>375</v>
      </c>
      <c r="B46" s="115">
        <f>W20_PG_2_of_3!N12</f>
        <v>234717.26999999996</v>
      </c>
    </row>
    <row r="47" spans="1:4" ht="15" customHeight="1">
      <c r="A47" s="114" t="s">
        <v>374</v>
      </c>
      <c r="B47" s="113">
        <f>W20_PG_3_of_3!N74</f>
        <v>209041.02000000002</v>
      </c>
    </row>
    <row r="48" spans="1:4" ht="15" customHeight="1" thickBot="1">
      <c r="A48" s="40" t="s">
        <v>373</v>
      </c>
      <c r="B48" s="112">
        <f>B46+B47</f>
        <v>443758.29</v>
      </c>
      <c r="D48" s="62">
        <f>B43-B48</f>
        <v>0</v>
      </c>
    </row>
    <row r="49" spans="1:4" ht="15" customHeight="1" thickTop="1">
      <c r="B49" s="63"/>
    </row>
    <row r="50" spans="1:4" ht="15" customHeight="1">
      <c r="A50" s="44" t="s">
        <v>2</v>
      </c>
      <c r="B50" s="711" t="s">
        <v>3</v>
      </c>
      <c r="C50" s="709"/>
      <c r="D50" s="709"/>
    </row>
  </sheetData>
  <mergeCells count="5">
    <mergeCell ref="A1:E1"/>
    <mergeCell ref="A2:E2"/>
    <mergeCell ref="A3:E3"/>
    <mergeCell ref="A4:E4"/>
    <mergeCell ref="B50:D5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3773E-9D9D-42C7-B08C-0B0B3AA085C1}">
  <dimension ref="A1:S17"/>
  <sheetViews>
    <sheetView showRuler="0" workbookViewId="0">
      <selection sqref="A1:E1"/>
    </sheetView>
  </sheetViews>
  <sheetFormatPr defaultColWidth="13.7265625" defaultRowHeight="12.5"/>
  <cols>
    <col min="1" max="1" width="15.1796875" style="41" customWidth="1"/>
    <col min="2" max="14" width="12" style="41" customWidth="1"/>
    <col min="15" max="15" width="3.1796875" style="41" customWidth="1"/>
    <col min="16" max="16" width="14.1796875" style="41" customWidth="1"/>
    <col min="17" max="16384" width="13.7265625" style="41"/>
  </cols>
  <sheetData>
    <row r="1" spans="1:19" ht="15" customHeight="1">
      <c r="A1" s="711" t="s">
        <v>0</v>
      </c>
      <c r="B1" s="709"/>
      <c r="C1" s="709"/>
      <c r="D1" s="709"/>
      <c r="E1" s="709"/>
    </row>
    <row r="2" spans="1:19" ht="15" customHeight="1">
      <c r="A2" s="711" t="s">
        <v>380</v>
      </c>
      <c r="B2" s="709"/>
      <c r="C2" s="709"/>
      <c r="D2" s="709"/>
      <c r="E2" s="709"/>
    </row>
    <row r="3" spans="1:19" ht="15" customHeight="1">
      <c r="A3" s="711" t="s">
        <v>381</v>
      </c>
      <c r="B3" s="709"/>
      <c r="C3" s="709"/>
      <c r="D3" s="709"/>
      <c r="E3" s="709"/>
      <c r="H3" s="54"/>
      <c r="I3" s="54"/>
      <c r="J3" s="54"/>
      <c r="K3" s="54"/>
      <c r="L3" s="54"/>
      <c r="M3" s="54"/>
      <c r="N3" s="54"/>
      <c r="O3" s="54"/>
      <c r="P3" s="54"/>
      <c r="Q3" s="54"/>
      <c r="R3" s="54"/>
      <c r="S3" s="54"/>
    </row>
    <row r="4" spans="1:19" ht="15" customHeight="1">
      <c r="A4" s="711" t="s">
        <v>119</v>
      </c>
      <c r="B4" s="709"/>
      <c r="C4" s="709"/>
      <c r="D4" s="709"/>
      <c r="E4" s="709"/>
    </row>
    <row r="5" spans="1:19" ht="15" customHeight="1"/>
    <row r="6" spans="1:19" ht="15" customHeight="1">
      <c r="A6" s="122" t="s">
        <v>227</v>
      </c>
      <c r="B6" s="122" t="s">
        <v>201</v>
      </c>
      <c r="C6" s="122" t="s">
        <v>200</v>
      </c>
      <c r="D6" s="123" t="s">
        <v>199</v>
      </c>
      <c r="E6" s="122" t="s">
        <v>198</v>
      </c>
      <c r="F6" s="122" t="s">
        <v>197</v>
      </c>
      <c r="G6" s="122" t="s">
        <v>196</v>
      </c>
      <c r="H6" s="122" t="s">
        <v>195</v>
      </c>
      <c r="I6" s="122" t="s">
        <v>194</v>
      </c>
      <c r="J6" s="122" t="s">
        <v>193</v>
      </c>
      <c r="K6" s="122" t="s">
        <v>192</v>
      </c>
      <c r="L6" s="122" t="s">
        <v>191</v>
      </c>
      <c r="M6" s="122" t="s">
        <v>190</v>
      </c>
      <c r="N6" s="122" t="s">
        <v>172</v>
      </c>
      <c r="O6" s="59"/>
      <c r="P6" s="54" t="s">
        <v>187</v>
      </c>
    </row>
    <row r="7" spans="1:19" ht="15" customHeight="1">
      <c r="A7" s="70">
        <v>5060000</v>
      </c>
      <c r="B7" s="56">
        <v>3287.28</v>
      </c>
      <c r="C7" s="56">
        <v>3287.28</v>
      </c>
      <c r="D7" s="56">
        <v>3287.28</v>
      </c>
      <c r="E7" s="56">
        <v>2575.8200000000002</v>
      </c>
      <c r="F7" s="56">
        <v>2575.8200000000002</v>
      </c>
      <c r="G7" s="58"/>
      <c r="H7" s="58"/>
      <c r="I7" s="58"/>
      <c r="J7" s="58"/>
      <c r="K7" s="58"/>
      <c r="L7" s="58"/>
      <c r="M7" s="58"/>
      <c r="N7" s="56">
        <f>SUM(B7:M7)</f>
        <v>15013.48</v>
      </c>
      <c r="P7" s="74" t="str">
        <f>LEFT(A7,3)</f>
        <v>506</v>
      </c>
    </row>
    <row r="8" spans="1:19" ht="15" customHeight="1">
      <c r="A8" s="61">
        <v>5660000</v>
      </c>
      <c r="B8" s="52">
        <v>132.33000000000001</v>
      </c>
      <c r="C8" s="52">
        <v>132.33000000000001</v>
      </c>
      <c r="D8" s="52">
        <v>132.33000000000001</v>
      </c>
      <c r="E8" s="54"/>
      <c r="F8" s="54"/>
      <c r="G8" s="54"/>
      <c r="H8" s="54"/>
      <c r="I8" s="54"/>
      <c r="J8" s="54"/>
      <c r="K8" s="54"/>
      <c r="L8" s="54"/>
      <c r="M8" s="54"/>
      <c r="N8" s="52">
        <f>SUM(B8:M8)</f>
        <v>396.99</v>
      </c>
      <c r="P8" s="74" t="str">
        <f>LEFT(A8,3)</f>
        <v>566</v>
      </c>
    </row>
    <row r="9" spans="1:19" ht="15" customHeight="1">
      <c r="A9" s="61">
        <v>5880000</v>
      </c>
      <c r="B9" s="52">
        <v>4180.59</v>
      </c>
      <c r="C9" s="52">
        <v>4179.9799999999996</v>
      </c>
      <c r="D9" s="52">
        <v>4127.45</v>
      </c>
      <c r="E9" s="54"/>
      <c r="F9" s="54"/>
      <c r="G9" s="54"/>
      <c r="H9" s="54"/>
      <c r="I9" s="54"/>
      <c r="J9" s="54"/>
      <c r="K9" s="54"/>
      <c r="L9" s="54"/>
      <c r="M9" s="54"/>
      <c r="N9" s="52">
        <f>SUM(B9:M9)</f>
        <v>12488.02</v>
      </c>
      <c r="P9" s="74" t="str">
        <f>LEFT(A9,3)</f>
        <v>588</v>
      </c>
    </row>
    <row r="10" spans="1:19" ht="15" customHeight="1">
      <c r="A10" s="61">
        <v>9310002</v>
      </c>
      <c r="B10" s="52">
        <v>13551.14</v>
      </c>
      <c r="C10" s="52">
        <v>13367.23</v>
      </c>
      <c r="D10" s="52">
        <v>13286.16</v>
      </c>
      <c r="E10" s="52">
        <v>5162.49</v>
      </c>
      <c r="F10" s="52">
        <v>5162.3500000000004</v>
      </c>
      <c r="G10" s="52">
        <v>81539.570000000007</v>
      </c>
      <c r="H10" s="54"/>
      <c r="I10" s="54"/>
      <c r="J10" s="54"/>
      <c r="K10" s="54"/>
      <c r="L10" s="54"/>
      <c r="M10" s="54"/>
      <c r="N10" s="52">
        <f>SUM(B10:M10)</f>
        <v>132068.94</v>
      </c>
      <c r="P10" s="74" t="str">
        <f>LEFT(A10,3)</f>
        <v>931</v>
      </c>
    </row>
    <row r="11" spans="1:19" ht="15" customHeight="1">
      <c r="A11" s="61">
        <v>9350013</v>
      </c>
      <c r="B11" s="89">
        <v>8666.7099999999991</v>
      </c>
      <c r="C11" s="89">
        <v>8666.77</v>
      </c>
      <c r="D11" s="89">
        <v>16334.75</v>
      </c>
      <c r="E11" s="89">
        <v>18483.37</v>
      </c>
      <c r="F11" s="69">
        <v>2824.78</v>
      </c>
      <c r="G11" s="69">
        <v>2824.78</v>
      </c>
      <c r="H11" s="69">
        <v>2824.78</v>
      </c>
      <c r="I11" s="69">
        <v>2824.78</v>
      </c>
      <c r="J11" s="69">
        <v>2824.78</v>
      </c>
      <c r="K11" s="69">
        <v>2824.78</v>
      </c>
      <c r="L11" s="69">
        <v>2824.78</v>
      </c>
      <c r="M11" s="69">
        <v>2824.78</v>
      </c>
      <c r="N11" s="89">
        <f>SUM(B11:M11)</f>
        <v>74749.839999999982</v>
      </c>
      <c r="P11" s="74" t="str">
        <f>LEFT(A11,3)</f>
        <v>935</v>
      </c>
    </row>
    <row r="12" spans="1:19" ht="15" customHeight="1" thickBot="1">
      <c r="A12" s="40" t="s">
        <v>172</v>
      </c>
      <c r="B12" s="121">
        <f t="shared" ref="B12:N12" si="0">SUM(B7:B11)</f>
        <v>29818.05</v>
      </c>
      <c r="C12" s="121">
        <f t="shared" si="0"/>
        <v>29633.59</v>
      </c>
      <c r="D12" s="121">
        <f t="shared" si="0"/>
        <v>37167.97</v>
      </c>
      <c r="E12" s="121">
        <f t="shared" si="0"/>
        <v>26221.68</v>
      </c>
      <c r="F12" s="121">
        <f t="shared" si="0"/>
        <v>10562.95</v>
      </c>
      <c r="G12" s="121">
        <f t="shared" si="0"/>
        <v>84364.35</v>
      </c>
      <c r="H12" s="121">
        <f t="shared" si="0"/>
        <v>2824.78</v>
      </c>
      <c r="I12" s="121">
        <f t="shared" si="0"/>
        <v>2824.78</v>
      </c>
      <c r="J12" s="121">
        <f t="shared" si="0"/>
        <v>2824.78</v>
      </c>
      <c r="K12" s="121">
        <f t="shared" si="0"/>
        <v>2824.78</v>
      </c>
      <c r="L12" s="121">
        <f t="shared" si="0"/>
        <v>2824.78</v>
      </c>
      <c r="M12" s="121">
        <f t="shared" si="0"/>
        <v>2824.78</v>
      </c>
      <c r="N12" s="121">
        <f t="shared" si="0"/>
        <v>234717.26999999996</v>
      </c>
    </row>
    <row r="13" spans="1:19" ht="15" customHeight="1" thickTop="1">
      <c r="B13" s="63"/>
      <c r="C13" s="63"/>
      <c r="D13" s="63"/>
      <c r="E13" s="63"/>
      <c r="F13" s="63"/>
      <c r="G13" s="63"/>
      <c r="H13" s="63"/>
      <c r="I13" s="63"/>
      <c r="J13" s="63"/>
      <c r="K13" s="63"/>
      <c r="L13" s="63"/>
      <c r="M13" s="63"/>
      <c r="N13" s="63"/>
    </row>
    <row r="14" spans="1:19" ht="15" customHeight="1">
      <c r="A14" s="54"/>
      <c r="B14" s="54"/>
    </row>
    <row r="15" spans="1:19" ht="15" customHeight="1"/>
    <row r="16" spans="1:19" ht="15" customHeight="1">
      <c r="A16" s="44" t="s">
        <v>2</v>
      </c>
      <c r="B16" s="711" t="s">
        <v>3</v>
      </c>
      <c r="C16" s="709"/>
      <c r="D16" s="709"/>
    </row>
    <row r="17" s="41" customFormat="1" ht="15" customHeight="1"/>
  </sheetData>
  <mergeCells count="5">
    <mergeCell ref="A1:E1"/>
    <mergeCell ref="A2:E2"/>
    <mergeCell ref="A3:E3"/>
    <mergeCell ref="A4:E4"/>
    <mergeCell ref="B16:D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4108A-8605-409B-AA2F-0E602BB2BFFC}">
  <dimension ref="A1:O78"/>
  <sheetViews>
    <sheetView showRuler="0" topLeftCell="F1" workbookViewId="0">
      <selection sqref="A1:E1"/>
    </sheetView>
  </sheetViews>
  <sheetFormatPr defaultColWidth="13.7265625" defaultRowHeight="12.5"/>
  <cols>
    <col min="1" max="1" width="19.81640625" style="41" customWidth="1"/>
    <col min="2" max="2" width="18.54296875" style="41" customWidth="1"/>
    <col min="3" max="3" width="13.7265625" style="41"/>
    <col min="4" max="5" width="13.7265625" style="41" customWidth="1"/>
    <col min="6" max="7" width="13.7265625" style="41"/>
    <col min="8" max="9" width="13.7265625" style="41" customWidth="1"/>
    <col min="10" max="10" width="14.81640625" style="41" customWidth="1"/>
    <col min="11" max="13" width="13.7265625" style="41" customWidth="1"/>
    <col min="14" max="14" width="16" style="41" customWidth="1"/>
    <col min="15" max="16384" width="13.7265625" style="41"/>
  </cols>
  <sheetData>
    <row r="1" spans="1:15" ht="15" customHeight="1">
      <c r="A1" s="737" t="s">
        <v>0</v>
      </c>
      <c r="B1" s="709"/>
      <c r="C1" s="709"/>
      <c r="D1" s="709"/>
      <c r="E1" s="709"/>
    </row>
    <row r="2" spans="1:15" ht="15" customHeight="1">
      <c r="A2" s="737" t="s">
        <v>380</v>
      </c>
      <c r="B2" s="709"/>
      <c r="C2" s="709"/>
      <c r="D2" s="709"/>
      <c r="E2" s="709"/>
    </row>
    <row r="3" spans="1:15" ht="15" customHeight="1">
      <c r="A3" s="737" t="s">
        <v>385</v>
      </c>
      <c r="B3" s="709"/>
      <c r="C3" s="709"/>
      <c r="D3" s="709"/>
      <c r="E3" s="709"/>
    </row>
    <row r="4" spans="1:15" ht="15" customHeight="1">
      <c r="A4" s="737" t="s">
        <v>119</v>
      </c>
      <c r="B4" s="709"/>
      <c r="C4" s="709"/>
      <c r="D4" s="709"/>
      <c r="E4" s="709"/>
    </row>
    <row r="5" spans="1:15" ht="15" customHeight="1"/>
    <row r="6" spans="1:15" ht="15" customHeight="1">
      <c r="B6" s="67" t="s">
        <v>201</v>
      </c>
      <c r="C6" s="120" t="s">
        <v>200</v>
      </c>
      <c r="D6" s="120" t="s">
        <v>199</v>
      </c>
      <c r="E6" s="120" t="s">
        <v>198</v>
      </c>
      <c r="F6" s="120" t="s">
        <v>197</v>
      </c>
      <c r="G6" s="120" t="s">
        <v>196</v>
      </c>
      <c r="H6" s="120" t="s">
        <v>195</v>
      </c>
      <c r="I6" s="120" t="s">
        <v>194</v>
      </c>
      <c r="J6" s="120" t="s">
        <v>193</v>
      </c>
      <c r="K6" s="120" t="s">
        <v>192</v>
      </c>
      <c r="L6" s="120" t="s">
        <v>191</v>
      </c>
      <c r="M6" s="120" t="s">
        <v>190</v>
      </c>
      <c r="N6" s="120" t="s">
        <v>158</v>
      </c>
      <c r="O6" s="59"/>
    </row>
    <row r="7" spans="1:15" ht="15" customHeight="1">
      <c r="A7" s="126" t="s">
        <v>384</v>
      </c>
      <c r="B7" s="92">
        <v>-247891.07</v>
      </c>
      <c r="C7" s="92">
        <v>-225590.44</v>
      </c>
      <c r="D7" s="92">
        <v>-222141.63</v>
      </c>
      <c r="E7" s="92">
        <v>147885.43</v>
      </c>
      <c r="F7" s="92">
        <v>-11589.96</v>
      </c>
      <c r="G7" s="93"/>
      <c r="H7" s="93"/>
      <c r="I7" s="93"/>
      <c r="J7" s="93"/>
      <c r="K7" s="93"/>
      <c r="L7" s="93"/>
      <c r="M7" s="93"/>
      <c r="N7" s="92">
        <v>-559327.67000000004</v>
      </c>
      <c r="O7" s="59"/>
    </row>
    <row r="8" spans="1:15" ht="15" customHeight="1">
      <c r="A8" s="125"/>
      <c r="B8" s="45"/>
      <c r="C8" s="125"/>
      <c r="D8" s="125"/>
      <c r="E8" s="125"/>
      <c r="F8" s="125"/>
      <c r="G8" s="125"/>
      <c r="H8" s="125"/>
      <c r="I8" s="125"/>
      <c r="J8" s="125"/>
      <c r="K8" s="125"/>
      <c r="L8" s="125"/>
      <c r="M8" s="125"/>
      <c r="N8" s="125"/>
    </row>
    <row r="9" spans="1:15" ht="15" customHeight="1"/>
    <row r="10" spans="1:15" ht="15" customHeight="1">
      <c r="B10" s="738" t="s">
        <v>383</v>
      </c>
      <c r="C10" s="738"/>
      <c r="D10" s="738"/>
      <c r="E10" s="738"/>
      <c r="F10" s="738"/>
      <c r="G10" s="738"/>
      <c r="H10" s="738"/>
      <c r="I10" s="738"/>
      <c r="J10" s="738"/>
      <c r="K10" s="738"/>
      <c r="L10" s="738"/>
      <c r="M10" s="738"/>
      <c r="N10" s="738"/>
      <c r="O10" s="59"/>
    </row>
    <row r="11" spans="1:15" ht="15" customHeight="1">
      <c r="B11" s="48"/>
      <c r="C11" s="48"/>
      <c r="D11" s="48"/>
      <c r="E11" s="48"/>
      <c r="F11" s="48"/>
      <c r="G11" s="48"/>
      <c r="H11" s="48"/>
      <c r="I11" s="48"/>
      <c r="J11" s="48"/>
      <c r="K11" s="48"/>
      <c r="L11" s="48"/>
      <c r="M11" s="48"/>
      <c r="N11" s="48"/>
    </row>
    <row r="12" spans="1:15" ht="15" customHeight="1">
      <c r="A12" s="67" t="s">
        <v>187</v>
      </c>
      <c r="B12" s="67" t="s">
        <v>201</v>
      </c>
      <c r="C12" s="120" t="s">
        <v>200</v>
      </c>
      <c r="D12" s="120" t="s">
        <v>199</v>
      </c>
      <c r="E12" s="120" t="s">
        <v>198</v>
      </c>
      <c r="F12" s="120" t="s">
        <v>197</v>
      </c>
      <c r="G12" s="120" t="s">
        <v>196</v>
      </c>
      <c r="H12" s="120" t="s">
        <v>195</v>
      </c>
      <c r="I12" s="120" t="s">
        <v>194</v>
      </c>
      <c r="J12" s="120" t="s">
        <v>193</v>
      </c>
      <c r="K12" s="120" t="s">
        <v>192</v>
      </c>
      <c r="L12" s="120" t="s">
        <v>191</v>
      </c>
      <c r="M12" s="120" t="s">
        <v>190</v>
      </c>
      <c r="N12" s="120" t="s">
        <v>158</v>
      </c>
      <c r="O12" s="59"/>
    </row>
    <row r="13" spans="1:15" ht="15" customHeight="1">
      <c r="A13" s="124">
        <v>107</v>
      </c>
      <c r="B13" s="55">
        <v>1185.05</v>
      </c>
      <c r="C13" s="55">
        <v>442.32</v>
      </c>
      <c r="D13" s="55">
        <v>66.849999999999994</v>
      </c>
      <c r="E13" s="55">
        <v>-595.61</v>
      </c>
      <c r="F13" s="55">
        <v>2.7</v>
      </c>
      <c r="G13" s="55">
        <v>0</v>
      </c>
      <c r="H13" s="55">
        <v>0</v>
      </c>
      <c r="I13" s="55">
        <v>0</v>
      </c>
      <c r="J13" s="55">
        <v>0</v>
      </c>
      <c r="K13" s="55">
        <v>0</v>
      </c>
      <c r="L13" s="55">
        <v>0</v>
      </c>
      <c r="M13" s="55">
        <v>0</v>
      </c>
      <c r="N13" s="55">
        <f t="shared" ref="N13:N44" si="0">SUM(B13:M13)</f>
        <v>1101.3099999999997</v>
      </c>
    </row>
    <row r="14" spans="1:15" ht="15" customHeight="1">
      <c r="A14" s="74">
        <v>107</v>
      </c>
      <c r="B14" s="51">
        <v>106728.6</v>
      </c>
      <c r="C14" s="51">
        <v>97612.94</v>
      </c>
      <c r="D14" s="51">
        <v>104829.66</v>
      </c>
      <c r="E14" s="51">
        <v>-52400.09</v>
      </c>
      <c r="F14" s="51">
        <v>3809.91</v>
      </c>
      <c r="G14" s="51">
        <v>0</v>
      </c>
      <c r="H14" s="51">
        <v>0</v>
      </c>
      <c r="I14" s="51">
        <v>0</v>
      </c>
      <c r="J14" s="51">
        <v>0</v>
      </c>
      <c r="K14" s="51">
        <v>0</v>
      </c>
      <c r="L14" s="51">
        <v>0</v>
      </c>
      <c r="M14" s="51">
        <v>0</v>
      </c>
      <c r="N14" s="51">
        <f t="shared" si="0"/>
        <v>260581.02000000002</v>
      </c>
    </row>
    <row r="15" spans="1:15" ht="15" customHeight="1">
      <c r="A15" s="74">
        <v>108</v>
      </c>
      <c r="B15" s="51">
        <v>0</v>
      </c>
      <c r="C15" s="51">
        <v>0</v>
      </c>
      <c r="D15" s="51">
        <v>0</v>
      </c>
      <c r="E15" s="51">
        <v>-13.83</v>
      </c>
      <c r="F15" s="51">
        <v>0</v>
      </c>
      <c r="G15" s="51">
        <v>0</v>
      </c>
      <c r="H15" s="51">
        <v>0</v>
      </c>
      <c r="I15" s="51">
        <v>0</v>
      </c>
      <c r="J15" s="51">
        <v>0</v>
      </c>
      <c r="K15" s="51">
        <v>0</v>
      </c>
      <c r="L15" s="51">
        <v>0</v>
      </c>
      <c r="M15" s="51">
        <v>0</v>
      </c>
      <c r="N15" s="51">
        <f t="shared" si="0"/>
        <v>-13.83</v>
      </c>
    </row>
    <row r="16" spans="1:15" ht="15" customHeight="1">
      <c r="A16" s="74">
        <v>108</v>
      </c>
      <c r="B16" s="51">
        <v>20771.95</v>
      </c>
      <c r="C16" s="51">
        <v>17777.18</v>
      </c>
      <c r="D16" s="51">
        <v>21773.86</v>
      </c>
      <c r="E16" s="51">
        <v>-7990.89</v>
      </c>
      <c r="F16" s="51">
        <v>499.35</v>
      </c>
      <c r="G16" s="51">
        <v>0</v>
      </c>
      <c r="H16" s="51">
        <v>0</v>
      </c>
      <c r="I16" s="51">
        <v>0</v>
      </c>
      <c r="J16" s="51">
        <v>0</v>
      </c>
      <c r="K16" s="51">
        <v>0</v>
      </c>
      <c r="L16" s="51">
        <v>0</v>
      </c>
      <c r="M16" s="51">
        <v>0</v>
      </c>
      <c r="N16" s="51">
        <f t="shared" si="0"/>
        <v>52831.450000000004</v>
      </c>
    </row>
    <row r="17" spans="1:14" ht="15" customHeight="1">
      <c r="A17" s="74">
        <v>152</v>
      </c>
      <c r="B17" s="51">
        <v>1652.29</v>
      </c>
      <c r="C17" s="51">
        <v>1166.53</v>
      </c>
      <c r="D17" s="51">
        <v>42.47</v>
      </c>
      <c r="E17" s="51">
        <v>-2408.73</v>
      </c>
      <c r="F17" s="51">
        <v>76.510000000000005</v>
      </c>
      <c r="G17" s="51">
        <v>0</v>
      </c>
      <c r="H17" s="51">
        <v>0</v>
      </c>
      <c r="I17" s="51">
        <v>0</v>
      </c>
      <c r="J17" s="51">
        <v>0</v>
      </c>
      <c r="K17" s="51">
        <v>0</v>
      </c>
      <c r="L17" s="51">
        <v>0</v>
      </c>
      <c r="M17" s="51">
        <v>0</v>
      </c>
      <c r="N17" s="51">
        <f t="shared" si="0"/>
        <v>529.06999999999948</v>
      </c>
    </row>
    <row r="18" spans="1:14" ht="15" customHeight="1">
      <c r="A18" s="74">
        <v>163</v>
      </c>
      <c r="B18" s="51">
        <v>8941.93</v>
      </c>
      <c r="C18" s="51">
        <v>11173.62</v>
      </c>
      <c r="D18" s="51">
        <v>13459.26</v>
      </c>
      <c r="E18" s="51">
        <v>-2124.9299999999998</v>
      </c>
      <c r="F18" s="51">
        <v>163.24</v>
      </c>
      <c r="G18" s="51">
        <v>0</v>
      </c>
      <c r="H18" s="51">
        <v>0</v>
      </c>
      <c r="I18" s="51">
        <v>0</v>
      </c>
      <c r="J18" s="51">
        <v>0</v>
      </c>
      <c r="K18" s="51">
        <v>0</v>
      </c>
      <c r="L18" s="51">
        <v>0</v>
      </c>
      <c r="M18" s="51">
        <v>0</v>
      </c>
      <c r="N18" s="51">
        <f t="shared" si="0"/>
        <v>31613.120000000006</v>
      </c>
    </row>
    <row r="19" spans="1:14" ht="15" customHeight="1">
      <c r="A19" s="74">
        <v>163</v>
      </c>
      <c r="B19" s="51">
        <v>21.63</v>
      </c>
      <c r="C19" s="51">
        <v>105.74</v>
      </c>
      <c r="D19" s="51">
        <v>5.96</v>
      </c>
      <c r="E19" s="51">
        <v>-26.57</v>
      </c>
      <c r="F19" s="51">
        <v>1.25</v>
      </c>
      <c r="G19" s="51">
        <v>0</v>
      </c>
      <c r="H19" s="51">
        <v>0</v>
      </c>
      <c r="I19" s="51">
        <v>0</v>
      </c>
      <c r="J19" s="51">
        <v>0</v>
      </c>
      <c r="K19" s="51">
        <v>0</v>
      </c>
      <c r="L19" s="51">
        <v>0</v>
      </c>
      <c r="M19" s="51">
        <v>0</v>
      </c>
      <c r="N19" s="51">
        <f t="shared" si="0"/>
        <v>108.00999999999999</v>
      </c>
    </row>
    <row r="20" spans="1:14" ht="15" customHeight="1">
      <c r="A20" s="74">
        <v>163</v>
      </c>
      <c r="B20" s="51">
        <v>283.3</v>
      </c>
      <c r="C20" s="51">
        <v>302.69</v>
      </c>
      <c r="D20" s="51">
        <v>10.37</v>
      </c>
      <c r="E20" s="51">
        <v>-337.38</v>
      </c>
      <c r="F20" s="51">
        <v>16.670000000000002</v>
      </c>
      <c r="G20" s="51">
        <v>0</v>
      </c>
      <c r="H20" s="51">
        <v>0</v>
      </c>
      <c r="I20" s="51">
        <v>0</v>
      </c>
      <c r="J20" s="51">
        <v>0</v>
      </c>
      <c r="K20" s="51">
        <v>0</v>
      </c>
      <c r="L20" s="51">
        <v>0</v>
      </c>
      <c r="M20" s="51">
        <v>0</v>
      </c>
      <c r="N20" s="51">
        <f t="shared" si="0"/>
        <v>275.65000000000003</v>
      </c>
    </row>
    <row r="21" spans="1:14" ht="15" customHeight="1">
      <c r="A21" s="74">
        <v>163</v>
      </c>
      <c r="B21" s="51">
        <v>290.38</v>
      </c>
      <c r="C21" s="51">
        <v>316.70999999999998</v>
      </c>
      <c r="D21" s="51">
        <v>305.64</v>
      </c>
      <c r="E21" s="51">
        <v>-72.03</v>
      </c>
      <c r="F21" s="51">
        <v>3.4</v>
      </c>
      <c r="G21" s="51">
        <v>0</v>
      </c>
      <c r="H21" s="51">
        <v>0</v>
      </c>
      <c r="I21" s="51">
        <v>0</v>
      </c>
      <c r="J21" s="51">
        <v>0</v>
      </c>
      <c r="K21" s="51">
        <v>0</v>
      </c>
      <c r="L21" s="51">
        <v>0</v>
      </c>
      <c r="M21" s="51">
        <v>0</v>
      </c>
      <c r="N21" s="51">
        <f t="shared" si="0"/>
        <v>844.09999999999991</v>
      </c>
    </row>
    <row r="22" spans="1:14" ht="15" customHeight="1">
      <c r="A22" s="74">
        <v>185</v>
      </c>
      <c r="B22" s="51">
        <v>280.75</v>
      </c>
      <c r="C22" s="51">
        <v>1016.76</v>
      </c>
      <c r="D22" s="51">
        <v>494.86</v>
      </c>
      <c r="E22" s="51">
        <v>-171.84</v>
      </c>
      <c r="F22" s="51">
        <v>2.72</v>
      </c>
      <c r="G22" s="51">
        <v>0</v>
      </c>
      <c r="H22" s="51">
        <v>0</v>
      </c>
      <c r="I22" s="51">
        <v>0</v>
      </c>
      <c r="J22" s="51">
        <v>0</v>
      </c>
      <c r="K22" s="51">
        <v>0</v>
      </c>
      <c r="L22" s="51">
        <v>0</v>
      </c>
      <c r="M22" s="51">
        <v>0</v>
      </c>
      <c r="N22" s="51">
        <f t="shared" si="0"/>
        <v>1623.25</v>
      </c>
    </row>
    <row r="23" spans="1:14" ht="15" customHeight="1">
      <c r="A23" s="74">
        <v>186</v>
      </c>
      <c r="B23" s="51">
        <v>252.03</v>
      </c>
      <c r="C23" s="51">
        <v>109.1</v>
      </c>
      <c r="D23" s="51">
        <v>153.18</v>
      </c>
      <c r="E23" s="51">
        <v>-26.12</v>
      </c>
      <c r="F23" s="51">
        <v>0</v>
      </c>
      <c r="G23" s="51">
        <v>0</v>
      </c>
      <c r="H23" s="51">
        <v>0</v>
      </c>
      <c r="I23" s="51">
        <v>0</v>
      </c>
      <c r="J23" s="51">
        <v>0</v>
      </c>
      <c r="K23" s="51">
        <v>0</v>
      </c>
      <c r="L23" s="51">
        <v>0</v>
      </c>
      <c r="M23" s="51">
        <v>0</v>
      </c>
      <c r="N23" s="51">
        <f t="shared" si="0"/>
        <v>488.18999999999994</v>
      </c>
    </row>
    <row r="24" spans="1:14" ht="15" customHeight="1">
      <c r="A24" s="74">
        <v>426</v>
      </c>
      <c r="B24" s="51">
        <v>10.67</v>
      </c>
      <c r="C24" s="51">
        <v>0</v>
      </c>
      <c r="D24" s="51">
        <v>0</v>
      </c>
      <c r="E24" s="51">
        <v>0</v>
      </c>
      <c r="F24" s="51">
        <v>0</v>
      </c>
      <c r="G24" s="51">
        <v>0</v>
      </c>
      <c r="H24" s="51">
        <v>0</v>
      </c>
      <c r="I24" s="51">
        <v>0</v>
      </c>
      <c r="J24" s="51">
        <v>0</v>
      </c>
      <c r="K24" s="51">
        <v>0</v>
      </c>
      <c r="L24" s="51">
        <v>0</v>
      </c>
      <c r="M24" s="51">
        <v>0</v>
      </c>
      <c r="N24" s="51">
        <f t="shared" si="0"/>
        <v>10.67</v>
      </c>
    </row>
    <row r="25" spans="1:14" ht="15" customHeight="1">
      <c r="A25" s="74">
        <v>426</v>
      </c>
      <c r="B25" s="51">
        <v>4.42</v>
      </c>
      <c r="C25" s="51">
        <v>289.06</v>
      </c>
      <c r="D25" s="51">
        <v>0</v>
      </c>
      <c r="E25" s="51">
        <v>0</v>
      </c>
      <c r="F25" s="51">
        <v>0.08</v>
      </c>
      <c r="G25" s="51">
        <v>0</v>
      </c>
      <c r="H25" s="51">
        <v>0</v>
      </c>
      <c r="I25" s="51">
        <v>0</v>
      </c>
      <c r="J25" s="51">
        <v>0</v>
      </c>
      <c r="K25" s="51">
        <v>0</v>
      </c>
      <c r="L25" s="51">
        <v>0</v>
      </c>
      <c r="M25" s="51">
        <v>0</v>
      </c>
      <c r="N25" s="51">
        <f t="shared" si="0"/>
        <v>293.56</v>
      </c>
    </row>
    <row r="26" spans="1:14" ht="15" customHeight="1">
      <c r="A26" s="74">
        <v>426</v>
      </c>
      <c r="B26" s="51">
        <v>0</v>
      </c>
      <c r="C26" s="51">
        <v>0</v>
      </c>
      <c r="D26" s="51">
        <v>0</v>
      </c>
      <c r="E26" s="51">
        <v>0</v>
      </c>
      <c r="F26" s="51">
        <v>0</v>
      </c>
      <c r="G26" s="51">
        <v>0</v>
      </c>
      <c r="H26" s="51">
        <v>0</v>
      </c>
      <c r="I26" s="51">
        <v>0</v>
      </c>
      <c r="J26" s="51">
        <v>0</v>
      </c>
      <c r="K26" s="51">
        <v>0</v>
      </c>
      <c r="L26" s="51">
        <v>0</v>
      </c>
      <c r="M26" s="51">
        <v>0</v>
      </c>
      <c r="N26" s="51">
        <f t="shared" si="0"/>
        <v>0</v>
      </c>
    </row>
    <row r="27" spans="1:14" ht="15" customHeight="1">
      <c r="A27" s="74">
        <v>426</v>
      </c>
      <c r="B27" s="51">
        <v>1.1000000000000001</v>
      </c>
      <c r="C27" s="51">
        <v>0.1</v>
      </c>
      <c r="D27" s="51">
        <v>0</v>
      </c>
      <c r="E27" s="51">
        <v>-0.13</v>
      </c>
      <c r="F27" s="51">
        <v>0</v>
      </c>
      <c r="G27" s="51">
        <v>0</v>
      </c>
      <c r="H27" s="51">
        <v>0</v>
      </c>
      <c r="I27" s="51">
        <v>0</v>
      </c>
      <c r="J27" s="51">
        <v>0</v>
      </c>
      <c r="K27" s="51">
        <v>0</v>
      </c>
      <c r="L27" s="51">
        <v>0</v>
      </c>
      <c r="M27" s="51">
        <v>0</v>
      </c>
      <c r="N27" s="51">
        <f t="shared" si="0"/>
        <v>1.0700000000000003</v>
      </c>
    </row>
    <row r="28" spans="1:14" ht="15" customHeight="1">
      <c r="A28" s="74">
        <v>500</v>
      </c>
      <c r="B28" s="51">
        <v>1955.26</v>
      </c>
      <c r="C28" s="51">
        <v>1513.17</v>
      </c>
      <c r="D28" s="51">
        <v>1455.88</v>
      </c>
      <c r="E28" s="51">
        <v>-1480.15</v>
      </c>
      <c r="F28" s="51">
        <v>41.56</v>
      </c>
      <c r="G28" s="51">
        <v>0</v>
      </c>
      <c r="H28" s="51">
        <v>0</v>
      </c>
      <c r="I28" s="51">
        <v>0</v>
      </c>
      <c r="J28" s="51">
        <v>0</v>
      </c>
      <c r="K28" s="51">
        <v>0</v>
      </c>
      <c r="L28" s="51">
        <v>0</v>
      </c>
      <c r="M28" s="51">
        <v>0</v>
      </c>
      <c r="N28" s="51">
        <f t="shared" si="0"/>
        <v>3485.7200000000003</v>
      </c>
    </row>
    <row r="29" spans="1:14" ht="15" customHeight="1">
      <c r="A29" s="74">
        <v>501</v>
      </c>
      <c r="B29" s="51">
        <v>2781.81</v>
      </c>
      <c r="C29" s="51">
        <v>1837.35</v>
      </c>
      <c r="D29" s="51">
        <v>59.06</v>
      </c>
      <c r="E29" s="51">
        <v>-3642.8</v>
      </c>
      <c r="F29" s="51">
        <v>101.29</v>
      </c>
      <c r="G29" s="51">
        <v>0</v>
      </c>
      <c r="H29" s="51">
        <v>0</v>
      </c>
      <c r="I29" s="51">
        <v>0</v>
      </c>
      <c r="J29" s="51">
        <v>0</v>
      </c>
      <c r="K29" s="51">
        <v>0</v>
      </c>
      <c r="L29" s="51">
        <v>0</v>
      </c>
      <c r="M29" s="51">
        <v>0</v>
      </c>
      <c r="N29" s="51">
        <f t="shared" si="0"/>
        <v>1136.71</v>
      </c>
    </row>
    <row r="30" spans="1:14" ht="15" customHeight="1">
      <c r="A30" s="74">
        <v>501</v>
      </c>
      <c r="B30" s="51">
        <v>618.79999999999995</v>
      </c>
      <c r="C30" s="51">
        <v>503.32</v>
      </c>
      <c r="D30" s="51">
        <v>15.1</v>
      </c>
      <c r="E30" s="51">
        <v>-622.9</v>
      </c>
      <c r="F30" s="51">
        <v>23.5</v>
      </c>
      <c r="G30" s="51">
        <v>0</v>
      </c>
      <c r="H30" s="51">
        <v>0</v>
      </c>
      <c r="I30" s="51">
        <v>0</v>
      </c>
      <c r="J30" s="51">
        <v>0</v>
      </c>
      <c r="K30" s="51">
        <v>0</v>
      </c>
      <c r="L30" s="51">
        <v>0</v>
      </c>
      <c r="M30" s="51">
        <v>0</v>
      </c>
      <c r="N30" s="51">
        <f t="shared" si="0"/>
        <v>537.81999999999982</v>
      </c>
    </row>
    <row r="31" spans="1:14" ht="15" customHeight="1">
      <c r="A31" s="74">
        <v>502</v>
      </c>
      <c r="B31" s="51">
        <v>1850.42</v>
      </c>
      <c r="C31" s="51">
        <v>1190.24</v>
      </c>
      <c r="D31" s="51">
        <v>41.99</v>
      </c>
      <c r="E31" s="51">
        <v>-2290.1799999999998</v>
      </c>
      <c r="F31" s="51">
        <v>64.540000000000006</v>
      </c>
      <c r="G31" s="51">
        <v>0</v>
      </c>
      <c r="H31" s="51">
        <v>0</v>
      </c>
      <c r="I31" s="51">
        <v>0</v>
      </c>
      <c r="J31" s="51">
        <v>0</v>
      </c>
      <c r="K31" s="51">
        <v>0</v>
      </c>
      <c r="L31" s="51">
        <v>0</v>
      </c>
      <c r="M31" s="51">
        <v>0</v>
      </c>
      <c r="N31" s="51">
        <f t="shared" si="0"/>
        <v>857.00999999999976</v>
      </c>
    </row>
    <row r="32" spans="1:14" ht="15" customHeight="1">
      <c r="A32" s="74">
        <v>502</v>
      </c>
      <c r="B32" s="51">
        <v>104.99</v>
      </c>
      <c r="C32" s="51">
        <v>142.36000000000001</v>
      </c>
      <c r="D32" s="51">
        <v>5.95</v>
      </c>
      <c r="E32" s="51">
        <v>-387.25</v>
      </c>
      <c r="F32" s="51">
        <v>6.84</v>
      </c>
      <c r="G32" s="51">
        <v>0</v>
      </c>
      <c r="H32" s="51">
        <v>0</v>
      </c>
      <c r="I32" s="51">
        <v>0</v>
      </c>
      <c r="J32" s="51">
        <v>0</v>
      </c>
      <c r="K32" s="51">
        <v>0</v>
      </c>
      <c r="L32" s="51">
        <v>0</v>
      </c>
      <c r="M32" s="51">
        <v>0</v>
      </c>
      <c r="N32" s="51">
        <f t="shared" si="0"/>
        <v>-127.10999999999999</v>
      </c>
    </row>
    <row r="33" spans="1:14" ht="15" customHeight="1">
      <c r="A33" s="74">
        <v>505</v>
      </c>
      <c r="B33" s="51">
        <v>83.93</v>
      </c>
      <c r="C33" s="51">
        <v>198.91</v>
      </c>
      <c r="D33" s="51">
        <v>6.87</v>
      </c>
      <c r="E33" s="51">
        <v>-284.16000000000003</v>
      </c>
      <c r="F33" s="51">
        <v>7.08</v>
      </c>
      <c r="G33" s="51">
        <v>0</v>
      </c>
      <c r="H33" s="51">
        <v>0</v>
      </c>
      <c r="I33" s="51">
        <v>0</v>
      </c>
      <c r="J33" s="51">
        <v>0</v>
      </c>
      <c r="K33" s="51">
        <v>0</v>
      </c>
      <c r="L33" s="51">
        <v>0</v>
      </c>
      <c r="M33" s="51">
        <v>0</v>
      </c>
      <c r="N33" s="51">
        <f t="shared" si="0"/>
        <v>12.630000000000011</v>
      </c>
    </row>
    <row r="34" spans="1:14" ht="15" customHeight="1">
      <c r="A34" s="74">
        <v>506</v>
      </c>
      <c r="B34" s="51">
        <v>1673.61</v>
      </c>
      <c r="C34" s="51">
        <v>1585.68</v>
      </c>
      <c r="D34" s="51">
        <v>957.96</v>
      </c>
      <c r="E34" s="51">
        <v>-1945.91</v>
      </c>
      <c r="F34" s="51">
        <v>62.67</v>
      </c>
      <c r="G34" s="51">
        <v>0</v>
      </c>
      <c r="H34" s="51">
        <v>0</v>
      </c>
      <c r="I34" s="51">
        <v>0</v>
      </c>
      <c r="J34" s="51">
        <v>0</v>
      </c>
      <c r="K34" s="51">
        <v>0</v>
      </c>
      <c r="L34" s="51">
        <v>0</v>
      </c>
      <c r="M34" s="51">
        <v>0</v>
      </c>
      <c r="N34" s="51">
        <f t="shared" si="0"/>
        <v>2334.0100000000002</v>
      </c>
    </row>
    <row r="35" spans="1:14" ht="15" customHeight="1">
      <c r="A35" s="74">
        <v>510</v>
      </c>
      <c r="B35" s="51">
        <v>1734.94</v>
      </c>
      <c r="C35" s="51">
        <v>1134.8499999999999</v>
      </c>
      <c r="D35" s="51">
        <v>315.52999999999997</v>
      </c>
      <c r="E35" s="51">
        <v>-2145.36</v>
      </c>
      <c r="F35" s="51">
        <v>60.94</v>
      </c>
      <c r="G35" s="51">
        <v>0</v>
      </c>
      <c r="H35" s="51">
        <v>0</v>
      </c>
      <c r="I35" s="51">
        <v>0</v>
      </c>
      <c r="J35" s="51">
        <v>0</v>
      </c>
      <c r="K35" s="51">
        <v>0</v>
      </c>
      <c r="L35" s="51">
        <v>0</v>
      </c>
      <c r="M35" s="51">
        <v>0</v>
      </c>
      <c r="N35" s="51">
        <f t="shared" si="0"/>
        <v>1100.8999999999996</v>
      </c>
    </row>
    <row r="36" spans="1:14" ht="15" customHeight="1">
      <c r="A36" s="74">
        <v>511</v>
      </c>
      <c r="B36" s="51">
        <v>240.76</v>
      </c>
      <c r="C36" s="51">
        <v>86.57</v>
      </c>
      <c r="D36" s="51">
        <v>81.19</v>
      </c>
      <c r="E36" s="51">
        <v>-198.43</v>
      </c>
      <c r="F36" s="51">
        <v>5.64</v>
      </c>
      <c r="G36" s="51">
        <v>0</v>
      </c>
      <c r="H36" s="51">
        <v>0</v>
      </c>
      <c r="I36" s="51">
        <v>0</v>
      </c>
      <c r="J36" s="51">
        <v>0</v>
      </c>
      <c r="K36" s="51">
        <v>0</v>
      </c>
      <c r="L36" s="51">
        <v>0</v>
      </c>
      <c r="M36" s="51">
        <v>0</v>
      </c>
      <c r="N36" s="51">
        <f t="shared" si="0"/>
        <v>215.72999999999996</v>
      </c>
    </row>
    <row r="37" spans="1:14" ht="15" customHeight="1">
      <c r="A37" s="74">
        <v>512</v>
      </c>
      <c r="B37" s="51">
        <v>2555.2199999999998</v>
      </c>
      <c r="C37" s="51">
        <v>1698.16</v>
      </c>
      <c r="D37" s="51">
        <v>106.98</v>
      </c>
      <c r="E37" s="51">
        <v>-3149.61</v>
      </c>
      <c r="F37" s="51">
        <v>79.25</v>
      </c>
      <c r="G37" s="51">
        <v>0</v>
      </c>
      <c r="H37" s="51">
        <v>0</v>
      </c>
      <c r="I37" s="51">
        <v>0</v>
      </c>
      <c r="J37" s="51">
        <v>0</v>
      </c>
      <c r="K37" s="51">
        <v>0</v>
      </c>
      <c r="L37" s="51">
        <v>0</v>
      </c>
      <c r="M37" s="51">
        <v>0</v>
      </c>
      <c r="N37" s="51">
        <f t="shared" si="0"/>
        <v>1289.9999999999995</v>
      </c>
    </row>
    <row r="38" spans="1:14" ht="15" customHeight="1">
      <c r="A38" s="74">
        <v>513</v>
      </c>
      <c r="B38" s="51">
        <v>774.52</v>
      </c>
      <c r="C38" s="51">
        <v>492.43</v>
      </c>
      <c r="D38" s="51">
        <v>53.65</v>
      </c>
      <c r="E38" s="51">
        <v>-915.97</v>
      </c>
      <c r="F38" s="51">
        <v>23.05</v>
      </c>
      <c r="G38" s="51">
        <v>0</v>
      </c>
      <c r="H38" s="51">
        <v>0</v>
      </c>
      <c r="I38" s="51">
        <v>0</v>
      </c>
      <c r="J38" s="51">
        <v>0</v>
      </c>
      <c r="K38" s="51">
        <v>0</v>
      </c>
      <c r="L38" s="51">
        <v>0</v>
      </c>
      <c r="M38" s="51">
        <v>0</v>
      </c>
      <c r="N38" s="51">
        <f t="shared" si="0"/>
        <v>427.68000000000012</v>
      </c>
    </row>
    <row r="39" spans="1:14" ht="15" customHeight="1">
      <c r="A39" s="74">
        <v>514</v>
      </c>
      <c r="B39" s="51">
        <v>468.94</v>
      </c>
      <c r="C39" s="51">
        <v>228.92</v>
      </c>
      <c r="D39" s="51">
        <v>7.79</v>
      </c>
      <c r="E39" s="51">
        <v>-277.02999999999997</v>
      </c>
      <c r="F39" s="51">
        <v>9.19</v>
      </c>
      <c r="G39" s="51">
        <v>0</v>
      </c>
      <c r="H39" s="51">
        <v>0</v>
      </c>
      <c r="I39" s="51">
        <v>0</v>
      </c>
      <c r="J39" s="51">
        <v>0</v>
      </c>
      <c r="K39" s="51">
        <v>0</v>
      </c>
      <c r="L39" s="51">
        <v>0</v>
      </c>
      <c r="M39" s="51">
        <v>0</v>
      </c>
      <c r="N39" s="51">
        <f t="shared" si="0"/>
        <v>437.81</v>
      </c>
    </row>
    <row r="40" spans="1:14" ht="15" customHeight="1">
      <c r="A40" s="74">
        <v>571</v>
      </c>
      <c r="B40" s="51">
        <v>0</v>
      </c>
      <c r="C40" s="51">
        <v>0</v>
      </c>
      <c r="D40" s="51">
        <v>54.92</v>
      </c>
      <c r="E40" s="51">
        <v>0</v>
      </c>
      <c r="F40" s="51">
        <v>0</v>
      </c>
      <c r="G40" s="51">
        <v>0</v>
      </c>
      <c r="H40" s="51">
        <v>0</v>
      </c>
      <c r="I40" s="51">
        <v>0</v>
      </c>
      <c r="J40" s="51">
        <v>0</v>
      </c>
      <c r="K40" s="51">
        <v>0</v>
      </c>
      <c r="L40" s="51">
        <v>0</v>
      </c>
      <c r="M40" s="51">
        <v>0</v>
      </c>
      <c r="N40" s="51">
        <f t="shared" si="0"/>
        <v>54.92</v>
      </c>
    </row>
    <row r="41" spans="1:14" ht="15" customHeight="1">
      <c r="A41" s="74">
        <v>580</v>
      </c>
      <c r="B41" s="51">
        <v>302.39999999999998</v>
      </c>
      <c r="C41" s="51">
        <v>507.53</v>
      </c>
      <c r="D41" s="51">
        <v>363.42</v>
      </c>
      <c r="E41" s="51">
        <v>100.16</v>
      </c>
      <c r="F41" s="51">
        <v>18.25</v>
      </c>
      <c r="G41" s="51">
        <v>0</v>
      </c>
      <c r="H41" s="51">
        <v>0</v>
      </c>
      <c r="I41" s="51">
        <v>0</v>
      </c>
      <c r="J41" s="51">
        <v>0</v>
      </c>
      <c r="K41" s="51">
        <v>0</v>
      </c>
      <c r="L41" s="51">
        <v>0</v>
      </c>
      <c r="M41" s="51">
        <v>0</v>
      </c>
      <c r="N41" s="51">
        <f t="shared" si="0"/>
        <v>1291.76</v>
      </c>
    </row>
    <row r="42" spans="1:14" ht="15" customHeight="1">
      <c r="A42" s="74">
        <v>583</v>
      </c>
      <c r="B42" s="51">
        <v>3246.69</v>
      </c>
      <c r="C42" s="51">
        <v>4213.28</v>
      </c>
      <c r="D42" s="51">
        <v>3130.85</v>
      </c>
      <c r="E42" s="51">
        <v>-1702.42</v>
      </c>
      <c r="F42" s="51">
        <v>70.02</v>
      </c>
      <c r="G42" s="51">
        <v>0</v>
      </c>
      <c r="H42" s="51">
        <v>0</v>
      </c>
      <c r="I42" s="51">
        <v>0</v>
      </c>
      <c r="J42" s="51">
        <v>0</v>
      </c>
      <c r="K42" s="51">
        <v>0</v>
      </c>
      <c r="L42" s="51">
        <v>0</v>
      </c>
      <c r="M42" s="51">
        <v>0</v>
      </c>
      <c r="N42" s="51">
        <f t="shared" si="0"/>
        <v>8958.42</v>
      </c>
    </row>
    <row r="43" spans="1:14" ht="15" customHeight="1">
      <c r="A43" s="74">
        <v>584</v>
      </c>
      <c r="B43" s="51">
        <v>0</v>
      </c>
      <c r="C43" s="51">
        <v>0</v>
      </c>
      <c r="D43" s="51">
        <v>54.62</v>
      </c>
      <c r="E43" s="51">
        <v>0</v>
      </c>
      <c r="F43" s="51">
        <v>0</v>
      </c>
      <c r="G43" s="51">
        <v>0</v>
      </c>
      <c r="H43" s="51">
        <v>0</v>
      </c>
      <c r="I43" s="51">
        <v>0</v>
      </c>
      <c r="J43" s="51">
        <v>0</v>
      </c>
      <c r="K43" s="51">
        <v>0</v>
      </c>
      <c r="L43" s="51">
        <v>0</v>
      </c>
      <c r="M43" s="51">
        <v>0</v>
      </c>
      <c r="N43" s="51">
        <f t="shared" si="0"/>
        <v>54.62</v>
      </c>
    </row>
    <row r="44" spans="1:14" ht="15" customHeight="1">
      <c r="A44" s="74">
        <v>585</v>
      </c>
      <c r="B44" s="51">
        <v>0</v>
      </c>
      <c r="C44" s="51">
        <v>79.95</v>
      </c>
      <c r="D44" s="51">
        <v>0</v>
      </c>
      <c r="E44" s="51">
        <v>0</v>
      </c>
      <c r="F44" s="51">
        <v>0</v>
      </c>
      <c r="G44" s="51">
        <v>0</v>
      </c>
      <c r="H44" s="51">
        <v>0</v>
      </c>
      <c r="I44" s="51">
        <v>0</v>
      </c>
      <c r="J44" s="51">
        <v>0</v>
      </c>
      <c r="K44" s="51">
        <v>0</v>
      </c>
      <c r="L44" s="51">
        <v>0</v>
      </c>
      <c r="M44" s="51">
        <v>0</v>
      </c>
      <c r="N44" s="51">
        <f t="shared" si="0"/>
        <v>79.95</v>
      </c>
    </row>
    <row r="45" spans="1:14" ht="15" customHeight="1">
      <c r="A45" s="74">
        <v>586</v>
      </c>
      <c r="B45" s="51">
        <v>12234.52</v>
      </c>
      <c r="C45" s="51">
        <v>10265.19</v>
      </c>
      <c r="D45" s="51">
        <v>6774.85</v>
      </c>
      <c r="E45" s="51">
        <v>-3660.53</v>
      </c>
      <c r="F45" s="51">
        <v>255.52</v>
      </c>
      <c r="G45" s="51">
        <v>0</v>
      </c>
      <c r="H45" s="51">
        <v>0</v>
      </c>
      <c r="I45" s="51">
        <v>0</v>
      </c>
      <c r="J45" s="51">
        <v>0</v>
      </c>
      <c r="K45" s="51">
        <v>0</v>
      </c>
      <c r="L45" s="51">
        <v>0</v>
      </c>
      <c r="M45" s="51">
        <v>0</v>
      </c>
      <c r="N45" s="51">
        <f t="shared" ref="N45:N69" si="1">SUM(B45:M45)</f>
        <v>25869.55</v>
      </c>
    </row>
    <row r="46" spans="1:14" ht="15" customHeight="1">
      <c r="A46" s="74">
        <v>587</v>
      </c>
      <c r="B46" s="51">
        <v>876.56</v>
      </c>
      <c r="C46" s="51">
        <v>859.03</v>
      </c>
      <c r="D46" s="51">
        <v>266.06</v>
      </c>
      <c r="E46" s="51">
        <v>-199.02</v>
      </c>
      <c r="F46" s="51">
        <v>7.77</v>
      </c>
      <c r="G46" s="51">
        <v>0</v>
      </c>
      <c r="H46" s="51">
        <v>0</v>
      </c>
      <c r="I46" s="51">
        <v>0</v>
      </c>
      <c r="J46" s="51">
        <v>0</v>
      </c>
      <c r="K46" s="51">
        <v>0</v>
      </c>
      <c r="L46" s="51">
        <v>0</v>
      </c>
      <c r="M46" s="51">
        <v>0</v>
      </c>
      <c r="N46" s="51">
        <f t="shared" si="1"/>
        <v>1810.3999999999999</v>
      </c>
    </row>
    <row r="47" spans="1:14" ht="15" customHeight="1">
      <c r="A47" s="74">
        <v>588</v>
      </c>
      <c r="B47" s="51">
        <v>6565.8</v>
      </c>
      <c r="C47" s="51">
        <v>9277.8799999999992</v>
      </c>
      <c r="D47" s="51">
        <v>7041.89</v>
      </c>
      <c r="E47" s="51">
        <v>-2847.38</v>
      </c>
      <c r="F47" s="51">
        <v>132.41999999999999</v>
      </c>
      <c r="G47" s="51">
        <v>0</v>
      </c>
      <c r="H47" s="51">
        <v>0</v>
      </c>
      <c r="I47" s="51">
        <v>0</v>
      </c>
      <c r="J47" s="51">
        <v>0</v>
      </c>
      <c r="K47" s="51">
        <v>0</v>
      </c>
      <c r="L47" s="51">
        <v>0</v>
      </c>
      <c r="M47" s="51">
        <v>0</v>
      </c>
      <c r="N47" s="51">
        <f t="shared" si="1"/>
        <v>20170.609999999997</v>
      </c>
    </row>
    <row r="48" spans="1:14" ht="15" customHeight="1">
      <c r="A48" s="74">
        <v>590</v>
      </c>
      <c r="B48" s="51">
        <v>0</v>
      </c>
      <c r="C48" s="51">
        <v>0</v>
      </c>
      <c r="D48" s="51">
        <v>0</v>
      </c>
      <c r="E48" s="51">
        <v>-11.79</v>
      </c>
      <c r="F48" s="51">
        <v>0</v>
      </c>
      <c r="G48" s="51">
        <v>0</v>
      </c>
      <c r="H48" s="51">
        <v>0</v>
      </c>
      <c r="I48" s="51">
        <v>0</v>
      </c>
      <c r="J48" s="51">
        <v>0</v>
      </c>
      <c r="K48" s="51">
        <v>0</v>
      </c>
      <c r="L48" s="51">
        <v>0</v>
      </c>
      <c r="M48" s="51">
        <v>0</v>
      </c>
      <c r="N48" s="51">
        <f t="shared" si="1"/>
        <v>-11.79</v>
      </c>
    </row>
    <row r="49" spans="1:14" ht="15" customHeight="1">
      <c r="A49" s="74">
        <v>593</v>
      </c>
      <c r="B49" s="51">
        <v>47987.68</v>
      </c>
      <c r="C49" s="51">
        <v>44256.97</v>
      </c>
      <c r="D49" s="51">
        <v>50262.64</v>
      </c>
      <c r="E49" s="51">
        <v>-48269.5</v>
      </c>
      <c r="F49" s="51">
        <v>5733.2</v>
      </c>
      <c r="G49" s="51">
        <v>0</v>
      </c>
      <c r="H49" s="51">
        <v>0</v>
      </c>
      <c r="I49" s="51">
        <v>0</v>
      </c>
      <c r="J49" s="51">
        <v>0</v>
      </c>
      <c r="K49" s="51">
        <v>0</v>
      </c>
      <c r="L49" s="51">
        <v>0</v>
      </c>
      <c r="M49" s="51">
        <v>0</v>
      </c>
      <c r="N49" s="51">
        <f t="shared" si="1"/>
        <v>99970.989999999976</v>
      </c>
    </row>
    <row r="50" spans="1:14" ht="15" customHeight="1">
      <c r="A50" s="74">
        <v>593</v>
      </c>
      <c r="B50" s="51">
        <v>1200.17</v>
      </c>
      <c r="C50" s="51">
        <v>1111.26</v>
      </c>
      <c r="D50" s="51">
        <v>708.75</v>
      </c>
      <c r="E50" s="51">
        <v>-345.34</v>
      </c>
      <c r="F50" s="51">
        <v>16.79</v>
      </c>
      <c r="G50" s="51">
        <v>0</v>
      </c>
      <c r="H50" s="51">
        <v>0</v>
      </c>
      <c r="I50" s="51">
        <v>0</v>
      </c>
      <c r="J50" s="51">
        <v>0</v>
      </c>
      <c r="K50" s="51">
        <v>0</v>
      </c>
      <c r="L50" s="51">
        <v>0</v>
      </c>
      <c r="M50" s="51">
        <v>0</v>
      </c>
      <c r="N50" s="51">
        <f t="shared" si="1"/>
        <v>2691.63</v>
      </c>
    </row>
    <row r="51" spans="1:14" ht="15" customHeight="1">
      <c r="A51" s="74">
        <v>594</v>
      </c>
      <c r="B51" s="51">
        <v>308.43</v>
      </c>
      <c r="C51" s="51">
        <v>128.57</v>
      </c>
      <c r="D51" s="51">
        <v>32.25</v>
      </c>
      <c r="E51" s="51">
        <v>-6.92</v>
      </c>
      <c r="F51" s="51">
        <v>0</v>
      </c>
      <c r="G51" s="51">
        <v>0</v>
      </c>
      <c r="H51" s="51">
        <v>0</v>
      </c>
      <c r="I51" s="51">
        <v>0</v>
      </c>
      <c r="J51" s="51">
        <v>0</v>
      </c>
      <c r="K51" s="51">
        <v>0</v>
      </c>
      <c r="L51" s="51">
        <v>0</v>
      </c>
      <c r="M51" s="51">
        <v>0</v>
      </c>
      <c r="N51" s="51">
        <f t="shared" si="1"/>
        <v>462.33</v>
      </c>
    </row>
    <row r="52" spans="1:14" ht="15" customHeight="1">
      <c r="A52" s="74">
        <v>595</v>
      </c>
      <c r="B52" s="51">
        <v>0</v>
      </c>
      <c r="C52" s="51">
        <v>0</v>
      </c>
      <c r="D52" s="51">
        <v>0</v>
      </c>
      <c r="E52" s="51">
        <v>-192.52</v>
      </c>
      <c r="F52" s="51">
        <v>6.46</v>
      </c>
      <c r="G52" s="51">
        <v>0</v>
      </c>
      <c r="H52" s="51">
        <v>0</v>
      </c>
      <c r="I52" s="51">
        <v>0</v>
      </c>
      <c r="J52" s="51">
        <v>0</v>
      </c>
      <c r="K52" s="51">
        <v>0</v>
      </c>
      <c r="L52" s="51">
        <v>0</v>
      </c>
      <c r="M52" s="51">
        <v>0</v>
      </c>
      <c r="N52" s="51">
        <f t="shared" si="1"/>
        <v>-186.06</v>
      </c>
    </row>
    <row r="53" spans="1:14" ht="15" customHeight="1">
      <c r="A53" s="74">
        <v>596</v>
      </c>
      <c r="B53" s="51">
        <v>161.02000000000001</v>
      </c>
      <c r="C53" s="51">
        <v>92.32</v>
      </c>
      <c r="D53" s="51">
        <v>154.99</v>
      </c>
      <c r="E53" s="51">
        <v>-22.28</v>
      </c>
      <c r="F53" s="51">
        <v>0.89</v>
      </c>
      <c r="G53" s="51">
        <v>0</v>
      </c>
      <c r="H53" s="51">
        <v>0</v>
      </c>
      <c r="I53" s="51">
        <v>0</v>
      </c>
      <c r="J53" s="51">
        <v>0</v>
      </c>
      <c r="K53" s="51">
        <v>0</v>
      </c>
      <c r="L53" s="51">
        <v>0</v>
      </c>
      <c r="M53" s="51">
        <v>0</v>
      </c>
      <c r="N53" s="51">
        <f t="shared" si="1"/>
        <v>386.94000000000005</v>
      </c>
    </row>
    <row r="54" spans="1:14" ht="15" customHeight="1">
      <c r="A54" s="74">
        <v>597</v>
      </c>
      <c r="B54" s="51">
        <v>218.71</v>
      </c>
      <c r="C54" s="51">
        <v>185.88</v>
      </c>
      <c r="D54" s="51">
        <v>80.06</v>
      </c>
      <c r="E54" s="51">
        <v>-91.5</v>
      </c>
      <c r="F54" s="51">
        <v>4.5199999999999996</v>
      </c>
      <c r="G54" s="51">
        <v>0</v>
      </c>
      <c r="H54" s="51">
        <v>0</v>
      </c>
      <c r="I54" s="51">
        <v>0</v>
      </c>
      <c r="J54" s="51">
        <v>0</v>
      </c>
      <c r="K54" s="51">
        <v>0</v>
      </c>
      <c r="L54" s="51">
        <v>0</v>
      </c>
      <c r="M54" s="51">
        <v>0</v>
      </c>
      <c r="N54" s="51">
        <f t="shared" si="1"/>
        <v>397.67</v>
      </c>
    </row>
    <row r="55" spans="1:14" ht="15" customHeight="1">
      <c r="A55" s="74">
        <v>598</v>
      </c>
      <c r="B55" s="51">
        <v>133.12</v>
      </c>
      <c r="C55" s="51">
        <v>208.6</v>
      </c>
      <c r="D55" s="51">
        <v>0</v>
      </c>
      <c r="E55" s="51">
        <v>0</v>
      </c>
      <c r="F55" s="51">
        <v>0</v>
      </c>
      <c r="G55" s="51">
        <v>0</v>
      </c>
      <c r="H55" s="51">
        <v>0</v>
      </c>
      <c r="I55" s="51">
        <v>0</v>
      </c>
      <c r="J55" s="51">
        <v>0</v>
      </c>
      <c r="K55" s="51">
        <v>0</v>
      </c>
      <c r="L55" s="51">
        <v>0</v>
      </c>
      <c r="M55" s="51">
        <v>0</v>
      </c>
      <c r="N55" s="51">
        <f t="shared" si="1"/>
        <v>341.72</v>
      </c>
    </row>
    <row r="56" spans="1:14" ht="15" customHeight="1">
      <c r="A56" s="74">
        <v>902</v>
      </c>
      <c r="B56" s="51">
        <v>0</v>
      </c>
      <c r="C56" s="51">
        <v>0</v>
      </c>
      <c r="D56" s="51">
        <v>0</v>
      </c>
      <c r="E56" s="51">
        <v>0</v>
      </c>
      <c r="F56" s="51">
        <v>0</v>
      </c>
      <c r="G56" s="51">
        <v>0</v>
      </c>
      <c r="H56" s="51">
        <v>0</v>
      </c>
      <c r="I56" s="51">
        <v>0</v>
      </c>
      <c r="J56" s="51">
        <v>0</v>
      </c>
      <c r="K56" s="51">
        <v>0</v>
      </c>
      <c r="L56" s="51">
        <v>0</v>
      </c>
      <c r="M56" s="51">
        <v>0</v>
      </c>
      <c r="N56" s="51">
        <f t="shared" si="1"/>
        <v>0</v>
      </c>
    </row>
    <row r="57" spans="1:14" ht="15" customHeight="1">
      <c r="A57" s="74">
        <v>902</v>
      </c>
      <c r="B57" s="51">
        <v>3945.79</v>
      </c>
      <c r="C57" s="51">
        <v>1776</v>
      </c>
      <c r="D57" s="51">
        <v>924.33</v>
      </c>
      <c r="E57" s="51">
        <v>-737.65</v>
      </c>
      <c r="F57" s="51">
        <v>17.23</v>
      </c>
      <c r="G57" s="51">
        <v>0</v>
      </c>
      <c r="H57" s="51">
        <v>0</v>
      </c>
      <c r="I57" s="51">
        <v>0</v>
      </c>
      <c r="J57" s="51">
        <v>0</v>
      </c>
      <c r="K57" s="51">
        <v>0</v>
      </c>
      <c r="L57" s="51">
        <v>0</v>
      </c>
      <c r="M57" s="51">
        <v>0</v>
      </c>
      <c r="N57" s="51">
        <f t="shared" si="1"/>
        <v>5925.7</v>
      </c>
    </row>
    <row r="58" spans="1:14" ht="15" customHeight="1">
      <c r="A58" s="74">
        <v>903</v>
      </c>
      <c r="B58" s="51">
        <v>0</v>
      </c>
      <c r="C58" s="51">
        <v>15.25</v>
      </c>
      <c r="D58" s="51">
        <v>2.19</v>
      </c>
      <c r="E58" s="51">
        <v>0</v>
      </c>
      <c r="F58" s="51">
        <v>0</v>
      </c>
      <c r="G58" s="51">
        <v>0</v>
      </c>
      <c r="H58" s="51">
        <v>0</v>
      </c>
      <c r="I58" s="51">
        <v>0</v>
      </c>
      <c r="J58" s="51">
        <v>0</v>
      </c>
      <c r="K58" s="51">
        <v>0</v>
      </c>
      <c r="L58" s="51">
        <v>0</v>
      </c>
      <c r="M58" s="51">
        <v>0</v>
      </c>
      <c r="N58" s="51">
        <f t="shared" si="1"/>
        <v>17.440000000000001</v>
      </c>
    </row>
    <row r="59" spans="1:14" ht="15" customHeight="1">
      <c r="A59" s="74">
        <v>903</v>
      </c>
      <c r="B59" s="51">
        <v>683.95</v>
      </c>
      <c r="C59" s="51">
        <v>539.52</v>
      </c>
      <c r="D59" s="51">
        <v>159.54</v>
      </c>
      <c r="E59" s="51">
        <v>-744.16</v>
      </c>
      <c r="F59" s="51">
        <v>19.010000000000002</v>
      </c>
      <c r="G59" s="51">
        <v>0</v>
      </c>
      <c r="H59" s="51">
        <v>0</v>
      </c>
      <c r="I59" s="51">
        <v>0</v>
      </c>
      <c r="J59" s="51">
        <v>0</v>
      </c>
      <c r="K59" s="51">
        <v>0</v>
      </c>
      <c r="L59" s="51">
        <v>0</v>
      </c>
      <c r="M59" s="51">
        <v>0</v>
      </c>
      <c r="N59" s="51">
        <f t="shared" si="1"/>
        <v>657.86</v>
      </c>
    </row>
    <row r="60" spans="1:14" ht="15" customHeight="1">
      <c r="A60" s="74">
        <v>903</v>
      </c>
      <c r="B60" s="51">
        <v>7124.04</v>
      </c>
      <c r="C60" s="51">
        <v>5010.28</v>
      </c>
      <c r="D60" s="51">
        <v>4282.4399999999996</v>
      </c>
      <c r="E60" s="51">
        <v>-1606.93</v>
      </c>
      <c r="F60" s="51">
        <v>56.93</v>
      </c>
      <c r="G60" s="51">
        <v>0</v>
      </c>
      <c r="H60" s="51">
        <v>0</v>
      </c>
      <c r="I60" s="51">
        <v>0</v>
      </c>
      <c r="J60" s="51">
        <v>0</v>
      </c>
      <c r="K60" s="51">
        <v>0</v>
      </c>
      <c r="L60" s="51">
        <v>0</v>
      </c>
      <c r="M60" s="51">
        <v>0</v>
      </c>
      <c r="N60" s="51">
        <f t="shared" si="1"/>
        <v>14866.759999999998</v>
      </c>
    </row>
    <row r="61" spans="1:14" ht="15" customHeight="1">
      <c r="A61" s="74">
        <v>903</v>
      </c>
      <c r="B61" s="51">
        <v>152.15</v>
      </c>
      <c r="C61" s="51">
        <v>178.53</v>
      </c>
      <c r="D61" s="51">
        <v>41.52</v>
      </c>
      <c r="E61" s="51">
        <v>-31.18</v>
      </c>
      <c r="F61" s="51">
        <v>1.61</v>
      </c>
      <c r="G61" s="51">
        <v>0</v>
      </c>
      <c r="H61" s="51">
        <v>0</v>
      </c>
      <c r="I61" s="51">
        <v>0</v>
      </c>
      <c r="J61" s="51">
        <v>0</v>
      </c>
      <c r="K61" s="51">
        <v>0</v>
      </c>
      <c r="L61" s="51">
        <v>0</v>
      </c>
      <c r="M61" s="51">
        <v>0</v>
      </c>
      <c r="N61" s="51">
        <f t="shared" si="1"/>
        <v>342.63</v>
      </c>
    </row>
    <row r="62" spans="1:14" ht="15" customHeight="1">
      <c r="A62" s="74">
        <v>908</v>
      </c>
      <c r="B62" s="51">
        <v>288.05</v>
      </c>
      <c r="C62" s="51">
        <v>225.71</v>
      </c>
      <c r="D62" s="51">
        <v>49.2</v>
      </c>
      <c r="E62" s="51">
        <v>-246.43</v>
      </c>
      <c r="F62" s="51">
        <v>6.38</v>
      </c>
      <c r="G62" s="51">
        <v>0</v>
      </c>
      <c r="H62" s="51">
        <v>0</v>
      </c>
      <c r="I62" s="51">
        <v>0</v>
      </c>
      <c r="J62" s="51">
        <v>0</v>
      </c>
      <c r="K62" s="51">
        <v>0</v>
      </c>
      <c r="L62" s="51">
        <v>0</v>
      </c>
      <c r="M62" s="51">
        <v>0</v>
      </c>
      <c r="N62" s="51">
        <f t="shared" si="1"/>
        <v>322.91000000000003</v>
      </c>
    </row>
    <row r="63" spans="1:14" ht="15" customHeight="1">
      <c r="A63" s="74">
        <v>908</v>
      </c>
      <c r="B63" s="51">
        <v>5.69</v>
      </c>
      <c r="C63" s="51">
        <v>17.190000000000001</v>
      </c>
      <c r="D63" s="51">
        <v>3.19</v>
      </c>
      <c r="E63" s="51">
        <v>-17.149999999999999</v>
      </c>
      <c r="F63" s="51">
        <v>1.24</v>
      </c>
      <c r="G63" s="51">
        <v>0</v>
      </c>
      <c r="H63" s="51">
        <v>0</v>
      </c>
      <c r="I63" s="51">
        <v>0</v>
      </c>
      <c r="J63" s="51">
        <v>0</v>
      </c>
      <c r="K63" s="51">
        <v>0</v>
      </c>
      <c r="L63" s="51">
        <v>0</v>
      </c>
      <c r="M63" s="51">
        <v>0</v>
      </c>
      <c r="N63" s="51">
        <f t="shared" si="1"/>
        <v>10.160000000000005</v>
      </c>
    </row>
    <row r="64" spans="1:14" ht="15" customHeight="1">
      <c r="A64" s="74">
        <v>920</v>
      </c>
      <c r="B64" s="51">
        <v>11.04</v>
      </c>
      <c r="C64" s="51">
        <v>0</v>
      </c>
      <c r="D64" s="51">
        <v>5.67</v>
      </c>
      <c r="E64" s="51">
        <v>20.68</v>
      </c>
      <c r="F64" s="51">
        <v>0</v>
      </c>
      <c r="G64" s="51">
        <v>0</v>
      </c>
      <c r="H64" s="51">
        <v>0</v>
      </c>
      <c r="I64" s="51">
        <v>0</v>
      </c>
      <c r="J64" s="51">
        <v>0</v>
      </c>
      <c r="K64" s="51">
        <v>0</v>
      </c>
      <c r="L64" s="51">
        <v>0</v>
      </c>
      <c r="M64" s="51">
        <v>0</v>
      </c>
      <c r="N64" s="51">
        <f t="shared" si="1"/>
        <v>37.39</v>
      </c>
    </row>
    <row r="65" spans="1:14" ht="15" customHeight="1">
      <c r="A65" s="74">
        <v>921</v>
      </c>
      <c r="B65" s="51">
        <v>2174.38</v>
      </c>
      <c r="C65" s="51">
        <v>1809.79</v>
      </c>
      <c r="D65" s="51">
        <v>1290.68</v>
      </c>
      <c r="E65" s="51">
        <v>-2450.81</v>
      </c>
      <c r="F65" s="51">
        <v>53.15</v>
      </c>
      <c r="G65" s="51">
        <v>0</v>
      </c>
      <c r="H65" s="51">
        <v>0</v>
      </c>
      <c r="I65" s="51">
        <v>0</v>
      </c>
      <c r="J65" s="51">
        <v>0</v>
      </c>
      <c r="K65" s="51">
        <v>0</v>
      </c>
      <c r="L65" s="51">
        <v>0</v>
      </c>
      <c r="M65" s="51">
        <v>0</v>
      </c>
      <c r="N65" s="51">
        <f t="shared" si="1"/>
        <v>2877.1900000000005</v>
      </c>
    </row>
    <row r="66" spans="1:14" ht="15" customHeight="1">
      <c r="A66" s="74">
        <v>928</v>
      </c>
      <c r="B66" s="51">
        <v>5.54</v>
      </c>
      <c r="C66" s="51">
        <v>1.39</v>
      </c>
      <c r="D66" s="51">
        <v>0.11</v>
      </c>
      <c r="E66" s="51">
        <v>-2.64</v>
      </c>
      <c r="F66" s="51">
        <v>0.05</v>
      </c>
      <c r="G66" s="51">
        <v>0</v>
      </c>
      <c r="H66" s="51">
        <v>0</v>
      </c>
      <c r="I66" s="51">
        <v>0</v>
      </c>
      <c r="J66" s="51">
        <v>0</v>
      </c>
      <c r="K66" s="51">
        <v>0</v>
      </c>
      <c r="L66" s="51">
        <v>0</v>
      </c>
      <c r="M66" s="51">
        <v>0</v>
      </c>
      <c r="N66" s="51">
        <f t="shared" si="1"/>
        <v>4.45</v>
      </c>
    </row>
    <row r="67" spans="1:14" ht="15" customHeight="1">
      <c r="A67" s="74">
        <v>930</v>
      </c>
      <c r="B67" s="51">
        <v>19.170000000000002</v>
      </c>
      <c r="C67" s="51">
        <v>11.52</v>
      </c>
      <c r="D67" s="51">
        <v>2.87</v>
      </c>
      <c r="E67" s="51">
        <v>-9.1</v>
      </c>
      <c r="F67" s="51">
        <v>3.24</v>
      </c>
      <c r="G67" s="51">
        <v>0</v>
      </c>
      <c r="H67" s="51">
        <v>0</v>
      </c>
      <c r="I67" s="51">
        <v>0</v>
      </c>
      <c r="J67" s="51">
        <v>0</v>
      </c>
      <c r="K67" s="51">
        <v>0</v>
      </c>
      <c r="L67" s="51">
        <v>0</v>
      </c>
      <c r="M67" s="51">
        <v>0</v>
      </c>
      <c r="N67" s="51">
        <f t="shared" si="1"/>
        <v>27.700000000000003</v>
      </c>
    </row>
    <row r="68" spans="1:14" ht="15" customHeight="1">
      <c r="A68" s="74">
        <v>935</v>
      </c>
      <c r="B68" s="51">
        <v>4978.88</v>
      </c>
      <c r="C68" s="51">
        <v>3869.95</v>
      </c>
      <c r="D68" s="51">
        <v>2204.54</v>
      </c>
      <c r="E68" s="51">
        <v>-1303.1300000000001</v>
      </c>
      <c r="F68" s="51">
        <v>123.9</v>
      </c>
      <c r="G68" s="51">
        <v>0</v>
      </c>
      <c r="H68" s="51">
        <v>0</v>
      </c>
      <c r="I68" s="51">
        <v>0</v>
      </c>
      <c r="J68" s="51">
        <v>0</v>
      </c>
      <c r="K68" s="51">
        <v>0</v>
      </c>
      <c r="L68" s="51">
        <v>0</v>
      </c>
      <c r="M68" s="51">
        <v>0</v>
      </c>
      <c r="N68" s="51">
        <f t="shared" si="1"/>
        <v>9874.1399999999976</v>
      </c>
    </row>
    <row r="69" spans="1:14" ht="15" customHeight="1">
      <c r="A69" s="74">
        <v>935</v>
      </c>
      <c r="B69" s="51">
        <v>0</v>
      </c>
      <c r="C69" s="51">
        <v>24.12</v>
      </c>
      <c r="D69" s="51">
        <v>0</v>
      </c>
      <c r="E69" s="51">
        <v>0</v>
      </c>
      <c r="F69" s="51">
        <v>0</v>
      </c>
      <c r="G69" s="51">
        <v>0</v>
      </c>
      <c r="H69" s="51">
        <v>0</v>
      </c>
      <c r="I69" s="51">
        <v>0</v>
      </c>
      <c r="J69" s="51">
        <v>0</v>
      </c>
      <c r="K69" s="51">
        <v>0</v>
      </c>
      <c r="L69" s="51">
        <v>0</v>
      </c>
      <c r="M69" s="51">
        <v>0</v>
      </c>
      <c r="N69" s="51">
        <f t="shared" si="1"/>
        <v>24.12</v>
      </c>
    </row>
    <row r="70" spans="1:14" ht="15" customHeight="1"/>
    <row r="71" spans="1:14" ht="15" customHeight="1">
      <c r="A71" s="54" t="s">
        <v>158</v>
      </c>
      <c r="B71" s="51">
        <f t="shared" ref="B71:N71" si="2">SUM(B13:B69)</f>
        <v>247891.08000000002</v>
      </c>
      <c r="C71" s="51">
        <f t="shared" si="2"/>
        <v>225590.42000000007</v>
      </c>
      <c r="D71" s="51">
        <f t="shared" si="2"/>
        <v>222141.64000000004</v>
      </c>
      <c r="E71" s="51">
        <f t="shared" si="2"/>
        <v>-147885.44</v>
      </c>
      <c r="F71" s="51">
        <f t="shared" si="2"/>
        <v>11589.96</v>
      </c>
      <c r="G71" s="51">
        <f t="shared" si="2"/>
        <v>0</v>
      </c>
      <c r="H71" s="51">
        <f t="shared" si="2"/>
        <v>0</v>
      </c>
      <c r="I71" s="51">
        <f t="shared" si="2"/>
        <v>0</v>
      </c>
      <c r="J71" s="51">
        <f t="shared" si="2"/>
        <v>0</v>
      </c>
      <c r="K71" s="51">
        <f t="shared" si="2"/>
        <v>0</v>
      </c>
      <c r="L71" s="51">
        <f t="shared" si="2"/>
        <v>0</v>
      </c>
      <c r="M71" s="51">
        <f t="shared" si="2"/>
        <v>0</v>
      </c>
      <c r="N71" s="51">
        <f t="shared" si="2"/>
        <v>559327.65999999992</v>
      </c>
    </row>
    <row r="72" spans="1:14" ht="15" customHeight="1"/>
    <row r="73" spans="1:14" ht="15" customHeight="1">
      <c r="A73" s="54" t="s">
        <v>382</v>
      </c>
      <c r="B73" s="52">
        <f t="shared" ref="B73:N73" si="3">SUM(B13:B23)</f>
        <v>140407.91</v>
      </c>
      <c r="C73" s="52">
        <f t="shared" si="3"/>
        <v>130023.59000000001</v>
      </c>
      <c r="D73" s="52">
        <f t="shared" si="3"/>
        <v>141142.10999999999</v>
      </c>
      <c r="E73" s="52">
        <f t="shared" si="3"/>
        <v>-66168.02</v>
      </c>
      <c r="F73" s="52">
        <f t="shared" si="3"/>
        <v>4575.75</v>
      </c>
      <c r="G73" s="52">
        <f t="shared" si="3"/>
        <v>0</v>
      </c>
      <c r="H73" s="52">
        <f t="shared" si="3"/>
        <v>0</v>
      </c>
      <c r="I73" s="52">
        <f t="shared" si="3"/>
        <v>0</v>
      </c>
      <c r="J73" s="52">
        <f t="shared" si="3"/>
        <v>0</v>
      </c>
      <c r="K73" s="52">
        <f t="shared" si="3"/>
        <v>0</v>
      </c>
      <c r="L73" s="52">
        <f t="shared" si="3"/>
        <v>0</v>
      </c>
      <c r="M73" s="52">
        <f t="shared" si="3"/>
        <v>0</v>
      </c>
      <c r="N73" s="52">
        <f t="shared" si="3"/>
        <v>349981.34</v>
      </c>
    </row>
    <row r="74" spans="1:14" ht="15" customHeight="1">
      <c r="A74" s="54" t="s">
        <v>376</v>
      </c>
      <c r="B74" s="52">
        <f t="shared" ref="B74:N74" si="4">SUM(B28:B69)</f>
        <v>107466.97999999998</v>
      </c>
      <c r="C74" s="52">
        <f t="shared" si="4"/>
        <v>95277.670000000027</v>
      </c>
      <c r="D74" s="52">
        <f t="shared" si="4"/>
        <v>80999.529999999984</v>
      </c>
      <c r="E74" s="52">
        <f t="shared" si="4"/>
        <v>-81717.289999999994</v>
      </c>
      <c r="F74" s="52">
        <f t="shared" si="4"/>
        <v>7014.1299999999992</v>
      </c>
      <c r="G74" s="52">
        <f t="shared" si="4"/>
        <v>0</v>
      </c>
      <c r="H74" s="52">
        <f t="shared" si="4"/>
        <v>0</v>
      </c>
      <c r="I74" s="52">
        <f t="shared" si="4"/>
        <v>0</v>
      </c>
      <c r="J74" s="52">
        <f t="shared" si="4"/>
        <v>0</v>
      </c>
      <c r="K74" s="52">
        <f t="shared" si="4"/>
        <v>0</v>
      </c>
      <c r="L74" s="52">
        <f t="shared" si="4"/>
        <v>0</v>
      </c>
      <c r="M74" s="52">
        <f t="shared" si="4"/>
        <v>0</v>
      </c>
      <c r="N74" s="52">
        <f t="shared" si="4"/>
        <v>209041.02000000002</v>
      </c>
    </row>
    <row r="75" spans="1:14" ht="15" customHeight="1">
      <c r="A75" s="54" t="s">
        <v>161</v>
      </c>
      <c r="B75" s="89">
        <f t="shared" ref="B75:N75" si="5">SUM(B24:B27)</f>
        <v>16.190000000000001</v>
      </c>
      <c r="C75" s="89">
        <f t="shared" si="5"/>
        <v>289.16000000000003</v>
      </c>
      <c r="D75" s="89">
        <f t="shared" si="5"/>
        <v>0</v>
      </c>
      <c r="E75" s="89">
        <f t="shared" si="5"/>
        <v>-0.13</v>
      </c>
      <c r="F75" s="89">
        <f t="shared" si="5"/>
        <v>0.08</v>
      </c>
      <c r="G75" s="89">
        <f t="shared" si="5"/>
        <v>0</v>
      </c>
      <c r="H75" s="89">
        <f t="shared" si="5"/>
        <v>0</v>
      </c>
      <c r="I75" s="89">
        <f t="shared" si="5"/>
        <v>0</v>
      </c>
      <c r="J75" s="89">
        <f t="shared" si="5"/>
        <v>0</v>
      </c>
      <c r="K75" s="89">
        <f t="shared" si="5"/>
        <v>0</v>
      </c>
      <c r="L75" s="89">
        <f t="shared" si="5"/>
        <v>0</v>
      </c>
      <c r="M75" s="89">
        <f t="shared" si="5"/>
        <v>0</v>
      </c>
      <c r="N75" s="89">
        <f t="shared" si="5"/>
        <v>305.3</v>
      </c>
    </row>
    <row r="76" spans="1:14" ht="15" customHeight="1" thickBot="1">
      <c r="A76" s="40" t="s">
        <v>158</v>
      </c>
      <c r="B76" s="121">
        <f t="shared" ref="B76:N76" si="6">SUM(B73:B75)</f>
        <v>247891.08</v>
      </c>
      <c r="C76" s="121">
        <f t="shared" si="6"/>
        <v>225590.42000000004</v>
      </c>
      <c r="D76" s="121">
        <f t="shared" si="6"/>
        <v>222141.63999999996</v>
      </c>
      <c r="E76" s="121">
        <f t="shared" si="6"/>
        <v>-147885.44</v>
      </c>
      <c r="F76" s="121">
        <f t="shared" si="6"/>
        <v>11589.96</v>
      </c>
      <c r="G76" s="121">
        <f t="shared" si="6"/>
        <v>0</v>
      </c>
      <c r="H76" s="121">
        <f t="shared" si="6"/>
        <v>0</v>
      </c>
      <c r="I76" s="121">
        <f t="shared" si="6"/>
        <v>0</v>
      </c>
      <c r="J76" s="121">
        <f t="shared" si="6"/>
        <v>0</v>
      </c>
      <c r="K76" s="121">
        <f t="shared" si="6"/>
        <v>0</v>
      </c>
      <c r="L76" s="121">
        <f t="shared" si="6"/>
        <v>0</v>
      </c>
      <c r="M76" s="121">
        <f t="shared" si="6"/>
        <v>0</v>
      </c>
      <c r="N76" s="121">
        <f t="shared" si="6"/>
        <v>559327.66000000015</v>
      </c>
    </row>
    <row r="77" spans="1:14" ht="15" customHeight="1" thickTop="1">
      <c r="B77" s="63"/>
      <c r="C77" s="63"/>
      <c r="D77" s="63"/>
      <c r="E77" s="63"/>
      <c r="F77" s="63"/>
      <c r="G77" s="63"/>
      <c r="H77" s="63"/>
      <c r="I77" s="63"/>
      <c r="J77" s="63"/>
      <c r="K77" s="63"/>
      <c r="L77" s="63"/>
      <c r="M77" s="63"/>
      <c r="N77" s="63"/>
    </row>
    <row r="78" spans="1:14" ht="15" customHeight="1">
      <c r="A78" s="44" t="s">
        <v>2</v>
      </c>
      <c r="B78" s="711" t="s">
        <v>3</v>
      </c>
      <c r="C78" s="709"/>
      <c r="D78" s="709"/>
    </row>
  </sheetData>
  <mergeCells count="6">
    <mergeCell ref="B78:D78"/>
    <mergeCell ref="A1:E1"/>
    <mergeCell ref="A2:E2"/>
    <mergeCell ref="A3:E3"/>
    <mergeCell ref="A4:E4"/>
    <mergeCell ref="B10:N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7DE0F-E74F-40E5-B074-168C8C9B871F}">
  <dimension ref="A1:N26"/>
  <sheetViews>
    <sheetView showRuler="0" workbookViewId="0">
      <selection activeCell="F19" sqref="F19"/>
    </sheetView>
  </sheetViews>
  <sheetFormatPr defaultColWidth="13.7265625" defaultRowHeight="12.5"/>
  <cols>
    <col min="1" max="1" width="51.453125" style="213" customWidth="1"/>
    <col min="2" max="4" width="18" style="213" customWidth="1"/>
    <col min="5" max="5" width="2.453125" style="213" customWidth="1"/>
    <col min="6" max="8" width="18" style="213" customWidth="1"/>
    <col min="9" max="9" width="13.7265625" style="213" customWidth="1"/>
    <col min="10" max="10" width="4.26953125" style="213" customWidth="1"/>
    <col min="11" max="11" width="48.81640625" style="213" customWidth="1"/>
    <col min="12" max="16384" width="13.7265625" style="213"/>
  </cols>
  <sheetData>
    <row r="1" spans="1:14" ht="15" customHeight="1">
      <c r="A1" s="745" t="s">
        <v>0</v>
      </c>
      <c r="B1" s="744"/>
      <c r="C1" s="744"/>
    </row>
    <row r="2" spans="1:14" ht="15" customHeight="1">
      <c r="A2" s="743" t="s">
        <v>396</v>
      </c>
      <c r="B2" s="744"/>
      <c r="C2" s="744"/>
      <c r="D2" s="744"/>
    </row>
    <row r="3" spans="1:14" ht="15" customHeight="1">
      <c r="A3" s="743" t="s">
        <v>395</v>
      </c>
      <c r="B3" s="744"/>
      <c r="C3" s="744"/>
      <c r="L3" s="209"/>
      <c r="M3" s="209"/>
      <c r="N3" s="209"/>
    </row>
    <row r="4" spans="1:14" ht="15" customHeight="1">
      <c r="A4" s="745" t="s">
        <v>119</v>
      </c>
      <c r="B4" s="744"/>
      <c r="C4" s="744"/>
      <c r="D4" s="744"/>
      <c r="E4" s="744"/>
      <c r="F4" s="744"/>
      <c r="L4" s="209"/>
      <c r="M4" s="209"/>
      <c r="N4" s="209"/>
    </row>
    <row r="5" spans="1:14" ht="15" customHeight="1">
      <c r="A5" s="209"/>
      <c r="B5" s="214"/>
      <c r="C5" s="739"/>
      <c r="D5" s="739"/>
      <c r="E5" s="212"/>
      <c r="F5" s="739"/>
      <c r="G5" s="739"/>
      <c r="H5" s="739"/>
      <c r="I5" s="740"/>
      <c r="J5" s="209"/>
      <c r="K5" s="215"/>
      <c r="L5" s="212"/>
      <c r="M5" s="212"/>
      <c r="N5" s="212"/>
    </row>
    <row r="6" spans="1:14" ht="16.75" customHeight="1">
      <c r="A6" s="216"/>
      <c r="B6" s="742" t="s">
        <v>394</v>
      </c>
      <c r="C6" s="742"/>
      <c r="D6" s="742"/>
      <c r="E6" s="217"/>
      <c r="F6" s="742" t="s">
        <v>393</v>
      </c>
      <c r="G6" s="742"/>
      <c r="H6" s="742"/>
      <c r="I6" s="218"/>
      <c r="J6" s="209"/>
      <c r="K6" s="215"/>
      <c r="L6" s="215"/>
      <c r="M6" s="215"/>
      <c r="N6" s="215"/>
    </row>
    <row r="7" spans="1:14" ht="15" customHeight="1">
      <c r="A7" s="216"/>
      <c r="B7" s="219" t="s">
        <v>390</v>
      </c>
      <c r="C7" s="220" t="s">
        <v>389</v>
      </c>
      <c r="D7" s="220" t="s">
        <v>158</v>
      </c>
      <c r="E7" s="221"/>
      <c r="F7" s="219" t="s">
        <v>390</v>
      </c>
      <c r="G7" s="220" t="s">
        <v>389</v>
      </c>
      <c r="H7" s="220" t="s">
        <v>158</v>
      </c>
      <c r="I7" s="222"/>
      <c r="J7" s="209"/>
      <c r="K7" s="209"/>
      <c r="L7" s="209"/>
      <c r="M7" s="209"/>
      <c r="N7" s="209"/>
    </row>
    <row r="8" spans="1:14" ht="16.75" customHeight="1">
      <c r="A8" s="209" t="s">
        <v>388</v>
      </c>
      <c r="B8" s="223">
        <v>1471839</v>
      </c>
      <c r="C8" s="223">
        <v>-2317389</v>
      </c>
      <c r="D8" s="223">
        <f>SUM(B8:C8)</f>
        <v>-845550</v>
      </c>
      <c r="E8" s="209"/>
      <c r="F8" s="223">
        <v>468145.56</v>
      </c>
      <c r="G8" s="223">
        <v>-1481897.56</v>
      </c>
      <c r="H8" s="223">
        <f>SUM(F8:G8)</f>
        <v>-1013752</v>
      </c>
      <c r="I8" s="209"/>
      <c r="J8" s="209"/>
      <c r="K8" s="209"/>
      <c r="L8" s="209"/>
      <c r="M8" s="209"/>
      <c r="N8" s="209"/>
    </row>
    <row r="9" spans="1:14" ht="16.75" customHeight="1">
      <c r="A9" s="209" t="s">
        <v>387</v>
      </c>
      <c r="B9" s="224">
        <v>1891</v>
      </c>
      <c r="C9" s="224">
        <v>743</v>
      </c>
      <c r="D9" s="224">
        <f>SUM(B9:C9)</f>
        <v>2634</v>
      </c>
      <c r="E9" s="209"/>
      <c r="F9" s="224">
        <v>51.52</v>
      </c>
      <c r="G9" s="224">
        <v>177.52</v>
      </c>
      <c r="H9" s="224">
        <f>SUM(F9:G9)</f>
        <v>229.04000000000002</v>
      </c>
      <c r="I9" s="209"/>
      <c r="J9" s="209"/>
      <c r="K9" s="209"/>
      <c r="L9" s="209"/>
      <c r="M9" s="209"/>
      <c r="N9" s="209"/>
    </row>
    <row r="10" spans="1:14" ht="16.75" customHeight="1">
      <c r="A10" s="209" t="s">
        <v>386</v>
      </c>
      <c r="B10" s="225">
        <v>62842</v>
      </c>
      <c r="C10" s="225">
        <v>-3344600</v>
      </c>
      <c r="D10" s="225">
        <f>SUM(B10:C10)</f>
        <v>-3281758</v>
      </c>
      <c r="E10" s="209"/>
      <c r="F10" s="225">
        <v>38610.04</v>
      </c>
      <c r="G10" s="225">
        <v>-432770.56</v>
      </c>
      <c r="H10" s="225">
        <f>SUM(F10:G10)</f>
        <v>-394160.52</v>
      </c>
      <c r="I10" s="209"/>
      <c r="J10" s="209"/>
      <c r="K10" s="209"/>
      <c r="L10" s="209"/>
      <c r="M10" s="209"/>
      <c r="N10" s="209"/>
    </row>
    <row r="11" spans="1:14" ht="15" customHeight="1" thickBot="1">
      <c r="A11" s="226" t="s">
        <v>158</v>
      </c>
      <c r="B11" s="227">
        <f>SUM(B8:B10)</f>
        <v>1536572</v>
      </c>
      <c r="C11" s="227">
        <f>SUM(C8:C10)</f>
        <v>-5661246</v>
      </c>
      <c r="D11" s="227">
        <f>SUM(D8:D10)</f>
        <v>-4124674</v>
      </c>
      <c r="E11" s="226"/>
      <c r="F11" s="227">
        <f>SUM(F8:F10)</f>
        <v>506807.12</v>
      </c>
      <c r="G11" s="227">
        <f>SUM(G8:G10)</f>
        <v>-1914490.6</v>
      </c>
      <c r="H11" s="227">
        <f>SUM(H8:H10)</f>
        <v>-1407683.48</v>
      </c>
      <c r="I11" s="209"/>
      <c r="J11" s="209"/>
      <c r="K11" s="209"/>
      <c r="L11" s="209"/>
      <c r="M11" s="209"/>
      <c r="N11" s="209"/>
    </row>
    <row r="12" spans="1:14" ht="15" customHeight="1" thickTop="1">
      <c r="A12" s="209"/>
      <c r="B12" s="228"/>
      <c r="C12" s="228"/>
      <c r="D12" s="228"/>
      <c r="E12" s="209"/>
      <c r="F12" s="229"/>
      <c r="G12" s="229"/>
      <c r="H12" s="229"/>
      <c r="I12" s="209"/>
      <c r="J12" s="209"/>
      <c r="K12" s="209"/>
      <c r="L12" s="209"/>
      <c r="M12" s="209"/>
      <c r="N12" s="209"/>
    </row>
    <row r="13" spans="1:14" ht="15" customHeight="1">
      <c r="A13" s="210"/>
      <c r="B13" s="210"/>
      <c r="C13" s="210"/>
      <c r="D13" s="210"/>
      <c r="E13" s="230">
        <v>1</v>
      </c>
      <c r="F13" s="741" t="s">
        <v>392</v>
      </c>
      <c r="G13" s="741"/>
      <c r="H13" s="741"/>
      <c r="I13" s="222"/>
      <c r="J13" s="209"/>
      <c r="K13" s="209"/>
      <c r="L13" s="209"/>
      <c r="M13" s="209"/>
      <c r="N13" s="209"/>
    </row>
    <row r="14" spans="1:14" ht="27" customHeight="1">
      <c r="A14" s="210"/>
      <c r="B14" s="210"/>
      <c r="E14" s="216"/>
      <c r="F14" s="741"/>
      <c r="G14" s="741"/>
      <c r="H14" s="741"/>
      <c r="I14" s="222"/>
      <c r="J14" s="209"/>
      <c r="K14" s="209"/>
      <c r="L14" s="209"/>
      <c r="M14" s="209"/>
      <c r="N14" s="209"/>
    </row>
    <row r="15" spans="1:14" ht="15" customHeight="1">
      <c r="A15" s="209"/>
      <c r="B15" s="214"/>
      <c r="C15" s="214"/>
      <c r="D15" s="214"/>
      <c r="E15" s="209"/>
      <c r="F15" s="231"/>
      <c r="G15" s="231"/>
      <c r="H15" s="231"/>
      <c r="I15" s="209"/>
      <c r="J15" s="209"/>
      <c r="K15" s="209"/>
      <c r="L15" s="209"/>
      <c r="M15" s="209"/>
      <c r="N15" s="209"/>
    </row>
    <row r="16" spans="1:14" ht="15" customHeight="1">
      <c r="A16" s="216"/>
      <c r="B16" s="742" t="s">
        <v>391</v>
      </c>
      <c r="C16" s="742"/>
      <c r="D16" s="742"/>
      <c r="E16" s="222"/>
      <c r="F16" s="209"/>
      <c r="G16" s="209"/>
      <c r="H16" s="209"/>
      <c r="I16" s="209"/>
      <c r="J16" s="209"/>
      <c r="K16" s="215"/>
      <c r="L16" s="212"/>
      <c r="M16" s="212"/>
      <c r="N16" s="212"/>
    </row>
    <row r="17" spans="1:14" ht="15" customHeight="1">
      <c r="A17" s="216"/>
      <c r="B17" s="219" t="s">
        <v>390</v>
      </c>
      <c r="C17" s="220" t="s">
        <v>389</v>
      </c>
      <c r="D17" s="220" t="s">
        <v>158</v>
      </c>
      <c r="E17" s="222"/>
      <c r="F17" s="209"/>
      <c r="G17" s="209"/>
      <c r="H17" s="209"/>
      <c r="I17" s="209"/>
      <c r="J17" s="209"/>
      <c r="K17" s="215"/>
      <c r="L17" s="212"/>
      <c r="M17" s="212"/>
      <c r="N17" s="212"/>
    </row>
    <row r="18" spans="1:14" ht="16.75" customHeight="1">
      <c r="A18" s="209" t="s">
        <v>388</v>
      </c>
      <c r="B18" s="223">
        <f t="shared" ref="B18:C20" si="0">B8+F8</f>
        <v>1939984.56</v>
      </c>
      <c r="C18" s="223">
        <f t="shared" si="0"/>
        <v>-3799286.56</v>
      </c>
      <c r="D18" s="223">
        <f>B18+C18</f>
        <v>-1859302</v>
      </c>
      <c r="E18" s="209"/>
      <c r="F18" s="209"/>
      <c r="G18" s="209"/>
      <c r="H18" s="209"/>
      <c r="I18" s="209"/>
      <c r="J18" s="209"/>
      <c r="K18" s="209"/>
      <c r="L18" s="209"/>
      <c r="M18" s="209"/>
      <c r="N18" s="209"/>
    </row>
    <row r="19" spans="1:14" ht="16.75" customHeight="1">
      <c r="A19" s="209" t="s">
        <v>387</v>
      </c>
      <c r="B19" s="224">
        <f t="shared" si="0"/>
        <v>1942.52</v>
      </c>
      <c r="C19" s="224">
        <f t="shared" si="0"/>
        <v>920.52</v>
      </c>
      <c r="D19" s="224">
        <f>B19+C19</f>
        <v>2863.04</v>
      </c>
      <c r="E19" s="209"/>
      <c r="F19" s="209"/>
      <c r="G19" s="209"/>
      <c r="H19" s="209"/>
      <c r="I19" s="209"/>
      <c r="J19" s="209"/>
      <c r="K19" s="209"/>
      <c r="L19" s="209"/>
      <c r="M19" s="209"/>
      <c r="N19" s="209"/>
    </row>
    <row r="20" spans="1:14" ht="16.75" customHeight="1">
      <c r="A20" s="209" t="s">
        <v>386</v>
      </c>
      <c r="B20" s="225">
        <f t="shared" si="0"/>
        <v>101452.04000000001</v>
      </c>
      <c r="C20" s="225">
        <f t="shared" si="0"/>
        <v>-3777370.56</v>
      </c>
      <c r="D20" s="225">
        <f>B20+C20</f>
        <v>-3675918.52</v>
      </c>
      <c r="E20" s="209"/>
      <c r="F20" s="209"/>
      <c r="G20" s="209"/>
      <c r="H20" s="209"/>
      <c r="I20" s="209"/>
      <c r="J20" s="209"/>
      <c r="K20" s="209"/>
      <c r="L20" s="209"/>
      <c r="M20" s="209"/>
      <c r="N20" s="209"/>
    </row>
    <row r="21" spans="1:14" ht="16.75" customHeight="1" thickBot="1">
      <c r="A21" s="232" t="s">
        <v>158</v>
      </c>
      <c r="B21" s="233">
        <f>SUM(B18:B20)</f>
        <v>2043379.12</v>
      </c>
      <c r="C21" s="233">
        <f>SUM(C18:C20)</f>
        <v>-7575736.5999999996</v>
      </c>
      <c r="D21" s="233">
        <f>SUM(D18:D20)</f>
        <v>-5532357.4800000004</v>
      </c>
      <c r="E21" s="222"/>
      <c r="F21" s="209"/>
      <c r="G21" s="209"/>
      <c r="H21" s="209"/>
      <c r="I21" s="209"/>
      <c r="J21" s="209"/>
      <c r="K21" s="209"/>
      <c r="L21" s="209"/>
      <c r="M21" s="209"/>
      <c r="N21" s="209"/>
    </row>
    <row r="22" spans="1:14" ht="15" customHeight="1" thickTop="1">
      <c r="A22" s="209"/>
      <c r="B22" s="228"/>
      <c r="C22" s="228"/>
      <c r="D22" s="228"/>
      <c r="E22" s="209"/>
      <c r="F22" s="209"/>
      <c r="G22" s="209"/>
      <c r="H22" s="209"/>
      <c r="I22" s="209"/>
      <c r="J22" s="209"/>
      <c r="K22" s="209"/>
      <c r="L22" s="209"/>
      <c r="M22" s="209"/>
      <c r="N22" s="209"/>
    </row>
    <row r="23" spans="1:14" ht="15" customHeight="1"/>
    <row r="24" spans="1:14" ht="15" customHeight="1"/>
    <row r="25" spans="1:14" ht="15" customHeight="1">
      <c r="A25" s="208" t="s">
        <v>2</v>
      </c>
      <c r="B25" s="208" t="s">
        <v>3</v>
      </c>
    </row>
    <row r="26" spans="1:14" ht="15" customHeight="1"/>
  </sheetData>
  <mergeCells count="11">
    <mergeCell ref="H5:I5"/>
    <mergeCell ref="F13:H14"/>
    <mergeCell ref="B16:D16"/>
    <mergeCell ref="A2:D2"/>
    <mergeCell ref="A1:C1"/>
    <mergeCell ref="A4:F4"/>
    <mergeCell ref="A3:C3"/>
    <mergeCell ref="B6:D6"/>
    <mergeCell ref="C5:D5"/>
    <mergeCell ref="F5:G5"/>
    <mergeCell ref="F6:H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74983-71BE-4103-9F59-AB381BDDF523}">
  <dimension ref="A1:G26"/>
  <sheetViews>
    <sheetView showRuler="0" workbookViewId="0">
      <selection sqref="A1:C1"/>
    </sheetView>
  </sheetViews>
  <sheetFormatPr defaultColWidth="13.7265625" defaultRowHeight="12.5"/>
  <cols>
    <col min="1" max="1" width="40" style="41" customWidth="1"/>
    <col min="2" max="2" width="19.81640625" style="41" customWidth="1"/>
    <col min="3" max="3" width="14.81640625" style="41" customWidth="1"/>
    <col min="4" max="4" width="23.7265625" style="41" customWidth="1"/>
    <col min="5" max="6" width="16" style="41" customWidth="1"/>
    <col min="7" max="16384" width="13.7265625" style="41"/>
  </cols>
  <sheetData>
    <row r="1" spans="1:7" ht="15" customHeight="1">
      <c r="A1" s="711" t="s">
        <v>0</v>
      </c>
      <c r="B1" s="709"/>
      <c r="C1" s="709"/>
    </row>
    <row r="2" spans="1:7" ht="15" customHeight="1">
      <c r="A2" s="712" t="s">
        <v>396</v>
      </c>
      <c r="B2" s="709"/>
      <c r="C2" s="709"/>
      <c r="D2" s="709"/>
    </row>
    <row r="3" spans="1:7" ht="15" customHeight="1">
      <c r="A3" s="712" t="s">
        <v>408</v>
      </c>
      <c r="B3" s="709"/>
      <c r="C3" s="709"/>
    </row>
    <row r="4" spans="1:7" ht="15" customHeight="1">
      <c r="A4" s="711" t="s">
        <v>119</v>
      </c>
      <c r="B4" s="709"/>
      <c r="C4" s="709"/>
      <c r="D4" s="709"/>
      <c r="E4" s="709"/>
    </row>
    <row r="5" spans="1:7" ht="15" customHeight="1"/>
    <row r="6" spans="1:7" ht="15" customHeight="1"/>
    <row r="7" spans="1:7" ht="15" customHeight="1">
      <c r="A7" s="54"/>
      <c r="B7" s="54"/>
      <c r="C7" s="65"/>
      <c r="D7" s="65"/>
      <c r="E7" s="54"/>
      <c r="F7" s="54"/>
    </row>
    <row r="8" spans="1:7" ht="27.65" customHeight="1">
      <c r="A8" s="65"/>
      <c r="B8" s="129"/>
      <c r="C8" s="93" t="s">
        <v>306</v>
      </c>
      <c r="D8" s="71" t="s">
        <v>407</v>
      </c>
      <c r="E8" s="128"/>
      <c r="F8" s="127"/>
    </row>
    <row r="9" spans="1:7" ht="16.75" customHeight="1">
      <c r="A9" s="93" t="s">
        <v>179</v>
      </c>
      <c r="B9" s="93"/>
      <c r="C9" s="117">
        <v>2023</v>
      </c>
      <c r="D9" s="93"/>
      <c r="E9" s="93"/>
      <c r="F9" s="93"/>
      <c r="G9" s="59"/>
    </row>
    <row r="10" spans="1:7" ht="15" customHeight="1">
      <c r="A10" s="93" t="s">
        <v>177</v>
      </c>
      <c r="B10" s="93" t="s">
        <v>257</v>
      </c>
      <c r="C10" s="117">
        <v>1</v>
      </c>
      <c r="D10" s="117">
        <v>2</v>
      </c>
      <c r="E10" s="117">
        <v>3</v>
      </c>
      <c r="F10" s="93" t="s">
        <v>172</v>
      </c>
      <c r="G10" s="59"/>
    </row>
    <row r="11" spans="1:7" ht="16.75" customHeight="1">
      <c r="A11" s="58" t="s">
        <v>406</v>
      </c>
      <c r="B11" s="58" t="s">
        <v>400</v>
      </c>
      <c r="C11" s="56">
        <v>41871.839999999997</v>
      </c>
      <c r="D11" s="56">
        <v>41871.839999999997</v>
      </c>
      <c r="E11" s="56">
        <v>33292.71</v>
      </c>
      <c r="F11" s="56">
        <v>117036.39</v>
      </c>
    </row>
    <row r="12" spans="1:7" ht="16.75" customHeight="1">
      <c r="A12" s="54" t="s">
        <v>405</v>
      </c>
      <c r="B12" s="54" t="s">
        <v>400</v>
      </c>
      <c r="C12" s="52">
        <v>3215.42</v>
      </c>
      <c r="D12" s="52">
        <v>3215.42</v>
      </c>
      <c r="E12" s="52">
        <v>3221.67</v>
      </c>
      <c r="F12" s="52">
        <v>9652.51</v>
      </c>
    </row>
    <row r="13" spans="1:7" ht="16.75" customHeight="1">
      <c r="A13" s="54" t="s">
        <v>404</v>
      </c>
      <c r="B13" s="54" t="s">
        <v>400</v>
      </c>
      <c r="C13" s="52">
        <v>15.92</v>
      </c>
      <c r="D13" s="52">
        <v>15.92</v>
      </c>
      <c r="E13" s="52">
        <v>-18.96</v>
      </c>
      <c r="F13" s="52">
        <v>12.88</v>
      </c>
    </row>
    <row r="14" spans="1:7" ht="16.75" customHeight="1">
      <c r="A14" s="54" t="s">
        <v>403</v>
      </c>
      <c r="B14" s="54" t="s">
        <v>400</v>
      </c>
      <c r="C14" s="52">
        <v>23.88</v>
      </c>
      <c r="D14" s="52">
        <v>23.88</v>
      </c>
      <c r="E14" s="52">
        <v>-3.38</v>
      </c>
      <c r="F14" s="52">
        <v>44.38</v>
      </c>
    </row>
    <row r="15" spans="1:7" ht="16.75" customHeight="1">
      <c r="A15" s="54" t="s">
        <v>402</v>
      </c>
      <c r="B15" s="54" t="s">
        <v>400</v>
      </c>
      <c r="C15" s="52">
        <v>-36361.089999999997</v>
      </c>
      <c r="D15" s="52">
        <v>-36361.089999999997</v>
      </c>
      <c r="E15" s="52">
        <v>-35470.46</v>
      </c>
      <c r="F15" s="52">
        <v>-108192.64</v>
      </c>
    </row>
    <row r="16" spans="1:7" ht="16.75" customHeight="1">
      <c r="A16" s="54" t="s">
        <v>401</v>
      </c>
      <c r="B16" s="54" t="s">
        <v>400</v>
      </c>
      <c r="C16" s="89">
        <v>-123170.17</v>
      </c>
      <c r="D16" s="89">
        <v>-123170.17</v>
      </c>
      <c r="E16" s="89">
        <v>-124134.05</v>
      </c>
      <c r="F16" s="89">
        <v>-370474.39</v>
      </c>
    </row>
    <row r="17" spans="1:6" ht="16.75" customHeight="1" thickBot="1">
      <c r="A17" s="40" t="s">
        <v>172</v>
      </c>
      <c r="B17" s="40"/>
      <c r="C17" s="121">
        <f>SUM(C11:C16)</f>
        <v>-114404.20000000001</v>
      </c>
      <c r="D17" s="121">
        <f>SUM(D11:D16)</f>
        <v>-114404.20000000001</v>
      </c>
      <c r="E17" s="121">
        <f>SUM(E11:E16)</f>
        <v>-123112.47</v>
      </c>
      <c r="F17" s="121">
        <f>SUM(F11:F16)</f>
        <v>-351920.87</v>
      </c>
    </row>
    <row r="18" spans="1:6" ht="16.75" customHeight="1" thickTop="1">
      <c r="A18" s="54"/>
      <c r="B18" s="54"/>
      <c r="C18" s="63"/>
      <c r="D18" s="63"/>
      <c r="E18" s="63"/>
      <c r="F18" s="63"/>
    </row>
    <row r="19" spans="1:6" ht="16.75" customHeight="1">
      <c r="C19" s="54"/>
      <c r="D19" s="54"/>
      <c r="E19" s="54"/>
      <c r="F19" s="54"/>
    </row>
    <row r="20" spans="1:6" ht="16.75" customHeight="1">
      <c r="C20" s="54"/>
      <c r="D20" s="712" t="s">
        <v>399</v>
      </c>
      <c r="E20" s="712"/>
      <c r="F20" s="52">
        <f>(F11+F12+F13)*4</f>
        <v>506807.12</v>
      </c>
    </row>
    <row r="21" spans="1:6" ht="16.75" customHeight="1">
      <c r="C21" s="54"/>
      <c r="D21" s="712" t="s">
        <v>398</v>
      </c>
      <c r="E21" s="712"/>
      <c r="F21" s="89">
        <f>(F14+F15+F16)*4</f>
        <v>-1914490.6</v>
      </c>
    </row>
    <row r="22" spans="1:6" ht="16.75" customHeight="1" thickBot="1">
      <c r="B22" s="54"/>
      <c r="D22" s="712" t="s">
        <v>397</v>
      </c>
      <c r="E22" s="712"/>
      <c r="F22" s="121">
        <f>F20+F21</f>
        <v>-1407683.48</v>
      </c>
    </row>
    <row r="23" spans="1:6" ht="15" customHeight="1" thickTop="1">
      <c r="A23" s="54"/>
      <c r="D23" s="54"/>
      <c r="E23" s="54"/>
      <c r="F23" s="63"/>
    </row>
    <row r="24" spans="1:6" ht="15" customHeight="1">
      <c r="A24" s="54"/>
      <c r="D24" s="54"/>
      <c r="E24" s="54"/>
      <c r="F24" s="54"/>
    </row>
    <row r="25" spans="1:6" ht="15" customHeight="1"/>
    <row r="26" spans="1:6" ht="15" customHeight="1">
      <c r="A26" s="44" t="s">
        <v>2</v>
      </c>
      <c r="B26" s="44" t="s">
        <v>3</v>
      </c>
    </row>
  </sheetData>
  <mergeCells count="7">
    <mergeCell ref="D22:E22"/>
    <mergeCell ref="D21:E21"/>
    <mergeCell ref="A2:D2"/>
    <mergeCell ref="A1:C1"/>
    <mergeCell ref="A4:E4"/>
    <mergeCell ref="A3:C3"/>
    <mergeCell ref="D20:E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F52F5-25E2-4CB6-AA9A-A0359BFA88D7}">
  <dimension ref="A1:H32"/>
  <sheetViews>
    <sheetView workbookViewId="0">
      <selection activeCell="H43" sqref="H43"/>
    </sheetView>
  </sheetViews>
  <sheetFormatPr defaultColWidth="9.1796875" defaultRowHeight="12.5"/>
  <cols>
    <col min="1" max="1" width="4.453125" style="480" bestFit="1" customWidth="1"/>
    <col min="2" max="2" width="2.7265625" style="481" customWidth="1"/>
    <col min="3" max="3" width="8.7265625" style="481" customWidth="1"/>
    <col min="4" max="4" width="42.453125" style="481" customWidth="1"/>
    <col min="5" max="5" width="13.1796875" style="482" bestFit="1" customWidth="1"/>
    <col min="6" max="6" width="12" style="481" customWidth="1"/>
    <col min="7" max="7" width="17" style="481" bestFit="1" customWidth="1"/>
    <col min="8" max="8" width="15.453125" style="481" customWidth="1"/>
    <col min="9" max="16384" width="9.1796875" style="481"/>
  </cols>
  <sheetData>
    <row r="1" spans="1:8" ht="12.75" customHeight="1">
      <c r="A1" s="711" t="s">
        <v>0</v>
      </c>
      <c r="B1" s="709"/>
      <c r="C1" s="709"/>
      <c r="D1" s="41"/>
      <c r="E1" s="41"/>
      <c r="F1" s="41"/>
      <c r="G1" s="41"/>
      <c r="H1" s="483"/>
    </row>
    <row r="2" spans="1:8" ht="12.75" customHeight="1">
      <c r="A2" s="747" t="s">
        <v>1089</v>
      </c>
      <c r="B2" s="709"/>
      <c r="C2" s="709"/>
      <c r="D2" s="709"/>
      <c r="E2" s="709"/>
      <c r="F2" s="709"/>
      <c r="G2" s="709"/>
      <c r="H2" s="484"/>
    </row>
    <row r="3" spans="1:8" ht="12.75" customHeight="1">
      <c r="A3" s="747" t="s">
        <v>988</v>
      </c>
      <c r="B3" s="709"/>
      <c r="C3" s="709"/>
      <c r="D3" s="709"/>
      <c r="E3" s="709"/>
      <c r="F3" s="709"/>
      <c r="G3" s="709"/>
      <c r="H3" s="483"/>
    </row>
    <row r="4" spans="1:8" ht="12.75" customHeight="1">
      <c r="A4" s="711" t="s">
        <v>119</v>
      </c>
      <c r="B4" s="709"/>
      <c r="C4" s="709"/>
      <c r="D4" s="709"/>
      <c r="E4" s="709"/>
      <c r="F4" s="709"/>
      <c r="G4" s="709"/>
      <c r="H4" s="483"/>
    </row>
    <row r="5" spans="1:8" ht="6" customHeight="1">
      <c r="A5" s="485"/>
    </row>
    <row r="6" spans="1:8">
      <c r="A6" s="541"/>
      <c r="B6" s="541"/>
      <c r="C6" s="541"/>
      <c r="D6" s="541"/>
      <c r="E6" s="541"/>
    </row>
    <row r="7" spans="1:8" ht="6" customHeight="1">
      <c r="A7" s="485"/>
    </row>
    <row r="8" spans="1:8">
      <c r="E8" s="481"/>
      <c r="F8" s="486"/>
      <c r="G8" s="487" t="s">
        <v>989</v>
      </c>
    </row>
    <row r="9" spans="1:8" s="489" customFormat="1">
      <c r="A9" s="488" t="s">
        <v>929</v>
      </c>
      <c r="B9" s="748" t="s">
        <v>417</v>
      </c>
      <c r="C9" s="748"/>
      <c r="D9" s="748"/>
      <c r="F9" s="487" t="s">
        <v>225</v>
      </c>
      <c r="G9" s="487" t="s">
        <v>225</v>
      </c>
    </row>
    <row r="10" spans="1:8" s="490" customFormat="1" ht="13.15" customHeight="1">
      <c r="A10" s="490" t="s">
        <v>466</v>
      </c>
      <c r="B10" s="749" t="s">
        <v>460</v>
      </c>
      <c r="C10" s="749"/>
      <c r="D10" s="749"/>
      <c r="F10" s="491" t="s">
        <v>990</v>
      </c>
      <c r="G10" s="492" t="s">
        <v>991</v>
      </c>
    </row>
    <row r="11" spans="1:8" ht="6" customHeight="1">
      <c r="A11" s="485"/>
      <c r="E11" s="481"/>
      <c r="F11" s="482"/>
      <c r="G11" s="493"/>
    </row>
    <row r="12" spans="1:8">
      <c r="A12" s="485">
        <v>1</v>
      </c>
      <c r="B12" s="481" t="s">
        <v>992</v>
      </c>
      <c r="E12" s="481"/>
      <c r="F12" s="482"/>
      <c r="G12" s="493"/>
    </row>
    <row r="13" spans="1:8">
      <c r="A13" s="485">
        <f t="shared" ref="A13" si="0">1+A12</f>
        <v>2</v>
      </c>
      <c r="C13" s="489" t="s">
        <v>993</v>
      </c>
      <c r="D13" s="481" t="s">
        <v>994</v>
      </c>
      <c r="E13" s="481"/>
      <c r="F13" s="482">
        <v>132501.57999999999</v>
      </c>
      <c r="G13" s="493"/>
    </row>
    <row r="14" spans="1:8">
      <c r="A14" s="485">
        <f>A13+1</f>
        <v>3</v>
      </c>
      <c r="C14" s="489"/>
      <c r="D14" s="481" t="s">
        <v>995</v>
      </c>
      <c r="E14" s="481"/>
      <c r="F14" s="482">
        <v>9954.2999999999993</v>
      </c>
      <c r="G14" s="493"/>
    </row>
    <row r="15" spans="1:8">
      <c r="A15" s="485">
        <f t="shared" ref="A15:A29" si="1">A14+1</f>
        <v>4</v>
      </c>
      <c r="C15" s="489" t="s">
        <v>996</v>
      </c>
      <c r="E15" s="481"/>
      <c r="F15" s="494"/>
      <c r="G15" s="493">
        <f>+F13+F14</f>
        <v>142455.87999999998</v>
      </c>
    </row>
    <row r="16" spans="1:8" ht="10.5" customHeight="1">
      <c r="A16" s="485">
        <f t="shared" si="1"/>
        <v>5</v>
      </c>
      <c r="E16" s="481"/>
      <c r="F16" s="482"/>
      <c r="G16" s="493"/>
    </row>
    <row r="17" spans="1:7">
      <c r="A17" s="485">
        <f t="shared" si="1"/>
        <v>6</v>
      </c>
      <c r="C17" s="489" t="s">
        <v>997</v>
      </c>
      <c r="D17" s="481" t="s">
        <v>998</v>
      </c>
      <c r="E17" s="481"/>
      <c r="F17" s="482">
        <v>4288526.92</v>
      </c>
      <c r="G17" s="493"/>
    </row>
    <row r="18" spans="1:7">
      <c r="A18" s="485">
        <f t="shared" si="1"/>
        <v>7</v>
      </c>
      <c r="C18" s="489"/>
      <c r="D18" s="481" t="s">
        <v>995</v>
      </c>
      <c r="E18" s="481"/>
      <c r="F18" s="482">
        <v>303693.89</v>
      </c>
      <c r="G18" s="493"/>
    </row>
    <row r="19" spans="1:7">
      <c r="A19" s="485">
        <f t="shared" si="1"/>
        <v>8</v>
      </c>
      <c r="C19" s="489" t="s">
        <v>999</v>
      </c>
      <c r="E19" s="481"/>
      <c r="F19" s="494"/>
      <c r="G19" s="493">
        <f>+F17+F18</f>
        <v>4592220.8099999996</v>
      </c>
    </row>
    <row r="20" spans="1:7" ht="14.25" customHeight="1">
      <c r="A20" s="485">
        <f t="shared" si="1"/>
        <v>9</v>
      </c>
      <c r="E20" s="481"/>
      <c r="F20" s="482"/>
      <c r="G20" s="493"/>
    </row>
    <row r="21" spans="1:7">
      <c r="A21" s="485">
        <f t="shared" si="1"/>
        <v>10</v>
      </c>
      <c r="C21" s="489" t="s">
        <v>1000</v>
      </c>
      <c r="D21" s="481" t="s">
        <v>1001</v>
      </c>
      <c r="E21" s="481"/>
      <c r="F21" s="482">
        <v>277157.15000000002</v>
      </c>
      <c r="G21" s="493"/>
    </row>
    <row r="22" spans="1:7">
      <c r="A22" s="485">
        <f t="shared" si="1"/>
        <v>11</v>
      </c>
      <c r="C22" s="489"/>
      <c r="D22" s="481" t="s">
        <v>995</v>
      </c>
      <c r="E22" s="481"/>
      <c r="F22" s="482">
        <v>-28140.17</v>
      </c>
      <c r="G22" s="493"/>
    </row>
    <row r="23" spans="1:7">
      <c r="A23" s="485">
        <f t="shared" si="1"/>
        <v>12</v>
      </c>
      <c r="C23" s="489" t="s">
        <v>1002</v>
      </c>
      <c r="E23" s="481"/>
      <c r="F23" s="494"/>
      <c r="G23" s="493">
        <f>+F21+F22</f>
        <v>249016.98000000004</v>
      </c>
    </row>
    <row r="24" spans="1:7" ht="13.5" customHeight="1">
      <c r="A24" s="485">
        <f t="shared" si="1"/>
        <v>13</v>
      </c>
      <c r="E24" s="481"/>
      <c r="F24" s="482"/>
      <c r="G24" s="493"/>
    </row>
    <row r="25" spans="1:7" ht="13.5" customHeight="1">
      <c r="A25" s="485">
        <f t="shared" si="1"/>
        <v>14</v>
      </c>
      <c r="C25" s="489" t="s">
        <v>1003</v>
      </c>
      <c r="D25" s="481" t="s">
        <v>1004</v>
      </c>
      <c r="E25" s="481"/>
      <c r="F25" s="482">
        <v>164535.71</v>
      </c>
      <c r="G25" s="493"/>
    </row>
    <row r="26" spans="1:7">
      <c r="A26" s="485">
        <f t="shared" si="1"/>
        <v>15</v>
      </c>
      <c r="C26" s="489"/>
      <c r="D26" s="481" t="s">
        <v>995</v>
      </c>
      <c r="E26" s="481"/>
      <c r="F26" s="482">
        <v>12049.54</v>
      </c>
      <c r="G26" s="493"/>
    </row>
    <row r="27" spans="1:7">
      <c r="A27" s="485">
        <f t="shared" si="1"/>
        <v>16</v>
      </c>
      <c r="C27" s="489" t="s">
        <v>1005</v>
      </c>
      <c r="E27" s="481"/>
      <c r="F27" s="495"/>
      <c r="G27" s="493">
        <f>+F25+F26</f>
        <v>176585.25</v>
      </c>
    </row>
    <row r="28" spans="1:7" ht="13.5" customHeight="1">
      <c r="A28" s="485">
        <f t="shared" si="1"/>
        <v>17</v>
      </c>
      <c r="E28" s="481"/>
      <c r="F28" s="482"/>
      <c r="G28" s="482"/>
    </row>
    <row r="29" spans="1:7" ht="13" thickBot="1">
      <c r="A29" s="485">
        <f t="shared" si="1"/>
        <v>18</v>
      </c>
      <c r="B29" s="481" t="s">
        <v>1006</v>
      </c>
      <c r="C29" s="489"/>
      <c r="E29" s="481"/>
      <c r="F29" s="496"/>
      <c r="G29" s="497">
        <f>SUM(G13:G28)</f>
        <v>5160278.92</v>
      </c>
    </row>
    <row r="30" spans="1:7" ht="13" thickTop="1">
      <c r="A30" s="485"/>
      <c r="C30" s="489"/>
      <c r="E30" s="496"/>
    </row>
    <row r="31" spans="1:7">
      <c r="A31" s="485"/>
      <c r="C31" s="489"/>
      <c r="E31" s="496"/>
    </row>
    <row r="32" spans="1:7">
      <c r="A32" s="746"/>
      <c r="B32" s="746"/>
      <c r="C32" s="746"/>
      <c r="D32" s="746"/>
    </row>
  </sheetData>
  <mergeCells count="7">
    <mergeCell ref="A32:D32"/>
    <mergeCell ref="A1:C1"/>
    <mergeCell ref="A2:G2"/>
    <mergeCell ref="A3:G3"/>
    <mergeCell ref="A4:G4"/>
    <mergeCell ref="B9:D9"/>
    <mergeCell ref="B10:D10"/>
  </mergeCells>
  <pageMargins left="0.3" right="0.3" top="0.5" bottom="0.3"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1E3D6-11A2-458D-BAB9-C78D9C47EEA6}">
  <dimension ref="A1:J55"/>
  <sheetViews>
    <sheetView workbookViewId="0">
      <selection activeCell="D41" sqref="D41"/>
    </sheetView>
  </sheetViews>
  <sheetFormatPr defaultColWidth="9.1796875" defaultRowHeight="12.5"/>
  <cols>
    <col min="1" max="1" width="4.453125" style="480" bestFit="1" customWidth="1"/>
    <col min="2" max="2" width="2.7265625" style="481" customWidth="1"/>
    <col min="3" max="3" width="8.7265625" style="481" customWidth="1"/>
    <col min="4" max="4" width="21.54296875" style="481" customWidth="1"/>
    <col min="5" max="5" width="9.453125" style="481" bestFit="1" customWidth="1"/>
    <col min="6" max="6" width="12.1796875" style="496" bestFit="1" customWidth="1"/>
    <col min="7" max="7" width="9.453125" style="496" bestFit="1" customWidth="1"/>
    <col min="8" max="8" width="11.453125" style="482" customWidth="1"/>
    <col min="9" max="9" width="13.26953125" style="493" customWidth="1"/>
    <col min="10" max="16384" width="9.1796875" style="481"/>
  </cols>
  <sheetData>
    <row r="1" spans="1:10">
      <c r="A1" s="711" t="s">
        <v>0</v>
      </c>
      <c r="B1" s="709"/>
      <c r="C1" s="709"/>
      <c r="D1" s="41"/>
      <c r="E1" s="41"/>
      <c r="F1" s="41"/>
      <c r="G1" s="41"/>
      <c r="I1" s="750"/>
      <c r="J1" s="750"/>
    </row>
    <row r="2" spans="1:10">
      <c r="A2" s="747" t="s">
        <v>1089</v>
      </c>
      <c r="B2" s="709"/>
      <c r="C2" s="709"/>
      <c r="D2" s="709"/>
      <c r="E2" s="709"/>
      <c r="F2" s="709"/>
      <c r="G2" s="709"/>
      <c r="H2" s="541"/>
      <c r="I2" s="750"/>
      <c r="J2" s="750"/>
    </row>
    <row r="3" spans="1:10">
      <c r="A3" s="747" t="s">
        <v>1090</v>
      </c>
      <c r="B3" s="709"/>
      <c r="C3" s="709"/>
      <c r="D3" s="709"/>
      <c r="E3" s="709"/>
      <c r="F3" s="709"/>
      <c r="G3" s="709"/>
      <c r="H3" s="541"/>
      <c r="I3" s="750"/>
      <c r="J3" s="750"/>
    </row>
    <row r="4" spans="1:10">
      <c r="A4" s="711" t="s">
        <v>119</v>
      </c>
      <c r="B4" s="709"/>
      <c r="C4" s="709"/>
      <c r="D4" s="709"/>
      <c r="E4" s="709"/>
      <c r="F4" s="709"/>
      <c r="G4" s="709"/>
      <c r="H4" s="541"/>
      <c r="I4" s="750"/>
      <c r="J4" s="750"/>
    </row>
    <row r="5" spans="1:10">
      <c r="C5" s="498"/>
      <c r="D5" s="498"/>
      <c r="E5" s="498"/>
      <c r="F5" s="498"/>
      <c r="G5" s="498"/>
      <c r="H5" s="483"/>
      <c r="I5" s="483"/>
    </row>
    <row r="6" spans="1:10">
      <c r="C6" s="751"/>
      <c r="D6" s="751"/>
      <c r="E6" s="751"/>
      <c r="F6" s="751"/>
      <c r="G6" s="751"/>
      <c r="H6" s="751"/>
      <c r="I6" s="750"/>
      <c r="J6" s="750"/>
    </row>
    <row r="7" spans="1:10">
      <c r="C7" s="751"/>
      <c r="D7" s="751"/>
      <c r="E7" s="751"/>
      <c r="F7" s="751"/>
      <c r="G7" s="751"/>
      <c r="H7" s="751"/>
      <c r="I7" s="750"/>
      <c r="J7" s="750"/>
    </row>
    <row r="8" spans="1:10">
      <c r="C8" s="498"/>
      <c r="D8" s="498"/>
      <c r="E8" s="498"/>
      <c r="F8" s="498"/>
      <c r="G8" s="499" t="s">
        <v>989</v>
      </c>
      <c r="H8" s="487"/>
      <c r="I8" s="483"/>
    </row>
    <row r="9" spans="1:10">
      <c r="E9" s="500" t="s">
        <v>1007</v>
      </c>
      <c r="F9" s="501" t="s">
        <v>1008</v>
      </c>
      <c r="G9" s="502" t="s">
        <v>934</v>
      </c>
      <c r="H9" s="487" t="s">
        <v>1009</v>
      </c>
      <c r="I9" s="487" t="s">
        <v>1010</v>
      </c>
    </row>
    <row r="10" spans="1:10" s="489" customFormat="1">
      <c r="A10" s="488" t="s">
        <v>929</v>
      </c>
      <c r="B10" s="748" t="s">
        <v>417</v>
      </c>
      <c r="C10" s="748"/>
      <c r="D10" s="748"/>
      <c r="E10" s="500" t="s">
        <v>1011</v>
      </c>
      <c r="F10" s="501" t="s">
        <v>1012</v>
      </c>
      <c r="G10" s="501" t="s">
        <v>1013</v>
      </c>
      <c r="H10" s="486" t="s">
        <v>1014</v>
      </c>
      <c r="I10" s="487" t="s">
        <v>225</v>
      </c>
    </row>
    <row r="11" spans="1:10" s="490" customFormat="1" ht="13.15" customHeight="1">
      <c r="A11" s="490" t="s">
        <v>466</v>
      </c>
      <c r="B11" s="749" t="s">
        <v>460</v>
      </c>
      <c r="C11" s="749"/>
      <c r="D11" s="749"/>
      <c r="E11" s="491" t="s">
        <v>990</v>
      </c>
      <c r="F11" s="492" t="s">
        <v>991</v>
      </c>
      <c r="G11" s="503" t="s">
        <v>1015</v>
      </c>
      <c r="H11" s="504" t="s">
        <v>1016</v>
      </c>
      <c r="I11" s="491" t="s">
        <v>1017</v>
      </c>
    </row>
    <row r="12" spans="1:10">
      <c r="A12" s="485">
        <v>1</v>
      </c>
      <c r="B12" s="481" t="s">
        <v>1018</v>
      </c>
    </row>
    <row r="13" spans="1:10">
      <c r="A13" s="485">
        <f t="shared" ref="A13:A40" si="0">1+A12</f>
        <v>2</v>
      </c>
      <c r="B13" s="481" t="s">
        <v>1019</v>
      </c>
    </row>
    <row r="14" spans="1:10">
      <c r="A14" s="485">
        <f t="shared" si="0"/>
        <v>3</v>
      </c>
      <c r="C14" s="481" t="s">
        <v>1020</v>
      </c>
      <c r="E14" s="505">
        <v>1552.09</v>
      </c>
      <c r="F14" s="496">
        <v>166.09</v>
      </c>
      <c r="G14" s="496">
        <f>+E14-F14</f>
        <v>1386</v>
      </c>
      <c r="H14" s="482">
        <f>W22_PG_6_of_6!D16+W22_PG_6_of_6!D29+W22_PG_6_of_6!D42+W22_PG_6_of_6!D68+W22_PG_6_of_6!D81</f>
        <v>48</v>
      </c>
      <c r="I14" s="506">
        <f>ROUND(G14*H14*12,0)</f>
        <v>798336</v>
      </c>
    </row>
    <row r="15" spans="1:10">
      <c r="A15" s="485">
        <f t="shared" si="0"/>
        <v>4</v>
      </c>
      <c r="C15" s="481" t="s">
        <v>1021</v>
      </c>
      <c r="E15" s="505">
        <f>E14</f>
        <v>1552.09</v>
      </c>
      <c r="F15" s="496">
        <v>439.49</v>
      </c>
      <c r="G15" s="496">
        <f>+E15-F15</f>
        <v>1112.5999999999999</v>
      </c>
      <c r="H15" s="482">
        <f>W22_PG_6_of_6!D17+W22_PG_6_of_6!D30+W22_PG_6_of_6!D43+W22_PG_6_of_6!D69+W22_PG_6_of_6!D82</f>
        <v>58</v>
      </c>
      <c r="I15" s="507">
        <f t="shared" ref="I15:I17" si="1">ROUND(G15*H15*12,0)</f>
        <v>774370</v>
      </c>
    </row>
    <row r="16" spans="1:10">
      <c r="A16" s="485">
        <f t="shared" si="0"/>
        <v>5</v>
      </c>
      <c r="C16" s="481" t="s">
        <v>1022</v>
      </c>
      <c r="E16" s="505">
        <f t="shared" ref="E16:E17" si="2">E15</f>
        <v>1552.09</v>
      </c>
      <c r="F16" s="496">
        <v>343.05</v>
      </c>
      <c r="G16" s="496">
        <f>+E16-F16</f>
        <v>1209.04</v>
      </c>
      <c r="H16" s="482">
        <f>W22_PG_6_of_6!D18+W22_PG_6_of_6!D31+W22_PG_6_of_6!D44+W22_PG_6_of_6!D70+W22_PG_6_of_6!D83</f>
        <v>20</v>
      </c>
      <c r="I16" s="507">
        <f t="shared" si="1"/>
        <v>290170</v>
      </c>
    </row>
    <row r="17" spans="1:9">
      <c r="A17" s="485">
        <f t="shared" si="0"/>
        <v>6</v>
      </c>
      <c r="C17" s="481" t="s">
        <v>1023</v>
      </c>
      <c r="E17" s="505">
        <f t="shared" si="2"/>
        <v>1552.09</v>
      </c>
      <c r="F17" s="496">
        <v>616.44000000000005</v>
      </c>
      <c r="G17" s="496">
        <f>+E17-F17</f>
        <v>935.64999999999986</v>
      </c>
      <c r="H17" s="482">
        <f>W22_PG_6_of_6!D19+W22_PG_6_of_6!D32+W22_PG_6_of_6!D45+W22_PG_6_of_6!D71+W22_PG_6_of_6!D84</f>
        <v>85</v>
      </c>
      <c r="I17" s="507">
        <f t="shared" si="1"/>
        <v>954363</v>
      </c>
    </row>
    <row r="18" spans="1:9">
      <c r="A18" s="485">
        <f t="shared" si="0"/>
        <v>7</v>
      </c>
      <c r="B18" s="481" t="s">
        <v>1024</v>
      </c>
      <c r="I18" s="507"/>
    </row>
    <row r="19" spans="1:9">
      <c r="A19" s="485">
        <f t="shared" si="0"/>
        <v>8</v>
      </c>
      <c r="C19" s="481" t="s">
        <v>1020</v>
      </c>
      <c r="E19" s="505">
        <v>1410.59</v>
      </c>
      <c r="F19" s="496">
        <v>97.52</v>
      </c>
      <c r="G19" s="496">
        <f>+E19-F19</f>
        <v>1313.07</v>
      </c>
      <c r="H19" s="482">
        <f>W22_PG_6_of_6!D8+W22_PG_6_of_6!D21+W22_PG_6_of_6!D34+W22_PG_6_of_6!D60+W22_PG_6_of_6!D73</f>
        <v>42</v>
      </c>
      <c r="I19" s="507">
        <f>ROUND(G19*H19*12,0)</f>
        <v>661787</v>
      </c>
    </row>
    <row r="20" spans="1:9">
      <c r="A20" s="485">
        <f t="shared" si="0"/>
        <v>9</v>
      </c>
      <c r="C20" s="481" t="s">
        <v>1021</v>
      </c>
      <c r="E20" s="505">
        <f>E19</f>
        <v>1410.59</v>
      </c>
      <c r="F20" s="496">
        <v>277.08</v>
      </c>
      <c r="G20" s="496">
        <f>+E20-F20</f>
        <v>1133.51</v>
      </c>
      <c r="H20" s="482">
        <f>W22_PG_6_of_6!D9+W22_PG_6_of_6!D22+W22_PG_6_of_6!D35+W22_PG_6_of_6!D61+W22_PG_6_of_6!D74</f>
        <v>33</v>
      </c>
      <c r="I20" s="507">
        <f t="shared" ref="I20:I22" si="3">ROUND(G20*H20*12,0)</f>
        <v>448870</v>
      </c>
    </row>
    <row r="21" spans="1:9">
      <c r="A21" s="485">
        <f t="shared" si="0"/>
        <v>10</v>
      </c>
      <c r="C21" s="481" t="s">
        <v>1022</v>
      </c>
      <c r="E21" s="505">
        <f t="shared" ref="E21:E22" si="4">E20</f>
        <v>1410.59</v>
      </c>
      <c r="F21" s="496">
        <v>213.73</v>
      </c>
      <c r="G21" s="496">
        <f>+E21-F21</f>
        <v>1196.8599999999999</v>
      </c>
      <c r="H21" s="482">
        <f>W22_PG_6_of_6!D10+W22_PG_6_of_6!D23+W22_PG_6_of_6!D36+W22_PG_6_of_6!D62+W22_PG_6_of_6!D75</f>
        <v>17</v>
      </c>
      <c r="I21" s="507">
        <f t="shared" si="3"/>
        <v>244159</v>
      </c>
    </row>
    <row r="22" spans="1:9">
      <c r="A22" s="485">
        <f t="shared" si="0"/>
        <v>11</v>
      </c>
      <c r="C22" s="481" t="s">
        <v>1023</v>
      </c>
      <c r="E22" s="505">
        <f t="shared" si="4"/>
        <v>1410.59</v>
      </c>
      <c r="F22" s="496">
        <v>393.28</v>
      </c>
      <c r="G22" s="496">
        <f>+E22-F22</f>
        <v>1017.31</v>
      </c>
      <c r="H22" s="482">
        <f>W22_PG_6_of_6!D11+W22_PG_6_of_6!D24+W22_PG_6_of_6!D37+W22_PG_6_of_6!D63+W22_PG_6_of_6!D76</f>
        <v>60</v>
      </c>
      <c r="I22" s="507">
        <f t="shared" si="3"/>
        <v>732463</v>
      </c>
    </row>
    <row r="23" spans="1:9">
      <c r="A23" s="485">
        <f t="shared" si="0"/>
        <v>12</v>
      </c>
      <c r="B23" s="481" t="s">
        <v>1025</v>
      </c>
      <c r="I23" s="507"/>
    </row>
    <row r="24" spans="1:9">
      <c r="A24" s="485">
        <f t="shared" si="0"/>
        <v>13</v>
      </c>
      <c r="C24" s="481" t="s">
        <v>1020</v>
      </c>
      <c r="E24" s="505">
        <v>1085.27</v>
      </c>
      <c r="F24" s="496">
        <v>37.47</v>
      </c>
      <c r="G24" s="496">
        <f>+E24-F24</f>
        <v>1047.8</v>
      </c>
      <c r="H24" s="482">
        <f>W22_PG_6_of_6!D12+W22_PG_6_of_6!D25+W22_PG_6_of_6!D38+W22_PG_6_of_6!D64+W22_PG_6_of_6!D77</f>
        <v>47</v>
      </c>
      <c r="I24" s="507">
        <f>ROUND(G24*H24*12,0)</f>
        <v>590959</v>
      </c>
    </row>
    <row r="25" spans="1:9">
      <c r="A25" s="485">
        <f t="shared" si="0"/>
        <v>14</v>
      </c>
      <c r="C25" s="481" t="s">
        <v>1021</v>
      </c>
      <c r="E25" s="505">
        <f>E24</f>
        <v>1085.27</v>
      </c>
      <c r="F25" s="496">
        <v>133.32</v>
      </c>
      <c r="G25" s="496">
        <f>+E25-F25</f>
        <v>951.95</v>
      </c>
      <c r="H25" s="482">
        <f>W22_PG_6_of_6!D13+W22_PG_6_of_6!D26+W22_PG_6_of_6!D39+W22_PG_6_of_6!D65+W22_PG_6_of_6!D78</f>
        <v>14</v>
      </c>
      <c r="I25" s="507">
        <f t="shared" ref="I25:I27" si="5">ROUND(G25*H25*12,0)</f>
        <v>159928</v>
      </c>
    </row>
    <row r="26" spans="1:9">
      <c r="A26" s="485">
        <f t="shared" si="0"/>
        <v>15</v>
      </c>
      <c r="C26" s="481" t="s">
        <v>1022</v>
      </c>
      <c r="E26" s="505">
        <f t="shared" ref="E26:E27" si="6">E25</f>
        <v>1085.27</v>
      </c>
      <c r="F26" s="496">
        <v>99.26</v>
      </c>
      <c r="G26" s="496">
        <f>+E26-F26</f>
        <v>986.01</v>
      </c>
      <c r="H26" s="482">
        <f>W22_PG_6_of_6!D14+W22_PG_6_of_6!D27+W22_PG_6_of_6!D40+W22_PG_6_of_6!D66+W22_PG_6_of_6!D79</f>
        <v>11</v>
      </c>
      <c r="I26" s="507">
        <f t="shared" si="5"/>
        <v>130153</v>
      </c>
    </row>
    <row r="27" spans="1:9">
      <c r="A27" s="485">
        <f t="shared" si="0"/>
        <v>16</v>
      </c>
      <c r="C27" s="481" t="s">
        <v>1023</v>
      </c>
      <c r="E27" s="505">
        <f t="shared" si="6"/>
        <v>1085.27</v>
      </c>
      <c r="F27" s="496">
        <v>195.75</v>
      </c>
      <c r="G27" s="496">
        <f>+E27-F27</f>
        <v>889.52</v>
      </c>
      <c r="H27" s="482">
        <f>W22_PG_6_of_6!D15+W22_PG_6_of_6!D28+W22_PG_6_of_6!D41+W22_PG_6_of_6!D67+W22_PG_6_of_6!D80</f>
        <v>13</v>
      </c>
      <c r="I27" s="507">
        <f t="shared" si="5"/>
        <v>138765</v>
      </c>
    </row>
    <row r="28" spans="1:9">
      <c r="A28" s="485">
        <f t="shared" si="0"/>
        <v>17</v>
      </c>
      <c r="B28" s="481" t="s">
        <v>1026</v>
      </c>
      <c r="I28" s="507"/>
    </row>
    <row r="29" spans="1:9">
      <c r="A29" s="485">
        <f t="shared" si="0"/>
        <v>18</v>
      </c>
      <c r="C29" s="481" t="s">
        <v>1020</v>
      </c>
      <c r="E29" s="505">
        <v>78.17</v>
      </c>
      <c r="F29" s="496">
        <v>12.46</v>
      </c>
      <c r="G29" s="496">
        <f>+E29-F29</f>
        <v>65.710000000000008</v>
      </c>
      <c r="H29" s="482">
        <f>W22_PG_6_of_6!I8+W22_PG_6_of_6!I17+W22_PG_6_of_6!I26+W22_PG_6_of_6!I44+W22_PG_6_of_6!I53</f>
        <v>101</v>
      </c>
      <c r="I29" s="507">
        <f>ROUND(G29*H29*12,0)</f>
        <v>79641</v>
      </c>
    </row>
    <row r="30" spans="1:9">
      <c r="A30" s="485">
        <f t="shared" si="0"/>
        <v>19</v>
      </c>
      <c r="C30" s="481" t="s">
        <v>1021</v>
      </c>
      <c r="E30" s="505">
        <f>E29</f>
        <v>78.17</v>
      </c>
      <c r="F30" s="496">
        <v>26.75</v>
      </c>
      <c r="G30" s="496">
        <f>+E30-F30</f>
        <v>51.42</v>
      </c>
      <c r="H30" s="482">
        <f>W22_PG_6_of_6!I9+W22_PG_6_of_6!I18+W22_PG_6_of_6!I27+W22_PG_6_of_6!I45+W22_PG_6_of_6!I54</f>
        <v>113</v>
      </c>
      <c r="I30" s="507">
        <f t="shared" ref="I30:I32" si="7">ROUND(G30*H30*12,0)</f>
        <v>69726</v>
      </c>
    </row>
    <row r="31" spans="1:9">
      <c r="A31" s="485">
        <f t="shared" si="0"/>
        <v>20</v>
      </c>
      <c r="C31" s="481" t="s">
        <v>1022</v>
      </c>
      <c r="E31" s="505">
        <f t="shared" ref="E31:E32" si="8">E30</f>
        <v>78.17</v>
      </c>
      <c r="F31" s="496">
        <v>39</v>
      </c>
      <c r="G31" s="496">
        <f>+E31-F31</f>
        <v>39.17</v>
      </c>
      <c r="H31" s="482">
        <f>W22_PG_6_of_6!I10+W22_PG_6_of_6!I19+W22_PG_6_of_6!I28+W22_PG_6_of_6!I46+W22_PG_6_of_6!I55</f>
        <v>44</v>
      </c>
      <c r="I31" s="507">
        <f t="shared" si="7"/>
        <v>20682</v>
      </c>
    </row>
    <row r="32" spans="1:9">
      <c r="A32" s="485">
        <f t="shared" si="0"/>
        <v>21</v>
      </c>
      <c r="C32" s="481" t="s">
        <v>1023</v>
      </c>
      <c r="E32" s="505">
        <f t="shared" si="8"/>
        <v>78.17</v>
      </c>
      <c r="F32" s="496">
        <v>53.28</v>
      </c>
      <c r="G32" s="496">
        <f>+E32-F32</f>
        <v>24.89</v>
      </c>
      <c r="H32" s="482">
        <f>W22_PG_6_of_6!I11+W22_PG_6_of_6!I20+W22_PG_6_of_6!I29+W22_PG_6_of_6!I47+W22_PG_6_of_6!I56</f>
        <v>157</v>
      </c>
      <c r="I32" s="507">
        <f t="shared" si="7"/>
        <v>46893</v>
      </c>
    </row>
    <row r="33" spans="1:9">
      <c r="A33" s="485">
        <f t="shared" si="0"/>
        <v>22</v>
      </c>
      <c r="B33" s="481" t="s">
        <v>1027</v>
      </c>
      <c r="E33" s="505"/>
      <c r="I33" s="507"/>
    </row>
    <row r="34" spans="1:9">
      <c r="A34" s="485">
        <f t="shared" si="0"/>
        <v>23</v>
      </c>
      <c r="C34" s="481" t="s">
        <v>1020</v>
      </c>
      <c r="E34" s="505">
        <v>22.09</v>
      </c>
      <c r="F34" s="496">
        <v>8.84</v>
      </c>
      <c r="G34" s="496">
        <f>+E34-F34</f>
        <v>13.25</v>
      </c>
      <c r="H34" s="482">
        <f>W22_PG_6_of_6!I12+W22_PG_6_of_6!I21+W22_PG_6_of_6!I30+W22_PG_6_of_6!I48+W22_PG_6_of_6!I57</f>
        <v>15</v>
      </c>
      <c r="I34" s="507">
        <f>ROUND(G34*H34*12,0)</f>
        <v>2385</v>
      </c>
    </row>
    <row r="35" spans="1:9">
      <c r="A35" s="485">
        <f t="shared" si="0"/>
        <v>24</v>
      </c>
      <c r="C35" s="481" t="s">
        <v>1021</v>
      </c>
      <c r="E35" s="505">
        <v>44.19</v>
      </c>
      <c r="F35" s="496">
        <v>18.78</v>
      </c>
      <c r="G35" s="496">
        <f>+E35-F35</f>
        <v>25.409999999999997</v>
      </c>
      <c r="H35" s="482">
        <f>W22_PG_6_of_6!I13+W22_PG_6_of_6!I22+W22_PG_6_of_6!I31+W22_PG_6_of_6!I49+W22_PG_6_of_6!I58</f>
        <v>7</v>
      </c>
      <c r="I35" s="507">
        <f>ROUND(G35*H35*12,0)</f>
        <v>2134</v>
      </c>
    </row>
    <row r="36" spans="1:9">
      <c r="A36" s="485">
        <f t="shared" si="0"/>
        <v>25</v>
      </c>
      <c r="C36" s="481" t="s">
        <v>1022</v>
      </c>
      <c r="E36" s="505">
        <v>49.7</v>
      </c>
      <c r="F36" s="496">
        <v>21.26</v>
      </c>
      <c r="G36" s="496">
        <f t="shared" ref="G36:G37" si="9">+E36-F36</f>
        <v>28.44</v>
      </c>
      <c r="H36" s="482">
        <f>W22_PG_6_of_6!I14+W22_PG_6_of_6!I23+W22_PG_6_of_6!I32+W22_PG_6_of_6!I50+W22_PG_6_of_6!I59</f>
        <v>5</v>
      </c>
      <c r="I36" s="507">
        <f t="shared" ref="I36:I37" si="10">ROUND(G36*H36*12,0)</f>
        <v>1706</v>
      </c>
    </row>
    <row r="37" spans="1:9">
      <c r="A37" s="485">
        <f t="shared" si="0"/>
        <v>26</v>
      </c>
      <c r="C37" s="481" t="s">
        <v>1023</v>
      </c>
      <c r="E37" s="505">
        <v>71.8</v>
      </c>
      <c r="F37" s="496">
        <v>31.21</v>
      </c>
      <c r="G37" s="496">
        <f t="shared" si="9"/>
        <v>40.589999999999996</v>
      </c>
      <c r="H37" s="482">
        <f>W22_PG_6_of_6!I15+W22_PG_6_of_6!I24+W22_PG_6_of_6!I33+W22_PG_6_of_6!I51+W22_PG_6_of_6!I60</f>
        <v>9</v>
      </c>
      <c r="I37" s="507">
        <f t="shared" si="10"/>
        <v>4384</v>
      </c>
    </row>
    <row r="38" spans="1:9">
      <c r="A38" s="485">
        <f t="shared" si="0"/>
        <v>27</v>
      </c>
      <c r="B38" s="481" t="s">
        <v>1028</v>
      </c>
      <c r="E38" s="505"/>
      <c r="I38" s="507"/>
    </row>
    <row r="39" spans="1:9">
      <c r="A39" s="485">
        <f t="shared" si="0"/>
        <v>28</v>
      </c>
      <c r="C39" s="481" t="s">
        <v>1029</v>
      </c>
      <c r="E39" s="505">
        <v>1.06</v>
      </c>
      <c r="G39" s="496">
        <f>+E39-F39</f>
        <v>1.06</v>
      </c>
      <c r="H39" s="482">
        <v>493</v>
      </c>
      <c r="I39" s="507">
        <f>ROUND(G39*H39*12,0)</f>
        <v>6271</v>
      </c>
    </row>
    <row r="40" spans="1:9">
      <c r="A40" s="485">
        <f t="shared" si="0"/>
        <v>29</v>
      </c>
      <c r="C40" s="481" t="s">
        <v>1030</v>
      </c>
      <c r="E40" s="505">
        <v>0.5</v>
      </c>
      <c r="G40" s="496">
        <f>+E40-F40</f>
        <v>0.5</v>
      </c>
      <c r="H40" s="482">
        <v>493</v>
      </c>
      <c r="I40" s="507">
        <f>ROUND(G40*H40*12,0)</f>
        <v>2958</v>
      </c>
    </row>
    <row r="41" spans="1:9" ht="6" customHeight="1">
      <c r="A41" s="485"/>
      <c r="I41" s="507"/>
    </row>
    <row r="42" spans="1:9">
      <c r="A42" s="485">
        <f>1+A40</f>
        <v>30</v>
      </c>
      <c r="B42" s="481" t="s">
        <v>1031</v>
      </c>
      <c r="E42" s="505"/>
      <c r="I42" s="507">
        <v>93545</v>
      </c>
    </row>
    <row r="43" spans="1:9">
      <c r="A43" s="485"/>
      <c r="C43" s="481" t="s">
        <v>1032</v>
      </c>
      <c r="E43" s="505"/>
      <c r="I43" s="507"/>
    </row>
    <row r="44" spans="1:9" ht="6" customHeight="1">
      <c r="A44" s="485"/>
      <c r="I44" s="507"/>
    </row>
    <row r="45" spans="1:9">
      <c r="A45" s="485">
        <f>1+A42</f>
        <v>31</v>
      </c>
      <c r="B45" s="481" t="s">
        <v>1033</v>
      </c>
      <c r="E45" s="505">
        <v>3.66</v>
      </c>
      <c r="G45" s="496">
        <f>+E45-F45</f>
        <v>3.66</v>
      </c>
      <c r="H45" s="482">
        <v>488</v>
      </c>
      <c r="I45" s="507">
        <f>ROUND(G45*H45*12,0)</f>
        <v>21433</v>
      </c>
    </row>
    <row r="46" spans="1:9" ht="6" customHeight="1">
      <c r="A46" s="485"/>
      <c r="I46" s="507"/>
    </row>
    <row r="47" spans="1:9">
      <c r="A47" s="485">
        <f>1+A45</f>
        <v>32</v>
      </c>
      <c r="B47" s="481" t="s">
        <v>1034</v>
      </c>
      <c r="H47" s="508" t="s">
        <v>1035</v>
      </c>
      <c r="I47" s="507"/>
    </row>
    <row r="48" spans="1:9">
      <c r="A48" s="485">
        <f t="shared" ref="A48:A50" si="11">1+A47</f>
        <v>33</v>
      </c>
      <c r="C48" s="481" t="s">
        <v>1036</v>
      </c>
      <c r="G48" s="509">
        <v>0.156</v>
      </c>
      <c r="H48" s="482">
        <v>86052</v>
      </c>
      <c r="I48" s="507">
        <f>ROUND(G48*H48*12,0)</f>
        <v>161089</v>
      </c>
    </row>
    <row r="49" spans="1:9">
      <c r="A49" s="485">
        <f t="shared" si="11"/>
        <v>34</v>
      </c>
      <c r="C49" s="481" t="s">
        <v>1037</v>
      </c>
      <c r="G49" s="509">
        <v>1.7999999999999999E-2</v>
      </c>
      <c r="H49" s="482">
        <v>83431</v>
      </c>
      <c r="I49" s="507">
        <f>ROUND(G49*H49*12,0)</f>
        <v>18021</v>
      </c>
    </row>
    <row r="50" spans="1:9">
      <c r="A50" s="485">
        <f t="shared" si="11"/>
        <v>35</v>
      </c>
      <c r="C50" s="481" t="s">
        <v>1038</v>
      </c>
      <c r="G50" s="509">
        <v>2.1000000000000001E-2</v>
      </c>
      <c r="H50" s="482">
        <v>18963</v>
      </c>
      <c r="I50" s="507">
        <f>ROUND(G50*H50*12,0)</f>
        <v>4779</v>
      </c>
    </row>
    <row r="51" spans="1:9" ht="6" customHeight="1">
      <c r="A51" s="485"/>
    </row>
    <row r="52" spans="1:9" ht="13" thickBot="1">
      <c r="A52" s="485">
        <f>1+A50</f>
        <v>36</v>
      </c>
      <c r="B52" s="481" t="s">
        <v>1039</v>
      </c>
      <c r="I52" s="510">
        <f>SUM(I12:I51)</f>
        <v>6459970</v>
      </c>
    </row>
    <row r="53" spans="1:9" ht="13" thickTop="1">
      <c r="A53" s="485"/>
    </row>
    <row r="54" spans="1:9">
      <c r="A54" s="485"/>
    </row>
    <row r="55" spans="1:9">
      <c r="A55" s="746"/>
      <c r="B55" s="746"/>
      <c r="C55" s="746"/>
      <c r="D55" s="746"/>
    </row>
  </sheetData>
  <mergeCells count="15">
    <mergeCell ref="A1:C1"/>
    <mergeCell ref="A2:G2"/>
    <mergeCell ref="A3:G3"/>
    <mergeCell ref="A4:G4"/>
    <mergeCell ref="C6:H6"/>
    <mergeCell ref="C7:H7"/>
    <mergeCell ref="I7:J7"/>
    <mergeCell ref="B10:D10"/>
    <mergeCell ref="B11:D11"/>
    <mergeCell ref="A55:D55"/>
    <mergeCell ref="I1:J1"/>
    <mergeCell ref="I2:J2"/>
    <mergeCell ref="I3:J3"/>
    <mergeCell ref="I4:J4"/>
    <mergeCell ref="I6:J6"/>
  </mergeCells>
  <pageMargins left="0.3" right="0.3" top="0.5" bottom="0.3"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4F43D-672E-4F99-A672-B48D94AC5AEE}">
  <dimension ref="A1:J57"/>
  <sheetViews>
    <sheetView topLeftCell="A46" workbookViewId="0">
      <selection activeCell="D41" sqref="D41"/>
    </sheetView>
  </sheetViews>
  <sheetFormatPr defaultColWidth="9.1796875" defaultRowHeight="12.5"/>
  <cols>
    <col min="1" max="1" width="6.54296875" style="480" bestFit="1" customWidth="1"/>
    <col min="2" max="2" width="2.7265625" style="481" customWidth="1"/>
    <col min="3" max="3" width="8.7265625" style="481" customWidth="1"/>
    <col min="4" max="4" width="21.54296875" style="481" customWidth="1"/>
    <col min="5" max="5" width="9.453125" style="481" bestFit="1" customWidth="1"/>
    <col min="6" max="6" width="12.1796875" style="496" bestFit="1" customWidth="1"/>
    <col min="7" max="7" width="9.453125" style="496" bestFit="1" customWidth="1"/>
    <col min="8" max="8" width="11.453125" style="482" customWidth="1"/>
    <col min="9" max="9" width="13.54296875" style="493" bestFit="1" customWidth="1"/>
    <col min="10" max="16384" width="9.1796875" style="481"/>
  </cols>
  <sheetData>
    <row r="1" spans="1:10">
      <c r="A1" s="711" t="s">
        <v>0</v>
      </c>
      <c r="B1" s="709"/>
      <c r="C1" s="709"/>
      <c r="D1" s="41"/>
      <c r="E1" s="41"/>
      <c r="F1" s="41"/>
      <c r="G1" s="41"/>
      <c r="I1" s="484"/>
      <c r="J1" s="484"/>
    </row>
    <row r="2" spans="1:10">
      <c r="A2" s="747" t="s">
        <v>1089</v>
      </c>
      <c r="B2" s="709"/>
      <c r="C2" s="709"/>
      <c r="D2" s="709"/>
      <c r="E2" s="709"/>
      <c r="F2" s="709"/>
      <c r="G2" s="709"/>
      <c r="H2" s="541"/>
      <c r="I2" s="484"/>
      <c r="J2" s="484"/>
    </row>
    <row r="3" spans="1:10">
      <c r="A3" s="747" t="s">
        <v>1040</v>
      </c>
      <c r="B3" s="709"/>
      <c r="C3" s="709"/>
      <c r="D3" s="709"/>
      <c r="E3" s="709"/>
      <c r="F3" s="709"/>
      <c r="G3" s="709"/>
      <c r="H3" s="541"/>
      <c r="I3" s="484"/>
      <c r="J3" s="484"/>
    </row>
    <row r="4" spans="1:10">
      <c r="A4" s="711" t="s">
        <v>119</v>
      </c>
      <c r="B4" s="709"/>
      <c r="C4" s="709"/>
      <c r="D4" s="709"/>
      <c r="E4" s="709"/>
      <c r="F4" s="709"/>
      <c r="G4" s="709"/>
      <c r="H4" s="541"/>
      <c r="I4" s="484"/>
      <c r="J4" s="484"/>
    </row>
    <row r="5" spans="1:10" ht="6" customHeight="1">
      <c r="A5" s="485"/>
    </row>
    <row r="6" spans="1:10">
      <c r="C6" s="751"/>
      <c r="D6" s="751"/>
      <c r="E6" s="751"/>
      <c r="F6" s="751"/>
      <c r="G6" s="751"/>
      <c r="H6" s="751"/>
      <c r="I6" s="483"/>
    </row>
    <row r="7" spans="1:10" ht="6" customHeight="1">
      <c r="A7" s="485"/>
    </row>
    <row r="8" spans="1:10">
      <c r="C8" s="498"/>
      <c r="D8" s="498"/>
      <c r="E8" s="498"/>
      <c r="F8" s="498"/>
      <c r="G8" s="499" t="s">
        <v>989</v>
      </c>
      <c r="H8" s="487"/>
      <c r="I8" s="483"/>
    </row>
    <row r="9" spans="1:10">
      <c r="E9" s="500" t="s">
        <v>1007</v>
      </c>
      <c r="F9" s="501" t="s">
        <v>1008</v>
      </c>
      <c r="G9" s="502" t="s">
        <v>934</v>
      </c>
      <c r="H9" s="487" t="s">
        <v>1009</v>
      </c>
      <c r="I9" s="487" t="s">
        <v>1010</v>
      </c>
    </row>
    <row r="10" spans="1:10" s="489" customFormat="1">
      <c r="A10" s="488" t="s">
        <v>929</v>
      </c>
      <c r="B10" s="748" t="s">
        <v>417</v>
      </c>
      <c r="C10" s="748"/>
      <c r="D10" s="748"/>
      <c r="E10" s="500" t="s">
        <v>1011</v>
      </c>
      <c r="F10" s="501" t="s">
        <v>1012</v>
      </c>
      <c r="G10" s="501" t="s">
        <v>1013</v>
      </c>
      <c r="H10" s="486" t="s">
        <v>1014</v>
      </c>
      <c r="I10" s="487" t="s">
        <v>225</v>
      </c>
    </row>
    <row r="11" spans="1:10" s="490" customFormat="1" ht="13.15" customHeight="1">
      <c r="A11" s="490" t="s">
        <v>466</v>
      </c>
      <c r="B11" s="749" t="s">
        <v>460</v>
      </c>
      <c r="C11" s="749"/>
      <c r="D11" s="749"/>
      <c r="E11" s="491" t="s">
        <v>990</v>
      </c>
      <c r="F11" s="492" t="s">
        <v>991</v>
      </c>
      <c r="G11" s="503" t="s">
        <v>1015</v>
      </c>
      <c r="H11" s="504" t="s">
        <v>1016</v>
      </c>
      <c r="I11" s="491" t="s">
        <v>1017</v>
      </c>
    </row>
    <row r="12" spans="1:10">
      <c r="A12" s="485">
        <v>1</v>
      </c>
      <c r="B12" s="481" t="s">
        <v>1018</v>
      </c>
    </row>
    <row r="13" spans="1:10">
      <c r="A13" s="485">
        <f t="shared" ref="A13:A40" si="0">1+A12</f>
        <v>2</v>
      </c>
      <c r="B13" s="481" t="s">
        <v>1019</v>
      </c>
    </row>
    <row r="14" spans="1:10">
      <c r="A14" s="485">
        <f t="shared" si="0"/>
        <v>3</v>
      </c>
      <c r="C14" s="481" t="s">
        <v>1020</v>
      </c>
      <c r="E14" s="505">
        <f>W22_PG_2_of_6!E14</f>
        <v>1552.09</v>
      </c>
      <c r="F14" s="505">
        <f>W22_PG_2_of_6!F14</f>
        <v>166.09</v>
      </c>
      <c r="G14" s="496">
        <f>+E14-F14</f>
        <v>1386</v>
      </c>
      <c r="H14" s="482">
        <f>W22_PG_6_of_6!D68</f>
        <v>16</v>
      </c>
      <c r="I14" s="511">
        <f>ROUND(G14*H14*12,0)</f>
        <v>266112</v>
      </c>
    </row>
    <row r="15" spans="1:10">
      <c r="A15" s="485">
        <f t="shared" si="0"/>
        <v>4</v>
      </c>
      <c r="C15" s="481" t="s">
        <v>1021</v>
      </c>
      <c r="E15" s="505">
        <f>E14</f>
        <v>1552.09</v>
      </c>
      <c r="F15" s="505">
        <f>W22_PG_2_of_6!F15</f>
        <v>439.49</v>
      </c>
      <c r="G15" s="496">
        <f>+E15-F15</f>
        <v>1112.5999999999999</v>
      </c>
      <c r="H15" s="482">
        <f>W22_PG_6_of_6!D69</f>
        <v>16</v>
      </c>
      <c r="I15" s="507">
        <f t="shared" ref="I15:I17" si="1">ROUND(G15*H15*12,0)</f>
        <v>213619</v>
      </c>
    </row>
    <row r="16" spans="1:10">
      <c r="A16" s="485">
        <f t="shared" si="0"/>
        <v>5</v>
      </c>
      <c r="C16" s="481" t="s">
        <v>1022</v>
      </c>
      <c r="E16" s="505">
        <f t="shared" ref="E16:E17" si="2">E15</f>
        <v>1552.09</v>
      </c>
      <c r="F16" s="505">
        <f>W22_PG_2_of_6!F16</f>
        <v>343.05</v>
      </c>
      <c r="G16" s="496">
        <f>+E16-F16</f>
        <v>1209.04</v>
      </c>
      <c r="H16" s="482">
        <f>W22_PG_6_of_6!D70</f>
        <v>7</v>
      </c>
      <c r="I16" s="507">
        <f t="shared" si="1"/>
        <v>101559</v>
      </c>
    </row>
    <row r="17" spans="1:9">
      <c r="A17" s="485">
        <f t="shared" si="0"/>
        <v>6</v>
      </c>
      <c r="C17" s="481" t="s">
        <v>1023</v>
      </c>
      <c r="E17" s="505">
        <f t="shared" si="2"/>
        <v>1552.09</v>
      </c>
      <c r="F17" s="505">
        <f>W22_PG_2_of_6!F17</f>
        <v>616.44000000000005</v>
      </c>
      <c r="G17" s="496">
        <f>+E17-F17</f>
        <v>935.64999999999986</v>
      </c>
      <c r="H17" s="482">
        <f>W22_PG_6_of_6!D71</f>
        <v>34</v>
      </c>
      <c r="I17" s="507">
        <f t="shared" si="1"/>
        <v>381745</v>
      </c>
    </row>
    <row r="18" spans="1:9">
      <c r="A18" s="485">
        <f t="shared" si="0"/>
        <v>7</v>
      </c>
      <c r="B18" s="481" t="s">
        <v>1024</v>
      </c>
      <c r="I18" s="507"/>
    </row>
    <row r="19" spans="1:9">
      <c r="A19" s="485">
        <f t="shared" si="0"/>
        <v>8</v>
      </c>
      <c r="C19" s="481" t="s">
        <v>1020</v>
      </c>
      <c r="E19" s="505">
        <f>W22_PG_2_of_6!E19</f>
        <v>1410.59</v>
      </c>
      <c r="F19" s="505">
        <f>W22_PG_2_of_6!F19</f>
        <v>97.52</v>
      </c>
      <c r="G19" s="496">
        <f>+E19-F19</f>
        <v>1313.07</v>
      </c>
      <c r="H19" s="482">
        <f>W22_PG_6_of_6!D60</f>
        <v>16</v>
      </c>
      <c r="I19" s="507">
        <f>ROUND(G19*H19*12,0)</f>
        <v>252109</v>
      </c>
    </row>
    <row r="20" spans="1:9">
      <c r="A20" s="485">
        <f t="shared" si="0"/>
        <v>9</v>
      </c>
      <c r="C20" s="481" t="s">
        <v>1021</v>
      </c>
      <c r="E20" s="505">
        <f>E19</f>
        <v>1410.59</v>
      </c>
      <c r="F20" s="505">
        <f>W22_PG_2_of_6!F20</f>
        <v>277.08</v>
      </c>
      <c r="G20" s="496">
        <f>+E20-F20</f>
        <v>1133.51</v>
      </c>
      <c r="H20" s="482">
        <f>W22_PG_6_of_6!D61</f>
        <v>14</v>
      </c>
      <c r="I20" s="507">
        <f t="shared" ref="I20:I22" si="3">ROUND(G20*H20*12,0)</f>
        <v>190430</v>
      </c>
    </row>
    <row r="21" spans="1:9">
      <c r="A21" s="485">
        <f t="shared" si="0"/>
        <v>10</v>
      </c>
      <c r="C21" s="481" t="s">
        <v>1022</v>
      </c>
      <c r="E21" s="505">
        <f t="shared" ref="E21:E22" si="4">E20</f>
        <v>1410.59</v>
      </c>
      <c r="F21" s="505">
        <f>W22_PG_2_of_6!F21</f>
        <v>213.73</v>
      </c>
      <c r="G21" s="496">
        <f>+E21-F21</f>
        <v>1196.8599999999999</v>
      </c>
      <c r="H21" s="482">
        <f>W22_PG_6_of_6!D62</f>
        <v>9</v>
      </c>
      <c r="I21" s="507">
        <f t="shared" si="3"/>
        <v>129261</v>
      </c>
    </row>
    <row r="22" spans="1:9">
      <c r="A22" s="485">
        <f t="shared" si="0"/>
        <v>11</v>
      </c>
      <c r="C22" s="481" t="s">
        <v>1023</v>
      </c>
      <c r="E22" s="505">
        <f t="shared" si="4"/>
        <v>1410.59</v>
      </c>
      <c r="F22" s="505">
        <f>W22_PG_2_of_6!F22</f>
        <v>393.28</v>
      </c>
      <c r="G22" s="496">
        <f>+E22-F22</f>
        <v>1017.31</v>
      </c>
      <c r="H22" s="482">
        <f>W22_PG_6_of_6!D63</f>
        <v>26</v>
      </c>
      <c r="I22" s="507">
        <f t="shared" si="3"/>
        <v>317401</v>
      </c>
    </row>
    <row r="23" spans="1:9">
      <c r="A23" s="485">
        <f t="shared" si="0"/>
        <v>12</v>
      </c>
      <c r="B23" s="481" t="s">
        <v>1025</v>
      </c>
      <c r="I23" s="507"/>
    </row>
    <row r="24" spans="1:9">
      <c r="A24" s="485">
        <f t="shared" si="0"/>
        <v>13</v>
      </c>
      <c r="C24" s="481" t="s">
        <v>1020</v>
      </c>
      <c r="E24" s="505">
        <f>W22_PG_2_of_6!E24</f>
        <v>1085.27</v>
      </c>
      <c r="F24" s="505">
        <f>W22_PG_2_of_6!F24</f>
        <v>37.47</v>
      </c>
      <c r="G24" s="496">
        <f>+E24-F24</f>
        <v>1047.8</v>
      </c>
      <c r="H24" s="482">
        <f>W22_PG_6_of_6!D64</f>
        <v>14</v>
      </c>
      <c r="I24" s="507">
        <f>ROUND(G24*H24*12,0)</f>
        <v>176030</v>
      </c>
    </row>
    <row r="25" spans="1:9">
      <c r="A25" s="485">
        <f t="shared" si="0"/>
        <v>14</v>
      </c>
      <c r="C25" s="481" t="s">
        <v>1021</v>
      </c>
      <c r="E25" s="505">
        <f>E24</f>
        <v>1085.27</v>
      </c>
      <c r="F25" s="505">
        <f>W22_PG_2_of_6!F25</f>
        <v>133.32</v>
      </c>
      <c r="G25" s="496">
        <f>+E25-F25</f>
        <v>951.95</v>
      </c>
      <c r="H25" s="482">
        <f>W22_PG_6_of_6!D65</f>
        <v>4</v>
      </c>
      <c r="I25" s="507">
        <f t="shared" ref="I25:I27" si="5">ROUND(G25*H25*12,0)</f>
        <v>45694</v>
      </c>
    </row>
    <row r="26" spans="1:9">
      <c r="A26" s="485">
        <f t="shared" si="0"/>
        <v>15</v>
      </c>
      <c r="C26" s="481" t="s">
        <v>1022</v>
      </c>
      <c r="E26" s="505">
        <f t="shared" ref="E26:E27" si="6">E25</f>
        <v>1085.27</v>
      </c>
      <c r="F26" s="505">
        <f>W22_PG_2_of_6!F26</f>
        <v>99.26</v>
      </c>
      <c r="G26" s="496">
        <f>+E26-F26</f>
        <v>986.01</v>
      </c>
      <c r="H26" s="482">
        <f>W22_PG_6_of_6!D66</f>
        <v>4</v>
      </c>
      <c r="I26" s="507">
        <f t="shared" si="5"/>
        <v>47328</v>
      </c>
    </row>
    <row r="27" spans="1:9">
      <c r="A27" s="485">
        <f t="shared" si="0"/>
        <v>16</v>
      </c>
      <c r="C27" s="481" t="s">
        <v>1023</v>
      </c>
      <c r="E27" s="505">
        <f t="shared" si="6"/>
        <v>1085.27</v>
      </c>
      <c r="F27" s="505">
        <f>W22_PG_2_of_6!F27</f>
        <v>195.75</v>
      </c>
      <c r="G27" s="496">
        <f>+E27-F27</f>
        <v>889.52</v>
      </c>
      <c r="H27" s="482">
        <f>W22_PG_6_of_6!D67</f>
        <v>5</v>
      </c>
      <c r="I27" s="507">
        <f t="shared" si="5"/>
        <v>53371</v>
      </c>
    </row>
    <row r="28" spans="1:9">
      <c r="A28" s="485">
        <f t="shared" si="0"/>
        <v>17</v>
      </c>
      <c r="B28" s="481" t="s">
        <v>1026</v>
      </c>
      <c r="I28" s="507"/>
    </row>
    <row r="29" spans="1:9">
      <c r="A29" s="485">
        <f t="shared" si="0"/>
        <v>18</v>
      </c>
      <c r="C29" s="481" t="s">
        <v>1020</v>
      </c>
      <c r="E29" s="505">
        <f>W22_PG_2_of_6!E29</f>
        <v>78.17</v>
      </c>
      <c r="F29" s="505">
        <f>W22_PG_2_of_6!F29</f>
        <v>12.46</v>
      </c>
      <c r="G29" s="496">
        <f>+E29-F29</f>
        <v>65.710000000000008</v>
      </c>
      <c r="H29" s="482">
        <f>W22_PG_6_of_6!I44</f>
        <v>41</v>
      </c>
      <c r="I29" s="507">
        <f>ROUND(G29*H29*12,0)</f>
        <v>32329</v>
      </c>
    </row>
    <row r="30" spans="1:9">
      <c r="A30" s="485">
        <f t="shared" si="0"/>
        <v>19</v>
      </c>
      <c r="C30" s="481" t="s">
        <v>1021</v>
      </c>
      <c r="E30" s="505">
        <f>E29</f>
        <v>78.17</v>
      </c>
      <c r="F30" s="505">
        <f>W22_PG_2_of_6!F30</f>
        <v>26.75</v>
      </c>
      <c r="G30" s="496">
        <f>+E30-F30</f>
        <v>51.42</v>
      </c>
      <c r="H30" s="482">
        <f>W22_PG_6_of_6!I45</f>
        <v>35</v>
      </c>
      <c r="I30" s="507">
        <f t="shared" ref="I30:I32" si="7">ROUND(G30*H30*12,0)</f>
        <v>21596</v>
      </c>
    </row>
    <row r="31" spans="1:9">
      <c r="A31" s="485">
        <f t="shared" si="0"/>
        <v>20</v>
      </c>
      <c r="C31" s="481" t="s">
        <v>1022</v>
      </c>
      <c r="E31" s="505">
        <f t="shared" ref="E31:E32" si="8">E30</f>
        <v>78.17</v>
      </c>
      <c r="F31" s="505">
        <f>W22_PG_2_of_6!F31</f>
        <v>39</v>
      </c>
      <c r="G31" s="496">
        <f>+E31-F31</f>
        <v>39.17</v>
      </c>
      <c r="H31" s="482">
        <f>W22_PG_6_of_6!I46</f>
        <v>17</v>
      </c>
      <c r="I31" s="507">
        <f t="shared" si="7"/>
        <v>7991</v>
      </c>
    </row>
    <row r="32" spans="1:9">
      <c r="A32" s="485">
        <f t="shared" si="0"/>
        <v>21</v>
      </c>
      <c r="C32" s="481" t="s">
        <v>1023</v>
      </c>
      <c r="E32" s="505">
        <f t="shared" si="8"/>
        <v>78.17</v>
      </c>
      <c r="F32" s="505">
        <f>W22_PG_2_of_6!F32</f>
        <v>53.28</v>
      </c>
      <c r="G32" s="496">
        <f>+E32-F32</f>
        <v>24.89</v>
      </c>
      <c r="H32" s="482">
        <f>W22_PG_6_of_6!I47</f>
        <v>66</v>
      </c>
      <c r="I32" s="507">
        <f t="shared" si="7"/>
        <v>19713</v>
      </c>
    </row>
    <row r="33" spans="1:9">
      <c r="A33" s="485">
        <f t="shared" si="0"/>
        <v>22</v>
      </c>
      <c r="B33" s="481" t="s">
        <v>1027</v>
      </c>
      <c r="E33" s="505"/>
      <c r="I33" s="507"/>
    </row>
    <row r="34" spans="1:9">
      <c r="A34" s="485">
        <f t="shared" si="0"/>
        <v>23</v>
      </c>
      <c r="C34" s="481" t="s">
        <v>1020</v>
      </c>
      <c r="E34" s="505">
        <f>W22_PG_2_of_6!E34</f>
        <v>22.09</v>
      </c>
      <c r="F34" s="505">
        <f>W22_PG_2_of_6!F34</f>
        <v>8.84</v>
      </c>
      <c r="G34" s="496">
        <f>+E34-F34</f>
        <v>13.25</v>
      </c>
      <c r="H34" s="482">
        <f>W22_PG_6_of_6!I48</f>
        <v>3</v>
      </c>
      <c r="I34" s="507">
        <f>ROUND(G34*H34*12,0)</f>
        <v>477</v>
      </c>
    </row>
    <row r="35" spans="1:9">
      <c r="A35" s="485">
        <f t="shared" si="0"/>
        <v>24</v>
      </c>
      <c r="C35" s="481" t="s">
        <v>1021</v>
      </c>
      <c r="E35" s="505">
        <f>W22_PG_2_of_6!E35</f>
        <v>44.19</v>
      </c>
      <c r="F35" s="505">
        <f>W22_PG_2_of_6!F35</f>
        <v>18.78</v>
      </c>
      <c r="G35" s="496">
        <f>+E35-F35</f>
        <v>25.409999999999997</v>
      </c>
      <c r="H35" s="482">
        <f>W22_PG_6_of_6!I49</f>
        <v>2</v>
      </c>
      <c r="I35" s="507">
        <f>ROUND(G35*H35*12,0)</f>
        <v>610</v>
      </c>
    </row>
    <row r="36" spans="1:9">
      <c r="A36" s="485">
        <f t="shared" si="0"/>
        <v>25</v>
      </c>
      <c r="C36" s="481" t="s">
        <v>1022</v>
      </c>
      <c r="E36" s="505">
        <f>W22_PG_2_of_6!E36</f>
        <v>49.7</v>
      </c>
      <c r="F36" s="505">
        <f>W22_PG_2_of_6!F36</f>
        <v>21.26</v>
      </c>
      <c r="G36" s="496">
        <f t="shared" ref="G36:G37" si="9">+E36-F36</f>
        <v>28.44</v>
      </c>
      <c r="H36" s="482">
        <f>W22_PG_6_of_6!I50</f>
        <v>1</v>
      </c>
      <c r="I36" s="507">
        <f t="shared" ref="I36:I37" si="10">ROUND(G36*H36*12,0)</f>
        <v>341</v>
      </c>
    </row>
    <row r="37" spans="1:9">
      <c r="A37" s="485">
        <f t="shared" si="0"/>
        <v>26</v>
      </c>
      <c r="C37" s="481" t="s">
        <v>1023</v>
      </c>
      <c r="E37" s="505">
        <f>W22_PG_2_of_6!E37</f>
        <v>71.8</v>
      </c>
      <c r="F37" s="505">
        <f>W22_PG_2_of_6!F37</f>
        <v>31.21</v>
      </c>
      <c r="G37" s="496">
        <f t="shared" si="9"/>
        <v>40.589999999999996</v>
      </c>
      <c r="H37" s="482">
        <f>W22_PG_6_of_6!I51</f>
        <v>3</v>
      </c>
      <c r="I37" s="507">
        <f t="shared" si="10"/>
        <v>1461</v>
      </c>
    </row>
    <row r="38" spans="1:9">
      <c r="A38" s="485"/>
      <c r="B38" s="481" t="s">
        <v>1028</v>
      </c>
      <c r="E38" s="505"/>
      <c r="I38" s="507"/>
    </row>
    <row r="39" spans="1:9">
      <c r="A39" s="485">
        <f>A37+1</f>
        <v>27</v>
      </c>
      <c r="C39" s="481" t="s">
        <v>1029</v>
      </c>
      <c r="E39" s="505">
        <f>W22_PG_2_of_6!E39</f>
        <v>1.06</v>
      </c>
      <c r="G39" s="496">
        <f>+E39-F39</f>
        <v>1.06</v>
      </c>
      <c r="H39" s="482">
        <v>184</v>
      </c>
      <c r="I39" s="507">
        <f>ROUND(G39*H39*12,0)</f>
        <v>2340</v>
      </c>
    </row>
    <row r="40" spans="1:9">
      <c r="A40" s="485">
        <f t="shared" si="0"/>
        <v>28</v>
      </c>
      <c r="C40" s="481" t="s">
        <v>1030</v>
      </c>
      <c r="E40" s="505">
        <f>W22_PG_2_of_6!E40</f>
        <v>0.5</v>
      </c>
      <c r="G40" s="496">
        <f>+E40-F40</f>
        <v>0.5</v>
      </c>
      <c r="H40" s="482">
        <v>184</v>
      </c>
      <c r="I40" s="507">
        <f>ROUND(G40*H40*12,0)</f>
        <v>1104</v>
      </c>
    </row>
    <row r="41" spans="1:9" ht="6" customHeight="1">
      <c r="A41" s="485"/>
      <c r="I41" s="507"/>
    </row>
    <row r="42" spans="1:9">
      <c r="A42" s="485">
        <f>1+A40</f>
        <v>29</v>
      </c>
      <c r="B42" s="481" t="s">
        <v>1031</v>
      </c>
      <c r="E42" s="505"/>
      <c r="I42" s="507">
        <v>35210</v>
      </c>
    </row>
    <row r="43" spans="1:9">
      <c r="A43" s="485"/>
      <c r="C43" s="481" t="s">
        <v>1032</v>
      </c>
      <c r="E43" s="505"/>
      <c r="I43" s="507"/>
    </row>
    <row r="44" spans="1:9" ht="6" customHeight="1">
      <c r="A44" s="485"/>
      <c r="I44" s="507"/>
    </row>
    <row r="45" spans="1:9">
      <c r="A45" s="485">
        <f>1+A42</f>
        <v>30</v>
      </c>
      <c r="B45" s="481" t="s">
        <v>1033</v>
      </c>
      <c r="E45" s="505">
        <f>W22_PG_2_of_6!E45</f>
        <v>3.66</v>
      </c>
      <c r="G45" s="496">
        <f>+E45-F45</f>
        <v>3.66</v>
      </c>
      <c r="H45" s="482">
        <v>191</v>
      </c>
      <c r="I45" s="507">
        <f>ROUND(G45*H45*12,0)</f>
        <v>8389</v>
      </c>
    </row>
    <row r="46" spans="1:9">
      <c r="A46" s="485"/>
      <c r="I46" s="507"/>
    </row>
    <row r="47" spans="1:9">
      <c r="A47" s="485">
        <f>1+A45</f>
        <v>31</v>
      </c>
      <c r="B47" s="481" t="s">
        <v>1034</v>
      </c>
      <c r="H47" s="508" t="s">
        <v>1035</v>
      </c>
      <c r="I47" s="507"/>
    </row>
    <row r="48" spans="1:9">
      <c r="A48" s="485">
        <f t="shared" ref="A48:A50" si="11">1+A47</f>
        <v>32</v>
      </c>
      <c r="C48" s="481" t="s">
        <v>1036</v>
      </c>
      <c r="G48" s="509">
        <f>W22_PG_2_of_6!G48</f>
        <v>0.156</v>
      </c>
      <c r="H48" s="482">
        <v>33031</v>
      </c>
      <c r="I48" s="507">
        <f>ROUND(G48*H48*12,0)</f>
        <v>61834</v>
      </c>
    </row>
    <row r="49" spans="1:9">
      <c r="A49" s="485">
        <f t="shared" si="11"/>
        <v>33</v>
      </c>
      <c r="C49" s="481" t="s">
        <v>1037</v>
      </c>
      <c r="G49" s="509">
        <f>W22_PG_2_of_6!G49</f>
        <v>1.7999999999999999E-2</v>
      </c>
      <c r="H49" s="482">
        <v>33735</v>
      </c>
      <c r="I49" s="507">
        <f>ROUND(G49*H49*12,0)</f>
        <v>7287</v>
      </c>
    </row>
    <row r="50" spans="1:9">
      <c r="A50" s="485">
        <f t="shared" si="11"/>
        <v>34</v>
      </c>
      <c r="C50" s="481" t="s">
        <v>1038</v>
      </c>
      <c r="G50" s="509">
        <f>W22_PG_2_of_6!G50</f>
        <v>2.1000000000000001E-2</v>
      </c>
      <c r="H50" s="482">
        <v>13236</v>
      </c>
      <c r="I50" s="507">
        <f>ROUND(G50*H50*12,0)</f>
        <v>3335</v>
      </c>
    </row>
    <row r="51" spans="1:9" ht="6" customHeight="1">
      <c r="A51" s="485"/>
    </row>
    <row r="52" spans="1:9">
      <c r="A52" s="485">
        <f>1+A50</f>
        <v>35</v>
      </c>
      <c r="B52" s="481" t="s">
        <v>1041</v>
      </c>
      <c r="I52" s="512">
        <f>SUM(I12:I51)</f>
        <v>2378676</v>
      </c>
    </row>
    <row r="53" spans="1:9">
      <c r="A53" s="485"/>
    </row>
    <row r="54" spans="1:9" ht="13" thickBot="1">
      <c r="A54" s="485">
        <f>1+A52</f>
        <v>36</v>
      </c>
      <c r="B54" s="481" t="s">
        <v>1042</v>
      </c>
      <c r="I54" s="513">
        <f>ROUND(I52*0.5,0)</f>
        <v>1189338</v>
      </c>
    </row>
    <row r="55" spans="1:9" ht="13" thickTop="1">
      <c r="A55" s="485"/>
    </row>
    <row r="56" spans="1:9">
      <c r="A56" s="485"/>
    </row>
    <row r="57" spans="1:9">
      <c r="A57" s="746"/>
      <c r="B57" s="746"/>
      <c r="C57" s="746"/>
      <c r="D57" s="746"/>
    </row>
  </sheetData>
  <mergeCells count="8">
    <mergeCell ref="C6:H6"/>
    <mergeCell ref="B10:D10"/>
    <mergeCell ref="B11:D11"/>
    <mergeCell ref="A57:D57"/>
    <mergeCell ref="A1:C1"/>
    <mergeCell ref="A2:G2"/>
    <mergeCell ref="A3:G3"/>
    <mergeCell ref="A4:G4"/>
  </mergeCells>
  <pageMargins left="0.3" right="0.3" top="0.5" bottom="0.3"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F25EB-9916-414F-9F70-E36B985F996C}">
  <dimension ref="A1:G5"/>
  <sheetViews>
    <sheetView workbookViewId="0">
      <selection activeCell="D41" sqref="D41"/>
    </sheetView>
  </sheetViews>
  <sheetFormatPr defaultColWidth="8.81640625" defaultRowHeight="13"/>
  <cols>
    <col min="1" max="1" width="2.1796875" style="514" customWidth="1"/>
    <col min="2" max="2" width="27.81640625" style="514" customWidth="1"/>
    <col min="3" max="3" width="17" style="514" customWidth="1"/>
    <col min="4" max="4" width="15.26953125" style="514" bestFit="1" customWidth="1"/>
    <col min="5" max="5" width="11.81640625" style="514" customWidth="1"/>
    <col min="6" max="6" width="17.1796875" style="514" customWidth="1"/>
    <col min="7" max="7" width="2.453125" style="514" customWidth="1"/>
    <col min="8" max="16384" width="8.81640625" style="514"/>
  </cols>
  <sheetData>
    <row r="1" spans="1:7">
      <c r="A1" s="711" t="s">
        <v>0</v>
      </c>
      <c r="B1" s="709"/>
      <c r="C1" s="709"/>
      <c r="D1" s="41"/>
      <c r="E1" s="41"/>
      <c r="F1" s="41"/>
      <c r="G1" s="41"/>
    </row>
    <row r="2" spans="1:7">
      <c r="A2" s="747" t="s">
        <v>1089</v>
      </c>
      <c r="B2" s="709"/>
      <c r="C2" s="709"/>
      <c r="D2" s="709"/>
      <c r="E2" s="709"/>
      <c r="F2" s="709"/>
      <c r="G2" s="709"/>
    </row>
    <row r="3" spans="1:7" ht="12.75" customHeight="1">
      <c r="A3" s="747" t="s">
        <v>1091</v>
      </c>
      <c r="B3" s="709"/>
      <c r="C3" s="709"/>
      <c r="D3" s="709"/>
      <c r="E3" s="709"/>
      <c r="F3" s="709"/>
      <c r="G3" s="709"/>
    </row>
    <row r="4" spans="1:7" ht="12" customHeight="1">
      <c r="A4" s="711" t="s">
        <v>119</v>
      </c>
      <c r="B4" s="709"/>
      <c r="C4" s="709"/>
      <c r="D4" s="709"/>
      <c r="E4" s="709"/>
      <c r="F4" s="709"/>
      <c r="G4" s="709"/>
    </row>
    <row r="5" spans="1:7" ht="12" customHeight="1"/>
  </sheetData>
  <mergeCells count="4">
    <mergeCell ref="A1:C1"/>
    <mergeCell ref="A2:G2"/>
    <mergeCell ref="A3:G3"/>
    <mergeCell ref="A4:G4"/>
  </mergeCells>
  <pageMargins left="0.45" right="0.45" top="0.5" bottom="0.45" header="0.3" footer="0.3"/>
  <pageSetup scale="10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69AB3-9B15-4785-8C08-977F82A9AF4A}">
  <dimension ref="A1:H25"/>
  <sheetViews>
    <sheetView showRuler="0" workbookViewId="0">
      <selection sqref="A1:B1"/>
    </sheetView>
  </sheetViews>
  <sheetFormatPr defaultColWidth="13.7265625" defaultRowHeight="12.5"/>
  <cols>
    <col min="1" max="1" width="13.26953125" style="41" customWidth="1"/>
    <col min="2" max="7" width="12.81640625" style="41" customWidth="1"/>
    <col min="8" max="16384" width="13.7265625" style="41"/>
  </cols>
  <sheetData>
    <row r="1" spans="1:8" ht="15" customHeight="1">
      <c r="A1" s="711" t="s">
        <v>0</v>
      </c>
      <c r="B1" s="709"/>
    </row>
    <row r="2" spans="1:8" ht="15" customHeight="1">
      <c r="A2" s="712" t="s">
        <v>215</v>
      </c>
      <c r="B2" s="709"/>
      <c r="C2" s="709"/>
      <c r="D2" s="709"/>
      <c r="E2" s="709"/>
      <c r="F2" s="709"/>
    </row>
    <row r="3" spans="1:8" ht="15" customHeight="1">
      <c r="A3" s="712" t="s">
        <v>222</v>
      </c>
      <c r="B3" s="709"/>
      <c r="C3" s="709"/>
      <c r="D3" s="709"/>
    </row>
    <row r="4" spans="1:8" ht="15" customHeight="1">
      <c r="A4" s="711" t="s">
        <v>119</v>
      </c>
      <c r="B4" s="709"/>
      <c r="C4" s="709"/>
      <c r="D4" s="709"/>
    </row>
    <row r="5" spans="1:8" ht="15" customHeight="1"/>
    <row r="6" spans="1:8" ht="15" customHeight="1">
      <c r="B6" s="66" t="s">
        <v>221</v>
      </c>
      <c r="C6" s="66" t="s">
        <v>220</v>
      </c>
      <c r="D6" s="66" t="s">
        <v>219</v>
      </c>
      <c r="E6" s="67"/>
      <c r="F6" s="67"/>
      <c r="G6" s="66" t="s">
        <v>218</v>
      </c>
      <c r="H6" s="59"/>
    </row>
    <row r="7" spans="1:8" ht="15" customHeight="1">
      <c r="A7" s="54" t="s">
        <v>201</v>
      </c>
      <c r="B7" s="55">
        <v>260.14999999999998</v>
      </c>
      <c r="C7" s="55">
        <v>104.64</v>
      </c>
      <c r="D7" s="58"/>
      <c r="E7" s="58"/>
      <c r="F7" s="58"/>
      <c r="G7" s="55">
        <v>-364.79</v>
      </c>
    </row>
    <row r="8" spans="1:8" ht="15" customHeight="1">
      <c r="A8" s="54" t="s">
        <v>200</v>
      </c>
      <c r="D8" s="54"/>
      <c r="E8" s="54"/>
      <c r="G8" s="51">
        <v>0</v>
      </c>
    </row>
    <row r="9" spans="1:8" ht="15" customHeight="1">
      <c r="A9" s="54" t="s">
        <v>199</v>
      </c>
      <c r="G9" s="51">
        <v>0</v>
      </c>
    </row>
    <row r="10" spans="1:8" ht="15" customHeight="1">
      <c r="A10" s="54" t="s">
        <v>198</v>
      </c>
      <c r="D10" s="51">
        <v>583.05999999999995</v>
      </c>
      <c r="E10" s="54"/>
      <c r="G10" s="51">
        <v>-583.05999999999995</v>
      </c>
    </row>
    <row r="11" spans="1:8" ht="15" customHeight="1">
      <c r="A11" s="54" t="s">
        <v>197</v>
      </c>
      <c r="B11" s="54"/>
      <c r="D11" s="51">
        <v>1470.06</v>
      </c>
      <c r="E11" s="54"/>
      <c r="G11" s="51">
        <v>-1470.06</v>
      </c>
    </row>
    <row r="12" spans="1:8" ht="15" customHeight="1">
      <c r="A12" s="54" t="s">
        <v>196</v>
      </c>
      <c r="B12" s="54"/>
      <c r="E12" s="54"/>
      <c r="G12" s="51">
        <v>0</v>
      </c>
    </row>
    <row r="13" spans="1:8" ht="15" customHeight="1">
      <c r="A13" s="54" t="s">
        <v>195</v>
      </c>
      <c r="B13" s="51">
        <v>76.58</v>
      </c>
      <c r="E13" s="54"/>
      <c r="G13" s="51">
        <v>-76.58</v>
      </c>
    </row>
    <row r="14" spans="1:8" ht="15" customHeight="1">
      <c r="A14" s="54" t="s">
        <v>194</v>
      </c>
      <c r="B14" s="54"/>
      <c r="C14" s="51">
        <v>149.34</v>
      </c>
      <c r="E14" s="54"/>
      <c r="G14" s="51">
        <v>-149.34</v>
      </c>
    </row>
    <row r="15" spans="1:8" ht="15" customHeight="1">
      <c r="A15" s="54" t="s">
        <v>193</v>
      </c>
      <c r="B15" s="54"/>
      <c r="C15" s="51">
        <v>523.55999999999995</v>
      </c>
      <c r="E15" s="54"/>
      <c r="G15" s="51">
        <v>-523.55999999999995</v>
      </c>
    </row>
    <row r="16" spans="1:8" ht="15" customHeight="1">
      <c r="A16" s="54" t="s">
        <v>192</v>
      </c>
      <c r="B16" s="54"/>
      <c r="C16" s="51">
        <v>323.12</v>
      </c>
      <c r="E16" s="54"/>
      <c r="F16" s="54"/>
      <c r="G16" s="51">
        <v>-323.12</v>
      </c>
    </row>
    <row r="17" spans="1:7" ht="15" customHeight="1">
      <c r="A17" s="54" t="s">
        <v>191</v>
      </c>
      <c r="B17" s="54"/>
      <c r="C17" s="51">
        <v>291.01</v>
      </c>
      <c r="E17" s="54"/>
      <c r="F17" s="54"/>
      <c r="G17" s="51">
        <v>-291.01</v>
      </c>
    </row>
    <row r="18" spans="1:7" ht="15" customHeight="1">
      <c r="A18" s="54" t="s">
        <v>190</v>
      </c>
      <c r="B18" s="65"/>
      <c r="C18" s="50">
        <v>122.13</v>
      </c>
      <c r="E18" s="65"/>
      <c r="F18" s="65"/>
      <c r="G18" s="50">
        <v>-122.13</v>
      </c>
    </row>
    <row r="19" spans="1:7" ht="15" customHeight="1" thickBot="1">
      <c r="A19" s="54" t="s">
        <v>158</v>
      </c>
      <c r="B19" s="64">
        <f t="shared" ref="B19:G19" si="0">SUM(B7:B18)</f>
        <v>336.72999999999996</v>
      </c>
      <c r="C19" s="64">
        <f t="shared" si="0"/>
        <v>1513.7999999999997</v>
      </c>
      <c r="D19" s="64">
        <f t="shared" si="0"/>
        <v>2053.12</v>
      </c>
      <c r="E19" s="64">
        <f t="shared" si="0"/>
        <v>0</v>
      </c>
      <c r="F19" s="64">
        <f t="shared" si="0"/>
        <v>0</v>
      </c>
      <c r="G19" s="64">
        <f t="shared" si="0"/>
        <v>-3903.6499999999996</v>
      </c>
    </row>
    <row r="20" spans="1:7" ht="15" customHeight="1" thickTop="1">
      <c r="B20" s="63"/>
      <c r="C20" s="63"/>
      <c r="D20" s="63"/>
      <c r="E20" s="63"/>
      <c r="F20" s="63"/>
      <c r="G20" s="63" t="s">
        <v>217</v>
      </c>
    </row>
    <row r="21" spans="1:7" ht="39.25" customHeight="1">
      <c r="A21" s="54" t="s">
        <v>216</v>
      </c>
      <c r="B21" s="62">
        <f t="shared" ref="B21:G21" si="1">-B19</f>
        <v>-336.72999999999996</v>
      </c>
      <c r="C21" s="62">
        <f t="shared" si="1"/>
        <v>-1513.7999999999997</v>
      </c>
      <c r="D21" s="62">
        <f t="shared" si="1"/>
        <v>-2053.12</v>
      </c>
      <c r="E21" s="62">
        <f t="shared" si="1"/>
        <v>0</v>
      </c>
      <c r="F21" s="62">
        <f t="shared" si="1"/>
        <v>0</v>
      </c>
      <c r="G21" s="62">
        <f t="shared" si="1"/>
        <v>3903.6499999999996</v>
      </c>
    </row>
    <row r="22" spans="1:7" ht="27.65" customHeight="1">
      <c r="A22" s="54" t="s">
        <v>187</v>
      </c>
      <c r="B22" s="61">
        <v>501</v>
      </c>
      <c r="C22" s="61">
        <v>506</v>
      </c>
      <c r="D22" s="61">
        <v>920</v>
      </c>
      <c r="E22" s="54"/>
      <c r="F22" s="54"/>
      <c r="G22" s="61">
        <v>512</v>
      </c>
    </row>
    <row r="23" spans="1:7" ht="15" customHeight="1"/>
    <row r="24" spans="1:7" ht="15" customHeight="1">
      <c r="A24" s="44" t="s">
        <v>2</v>
      </c>
      <c r="B24" s="44" t="s">
        <v>3</v>
      </c>
    </row>
    <row r="25" spans="1:7" ht="15" customHeight="1"/>
  </sheetData>
  <mergeCells count="4">
    <mergeCell ref="A1:B1"/>
    <mergeCell ref="A2:F2"/>
    <mergeCell ref="A4:D4"/>
    <mergeCell ref="A3:D3"/>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FC26F-01D6-457C-A399-689E57DA50C6}">
  <dimension ref="A1:J23"/>
  <sheetViews>
    <sheetView workbookViewId="0">
      <selection activeCell="D41" sqref="D41"/>
    </sheetView>
  </sheetViews>
  <sheetFormatPr defaultColWidth="8.81640625" defaultRowHeight="13"/>
  <cols>
    <col min="1" max="1" width="19.81640625" style="514" customWidth="1"/>
    <col min="2" max="2" width="11.81640625" style="514" customWidth="1"/>
    <col min="3" max="3" width="14.1796875" style="514" customWidth="1"/>
    <col min="4" max="4" width="13.453125" style="514" customWidth="1"/>
    <col min="5" max="5" width="12" style="514" customWidth="1"/>
    <col min="6" max="9" width="8.81640625" style="514"/>
    <col min="10" max="10" width="7.26953125" style="514" customWidth="1"/>
    <col min="11" max="16384" width="8.81640625" style="514"/>
  </cols>
  <sheetData>
    <row r="1" spans="1:10">
      <c r="A1" s="711" t="s">
        <v>0</v>
      </c>
      <c r="B1" s="709"/>
      <c r="C1" s="709"/>
      <c r="D1" s="41"/>
      <c r="E1" s="41"/>
      <c r="F1" s="41"/>
      <c r="G1" s="41"/>
      <c r="J1" s="483"/>
    </row>
    <row r="2" spans="1:10">
      <c r="A2" s="747" t="s">
        <v>1089</v>
      </c>
      <c r="B2" s="709"/>
      <c r="C2" s="709"/>
      <c r="D2" s="709"/>
      <c r="E2" s="709"/>
      <c r="F2" s="709"/>
      <c r="G2" s="709"/>
      <c r="J2" s="515"/>
    </row>
    <row r="3" spans="1:10">
      <c r="A3" s="747" t="s">
        <v>1092</v>
      </c>
      <c r="B3" s="709"/>
      <c r="C3" s="709"/>
      <c r="D3" s="709"/>
      <c r="E3" s="709"/>
      <c r="F3" s="709"/>
      <c r="G3" s="709"/>
      <c r="J3" s="515"/>
    </row>
    <row r="4" spans="1:10">
      <c r="A4" s="711" t="s">
        <v>119</v>
      </c>
      <c r="B4" s="709"/>
      <c r="C4" s="709"/>
      <c r="D4" s="709"/>
      <c r="E4" s="709"/>
      <c r="F4" s="709"/>
      <c r="G4" s="709"/>
    </row>
    <row r="5" spans="1:10" ht="13.5" thickBot="1"/>
    <row r="6" spans="1:10" ht="14.5" thickBot="1">
      <c r="A6" s="752" t="s">
        <v>1043</v>
      </c>
      <c r="B6" s="753"/>
      <c r="C6" s="753"/>
      <c r="D6" s="753"/>
      <c r="E6" s="754"/>
    </row>
    <row r="7" spans="1:10" ht="14.5" thickBot="1">
      <c r="A7" s="516" t="s">
        <v>1044</v>
      </c>
      <c r="B7" s="517"/>
      <c r="C7" s="517"/>
      <c r="D7" s="517"/>
      <c r="E7" s="518"/>
    </row>
    <row r="8" spans="1:10" ht="14">
      <c r="A8" s="519" t="s">
        <v>1045</v>
      </c>
      <c r="B8" s="520"/>
      <c r="C8" s="520"/>
      <c r="D8" s="520"/>
      <c r="E8" s="521"/>
    </row>
    <row r="9" spans="1:10" ht="28">
      <c r="A9" s="522"/>
      <c r="B9" s="523" t="s">
        <v>1046</v>
      </c>
      <c r="C9" s="523" t="s">
        <v>1047</v>
      </c>
      <c r="D9" s="523" t="s">
        <v>1048</v>
      </c>
      <c r="E9" s="524" t="s">
        <v>1049</v>
      </c>
    </row>
    <row r="10" spans="1:10" ht="14">
      <c r="A10" s="525" t="s">
        <v>1050</v>
      </c>
      <c r="B10" s="526">
        <v>166.09</v>
      </c>
      <c r="C10" s="526">
        <v>439.49</v>
      </c>
      <c r="D10" s="526">
        <v>343.05</v>
      </c>
      <c r="E10" s="526">
        <v>616.44000000000005</v>
      </c>
    </row>
    <row r="11" spans="1:10" ht="14">
      <c r="A11" s="525" t="s">
        <v>1051</v>
      </c>
      <c r="B11" s="526">
        <v>97.52</v>
      </c>
      <c r="C11" s="526">
        <v>277.08</v>
      </c>
      <c r="D11" s="526">
        <v>213.73</v>
      </c>
      <c r="E11" s="526">
        <v>393.28</v>
      </c>
    </row>
    <row r="12" spans="1:10" ht="14">
      <c r="A12" s="525" t="s">
        <v>1052</v>
      </c>
      <c r="B12" s="526">
        <v>37.47</v>
      </c>
      <c r="C12" s="526">
        <v>133.32</v>
      </c>
      <c r="D12" s="526">
        <v>99.26</v>
      </c>
      <c r="E12" s="526">
        <v>195.75</v>
      </c>
    </row>
    <row r="13" spans="1:10" ht="14">
      <c r="A13" s="525" t="s">
        <v>1053</v>
      </c>
      <c r="B13" s="526">
        <v>12.46</v>
      </c>
      <c r="C13" s="526">
        <v>26.75</v>
      </c>
      <c r="D13" s="526">
        <v>39</v>
      </c>
      <c r="E13" s="526">
        <v>53.28</v>
      </c>
    </row>
    <row r="14" spans="1:10" ht="14">
      <c r="A14" s="527" t="s">
        <v>1054</v>
      </c>
      <c r="B14" s="528">
        <v>8.84</v>
      </c>
      <c r="C14" s="528">
        <v>18.78</v>
      </c>
      <c r="D14" s="528">
        <v>21.26</v>
      </c>
      <c r="E14" s="528">
        <v>31.21</v>
      </c>
    </row>
    <row r="15" spans="1:10" ht="14">
      <c r="A15" s="529" t="s">
        <v>1055</v>
      </c>
      <c r="B15" s="529">
        <v>6.82</v>
      </c>
      <c r="C15" s="529">
        <v>12.93</v>
      </c>
      <c r="D15" s="529">
        <v>13.61</v>
      </c>
      <c r="E15" s="529">
        <v>20.41</v>
      </c>
    </row>
    <row r="16" spans="1:10" ht="14">
      <c r="A16" s="530" t="s">
        <v>1056</v>
      </c>
      <c r="B16" s="531"/>
      <c r="C16" s="531"/>
      <c r="D16" s="531"/>
      <c r="E16" s="532"/>
    </row>
    <row r="17" spans="1:6" ht="28">
      <c r="A17" s="522"/>
      <c r="B17" s="523" t="s">
        <v>1046</v>
      </c>
      <c r="C17" s="523" t="s">
        <v>1047</v>
      </c>
      <c r="D17" s="523" t="s">
        <v>1048</v>
      </c>
      <c r="E17" s="524" t="s">
        <v>1049</v>
      </c>
    </row>
    <row r="18" spans="1:6" ht="14">
      <c r="A18" s="525" t="s">
        <v>1050</v>
      </c>
      <c r="B18" s="526">
        <v>415.23</v>
      </c>
      <c r="C18" s="526">
        <v>1098.72</v>
      </c>
      <c r="D18" s="526">
        <v>857.62</v>
      </c>
      <c r="E18" s="526">
        <v>1541.11</v>
      </c>
    </row>
    <row r="19" spans="1:6" ht="14">
      <c r="A19" s="525" t="s">
        <v>1051</v>
      </c>
      <c r="B19" s="526">
        <v>243.8</v>
      </c>
      <c r="C19" s="526">
        <v>692.69</v>
      </c>
      <c r="D19" s="526">
        <v>534.32000000000005</v>
      </c>
      <c r="E19" s="526">
        <v>983.21</v>
      </c>
    </row>
    <row r="20" spans="1:6" ht="14">
      <c r="A20" s="525" t="s">
        <v>1052</v>
      </c>
      <c r="B20" s="526">
        <v>93.68</v>
      </c>
      <c r="C20" s="526">
        <v>333.29</v>
      </c>
      <c r="D20" s="526">
        <v>248.14</v>
      </c>
      <c r="E20" s="526">
        <v>489.38</v>
      </c>
    </row>
    <row r="21" spans="1:6" ht="14">
      <c r="A21" s="525" t="s">
        <v>1053</v>
      </c>
      <c r="B21" s="526">
        <v>31.15</v>
      </c>
      <c r="C21" s="526">
        <v>62.9</v>
      </c>
      <c r="D21" s="526">
        <v>90.12</v>
      </c>
      <c r="E21" s="526">
        <v>121.87</v>
      </c>
    </row>
    <row r="22" spans="1:6" ht="14">
      <c r="A22" s="527" t="s">
        <v>1054</v>
      </c>
      <c r="B22" s="528">
        <v>22.09</v>
      </c>
      <c r="C22" s="528">
        <v>44.19</v>
      </c>
      <c r="D22" s="528">
        <v>49.7</v>
      </c>
      <c r="E22" s="528">
        <v>71.8</v>
      </c>
    </row>
    <row r="23" spans="1:6" ht="14">
      <c r="A23" s="529" t="s">
        <v>1055</v>
      </c>
      <c r="B23" s="529">
        <v>6.82</v>
      </c>
      <c r="C23" s="529">
        <v>12.93</v>
      </c>
      <c r="D23" s="529">
        <v>13.61</v>
      </c>
      <c r="E23" s="529">
        <v>20.41</v>
      </c>
      <c r="F23" s="514" t="s">
        <v>1057</v>
      </c>
    </row>
  </sheetData>
  <mergeCells count="5">
    <mergeCell ref="A6:E6"/>
    <mergeCell ref="A1:C1"/>
    <mergeCell ref="A2:G2"/>
    <mergeCell ref="A3:G3"/>
    <mergeCell ref="A4:G4"/>
  </mergeCells>
  <pageMargins left="0.45" right="0.45" top="0.5" bottom="0.5" header="0.3" footer="0.3"/>
  <pageSetup scale="8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AA31A-84BB-4879-85F0-ABE2C764D3A1}">
  <dimension ref="A1:M87"/>
  <sheetViews>
    <sheetView workbookViewId="0">
      <selection activeCell="D41" sqref="D41"/>
    </sheetView>
  </sheetViews>
  <sheetFormatPr defaultColWidth="9.1796875" defaultRowHeight="12.5"/>
  <cols>
    <col min="1" max="1" width="19.81640625" style="481" bestFit="1" customWidth="1"/>
    <col min="2" max="2" width="9.7265625" style="481" bestFit="1" customWidth="1"/>
    <col min="3" max="3" width="14" style="481" bestFit="1" customWidth="1"/>
    <col min="4" max="4" width="5.7265625" style="481" bestFit="1" customWidth="1"/>
    <col min="5" max="5" width="3.26953125" style="481" customWidth="1"/>
    <col min="6" max="6" width="19.81640625" style="481" bestFit="1" customWidth="1"/>
    <col min="7" max="7" width="10.7265625" style="481" bestFit="1" customWidth="1"/>
    <col min="8" max="8" width="14.26953125" style="481" bestFit="1" customWidth="1"/>
    <col min="9" max="9" width="5.7265625" style="481" bestFit="1" customWidth="1"/>
    <col min="10" max="10" width="3.26953125" style="481" customWidth="1"/>
    <col min="11" max="11" width="19.81640625" style="481" bestFit="1" customWidth="1"/>
    <col min="12" max="12" width="11.26953125" style="481" bestFit="1" customWidth="1"/>
    <col min="13" max="13" width="4.7265625" style="481" customWidth="1"/>
    <col min="14" max="16384" width="9.1796875" style="481"/>
  </cols>
  <sheetData>
    <row r="1" spans="1:13">
      <c r="A1" s="711" t="s">
        <v>0</v>
      </c>
      <c r="B1" s="709"/>
      <c r="C1" s="709"/>
      <c r="D1" s="41"/>
      <c r="E1" s="41"/>
      <c r="F1" s="41"/>
      <c r="G1" s="41"/>
    </row>
    <row r="2" spans="1:13">
      <c r="A2" s="747" t="s">
        <v>1089</v>
      </c>
      <c r="B2" s="709"/>
      <c r="C2" s="709"/>
      <c r="D2" s="709"/>
      <c r="E2" s="709"/>
      <c r="F2" s="709"/>
      <c r="G2" s="709"/>
    </row>
    <row r="3" spans="1:13">
      <c r="A3" s="747" t="s">
        <v>1093</v>
      </c>
      <c r="B3" s="709"/>
      <c r="C3" s="709"/>
      <c r="D3" s="709"/>
      <c r="E3" s="709"/>
      <c r="F3" s="709"/>
      <c r="G3" s="709"/>
    </row>
    <row r="4" spans="1:13">
      <c r="A4" s="711" t="s">
        <v>119</v>
      </c>
      <c r="B4" s="709"/>
      <c r="C4" s="709"/>
      <c r="D4" s="709"/>
      <c r="E4" s="709"/>
      <c r="F4" s="709"/>
      <c r="G4" s="709"/>
      <c r="M4" s="483"/>
    </row>
    <row r="5" spans="1:13">
      <c r="M5" s="483"/>
    </row>
    <row r="6" spans="1:13" ht="13">
      <c r="A6" s="533" t="s">
        <v>1058</v>
      </c>
      <c r="F6" s="533" t="s">
        <v>1059</v>
      </c>
      <c r="M6" s="483"/>
    </row>
    <row r="7" spans="1:13">
      <c r="A7" s="534" t="s">
        <v>432</v>
      </c>
      <c r="B7" s="534" t="s">
        <v>1060</v>
      </c>
      <c r="C7" s="534" t="s">
        <v>1061</v>
      </c>
      <c r="D7" s="534" t="s">
        <v>1062</v>
      </c>
      <c r="F7" s="535" t="s">
        <v>432</v>
      </c>
      <c r="G7" s="534" t="s">
        <v>1060</v>
      </c>
      <c r="H7" s="534" t="s">
        <v>1061</v>
      </c>
      <c r="I7" s="534" t="s">
        <v>1062</v>
      </c>
      <c r="M7" s="483"/>
    </row>
    <row r="8" spans="1:13">
      <c r="A8" s="535">
        <v>110</v>
      </c>
      <c r="B8" s="534" t="s">
        <v>1063</v>
      </c>
      <c r="C8" s="534" t="s">
        <v>1064</v>
      </c>
      <c r="D8" s="534">
        <v>26</v>
      </c>
      <c r="F8" s="535">
        <v>110</v>
      </c>
      <c r="G8" s="534" t="s">
        <v>1053</v>
      </c>
      <c r="H8" s="534" t="s">
        <v>1064</v>
      </c>
      <c r="I8" s="534">
        <v>57</v>
      </c>
    </row>
    <row r="9" spans="1:13">
      <c r="A9" s="535">
        <v>110</v>
      </c>
      <c r="B9" s="534" t="s">
        <v>1063</v>
      </c>
      <c r="C9" s="534" t="s">
        <v>1065</v>
      </c>
      <c r="D9" s="534">
        <v>17</v>
      </c>
      <c r="F9" s="535">
        <v>110</v>
      </c>
      <c r="G9" s="534" t="s">
        <v>1053</v>
      </c>
      <c r="H9" s="534" t="s">
        <v>1065</v>
      </c>
      <c r="I9" s="534">
        <v>66</v>
      </c>
    </row>
    <row r="10" spans="1:13">
      <c r="A10" s="535">
        <v>110</v>
      </c>
      <c r="B10" s="534" t="s">
        <v>1063</v>
      </c>
      <c r="C10" s="534" t="s">
        <v>1066</v>
      </c>
      <c r="D10" s="534">
        <v>7</v>
      </c>
      <c r="F10" s="535">
        <v>110</v>
      </c>
      <c r="G10" s="534" t="s">
        <v>1053</v>
      </c>
      <c r="H10" s="534" t="s">
        <v>1066</v>
      </c>
      <c r="I10" s="534">
        <v>25</v>
      </c>
    </row>
    <row r="11" spans="1:13">
      <c r="A11" s="535">
        <v>110</v>
      </c>
      <c r="B11" s="534" t="s">
        <v>1063</v>
      </c>
      <c r="C11" s="534" t="s">
        <v>1067</v>
      </c>
      <c r="D11" s="534">
        <v>26</v>
      </c>
      <c r="F11" s="535">
        <v>110</v>
      </c>
      <c r="G11" s="534" t="s">
        <v>1053</v>
      </c>
      <c r="H11" s="534" t="s">
        <v>1067</v>
      </c>
      <c r="I11" s="534">
        <v>77</v>
      </c>
    </row>
    <row r="12" spans="1:13">
      <c r="A12" s="535">
        <v>110</v>
      </c>
      <c r="B12" s="534" t="s">
        <v>1068</v>
      </c>
      <c r="C12" s="534" t="s">
        <v>1064</v>
      </c>
      <c r="D12" s="534">
        <v>30</v>
      </c>
      <c r="F12" s="535">
        <v>110</v>
      </c>
      <c r="G12" s="534" t="s">
        <v>1054</v>
      </c>
      <c r="H12" s="534" t="s">
        <v>1064</v>
      </c>
      <c r="I12" s="534">
        <v>12</v>
      </c>
      <c r="K12" s="481" t="s">
        <v>1069</v>
      </c>
      <c r="L12" s="481">
        <v>299</v>
      </c>
    </row>
    <row r="13" spans="1:13">
      <c r="A13" s="535">
        <v>110</v>
      </c>
      <c r="B13" s="534" t="s">
        <v>1068</v>
      </c>
      <c r="C13" s="534" t="s">
        <v>1065</v>
      </c>
      <c r="D13" s="534">
        <v>5</v>
      </c>
      <c r="F13" s="535">
        <v>110</v>
      </c>
      <c r="G13" s="534" t="s">
        <v>1054</v>
      </c>
      <c r="H13" s="534" t="s">
        <v>1065</v>
      </c>
      <c r="I13" s="534">
        <v>4</v>
      </c>
      <c r="K13" s="481" t="s">
        <v>1070</v>
      </c>
      <c r="L13" s="481">
        <v>0</v>
      </c>
    </row>
    <row r="14" spans="1:13">
      <c r="A14" s="535">
        <v>110</v>
      </c>
      <c r="B14" s="534" t="s">
        <v>1068</v>
      </c>
      <c r="C14" s="534" t="s">
        <v>1066</v>
      </c>
      <c r="D14" s="534">
        <v>6</v>
      </c>
      <c r="F14" s="535">
        <v>110</v>
      </c>
      <c r="G14" s="534" t="s">
        <v>1054</v>
      </c>
      <c r="H14" s="534" t="s">
        <v>1066</v>
      </c>
      <c r="I14" s="534">
        <v>4</v>
      </c>
    </row>
    <row r="15" spans="1:13">
      <c r="A15" s="535">
        <v>110</v>
      </c>
      <c r="B15" s="534" t="s">
        <v>1068</v>
      </c>
      <c r="C15" s="534" t="s">
        <v>1067</v>
      </c>
      <c r="D15" s="534">
        <v>6</v>
      </c>
      <c r="F15" s="535">
        <v>110</v>
      </c>
      <c r="G15" s="534" t="s">
        <v>1054</v>
      </c>
      <c r="H15" s="534" t="s">
        <v>1067</v>
      </c>
      <c r="I15" s="534">
        <v>6</v>
      </c>
    </row>
    <row r="16" spans="1:13">
      <c r="A16" s="535">
        <v>110</v>
      </c>
      <c r="B16" s="534" t="s">
        <v>1071</v>
      </c>
      <c r="C16" s="534" t="s">
        <v>1064</v>
      </c>
      <c r="D16" s="534">
        <v>31</v>
      </c>
      <c r="F16" s="535" t="s">
        <v>158</v>
      </c>
      <c r="G16" s="534"/>
      <c r="H16" s="534"/>
      <c r="I16" s="534">
        <f>SUM(I8:I15)</f>
        <v>251</v>
      </c>
    </row>
    <row r="17" spans="1:12">
      <c r="A17" s="535">
        <v>110</v>
      </c>
      <c r="B17" s="534" t="s">
        <v>1071</v>
      </c>
      <c r="C17" s="534" t="s">
        <v>1065</v>
      </c>
      <c r="D17" s="534">
        <v>37</v>
      </c>
      <c r="F17" s="535">
        <v>180</v>
      </c>
      <c r="G17" s="534" t="s">
        <v>1053</v>
      </c>
      <c r="H17" s="534" t="s">
        <v>1064</v>
      </c>
      <c r="I17" s="534">
        <v>0</v>
      </c>
    </row>
    <row r="18" spans="1:12">
      <c r="A18" s="535">
        <v>110</v>
      </c>
      <c r="B18" s="534" t="s">
        <v>1071</v>
      </c>
      <c r="C18" s="534" t="s">
        <v>1066</v>
      </c>
      <c r="D18" s="534">
        <v>12</v>
      </c>
      <c r="F18" s="535">
        <v>180</v>
      </c>
      <c r="G18" s="534" t="s">
        <v>1053</v>
      </c>
      <c r="H18" s="534" t="s">
        <v>1065</v>
      </c>
      <c r="I18" s="534">
        <v>1</v>
      </c>
    </row>
    <row r="19" spans="1:12" ht="13">
      <c r="A19" s="535">
        <v>110</v>
      </c>
      <c r="B19" s="534" t="s">
        <v>1071</v>
      </c>
      <c r="C19" s="534" t="s">
        <v>1067</v>
      </c>
      <c r="D19" s="534">
        <v>47</v>
      </c>
      <c r="F19" s="535">
        <v>180</v>
      </c>
      <c r="G19" s="534" t="s">
        <v>1053</v>
      </c>
      <c r="H19" s="534" t="s">
        <v>1066</v>
      </c>
      <c r="I19" s="534">
        <v>1</v>
      </c>
      <c r="K19" s="533" t="s">
        <v>1033</v>
      </c>
    </row>
    <row r="20" spans="1:12">
      <c r="A20" s="534" t="s">
        <v>158</v>
      </c>
      <c r="B20" s="534"/>
      <c r="C20" s="534"/>
      <c r="D20" s="534">
        <f>SUM(D8:D19)</f>
        <v>250</v>
      </c>
      <c r="F20" s="535">
        <v>180</v>
      </c>
      <c r="G20" s="534" t="s">
        <v>1053</v>
      </c>
      <c r="H20" s="534" t="s">
        <v>1067</v>
      </c>
      <c r="I20" s="534">
        <v>1</v>
      </c>
      <c r="K20" s="751" t="s">
        <v>432</v>
      </c>
      <c r="L20" s="755" t="s">
        <v>1072</v>
      </c>
    </row>
    <row r="21" spans="1:12">
      <c r="A21" s="535">
        <v>180</v>
      </c>
      <c r="B21" s="534" t="s">
        <v>1063</v>
      </c>
      <c r="C21" s="534" t="s">
        <v>1064</v>
      </c>
      <c r="D21" s="534">
        <v>0</v>
      </c>
      <c r="F21" s="535">
        <v>180</v>
      </c>
      <c r="G21" s="534" t="s">
        <v>1054</v>
      </c>
      <c r="H21" s="534" t="s">
        <v>1064</v>
      </c>
      <c r="I21" s="534">
        <v>0</v>
      </c>
      <c r="K21" s="756"/>
      <c r="L21" s="756"/>
    </row>
    <row r="22" spans="1:12">
      <c r="A22" s="535">
        <v>180</v>
      </c>
      <c r="B22" s="534" t="s">
        <v>1063</v>
      </c>
      <c r="C22" s="534" t="s">
        <v>1065</v>
      </c>
      <c r="D22" s="534">
        <v>0</v>
      </c>
      <c r="F22" s="535">
        <v>180</v>
      </c>
      <c r="G22" s="534" t="s">
        <v>1054</v>
      </c>
      <c r="H22" s="534" t="s">
        <v>1065</v>
      </c>
      <c r="I22" s="534">
        <v>0</v>
      </c>
      <c r="K22" s="535">
        <v>110</v>
      </c>
      <c r="L22" s="534">
        <v>264</v>
      </c>
    </row>
    <row r="23" spans="1:12">
      <c r="A23" s="535">
        <v>180</v>
      </c>
      <c r="B23" s="534" t="s">
        <v>1063</v>
      </c>
      <c r="C23" s="534" t="s">
        <v>1066</v>
      </c>
      <c r="D23" s="534">
        <v>0</v>
      </c>
      <c r="F23" s="535">
        <v>180</v>
      </c>
      <c r="G23" s="534" t="s">
        <v>1054</v>
      </c>
      <c r="H23" s="534" t="s">
        <v>1066</v>
      </c>
      <c r="I23" s="534">
        <v>0</v>
      </c>
      <c r="K23" s="535">
        <v>180</v>
      </c>
      <c r="L23" s="534">
        <v>3</v>
      </c>
    </row>
    <row r="24" spans="1:12">
      <c r="A24" s="535">
        <v>180</v>
      </c>
      <c r="B24" s="534" t="s">
        <v>1063</v>
      </c>
      <c r="C24" s="534" t="s">
        <v>1067</v>
      </c>
      <c r="D24" s="534">
        <v>1</v>
      </c>
      <c r="F24" s="535">
        <v>180</v>
      </c>
      <c r="G24" s="534" t="s">
        <v>1054</v>
      </c>
      <c r="H24" s="534" t="s">
        <v>1067</v>
      </c>
      <c r="I24" s="534">
        <v>0</v>
      </c>
      <c r="K24" s="535" t="s">
        <v>1073</v>
      </c>
      <c r="L24" s="534">
        <v>29</v>
      </c>
    </row>
    <row r="25" spans="1:12">
      <c r="A25" s="535">
        <v>180</v>
      </c>
      <c r="B25" s="534" t="s">
        <v>1068</v>
      </c>
      <c r="C25" s="534" t="s">
        <v>1064</v>
      </c>
      <c r="D25" s="534">
        <v>0</v>
      </c>
      <c r="F25" s="535" t="s">
        <v>158</v>
      </c>
      <c r="G25" s="534"/>
      <c r="H25" s="534"/>
      <c r="I25" s="534">
        <f>SUM(I17:I24)</f>
        <v>3</v>
      </c>
      <c r="K25" s="535" t="s">
        <v>1074</v>
      </c>
      <c r="L25" s="534">
        <v>0</v>
      </c>
    </row>
    <row r="26" spans="1:12">
      <c r="A26" s="535">
        <v>180</v>
      </c>
      <c r="B26" s="534" t="s">
        <v>1068</v>
      </c>
      <c r="C26" s="534" t="s">
        <v>1065</v>
      </c>
      <c r="D26" s="534">
        <v>0</v>
      </c>
      <c r="F26" s="535" t="s">
        <v>1073</v>
      </c>
      <c r="G26" s="534" t="s">
        <v>1053</v>
      </c>
      <c r="H26" s="534" t="s">
        <v>1064</v>
      </c>
      <c r="I26" s="534">
        <v>3</v>
      </c>
      <c r="K26" s="535" t="s">
        <v>1075</v>
      </c>
      <c r="L26" s="534">
        <v>0</v>
      </c>
    </row>
    <row r="27" spans="1:12">
      <c r="A27" s="535">
        <v>180</v>
      </c>
      <c r="B27" s="534" t="s">
        <v>1068</v>
      </c>
      <c r="C27" s="534" t="s">
        <v>1066</v>
      </c>
      <c r="D27" s="534">
        <v>0</v>
      </c>
      <c r="F27" s="535" t="s">
        <v>1073</v>
      </c>
      <c r="G27" s="534" t="s">
        <v>1053</v>
      </c>
      <c r="H27" s="534" t="s">
        <v>1065</v>
      </c>
      <c r="I27" s="534">
        <v>10</v>
      </c>
      <c r="K27" s="534" t="s">
        <v>1076</v>
      </c>
      <c r="L27" s="534">
        <v>1</v>
      </c>
    </row>
    <row r="28" spans="1:12">
      <c r="A28" s="535">
        <v>180</v>
      </c>
      <c r="B28" s="534" t="s">
        <v>1068</v>
      </c>
      <c r="C28" s="534" t="s">
        <v>1067</v>
      </c>
      <c r="D28" s="534">
        <v>0</v>
      </c>
      <c r="F28" s="535" t="s">
        <v>1073</v>
      </c>
      <c r="G28" s="534" t="s">
        <v>1053</v>
      </c>
      <c r="H28" s="534" t="s">
        <v>1066</v>
      </c>
      <c r="I28" s="534">
        <v>1</v>
      </c>
      <c r="K28" s="481">
        <v>413</v>
      </c>
      <c r="L28" s="536">
        <v>191</v>
      </c>
    </row>
    <row r="29" spans="1:12">
      <c r="A29" s="535">
        <v>180</v>
      </c>
      <c r="B29" s="534" t="s">
        <v>1071</v>
      </c>
      <c r="C29" s="534" t="s">
        <v>1064</v>
      </c>
      <c r="D29" s="534">
        <v>0</v>
      </c>
      <c r="F29" s="535" t="s">
        <v>1073</v>
      </c>
      <c r="G29" s="534" t="s">
        <v>1053</v>
      </c>
      <c r="H29" s="534" t="s">
        <v>1067</v>
      </c>
      <c r="I29" s="534">
        <v>13</v>
      </c>
    </row>
    <row r="30" spans="1:12" ht="13">
      <c r="A30" s="535">
        <v>180</v>
      </c>
      <c r="B30" s="534" t="s">
        <v>1071</v>
      </c>
      <c r="C30" s="534" t="s">
        <v>1065</v>
      </c>
      <c r="D30" s="534">
        <v>1</v>
      </c>
      <c r="F30" s="535" t="s">
        <v>1073</v>
      </c>
      <c r="G30" s="534" t="s">
        <v>1054</v>
      </c>
      <c r="H30" s="534" t="s">
        <v>1064</v>
      </c>
      <c r="I30" s="534">
        <v>0</v>
      </c>
      <c r="K30" s="533" t="s">
        <v>1077</v>
      </c>
    </row>
    <row r="31" spans="1:12">
      <c r="A31" s="535">
        <v>180</v>
      </c>
      <c r="B31" s="534" t="s">
        <v>1071</v>
      </c>
      <c r="C31" s="534" t="s">
        <v>1066</v>
      </c>
      <c r="D31" s="534">
        <v>1</v>
      </c>
      <c r="F31" s="535" t="s">
        <v>1073</v>
      </c>
      <c r="G31" s="534" t="s">
        <v>1054</v>
      </c>
      <c r="H31" s="534" t="s">
        <v>1065</v>
      </c>
      <c r="I31" s="534">
        <v>1</v>
      </c>
      <c r="K31" s="751" t="s">
        <v>432</v>
      </c>
      <c r="L31" s="755" t="s">
        <v>1078</v>
      </c>
    </row>
    <row r="32" spans="1:12">
      <c r="A32" s="535">
        <v>180</v>
      </c>
      <c r="B32" s="534" t="s">
        <v>1071</v>
      </c>
      <c r="C32" s="534" t="s">
        <v>1067</v>
      </c>
      <c r="D32" s="534">
        <v>0</v>
      </c>
      <c r="F32" s="535" t="s">
        <v>1073</v>
      </c>
      <c r="G32" s="534" t="s">
        <v>1054</v>
      </c>
      <c r="H32" s="534" t="s">
        <v>1066</v>
      </c>
      <c r="I32" s="534">
        <v>0</v>
      </c>
      <c r="K32" s="756"/>
      <c r="L32" s="756"/>
    </row>
    <row r="33" spans="1:12">
      <c r="A33" s="534" t="s">
        <v>158</v>
      </c>
      <c r="B33" s="534"/>
      <c r="C33" s="534"/>
      <c r="D33" s="534">
        <f>SUM(D21:D32)</f>
        <v>3</v>
      </c>
      <c r="F33" s="535" t="s">
        <v>1073</v>
      </c>
      <c r="G33" s="534" t="s">
        <v>1054</v>
      </c>
      <c r="H33" s="534" t="s">
        <v>1067</v>
      </c>
      <c r="I33" s="534">
        <v>0</v>
      </c>
      <c r="K33" s="535">
        <v>110</v>
      </c>
      <c r="L33" s="537">
        <v>50775</v>
      </c>
    </row>
    <row r="34" spans="1:12">
      <c r="A34" s="534" t="s">
        <v>1073</v>
      </c>
      <c r="B34" s="534" t="s">
        <v>1063</v>
      </c>
      <c r="C34" s="534" t="s">
        <v>1064</v>
      </c>
      <c r="D34" s="534">
        <v>0</v>
      </c>
      <c r="F34" s="535" t="s">
        <v>158</v>
      </c>
      <c r="G34" s="534"/>
      <c r="H34" s="534"/>
      <c r="I34" s="534">
        <f>SUM(I26:I33)</f>
        <v>28</v>
      </c>
      <c r="K34" s="535">
        <v>180</v>
      </c>
      <c r="L34" s="537">
        <v>675</v>
      </c>
    </row>
    <row r="35" spans="1:12">
      <c r="A35" s="534" t="s">
        <v>1073</v>
      </c>
      <c r="B35" s="534" t="s">
        <v>1063</v>
      </c>
      <c r="C35" s="534" t="s">
        <v>1065</v>
      </c>
      <c r="D35" s="534">
        <v>2</v>
      </c>
      <c r="F35" s="535" t="s">
        <v>1075</v>
      </c>
      <c r="G35" s="534" t="s">
        <v>1053</v>
      </c>
      <c r="H35" s="534" t="s">
        <v>1064</v>
      </c>
      <c r="I35" s="534">
        <v>0</v>
      </c>
      <c r="K35" s="535" t="s">
        <v>1073</v>
      </c>
      <c r="L35" s="537">
        <v>6635</v>
      </c>
    </row>
    <row r="36" spans="1:12">
      <c r="A36" s="534" t="s">
        <v>1073</v>
      </c>
      <c r="B36" s="534" t="s">
        <v>1063</v>
      </c>
      <c r="C36" s="534" t="s">
        <v>1066</v>
      </c>
      <c r="D36" s="534">
        <v>1</v>
      </c>
      <c r="F36" s="535" t="s">
        <v>1075</v>
      </c>
      <c r="G36" s="534" t="s">
        <v>1053</v>
      </c>
      <c r="H36" s="534" t="s">
        <v>1065</v>
      </c>
      <c r="I36" s="534">
        <v>0</v>
      </c>
      <c r="K36" s="535" t="s">
        <v>1079</v>
      </c>
      <c r="L36" s="537">
        <v>35210</v>
      </c>
    </row>
    <row r="37" spans="1:12">
      <c r="A37" s="534" t="s">
        <v>1073</v>
      </c>
      <c r="B37" s="534" t="s">
        <v>1063</v>
      </c>
      <c r="C37" s="534" t="s">
        <v>1067</v>
      </c>
      <c r="D37" s="534">
        <v>7</v>
      </c>
      <c r="F37" s="535" t="s">
        <v>1075</v>
      </c>
      <c r="G37" s="534" t="s">
        <v>1053</v>
      </c>
      <c r="H37" s="534" t="s">
        <v>1066</v>
      </c>
      <c r="I37" s="534">
        <v>0</v>
      </c>
      <c r="K37" s="535" t="s">
        <v>1075</v>
      </c>
      <c r="L37" s="537">
        <v>0</v>
      </c>
    </row>
    <row r="38" spans="1:12">
      <c r="A38" s="534" t="s">
        <v>1073</v>
      </c>
      <c r="B38" s="534" t="s">
        <v>1068</v>
      </c>
      <c r="C38" s="534" t="s">
        <v>1064</v>
      </c>
      <c r="D38" s="534">
        <v>3</v>
      </c>
      <c r="F38" s="535" t="s">
        <v>1075</v>
      </c>
      <c r="G38" s="534" t="s">
        <v>1053</v>
      </c>
      <c r="H38" s="534" t="s">
        <v>1067</v>
      </c>
      <c r="I38" s="534">
        <v>0</v>
      </c>
      <c r="K38" s="534" t="s">
        <v>1076</v>
      </c>
      <c r="L38" s="537">
        <v>250</v>
      </c>
    </row>
    <row r="39" spans="1:12">
      <c r="A39" s="534" t="s">
        <v>1073</v>
      </c>
      <c r="B39" s="534" t="s">
        <v>1068</v>
      </c>
      <c r="C39" s="534" t="s">
        <v>1065</v>
      </c>
      <c r="D39" s="534">
        <v>5</v>
      </c>
      <c r="F39" s="535" t="s">
        <v>1075</v>
      </c>
      <c r="G39" s="534" t="s">
        <v>1054</v>
      </c>
      <c r="H39" s="534" t="s">
        <v>1064</v>
      </c>
      <c r="I39" s="534">
        <v>0</v>
      </c>
    </row>
    <row r="40" spans="1:12">
      <c r="A40" s="534" t="s">
        <v>1073</v>
      </c>
      <c r="B40" s="534" t="s">
        <v>1068</v>
      </c>
      <c r="C40" s="534" t="s">
        <v>1066</v>
      </c>
      <c r="D40" s="534">
        <v>1</v>
      </c>
      <c r="F40" s="535" t="s">
        <v>1075</v>
      </c>
      <c r="G40" s="534" t="s">
        <v>1054</v>
      </c>
      <c r="H40" s="534" t="s">
        <v>1065</v>
      </c>
      <c r="I40" s="534">
        <v>0</v>
      </c>
    </row>
    <row r="41" spans="1:12">
      <c r="A41" s="534" t="s">
        <v>1073</v>
      </c>
      <c r="B41" s="534" t="s">
        <v>1068</v>
      </c>
      <c r="C41" s="534" t="s">
        <v>1067</v>
      </c>
      <c r="D41" s="534">
        <v>2</v>
      </c>
      <c r="F41" s="535" t="s">
        <v>1075</v>
      </c>
      <c r="G41" s="534" t="s">
        <v>1054</v>
      </c>
      <c r="H41" s="534" t="s">
        <v>1066</v>
      </c>
      <c r="I41" s="534">
        <v>0</v>
      </c>
    </row>
    <row r="42" spans="1:12">
      <c r="A42" s="534" t="s">
        <v>1073</v>
      </c>
      <c r="B42" s="534" t="s">
        <v>1071</v>
      </c>
      <c r="C42" s="534" t="s">
        <v>1064</v>
      </c>
      <c r="D42" s="534">
        <v>1</v>
      </c>
      <c r="F42" s="535" t="s">
        <v>1075</v>
      </c>
      <c r="G42" s="534" t="s">
        <v>1054</v>
      </c>
      <c r="H42" s="534" t="s">
        <v>1067</v>
      </c>
      <c r="I42" s="534">
        <v>0</v>
      </c>
    </row>
    <row r="43" spans="1:12">
      <c r="A43" s="534" t="s">
        <v>1073</v>
      </c>
      <c r="B43" s="534" t="s">
        <v>1071</v>
      </c>
      <c r="C43" s="534" t="s">
        <v>1065</v>
      </c>
      <c r="D43" s="534">
        <v>3</v>
      </c>
      <c r="F43" s="535" t="s">
        <v>158</v>
      </c>
      <c r="G43" s="534"/>
      <c r="H43" s="534"/>
      <c r="I43" s="534">
        <f>SUM(I35:I42)</f>
        <v>0</v>
      </c>
    </row>
    <row r="44" spans="1:12">
      <c r="A44" s="534" t="s">
        <v>1073</v>
      </c>
      <c r="B44" s="534" t="s">
        <v>1071</v>
      </c>
      <c r="C44" s="534" t="s">
        <v>1066</v>
      </c>
      <c r="D44" s="534">
        <v>0</v>
      </c>
      <c r="F44" s="535" t="s">
        <v>1079</v>
      </c>
      <c r="G44" s="534" t="s">
        <v>1053</v>
      </c>
      <c r="H44" s="534" t="s">
        <v>1064</v>
      </c>
      <c r="I44" s="534">
        <v>41</v>
      </c>
    </row>
    <row r="45" spans="1:12">
      <c r="A45" s="534" t="s">
        <v>1073</v>
      </c>
      <c r="B45" s="534" t="s">
        <v>1071</v>
      </c>
      <c r="C45" s="534" t="s">
        <v>1067</v>
      </c>
      <c r="D45" s="534">
        <v>4</v>
      </c>
      <c r="F45" s="535" t="s">
        <v>1079</v>
      </c>
      <c r="G45" s="534" t="s">
        <v>1053</v>
      </c>
      <c r="H45" s="534" t="s">
        <v>1065</v>
      </c>
      <c r="I45" s="534">
        <v>35</v>
      </c>
    </row>
    <row r="46" spans="1:12">
      <c r="A46" s="536" t="s">
        <v>158</v>
      </c>
      <c r="D46" s="534">
        <f>SUM(D34:D45)</f>
        <v>29</v>
      </c>
      <c r="F46" s="535" t="s">
        <v>1079</v>
      </c>
      <c r="G46" s="534" t="s">
        <v>1053</v>
      </c>
      <c r="H46" s="534" t="s">
        <v>1066</v>
      </c>
      <c r="I46" s="534">
        <v>17</v>
      </c>
    </row>
    <row r="47" spans="1:12">
      <c r="A47" s="534" t="s">
        <v>1075</v>
      </c>
      <c r="B47" s="534" t="s">
        <v>1063</v>
      </c>
      <c r="C47" s="534" t="s">
        <v>1064</v>
      </c>
      <c r="D47" s="534">
        <v>0</v>
      </c>
      <c r="F47" s="535" t="s">
        <v>1079</v>
      </c>
      <c r="G47" s="534" t="s">
        <v>1053</v>
      </c>
      <c r="H47" s="534" t="s">
        <v>1067</v>
      </c>
      <c r="I47" s="534">
        <v>66</v>
      </c>
    </row>
    <row r="48" spans="1:12">
      <c r="A48" s="534" t="s">
        <v>1075</v>
      </c>
      <c r="B48" s="534" t="s">
        <v>1063</v>
      </c>
      <c r="C48" s="534" t="s">
        <v>1065</v>
      </c>
      <c r="D48" s="534">
        <v>0</v>
      </c>
      <c r="F48" s="535" t="s">
        <v>1079</v>
      </c>
      <c r="G48" s="534" t="s">
        <v>1054</v>
      </c>
      <c r="H48" s="534" t="s">
        <v>1064</v>
      </c>
      <c r="I48" s="534">
        <v>3</v>
      </c>
    </row>
    <row r="49" spans="1:11">
      <c r="A49" s="534" t="s">
        <v>1075</v>
      </c>
      <c r="B49" s="534" t="s">
        <v>1063</v>
      </c>
      <c r="C49" s="534" t="s">
        <v>1066</v>
      </c>
      <c r="D49" s="534">
        <v>0</v>
      </c>
      <c r="F49" s="535" t="s">
        <v>1079</v>
      </c>
      <c r="G49" s="534" t="s">
        <v>1054</v>
      </c>
      <c r="H49" s="534" t="s">
        <v>1065</v>
      </c>
      <c r="I49" s="534">
        <v>2</v>
      </c>
    </row>
    <row r="50" spans="1:11">
      <c r="A50" s="534" t="s">
        <v>1075</v>
      </c>
      <c r="B50" s="534" t="s">
        <v>1063</v>
      </c>
      <c r="C50" s="534" t="s">
        <v>1067</v>
      </c>
      <c r="D50" s="534">
        <v>0</v>
      </c>
      <c r="F50" s="535" t="s">
        <v>1079</v>
      </c>
      <c r="G50" s="534" t="s">
        <v>1054</v>
      </c>
      <c r="H50" s="534" t="s">
        <v>1066</v>
      </c>
      <c r="I50" s="534">
        <v>1</v>
      </c>
    </row>
    <row r="51" spans="1:11">
      <c r="A51" s="534" t="s">
        <v>1075</v>
      </c>
      <c r="B51" s="534" t="s">
        <v>1068</v>
      </c>
      <c r="C51" s="534" t="s">
        <v>1064</v>
      </c>
      <c r="D51" s="534">
        <v>0</v>
      </c>
      <c r="F51" s="535" t="s">
        <v>1079</v>
      </c>
      <c r="G51" s="534" t="s">
        <v>1054</v>
      </c>
      <c r="H51" s="534" t="s">
        <v>1067</v>
      </c>
      <c r="I51" s="534">
        <v>3</v>
      </c>
    </row>
    <row r="52" spans="1:11">
      <c r="A52" s="534" t="s">
        <v>1075</v>
      </c>
      <c r="B52" s="534" t="s">
        <v>1068</v>
      </c>
      <c r="C52" s="534" t="s">
        <v>1065</v>
      </c>
      <c r="D52" s="534">
        <v>0</v>
      </c>
      <c r="F52" s="535" t="s">
        <v>158</v>
      </c>
      <c r="G52" s="534"/>
      <c r="H52" s="534"/>
      <c r="I52" s="534">
        <f>SUM(I44:I51)</f>
        <v>168</v>
      </c>
    </row>
    <row r="53" spans="1:11">
      <c r="A53" s="534" t="s">
        <v>1075</v>
      </c>
      <c r="B53" s="534" t="s">
        <v>1068</v>
      </c>
      <c r="C53" s="534" t="s">
        <v>1066</v>
      </c>
      <c r="D53" s="534">
        <v>0</v>
      </c>
      <c r="F53" s="534" t="s">
        <v>1076</v>
      </c>
      <c r="G53" s="534" t="s">
        <v>1053</v>
      </c>
      <c r="H53" s="534" t="s">
        <v>1064</v>
      </c>
      <c r="I53" s="534">
        <v>0</v>
      </c>
    </row>
    <row r="54" spans="1:11">
      <c r="A54" s="534" t="s">
        <v>1075</v>
      </c>
      <c r="B54" s="534" t="s">
        <v>1068</v>
      </c>
      <c r="C54" s="534" t="s">
        <v>1067</v>
      </c>
      <c r="D54" s="534">
        <v>0</v>
      </c>
      <c r="F54" s="534" t="s">
        <v>1076</v>
      </c>
      <c r="G54" s="534" t="s">
        <v>1053</v>
      </c>
      <c r="H54" s="534" t="s">
        <v>1065</v>
      </c>
      <c r="I54" s="534">
        <v>1</v>
      </c>
    </row>
    <row r="55" spans="1:11">
      <c r="A55" s="534" t="s">
        <v>1075</v>
      </c>
      <c r="B55" s="534" t="s">
        <v>1071</v>
      </c>
      <c r="C55" s="534" t="s">
        <v>1064</v>
      </c>
      <c r="D55" s="534">
        <v>0</v>
      </c>
      <c r="F55" s="534" t="s">
        <v>1076</v>
      </c>
      <c r="G55" s="534" t="s">
        <v>1053</v>
      </c>
      <c r="H55" s="534" t="s">
        <v>1066</v>
      </c>
      <c r="I55" s="534">
        <v>0</v>
      </c>
    </row>
    <row r="56" spans="1:11">
      <c r="A56" s="534" t="s">
        <v>1075</v>
      </c>
      <c r="B56" s="534" t="s">
        <v>1071</v>
      </c>
      <c r="C56" s="534" t="s">
        <v>1065</v>
      </c>
      <c r="D56" s="534">
        <v>0</v>
      </c>
      <c r="F56" s="534" t="s">
        <v>1076</v>
      </c>
      <c r="G56" s="534" t="s">
        <v>1053</v>
      </c>
      <c r="H56" s="534" t="s">
        <v>1067</v>
      </c>
      <c r="I56" s="534">
        <v>0</v>
      </c>
    </row>
    <row r="57" spans="1:11">
      <c r="A57" s="534" t="s">
        <v>1075</v>
      </c>
      <c r="B57" s="534" t="s">
        <v>1071</v>
      </c>
      <c r="C57" s="534" t="s">
        <v>1066</v>
      </c>
      <c r="D57" s="534">
        <v>0</v>
      </c>
      <c r="F57" s="534" t="s">
        <v>1076</v>
      </c>
      <c r="G57" s="534" t="s">
        <v>1054</v>
      </c>
      <c r="H57" s="534" t="s">
        <v>1064</v>
      </c>
      <c r="I57" s="534">
        <v>0</v>
      </c>
    </row>
    <row r="58" spans="1:11">
      <c r="A58" s="534" t="s">
        <v>1075</v>
      </c>
      <c r="B58" s="534" t="s">
        <v>1071</v>
      </c>
      <c r="C58" s="534" t="s">
        <v>1067</v>
      </c>
      <c r="D58" s="534">
        <v>0</v>
      </c>
      <c r="F58" s="534" t="s">
        <v>1076</v>
      </c>
      <c r="G58" s="534" t="s">
        <v>1054</v>
      </c>
      <c r="H58" s="534" t="s">
        <v>1065</v>
      </c>
      <c r="I58" s="534">
        <v>0</v>
      </c>
    </row>
    <row r="59" spans="1:11">
      <c r="A59" s="534" t="s">
        <v>158</v>
      </c>
      <c r="B59" s="534"/>
      <c r="C59" s="534"/>
      <c r="D59" s="534">
        <f>SUM(D47:D58)</f>
        <v>0</v>
      </c>
      <c r="F59" s="534" t="s">
        <v>1076</v>
      </c>
      <c r="G59" s="534" t="s">
        <v>1054</v>
      </c>
      <c r="H59" s="534" t="s">
        <v>1066</v>
      </c>
      <c r="I59" s="534">
        <v>0</v>
      </c>
    </row>
    <row r="60" spans="1:11">
      <c r="A60" s="534" t="s">
        <v>1079</v>
      </c>
      <c r="B60" s="534" t="s">
        <v>1063</v>
      </c>
      <c r="C60" s="534" t="s">
        <v>1064</v>
      </c>
      <c r="D60" s="534">
        <v>16</v>
      </c>
      <c r="F60" s="534" t="s">
        <v>1076</v>
      </c>
      <c r="G60" s="534" t="s">
        <v>1054</v>
      </c>
      <c r="H60" s="534" t="s">
        <v>1067</v>
      </c>
      <c r="I60" s="534">
        <v>0</v>
      </c>
    </row>
    <row r="61" spans="1:11">
      <c r="A61" s="534" t="s">
        <v>1079</v>
      </c>
      <c r="B61" s="534" t="s">
        <v>1063</v>
      </c>
      <c r="C61" s="534" t="s">
        <v>1065</v>
      </c>
      <c r="D61" s="534">
        <v>14</v>
      </c>
      <c r="F61" s="535" t="s">
        <v>158</v>
      </c>
      <c r="G61" s="534"/>
      <c r="H61" s="534"/>
      <c r="I61" s="534">
        <f>SUM(I53:I60)</f>
        <v>1</v>
      </c>
    </row>
    <row r="62" spans="1:11">
      <c r="A62" s="534" t="s">
        <v>1079</v>
      </c>
      <c r="B62" s="534" t="s">
        <v>1063</v>
      </c>
      <c r="C62" s="534" t="s">
        <v>1066</v>
      </c>
      <c r="D62" s="534">
        <v>9</v>
      </c>
    </row>
    <row r="63" spans="1:11" ht="13">
      <c r="A63" s="534" t="s">
        <v>1079</v>
      </c>
      <c r="B63" s="534" t="s">
        <v>1063</v>
      </c>
      <c r="C63" s="534" t="s">
        <v>1067</v>
      </c>
      <c r="D63" s="534">
        <v>26</v>
      </c>
      <c r="F63" s="533" t="s">
        <v>1080</v>
      </c>
    </row>
    <row r="64" spans="1:11">
      <c r="A64" s="534" t="s">
        <v>1079</v>
      </c>
      <c r="B64" s="534" t="s">
        <v>1068</v>
      </c>
      <c r="C64" s="534" t="s">
        <v>1064</v>
      </c>
      <c r="D64" s="534">
        <v>14</v>
      </c>
      <c r="F64" s="535" t="s">
        <v>432</v>
      </c>
      <c r="G64" s="534" t="s">
        <v>1062</v>
      </c>
      <c r="H64" s="534" t="s">
        <v>1081</v>
      </c>
      <c r="I64" s="757" t="s">
        <v>1082</v>
      </c>
      <c r="J64" s="758"/>
      <c r="K64" s="759"/>
    </row>
    <row r="65" spans="1:11" ht="14.5">
      <c r="A65" s="534" t="s">
        <v>1079</v>
      </c>
      <c r="B65" s="534" t="s">
        <v>1068</v>
      </c>
      <c r="C65" s="534" t="s">
        <v>1065</v>
      </c>
      <c r="D65" s="534">
        <v>4</v>
      </c>
      <c r="F65" s="535">
        <v>110</v>
      </c>
      <c r="G65" s="534">
        <v>265</v>
      </c>
      <c r="H65" s="538">
        <v>42975000</v>
      </c>
      <c r="I65" s="757" t="s">
        <v>1083</v>
      </c>
      <c r="J65" s="758"/>
      <c r="K65" s="759"/>
    </row>
    <row r="66" spans="1:11" ht="14.5">
      <c r="A66" s="534" t="s">
        <v>1079</v>
      </c>
      <c r="B66" s="534" t="s">
        <v>1068</v>
      </c>
      <c r="C66" s="534" t="s">
        <v>1066</v>
      </c>
      <c r="D66" s="534">
        <v>4</v>
      </c>
      <c r="F66" s="535">
        <v>180</v>
      </c>
      <c r="G66" s="534">
        <v>3</v>
      </c>
      <c r="H66" s="538">
        <v>305000</v>
      </c>
      <c r="I66" s="757" t="s">
        <v>1083</v>
      </c>
      <c r="J66" s="758"/>
      <c r="K66" s="759"/>
    </row>
    <row r="67" spans="1:11" ht="14.5">
      <c r="A67" s="534" t="s">
        <v>1079</v>
      </c>
      <c r="B67" s="534" t="s">
        <v>1068</v>
      </c>
      <c r="C67" s="534" t="s">
        <v>1067</v>
      </c>
      <c r="D67" s="534">
        <v>5</v>
      </c>
      <c r="F67" s="535" t="s">
        <v>1073</v>
      </c>
      <c r="G67" s="534">
        <v>29</v>
      </c>
      <c r="H67" s="538">
        <v>4826000</v>
      </c>
      <c r="I67" s="757" t="s">
        <v>1083</v>
      </c>
      <c r="J67" s="758"/>
      <c r="K67" s="759"/>
    </row>
    <row r="68" spans="1:11" ht="14.5">
      <c r="A68" s="534" t="s">
        <v>1079</v>
      </c>
      <c r="B68" s="534" t="s">
        <v>1071</v>
      </c>
      <c r="C68" s="534" t="s">
        <v>1064</v>
      </c>
      <c r="D68" s="534">
        <v>16</v>
      </c>
      <c r="F68" s="535" t="s">
        <v>1075</v>
      </c>
      <c r="G68" s="534">
        <v>0</v>
      </c>
      <c r="H68" s="538">
        <v>0</v>
      </c>
      <c r="I68" s="757" t="s">
        <v>1083</v>
      </c>
      <c r="J68" s="758"/>
      <c r="K68" s="759"/>
    </row>
    <row r="69" spans="1:11" ht="14.5">
      <c r="A69" s="534" t="s">
        <v>1079</v>
      </c>
      <c r="B69" s="534" t="s">
        <v>1071</v>
      </c>
      <c r="C69" s="534" t="s">
        <v>1065</v>
      </c>
      <c r="D69" s="534">
        <v>16</v>
      </c>
      <c r="F69" s="535" t="s">
        <v>1079</v>
      </c>
      <c r="G69" s="534">
        <v>192</v>
      </c>
      <c r="H69" s="538">
        <v>33031000</v>
      </c>
      <c r="I69" s="757" t="s">
        <v>1083</v>
      </c>
      <c r="J69" s="758"/>
      <c r="K69" s="759"/>
    </row>
    <row r="70" spans="1:11" ht="14.5">
      <c r="A70" s="534" t="s">
        <v>1079</v>
      </c>
      <c r="B70" s="534" t="s">
        <v>1071</v>
      </c>
      <c r="C70" s="534" t="s">
        <v>1066</v>
      </c>
      <c r="D70" s="534">
        <v>7</v>
      </c>
      <c r="F70" s="534" t="s">
        <v>1076</v>
      </c>
      <c r="G70" s="534">
        <v>1</v>
      </c>
      <c r="H70" s="538">
        <v>43000</v>
      </c>
      <c r="I70" s="757" t="s">
        <v>1083</v>
      </c>
      <c r="J70" s="758"/>
      <c r="K70" s="759"/>
    </row>
    <row r="71" spans="1:11">
      <c r="A71" s="534" t="s">
        <v>1079</v>
      </c>
      <c r="B71" s="534" t="s">
        <v>1071</v>
      </c>
      <c r="C71" s="534" t="s">
        <v>1067</v>
      </c>
      <c r="D71" s="534">
        <v>34</v>
      </c>
    </row>
    <row r="72" spans="1:11" ht="13">
      <c r="A72" s="534" t="s">
        <v>158</v>
      </c>
      <c r="B72" s="534"/>
      <c r="C72" s="534"/>
      <c r="D72" s="534">
        <f>SUM(D60:D71)</f>
        <v>165</v>
      </c>
      <c r="F72" s="533" t="s">
        <v>1084</v>
      </c>
    </row>
    <row r="73" spans="1:11">
      <c r="A73" s="534" t="s">
        <v>1076</v>
      </c>
      <c r="B73" s="534" t="s">
        <v>1063</v>
      </c>
      <c r="C73" s="534" t="s">
        <v>1064</v>
      </c>
      <c r="D73" s="534">
        <v>0</v>
      </c>
      <c r="F73" s="535" t="s">
        <v>432</v>
      </c>
      <c r="G73" s="534" t="s">
        <v>1062</v>
      </c>
      <c r="H73" s="534" t="s">
        <v>1081</v>
      </c>
      <c r="I73" s="757" t="s">
        <v>1082</v>
      </c>
      <c r="J73" s="758"/>
      <c r="K73" s="759"/>
    </row>
    <row r="74" spans="1:11" ht="14.5">
      <c r="A74" s="534" t="s">
        <v>1076</v>
      </c>
      <c r="B74" s="534" t="s">
        <v>1063</v>
      </c>
      <c r="C74" s="534" t="s">
        <v>1065</v>
      </c>
      <c r="D74" s="534">
        <v>0</v>
      </c>
      <c r="F74" s="535">
        <v>110</v>
      </c>
      <c r="G74" s="534">
        <v>254</v>
      </c>
      <c r="H74" s="538">
        <v>45172000</v>
      </c>
      <c r="I74" s="757" t="s">
        <v>1085</v>
      </c>
      <c r="J74" s="758"/>
      <c r="K74" s="759"/>
    </row>
    <row r="75" spans="1:11" ht="14.5">
      <c r="A75" s="534" t="s">
        <v>1076</v>
      </c>
      <c r="B75" s="534" t="s">
        <v>1063</v>
      </c>
      <c r="C75" s="534" t="s">
        <v>1066</v>
      </c>
      <c r="D75" s="534">
        <v>0</v>
      </c>
      <c r="F75" s="535">
        <v>180</v>
      </c>
      <c r="G75" s="534">
        <v>3</v>
      </c>
      <c r="H75" s="538">
        <v>442000</v>
      </c>
      <c r="I75" s="757" t="s">
        <v>1085</v>
      </c>
      <c r="J75" s="758"/>
      <c r="K75" s="759"/>
    </row>
    <row r="76" spans="1:11" ht="14.5">
      <c r="A76" s="534" t="s">
        <v>1076</v>
      </c>
      <c r="B76" s="534" t="s">
        <v>1063</v>
      </c>
      <c r="C76" s="534" t="s">
        <v>1067</v>
      </c>
      <c r="D76" s="534">
        <v>0</v>
      </c>
      <c r="F76" s="535" t="s">
        <v>1073</v>
      </c>
      <c r="G76" s="534">
        <v>26</v>
      </c>
      <c r="H76" s="539">
        <v>5064000</v>
      </c>
      <c r="I76" s="757" t="s">
        <v>1085</v>
      </c>
      <c r="J76" s="758"/>
      <c r="K76" s="759"/>
    </row>
    <row r="77" spans="1:11" ht="14.5">
      <c r="A77" s="534" t="s">
        <v>1076</v>
      </c>
      <c r="B77" s="534" t="s">
        <v>1068</v>
      </c>
      <c r="C77" s="534" t="s">
        <v>1064</v>
      </c>
      <c r="D77" s="534">
        <v>0</v>
      </c>
      <c r="F77" s="535" t="s">
        <v>1075</v>
      </c>
      <c r="G77" s="534">
        <v>0</v>
      </c>
      <c r="H77" s="538">
        <v>0</v>
      </c>
      <c r="I77" s="757" t="s">
        <v>1085</v>
      </c>
      <c r="J77" s="758"/>
      <c r="K77" s="759"/>
    </row>
    <row r="78" spans="1:11" ht="14.5">
      <c r="A78" s="534" t="s">
        <v>1076</v>
      </c>
      <c r="B78" s="534" t="s">
        <v>1068</v>
      </c>
      <c r="C78" s="534" t="s">
        <v>1065</v>
      </c>
      <c r="D78" s="534">
        <v>0</v>
      </c>
      <c r="F78" s="535" t="s">
        <v>1079</v>
      </c>
      <c r="G78" s="534">
        <v>182</v>
      </c>
      <c r="H78" s="538">
        <v>33735000</v>
      </c>
      <c r="I78" s="757" t="s">
        <v>1085</v>
      </c>
      <c r="J78" s="758"/>
      <c r="K78" s="759"/>
    </row>
    <row r="79" spans="1:11" ht="14.5">
      <c r="A79" s="534" t="s">
        <v>1076</v>
      </c>
      <c r="B79" s="534" t="s">
        <v>1068</v>
      </c>
      <c r="C79" s="534" t="s">
        <v>1066</v>
      </c>
      <c r="D79" s="534">
        <v>0</v>
      </c>
      <c r="F79" s="534" t="s">
        <v>1076</v>
      </c>
      <c r="G79" s="534">
        <v>0</v>
      </c>
      <c r="H79" s="538">
        <v>0</v>
      </c>
      <c r="I79" s="757" t="s">
        <v>1085</v>
      </c>
      <c r="J79" s="758"/>
      <c r="K79" s="759"/>
    </row>
    <row r="80" spans="1:11">
      <c r="A80" s="534" t="s">
        <v>1076</v>
      </c>
      <c r="B80" s="534" t="s">
        <v>1068</v>
      </c>
      <c r="C80" s="534" t="s">
        <v>1067</v>
      </c>
      <c r="D80" s="534">
        <v>0</v>
      </c>
    </row>
    <row r="81" spans="1:11" ht="13">
      <c r="A81" s="534" t="s">
        <v>1076</v>
      </c>
      <c r="B81" s="534" t="s">
        <v>1071</v>
      </c>
      <c r="C81" s="534" t="s">
        <v>1064</v>
      </c>
      <c r="D81" s="534">
        <v>0</v>
      </c>
      <c r="F81" s="540" t="s">
        <v>1086</v>
      </c>
    </row>
    <row r="82" spans="1:11">
      <c r="A82" s="534" t="s">
        <v>1076</v>
      </c>
      <c r="B82" s="534" t="s">
        <v>1071</v>
      </c>
      <c r="C82" s="534" t="s">
        <v>1065</v>
      </c>
      <c r="D82" s="534">
        <v>1</v>
      </c>
      <c r="F82" s="535" t="s">
        <v>432</v>
      </c>
      <c r="G82" s="534" t="s">
        <v>1062</v>
      </c>
      <c r="H82" s="534" t="s">
        <v>1081</v>
      </c>
      <c r="I82" s="757" t="s">
        <v>1082</v>
      </c>
      <c r="J82" s="758"/>
      <c r="K82" s="759"/>
    </row>
    <row r="83" spans="1:11" ht="14.5">
      <c r="A83" s="534" t="s">
        <v>1076</v>
      </c>
      <c r="B83" s="534" t="s">
        <v>1071</v>
      </c>
      <c r="C83" s="534" t="s">
        <v>1066</v>
      </c>
      <c r="D83" s="534">
        <v>0</v>
      </c>
      <c r="F83" s="535" t="s">
        <v>1073</v>
      </c>
      <c r="G83" s="534">
        <v>7</v>
      </c>
      <c r="H83" s="539">
        <v>1442000</v>
      </c>
      <c r="I83" s="757" t="s">
        <v>1087</v>
      </c>
      <c r="J83" s="758"/>
      <c r="K83" s="759"/>
    </row>
    <row r="84" spans="1:11" ht="14.5">
      <c r="A84" s="534" t="s">
        <v>1076</v>
      </c>
      <c r="B84" s="534" t="s">
        <v>1071</v>
      </c>
      <c r="C84" s="534" t="s">
        <v>1067</v>
      </c>
      <c r="D84" s="534">
        <v>0</v>
      </c>
      <c r="F84" s="535" t="s">
        <v>1079</v>
      </c>
      <c r="G84" s="534">
        <v>66</v>
      </c>
      <c r="H84" s="538">
        <v>13236000</v>
      </c>
      <c r="I84" s="757" t="s">
        <v>1087</v>
      </c>
      <c r="J84" s="758"/>
      <c r="K84" s="759"/>
    </row>
    <row r="85" spans="1:11" ht="14.5">
      <c r="A85" s="534" t="s">
        <v>158</v>
      </c>
      <c r="B85" s="534"/>
      <c r="C85" s="534"/>
      <c r="D85" s="534">
        <f>SUM(D73:D84)</f>
        <v>1</v>
      </c>
      <c r="F85" s="534" t="s">
        <v>1076</v>
      </c>
      <c r="G85" s="534">
        <v>0</v>
      </c>
      <c r="H85" s="538">
        <v>0</v>
      </c>
      <c r="I85" s="757" t="s">
        <v>1087</v>
      </c>
      <c r="J85" s="758"/>
      <c r="K85" s="759"/>
    </row>
    <row r="87" spans="1:11">
      <c r="A87" s="481" t="s">
        <v>1088</v>
      </c>
    </row>
  </sheetData>
  <mergeCells count="26">
    <mergeCell ref="I82:K82"/>
    <mergeCell ref="I83:K83"/>
    <mergeCell ref="I84:K84"/>
    <mergeCell ref="I85:K85"/>
    <mergeCell ref="A1:C1"/>
    <mergeCell ref="A2:G2"/>
    <mergeCell ref="A3:G3"/>
    <mergeCell ref="A4:G4"/>
    <mergeCell ref="I74:K74"/>
    <mergeCell ref="I75:K75"/>
    <mergeCell ref="I76:K76"/>
    <mergeCell ref="I77:K77"/>
    <mergeCell ref="I78:K78"/>
    <mergeCell ref="I79:K79"/>
    <mergeCell ref="I66:K66"/>
    <mergeCell ref="I67:K67"/>
    <mergeCell ref="I68:K68"/>
    <mergeCell ref="I69:K69"/>
    <mergeCell ref="I70:K70"/>
    <mergeCell ref="I73:K73"/>
    <mergeCell ref="K20:K21"/>
    <mergeCell ref="L20:L21"/>
    <mergeCell ref="K31:K32"/>
    <mergeCell ref="L31:L32"/>
    <mergeCell ref="I64:K64"/>
    <mergeCell ref="I65:K65"/>
  </mergeCells>
  <pageMargins left="0.45" right="0.45" top="0.45" bottom="0.4" header="0.3" footer="0.3"/>
  <pageSetup scale="7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3DFBD-8D3C-4C1C-8D5C-46DDAA6F2D02}">
  <dimension ref="A1:I22"/>
  <sheetViews>
    <sheetView showRuler="0" workbookViewId="0">
      <selection sqref="A1:D1"/>
    </sheetView>
  </sheetViews>
  <sheetFormatPr defaultColWidth="13.7265625" defaultRowHeight="12.5"/>
  <cols>
    <col min="1" max="1" width="9.1796875" style="213" customWidth="1"/>
    <col min="2" max="5" width="17.26953125" style="213" customWidth="1"/>
    <col min="6" max="7" width="23.26953125" style="213" customWidth="1"/>
    <col min="8" max="16384" width="13.7265625" style="213"/>
  </cols>
  <sheetData>
    <row r="1" spans="1:9" ht="15" customHeight="1">
      <c r="A1" s="745" t="s">
        <v>0</v>
      </c>
      <c r="B1" s="744"/>
      <c r="C1" s="744"/>
      <c r="D1" s="744"/>
    </row>
    <row r="2" spans="1:9" ht="15" customHeight="1">
      <c r="A2" s="743" t="s">
        <v>420</v>
      </c>
      <c r="B2" s="744"/>
      <c r="C2" s="744"/>
      <c r="D2" s="744"/>
      <c r="E2" s="744"/>
      <c r="F2" s="744"/>
    </row>
    <row r="3" spans="1:9" ht="15" customHeight="1">
      <c r="A3" s="745" t="s">
        <v>419</v>
      </c>
      <c r="B3" s="744"/>
      <c r="C3" s="744"/>
      <c r="D3" s="744"/>
      <c r="E3" s="744"/>
      <c r="F3" s="744"/>
    </row>
    <row r="4" spans="1:9" ht="15" customHeight="1">
      <c r="A4" s="745" t="s">
        <v>304</v>
      </c>
      <c r="B4" s="744"/>
      <c r="C4" s="744"/>
      <c r="D4" s="744"/>
    </row>
    <row r="5" spans="1:9" ht="15" customHeight="1"/>
    <row r="6" spans="1:9" ht="15" customHeight="1">
      <c r="F6" s="761">
        <v>45016</v>
      </c>
      <c r="G6" s="761"/>
      <c r="H6" s="761"/>
      <c r="I6" s="222"/>
    </row>
    <row r="7" spans="1:9" ht="39.25" customHeight="1">
      <c r="A7" s="234" t="s">
        <v>418</v>
      </c>
      <c r="B7" s="742" t="s">
        <v>417</v>
      </c>
      <c r="C7" s="742"/>
      <c r="D7" s="742"/>
      <c r="E7" s="742"/>
      <c r="F7" s="219" t="s">
        <v>416</v>
      </c>
      <c r="G7" s="219" t="s">
        <v>415</v>
      </c>
      <c r="H7" s="219" t="s">
        <v>158</v>
      </c>
      <c r="I7" s="222"/>
    </row>
    <row r="8" spans="1:9" ht="15" customHeight="1">
      <c r="A8" s="235"/>
      <c r="B8" s="231"/>
      <c r="C8" s="231"/>
      <c r="D8" s="231"/>
      <c r="E8" s="231"/>
      <c r="F8" s="231"/>
      <c r="G8" s="231"/>
      <c r="H8" s="231"/>
    </row>
    <row r="9" spans="1:9" ht="32.5" customHeight="1">
      <c r="A9" s="211">
        <v>1</v>
      </c>
      <c r="B9" s="743" t="s">
        <v>414</v>
      </c>
      <c r="C9" s="744"/>
      <c r="D9" s="744"/>
      <c r="E9" s="744"/>
      <c r="F9" s="236">
        <v>0</v>
      </c>
      <c r="G9" s="236">
        <v>0</v>
      </c>
      <c r="H9" s="236">
        <f>SUM(F9:G9)</f>
        <v>0</v>
      </c>
    </row>
    <row r="10" spans="1:9" ht="15" customHeight="1"/>
    <row r="11" spans="1:9" ht="35.9" customHeight="1">
      <c r="A11" s="211">
        <v>2</v>
      </c>
      <c r="B11" s="743" t="s">
        <v>413</v>
      </c>
      <c r="C11" s="743"/>
      <c r="D11" s="743"/>
      <c r="E11" s="743"/>
      <c r="F11" s="224">
        <v>59175.16</v>
      </c>
      <c r="G11" s="224">
        <v>189226.44</v>
      </c>
      <c r="H11" s="224">
        <f>SUM(F11:G11)</f>
        <v>248401.6</v>
      </c>
    </row>
    <row r="12" spans="1:9" ht="15" customHeight="1">
      <c r="H12" s="210"/>
    </row>
    <row r="13" spans="1:9" ht="30" customHeight="1">
      <c r="A13" s="211">
        <v>3</v>
      </c>
      <c r="B13" s="743" t="s">
        <v>412</v>
      </c>
      <c r="C13" s="743"/>
      <c r="D13" s="743"/>
      <c r="E13" s="743"/>
      <c r="F13" s="224">
        <v>493558.42</v>
      </c>
      <c r="G13" s="237">
        <v>1663967</v>
      </c>
      <c r="H13" s="224">
        <f>SUM(F13:G13)</f>
        <v>2157525.42</v>
      </c>
    </row>
    <row r="14" spans="1:9" ht="15" customHeight="1"/>
    <row r="15" spans="1:9" ht="15" customHeight="1">
      <c r="A15" s="211">
        <v>4</v>
      </c>
      <c r="B15" s="760" t="s">
        <v>411</v>
      </c>
      <c r="C15" s="744"/>
      <c r="D15" s="744"/>
      <c r="E15" s="744"/>
      <c r="F15" s="238">
        <f>F9+F11+F13</f>
        <v>552733.57999999996</v>
      </c>
      <c r="G15" s="238">
        <f>G9+G11+G13</f>
        <v>1853193.44</v>
      </c>
      <c r="H15" s="238">
        <f>H9+H11+H13</f>
        <v>2405927.02</v>
      </c>
    </row>
    <row r="16" spans="1:9" ht="15" customHeight="1">
      <c r="F16" s="231"/>
      <c r="G16" s="231"/>
      <c r="H16" s="231"/>
    </row>
    <row r="17" spans="1:7" ht="15" customHeight="1">
      <c r="A17" s="211">
        <v>6</v>
      </c>
      <c r="B17" s="743" t="s">
        <v>410</v>
      </c>
      <c r="C17" s="744"/>
      <c r="D17" s="744"/>
      <c r="E17" s="744"/>
      <c r="F17" s="239" t="s">
        <v>409</v>
      </c>
      <c r="G17" s="240">
        <v>404</v>
      </c>
    </row>
    <row r="18" spans="1:7" ht="15" customHeight="1"/>
    <row r="19" spans="1:7" ht="15" customHeight="1">
      <c r="F19" s="210"/>
      <c r="G19" s="210"/>
    </row>
    <row r="20" spans="1:7" ht="15" customHeight="1">
      <c r="A20" s="210" t="s">
        <v>2</v>
      </c>
      <c r="B20" s="745" t="s">
        <v>3</v>
      </c>
      <c r="C20" s="744"/>
      <c r="D20" s="744"/>
      <c r="E20" s="744"/>
      <c r="G20" s="210"/>
    </row>
    <row r="21" spans="1:7" ht="15" customHeight="1">
      <c r="F21" s="210"/>
      <c r="G21" s="210"/>
    </row>
    <row r="22" spans="1:7" ht="15" customHeight="1"/>
  </sheetData>
  <mergeCells count="12">
    <mergeCell ref="A1:D1"/>
    <mergeCell ref="A2:F2"/>
    <mergeCell ref="A3:F3"/>
    <mergeCell ref="A4:D4"/>
    <mergeCell ref="B7:E7"/>
    <mergeCell ref="F6:H6"/>
    <mergeCell ref="B20:E20"/>
    <mergeCell ref="B11:E11"/>
    <mergeCell ref="B9:E9"/>
    <mergeCell ref="B15:E15"/>
    <mergeCell ref="B13:E13"/>
    <mergeCell ref="B17:E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AD457-C864-4A98-AEDD-2259AEE06ED5}">
  <dimension ref="A1:N136"/>
  <sheetViews>
    <sheetView workbookViewId="0">
      <pane xSplit="2" ySplit="14" topLeftCell="C15" activePane="bottomRight" state="frozen"/>
      <selection sqref="A1:D1"/>
      <selection pane="topRight" sqref="A1:D1"/>
      <selection pane="bottomLeft" sqref="A1:D1"/>
      <selection pane="bottomRight" sqref="A1:D1"/>
    </sheetView>
  </sheetViews>
  <sheetFormatPr defaultColWidth="13.7265625" defaultRowHeight="12.5"/>
  <cols>
    <col min="1" max="10" width="13.7265625" style="41"/>
    <col min="11" max="11" width="3.7265625" style="213" customWidth="1"/>
    <col min="12" max="12" width="13.7265625" style="213"/>
    <col min="13" max="13" width="27.453125" style="213" customWidth="1"/>
    <col min="14" max="14" width="13.7265625" style="213"/>
    <col min="15" max="16384" width="13.7265625" style="41"/>
  </cols>
  <sheetData>
    <row r="1" spans="1:13" ht="15" customHeight="1">
      <c r="A1" s="711" t="s">
        <v>0</v>
      </c>
      <c r="B1" s="709"/>
      <c r="C1" s="709"/>
      <c r="D1" s="709"/>
    </row>
    <row r="2" spans="1:13" ht="15" customHeight="1">
      <c r="A2" s="712" t="s">
        <v>420</v>
      </c>
      <c r="B2" s="709"/>
      <c r="C2" s="709"/>
      <c r="D2" s="709"/>
      <c r="E2" s="709"/>
    </row>
    <row r="3" spans="1:13" ht="15" customHeight="1">
      <c r="A3" s="712" t="s">
        <v>440</v>
      </c>
      <c r="B3" s="709"/>
      <c r="C3" s="709"/>
      <c r="D3" s="709"/>
    </row>
    <row r="4" spans="1:13" ht="15" customHeight="1">
      <c r="A4" s="711" t="s">
        <v>352</v>
      </c>
      <c r="B4" s="709"/>
      <c r="C4" s="709"/>
    </row>
    <row r="5" spans="1:13" ht="15" customHeight="1">
      <c r="K5" s="209"/>
      <c r="L5" s="209"/>
      <c r="M5" s="209"/>
    </row>
    <row r="6" spans="1:13" ht="15" customHeight="1">
      <c r="K6" s="209"/>
      <c r="L6" s="209"/>
      <c r="M6" s="209"/>
    </row>
    <row r="7" spans="1:13" ht="15" customHeight="1">
      <c r="A7" s="156" t="s">
        <v>296</v>
      </c>
      <c r="B7" s="764" t="s">
        <v>439</v>
      </c>
      <c r="C7" s="764"/>
      <c r="D7" s="764"/>
      <c r="E7" s="764"/>
      <c r="F7" s="764"/>
      <c r="G7" s="764"/>
      <c r="H7" s="764"/>
      <c r="I7" s="764"/>
      <c r="J7" s="764"/>
      <c r="K7" s="241"/>
      <c r="L7" s="226"/>
      <c r="M7" s="226"/>
    </row>
    <row r="8" spans="1:13" ht="32.5" customHeight="1">
      <c r="A8" s="93" t="s">
        <v>181</v>
      </c>
      <c r="B8" s="763" t="s">
        <v>438</v>
      </c>
      <c r="C8" s="763"/>
      <c r="D8" s="763"/>
      <c r="E8" s="763"/>
      <c r="F8" s="763"/>
      <c r="G8" s="763"/>
      <c r="H8" s="763"/>
      <c r="I8" s="763"/>
      <c r="J8" s="763"/>
      <c r="K8" s="222"/>
      <c r="L8" s="209"/>
      <c r="M8" s="209"/>
    </row>
    <row r="9" spans="1:13" ht="15" customHeight="1">
      <c r="A9" s="58"/>
      <c r="B9" s="58"/>
      <c r="C9" s="58"/>
      <c r="D9" s="58"/>
      <c r="E9" s="58"/>
      <c r="F9" s="58"/>
      <c r="G9" s="58"/>
      <c r="H9" s="58"/>
      <c r="I9" s="58"/>
      <c r="J9" s="58"/>
      <c r="K9" s="209"/>
      <c r="L9" s="209"/>
      <c r="M9" s="209"/>
    </row>
    <row r="10" spans="1:13" ht="15" customHeight="1">
      <c r="A10" s="54"/>
      <c r="B10" s="54"/>
      <c r="C10" s="65"/>
      <c r="D10" s="65"/>
      <c r="E10" s="65"/>
      <c r="F10" s="65"/>
      <c r="G10" s="65"/>
      <c r="H10" s="65"/>
      <c r="I10" s="65"/>
      <c r="J10" s="65"/>
      <c r="K10" s="209"/>
      <c r="L10" s="209"/>
      <c r="M10" s="209"/>
    </row>
    <row r="11" spans="1:13" ht="15" customHeight="1">
      <c r="A11" s="54"/>
      <c r="B11" s="137"/>
      <c r="C11" s="762" t="s">
        <v>437</v>
      </c>
      <c r="D11" s="762"/>
      <c r="E11" s="762"/>
      <c r="F11" s="762"/>
      <c r="G11" s="762" t="s">
        <v>437</v>
      </c>
      <c r="H11" s="762"/>
      <c r="I11" s="762"/>
      <c r="J11" s="762"/>
      <c r="K11" s="242"/>
      <c r="L11" s="243"/>
      <c r="M11" s="243"/>
    </row>
    <row r="12" spans="1:13" ht="23.25" customHeight="1">
      <c r="A12" s="65"/>
      <c r="B12" s="129"/>
      <c r="C12" s="762" t="s">
        <v>436</v>
      </c>
      <c r="D12" s="762"/>
      <c r="E12" s="762"/>
      <c r="F12" s="762"/>
      <c r="G12" s="762" t="s">
        <v>435</v>
      </c>
      <c r="H12" s="762"/>
      <c r="I12" s="762"/>
      <c r="J12" s="762"/>
      <c r="K12" s="242"/>
      <c r="L12" s="243"/>
      <c r="M12" s="243"/>
    </row>
    <row r="13" spans="1:13" ht="15" customHeight="1">
      <c r="A13" s="155" t="s">
        <v>434</v>
      </c>
      <c r="B13" s="155" t="s">
        <v>433</v>
      </c>
      <c r="C13" s="154">
        <v>4040001</v>
      </c>
      <c r="D13" s="154">
        <v>4040001</v>
      </c>
      <c r="E13" s="154">
        <v>4040001</v>
      </c>
      <c r="F13" s="154">
        <v>1823538</v>
      </c>
      <c r="G13" s="154">
        <v>4040001</v>
      </c>
      <c r="H13" s="154">
        <v>4040001</v>
      </c>
      <c r="I13" s="154">
        <v>4040001</v>
      </c>
      <c r="J13" s="154">
        <v>1823538</v>
      </c>
      <c r="K13" s="242"/>
      <c r="L13" s="243"/>
      <c r="M13" s="243"/>
    </row>
    <row r="14" spans="1:13" ht="15" customHeight="1">
      <c r="A14" s="155" t="s">
        <v>432</v>
      </c>
      <c r="B14" s="155"/>
      <c r="C14" s="154">
        <v>110</v>
      </c>
      <c r="D14" s="154">
        <v>117</v>
      </c>
      <c r="E14" s="154">
        <v>180</v>
      </c>
      <c r="F14" s="153" t="s">
        <v>158</v>
      </c>
      <c r="G14" s="154">
        <v>110</v>
      </c>
      <c r="H14" s="154">
        <v>117</v>
      </c>
      <c r="I14" s="154">
        <v>180</v>
      </c>
      <c r="J14" s="153" t="s">
        <v>158</v>
      </c>
      <c r="K14" s="242"/>
      <c r="L14" s="243"/>
      <c r="M14" s="243"/>
    </row>
    <row r="15" spans="1:13" ht="15" customHeight="1">
      <c r="A15" s="152">
        <v>2018</v>
      </c>
      <c r="B15" s="151">
        <v>1</v>
      </c>
      <c r="C15" s="150">
        <v>104.39</v>
      </c>
      <c r="D15" s="55">
        <v>211.79</v>
      </c>
      <c r="E15" s="55">
        <v>59.6</v>
      </c>
      <c r="F15" s="149">
        <v>-375.78</v>
      </c>
      <c r="G15" s="148"/>
      <c r="H15" s="58"/>
      <c r="I15" s="58"/>
      <c r="J15" s="147"/>
      <c r="K15" s="222"/>
      <c r="L15" s="209"/>
      <c r="M15" s="209"/>
    </row>
    <row r="16" spans="1:13" ht="15" customHeight="1">
      <c r="A16" s="40"/>
      <c r="B16" s="138">
        <v>2</v>
      </c>
      <c r="C16" s="136">
        <v>248.93</v>
      </c>
      <c r="D16" s="51">
        <v>505.03</v>
      </c>
      <c r="E16" s="51">
        <v>142.12</v>
      </c>
      <c r="F16" s="139">
        <v>-896.08</v>
      </c>
      <c r="G16" s="59"/>
      <c r="H16" s="54"/>
      <c r="I16" s="54"/>
      <c r="J16" s="137"/>
      <c r="K16" s="222"/>
    </row>
    <row r="17" spans="1:11" ht="15" customHeight="1">
      <c r="A17" s="40"/>
      <c r="B17" s="138">
        <v>3</v>
      </c>
      <c r="C17" s="136">
        <v>248.93</v>
      </c>
      <c r="D17" s="51">
        <v>505.03</v>
      </c>
      <c r="E17" s="51">
        <v>142.12</v>
      </c>
      <c r="F17" s="139">
        <v>-896.08</v>
      </c>
      <c r="G17" s="59"/>
      <c r="H17" s="54"/>
      <c r="I17" s="54"/>
      <c r="J17" s="137"/>
      <c r="K17" s="222"/>
    </row>
    <row r="18" spans="1:11" ht="15" customHeight="1">
      <c r="A18" s="40"/>
      <c r="B18" s="138">
        <v>4</v>
      </c>
      <c r="C18" s="136">
        <v>248.93</v>
      </c>
      <c r="D18" s="51">
        <v>505.03</v>
      </c>
      <c r="E18" s="51">
        <v>142.12</v>
      </c>
      <c r="F18" s="139">
        <v>-896.08</v>
      </c>
      <c r="G18" s="59"/>
      <c r="H18" s="54"/>
      <c r="I18" s="54"/>
      <c r="J18" s="137"/>
      <c r="K18" s="222"/>
    </row>
    <row r="19" spans="1:11" ht="15" customHeight="1">
      <c r="A19" s="40"/>
      <c r="B19" s="138">
        <v>5</v>
      </c>
      <c r="C19" s="136">
        <v>248.93</v>
      </c>
      <c r="D19" s="51">
        <v>505.03</v>
      </c>
      <c r="E19" s="51">
        <v>142.12</v>
      </c>
      <c r="F19" s="139">
        <v>-896.08</v>
      </c>
      <c r="G19" s="59"/>
      <c r="H19" s="54"/>
      <c r="I19" s="54"/>
      <c r="J19" s="137"/>
      <c r="K19" s="222"/>
    </row>
    <row r="20" spans="1:11" ht="15" customHeight="1">
      <c r="A20" s="40"/>
      <c r="B20" s="138">
        <v>6</v>
      </c>
      <c r="C20" s="136">
        <v>248.93</v>
      </c>
      <c r="D20" s="51">
        <v>505.03</v>
      </c>
      <c r="E20" s="51">
        <v>142.12</v>
      </c>
      <c r="F20" s="139">
        <v>-896.08</v>
      </c>
      <c r="G20" s="59"/>
      <c r="H20" s="54"/>
      <c r="I20" s="54"/>
      <c r="J20" s="137"/>
      <c r="K20" s="222"/>
    </row>
    <row r="21" spans="1:11" ht="15" customHeight="1">
      <c r="A21" s="40"/>
      <c r="B21" s="138">
        <v>7</v>
      </c>
      <c r="C21" s="136">
        <v>248.93</v>
      </c>
      <c r="D21" s="51">
        <v>505.03</v>
      </c>
      <c r="E21" s="51">
        <v>142.12</v>
      </c>
      <c r="F21" s="139">
        <v>-896.08</v>
      </c>
      <c r="G21" s="59"/>
      <c r="H21" s="54"/>
      <c r="I21" s="54"/>
      <c r="J21" s="137"/>
      <c r="K21" s="222"/>
    </row>
    <row r="22" spans="1:11" ht="15" customHeight="1">
      <c r="A22" s="40"/>
      <c r="B22" s="138">
        <v>8</v>
      </c>
      <c r="C22" s="136">
        <v>248.93</v>
      </c>
      <c r="D22" s="51">
        <v>505.03</v>
      </c>
      <c r="E22" s="51">
        <v>142.12</v>
      </c>
      <c r="F22" s="139">
        <v>-896.08</v>
      </c>
      <c r="G22" s="59"/>
      <c r="H22" s="54"/>
      <c r="I22" s="54"/>
      <c r="J22" s="137"/>
      <c r="K22" s="222"/>
    </row>
    <row r="23" spans="1:11" ht="15" customHeight="1">
      <c r="A23" s="40"/>
      <c r="B23" s="138">
        <v>9</v>
      </c>
      <c r="C23" s="136">
        <v>248.93</v>
      </c>
      <c r="D23" s="51">
        <v>505.03</v>
      </c>
      <c r="E23" s="51">
        <v>142.12</v>
      </c>
      <c r="F23" s="139">
        <v>-896.08</v>
      </c>
      <c r="G23" s="59"/>
      <c r="H23" s="54"/>
      <c r="I23" s="54"/>
      <c r="J23" s="137"/>
      <c r="K23" s="222"/>
    </row>
    <row r="24" spans="1:11" ht="15" customHeight="1">
      <c r="A24" s="40"/>
      <c r="B24" s="138">
        <v>10</v>
      </c>
      <c r="C24" s="136">
        <v>248.93</v>
      </c>
      <c r="D24" s="51">
        <v>505.03</v>
      </c>
      <c r="E24" s="51">
        <v>142.12</v>
      </c>
      <c r="F24" s="139">
        <v>-896.08</v>
      </c>
      <c r="G24" s="59"/>
      <c r="H24" s="54"/>
      <c r="I24" s="54"/>
      <c r="J24" s="137"/>
      <c r="K24" s="222"/>
    </row>
    <row r="25" spans="1:11" ht="15" customHeight="1">
      <c r="A25" s="40"/>
      <c r="B25" s="138">
        <v>11</v>
      </c>
      <c r="C25" s="136">
        <v>248.93</v>
      </c>
      <c r="D25" s="51">
        <v>505.03</v>
      </c>
      <c r="E25" s="51">
        <v>142.12</v>
      </c>
      <c r="F25" s="139">
        <v>-896.08</v>
      </c>
      <c r="G25" s="59"/>
      <c r="H25" s="54"/>
      <c r="I25" s="54"/>
      <c r="J25" s="137"/>
      <c r="K25" s="222"/>
    </row>
    <row r="26" spans="1:11" ht="15" customHeight="1">
      <c r="A26" s="40"/>
      <c r="B26" s="138">
        <v>12</v>
      </c>
      <c r="C26" s="136">
        <v>248.93</v>
      </c>
      <c r="D26" s="51">
        <v>505.03</v>
      </c>
      <c r="E26" s="51">
        <v>142.12</v>
      </c>
      <c r="F26" s="135">
        <v>-896.08</v>
      </c>
      <c r="G26" s="59"/>
      <c r="H26" s="54"/>
      <c r="I26" s="54"/>
      <c r="J26" s="137"/>
      <c r="K26" s="222"/>
    </row>
    <row r="27" spans="1:11" ht="15" customHeight="1" thickBot="1">
      <c r="A27" s="40" t="s">
        <v>431</v>
      </c>
      <c r="B27" s="134"/>
      <c r="C27" s="144"/>
      <c r="D27" s="143"/>
      <c r="E27" s="143"/>
      <c r="F27" s="146">
        <v>-10232.66</v>
      </c>
      <c r="G27" s="59"/>
      <c r="H27" s="54"/>
      <c r="I27" s="54"/>
      <c r="J27" s="137"/>
      <c r="K27" s="222"/>
    </row>
    <row r="28" spans="1:11" ht="15" customHeight="1" thickTop="1">
      <c r="A28" s="141">
        <v>2019</v>
      </c>
      <c r="B28" s="138">
        <v>1</v>
      </c>
      <c r="C28" s="136">
        <v>248.93</v>
      </c>
      <c r="D28" s="51">
        <v>505.03</v>
      </c>
      <c r="E28" s="51">
        <v>142.12</v>
      </c>
      <c r="F28" s="140">
        <v>-896.08</v>
      </c>
      <c r="G28" s="59"/>
      <c r="H28" s="54"/>
      <c r="I28" s="54"/>
      <c r="J28" s="137"/>
      <c r="K28" s="222"/>
    </row>
    <row r="29" spans="1:11" ht="15" customHeight="1">
      <c r="A29" s="40"/>
      <c r="B29" s="138">
        <v>2</v>
      </c>
      <c r="C29" s="136">
        <v>248.93</v>
      </c>
      <c r="D29" s="51">
        <v>505.03</v>
      </c>
      <c r="E29" s="51">
        <v>142.12</v>
      </c>
      <c r="F29" s="139">
        <v>-896.08</v>
      </c>
      <c r="G29" s="59"/>
      <c r="H29" s="54"/>
      <c r="I29" s="54"/>
      <c r="J29" s="137"/>
      <c r="K29" s="222"/>
    </row>
    <row r="30" spans="1:11" ht="15" customHeight="1">
      <c r="A30" s="40"/>
      <c r="B30" s="138">
        <v>3</v>
      </c>
      <c r="C30" s="136">
        <v>248.93</v>
      </c>
      <c r="D30" s="51">
        <v>505.03</v>
      </c>
      <c r="E30" s="51">
        <v>142.12</v>
      </c>
      <c r="F30" s="139">
        <v>-896.08</v>
      </c>
      <c r="G30" s="59"/>
      <c r="H30" s="54"/>
      <c r="I30" s="54"/>
      <c r="J30" s="137"/>
      <c r="K30" s="222"/>
    </row>
    <row r="31" spans="1:11" ht="15" customHeight="1">
      <c r="A31" s="40"/>
      <c r="B31" s="138">
        <v>4</v>
      </c>
      <c r="C31" s="136">
        <v>248.93</v>
      </c>
      <c r="D31" s="51">
        <v>505.03</v>
      </c>
      <c r="E31" s="51">
        <v>142.12</v>
      </c>
      <c r="F31" s="139">
        <v>-896.08</v>
      </c>
      <c r="G31" s="59"/>
      <c r="H31" s="54"/>
      <c r="I31" s="54"/>
      <c r="J31" s="137"/>
      <c r="K31" s="222"/>
    </row>
    <row r="32" spans="1:11" ht="15" customHeight="1">
      <c r="A32" s="40"/>
      <c r="B32" s="138">
        <v>5</v>
      </c>
      <c r="C32" s="136">
        <v>248.93</v>
      </c>
      <c r="D32" s="51">
        <v>505.03</v>
      </c>
      <c r="E32" s="51">
        <v>142.12</v>
      </c>
      <c r="F32" s="139">
        <v>-896.08</v>
      </c>
      <c r="G32" s="59"/>
      <c r="H32" s="54"/>
      <c r="I32" s="54"/>
      <c r="J32" s="137"/>
      <c r="K32" s="222"/>
    </row>
    <row r="33" spans="1:11" ht="15" customHeight="1">
      <c r="A33" s="40"/>
      <c r="B33" s="138">
        <v>6</v>
      </c>
      <c r="C33" s="136">
        <v>248.93</v>
      </c>
      <c r="D33" s="51">
        <v>505.03</v>
      </c>
      <c r="E33" s="51">
        <v>142.12</v>
      </c>
      <c r="F33" s="139">
        <v>-896.08</v>
      </c>
      <c r="G33" s="59"/>
      <c r="H33" s="54"/>
      <c r="I33" s="54"/>
      <c r="J33" s="137"/>
      <c r="K33" s="222"/>
    </row>
    <row r="34" spans="1:11" ht="15" customHeight="1">
      <c r="A34" s="40"/>
      <c r="B34" s="138">
        <v>7</v>
      </c>
      <c r="C34" s="136">
        <v>248.93</v>
      </c>
      <c r="D34" s="51">
        <v>505.03</v>
      </c>
      <c r="E34" s="51">
        <v>142.12</v>
      </c>
      <c r="F34" s="139">
        <v>-896.08</v>
      </c>
      <c r="G34" s="59"/>
      <c r="H34" s="54"/>
      <c r="I34" s="54"/>
      <c r="J34" s="137"/>
      <c r="K34" s="222"/>
    </row>
    <row r="35" spans="1:11" ht="15" customHeight="1">
      <c r="A35" s="40"/>
      <c r="B35" s="138">
        <v>8</v>
      </c>
      <c r="C35" s="136">
        <v>248.93</v>
      </c>
      <c r="D35" s="51">
        <v>505.03</v>
      </c>
      <c r="E35" s="51">
        <v>142.12</v>
      </c>
      <c r="F35" s="139">
        <v>-896.08</v>
      </c>
      <c r="G35" s="59"/>
      <c r="H35" s="54"/>
      <c r="I35" s="54"/>
      <c r="J35" s="137"/>
      <c r="K35" s="222"/>
    </row>
    <row r="36" spans="1:11" ht="15" customHeight="1">
      <c r="A36" s="40"/>
      <c r="B36" s="138">
        <v>9</v>
      </c>
      <c r="C36" s="136">
        <v>248.93</v>
      </c>
      <c r="D36" s="51">
        <v>505.03</v>
      </c>
      <c r="E36" s="51">
        <v>142.12</v>
      </c>
      <c r="F36" s="139">
        <v>-896.08</v>
      </c>
      <c r="G36" s="59"/>
      <c r="H36" s="54"/>
      <c r="I36" s="54"/>
      <c r="J36" s="137"/>
      <c r="K36" s="222"/>
    </row>
    <row r="37" spans="1:11" ht="15" customHeight="1">
      <c r="A37" s="40"/>
      <c r="B37" s="138">
        <v>10</v>
      </c>
      <c r="C37" s="136">
        <v>248.93</v>
      </c>
      <c r="D37" s="51">
        <v>505.03</v>
      </c>
      <c r="E37" s="51">
        <v>142.12</v>
      </c>
      <c r="F37" s="139">
        <v>-896.08</v>
      </c>
      <c r="G37" s="59"/>
      <c r="H37" s="54"/>
      <c r="I37" s="54"/>
      <c r="J37" s="137"/>
      <c r="K37" s="222"/>
    </row>
    <row r="38" spans="1:11" ht="15" customHeight="1">
      <c r="A38" s="40"/>
      <c r="B38" s="138">
        <v>11</v>
      </c>
      <c r="C38" s="136">
        <v>248.93</v>
      </c>
      <c r="D38" s="51">
        <v>505.03</v>
      </c>
      <c r="E38" s="51">
        <v>142.12</v>
      </c>
      <c r="F38" s="139">
        <v>-896.08</v>
      </c>
      <c r="G38" s="59"/>
      <c r="H38" s="54"/>
      <c r="I38" s="54"/>
      <c r="J38" s="137"/>
      <c r="K38" s="222"/>
    </row>
    <row r="39" spans="1:11" ht="15" customHeight="1">
      <c r="A39" s="40"/>
      <c r="B39" s="138">
        <v>12</v>
      </c>
      <c r="C39" s="136">
        <v>248.93</v>
      </c>
      <c r="D39" s="51">
        <v>505.03</v>
      </c>
      <c r="E39" s="51">
        <v>142.12</v>
      </c>
      <c r="F39" s="135">
        <v>-896.08</v>
      </c>
      <c r="G39" s="59"/>
      <c r="H39" s="54"/>
      <c r="I39" s="54"/>
      <c r="J39" s="137"/>
      <c r="K39" s="222"/>
    </row>
    <row r="40" spans="1:11" ht="15" customHeight="1" thickBot="1">
      <c r="A40" s="40" t="s">
        <v>430</v>
      </c>
      <c r="B40" s="134"/>
      <c r="C40" s="144"/>
      <c r="D40" s="143"/>
      <c r="E40" s="143"/>
      <c r="F40" s="146">
        <v>-10752.96</v>
      </c>
      <c r="G40" s="59"/>
      <c r="H40" s="54"/>
      <c r="I40" s="54"/>
      <c r="J40" s="137"/>
      <c r="K40" s="222"/>
    </row>
    <row r="41" spans="1:11" ht="15" customHeight="1" thickTop="1">
      <c r="A41" s="141">
        <v>2020</v>
      </c>
      <c r="B41" s="138">
        <v>1</v>
      </c>
      <c r="C41" s="136">
        <v>248.93</v>
      </c>
      <c r="D41" s="51">
        <v>505.03</v>
      </c>
      <c r="E41" s="51">
        <v>142.12</v>
      </c>
      <c r="F41" s="140">
        <v>-896.08</v>
      </c>
      <c r="G41" s="59"/>
      <c r="H41" s="54"/>
      <c r="I41" s="54"/>
      <c r="J41" s="137"/>
      <c r="K41" s="222"/>
    </row>
    <row r="42" spans="1:11" ht="15" customHeight="1">
      <c r="A42" s="40"/>
      <c r="B42" s="138">
        <v>2</v>
      </c>
      <c r="C42" s="136">
        <v>248.93</v>
      </c>
      <c r="D42" s="51">
        <v>505.03</v>
      </c>
      <c r="E42" s="51">
        <v>142.12</v>
      </c>
      <c r="F42" s="139">
        <v>-896.08</v>
      </c>
      <c r="G42" s="59"/>
      <c r="H42" s="54"/>
      <c r="I42" s="54"/>
      <c r="J42" s="137"/>
      <c r="K42" s="222"/>
    </row>
    <row r="43" spans="1:11" ht="15" customHeight="1">
      <c r="A43" s="40"/>
      <c r="B43" s="138">
        <v>3</v>
      </c>
      <c r="C43" s="136">
        <v>248.93</v>
      </c>
      <c r="D43" s="51">
        <v>505.03</v>
      </c>
      <c r="E43" s="51">
        <v>142.12</v>
      </c>
      <c r="F43" s="139">
        <v>-896.08</v>
      </c>
      <c r="G43" s="59"/>
      <c r="H43" s="54"/>
      <c r="I43" s="54"/>
      <c r="J43" s="137"/>
      <c r="K43" s="222"/>
    </row>
    <row r="44" spans="1:11" ht="15" customHeight="1">
      <c r="A44" s="40"/>
      <c r="B44" s="138">
        <v>4</v>
      </c>
      <c r="C44" s="136">
        <v>248.93</v>
      </c>
      <c r="D44" s="51">
        <v>505.03</v>
      </c>
      <c r="E44" s="51">
        <v>142.12</v>
      </c>
      <c r="F44" s="139">
        <v>-896.08</v>
      </c>
      <c r="G44" s="59"/>
      <c r="H44" s="54"/>
      <c r="I44" s="54"/>
      <c r="J44" s="137"/>
      <c r="K44" s="222"/>
    </row>
    <row r="45" spans="1:11" ht="15" customHeight="1">
      <c r="A45" s="40"/>
      <c r="B45" s="138">
        <v>5</v>
      </c>
      <c r="C45" s="136">
        <v>248.93</v>
      </c>
      <c r="D45" s="51">
        <v>505.03</v>
      </c>
      <c r="E45" s="51">
        <v>142.12</v>
      </c>
      <c r="F45" s="139">
        <v>-896.08</v>
      </c>
      <c r="G45" s="59"/>
      <c r="H45" s="54"/>
      <c r="I45" s="54"/>
      <c r="J45" s="137"/>
      <c r="K45" s="222"/>
    </row>
    <row r="46" spans="1:11" ht="15" customHeight="1">
      <c r="A46" s="40"/>
      <c r="B46" s="138">
        <v>6</v>
      </c>
      <c r="C46" s="136">
        <v>248.93</v>
      </c>
      <c r="D46" s="51">
        <v>505.03</v>
      </c>
      <c r="E46" s="51">
        <v>142.12</v>
      </c>
      <c r="F46" s="139">
        <v>-896.08</v>
      </c>
      <c r="G46" s="59"/>
      <c r="H46" s="54"/>
      <c r="I46" s="54"/>
      <c r="J46" s="137"/>
      <c r="K46" s="222"/>
    </row>
    <row r="47" spans="1:11" ht="15" customHeight="1">
      <c r="A47" s="40"/>
      <c r="B47" s="138">
        <v>7</v>
      </c>
      <c r="C47" s="136">
        <v>248.93</v>
      </c>
      <c r="D47" s="51">
        <v>505.03</v>
      </c>
      <c r="E47" s="51">
        <v>142.12</v>
      </c>
      <c r="F47" s="139">
        <v>-896.08</v>
      </c>
      <c r="G47" s="59"/>
      <c r="H47" s="54"/>
      <c r="I47" s="54"/>
      <c r="J47" s="137"/>
      <c r="K47" s="222"/>
    </row>
    <row r="48" spans="1:11" ht="15" customHeight="1">
      <c r="A48" s="40"/>
      <c r="B48" s="138">
        <v>8</v>
      </c>
      <c r="C48" s="136">
        <v>248.93</v>
      </c>
      <c r="D48" s="51">
        <v>505.03</v>
      </c>
      <c r="E48" s="51">
        <v>142.12</v>
      </c>
      <c r="F48" s="139">
        <v>-896.08</v>
      </c>
      <c r="G48" s="59"/>
      <c r="H48" s="54"/>
      <c r="I48" s="54"/>
      <c r="J48" s="137"/>
      <c r="K48" s="222"/>
    </row>
    <row r="49" spans="1:13" ht="15" customHeight="1">
      <c r="A49" s="40"/>
      <c r="B49" s="138">
        <v>9</v>
      </c>
      <c r="C49" s="136">
        <v>248.93</v>
      </c>
      <c r="D49" s="51">
        <v>505.03</v>
      </c>
      <c r="E49" s="51">
        <v>142.12</v>
      </c>
      <c r="F49" s="139">
        <v>-896.08</v>
      </c>
      <c r="G49" s="59"/>
      <c r="H49" s="54"/>
      <c r="I49" s="54"/>
      <c r="J49" s="137"/>
      <c r="K49" s="222"/>
    </row>
    <row r="50" spans="1:13" ht="15" customHeight="1">
      <c r="A50" s="40"/>
      <c r="B50" s="138">
        <v>10</v>
      </c>
      <c r="C50" s="136">
        <v>248.93</v>
      </c>
      <c r="D50" s="51">
        <v>505.03</v>
      </c>
      <c r="E50" s="51">
        <v>142.12</v>
      </c>
      <c r="F50" s="139">
        <v>-896.08</v>
      </c>
      <c r="G50" s="59"/>
      <c r="H50" s="54"/>
      <c r="I50" s="54"/>
      <c r="J50" s="137"/>
      <c r="K50" s="222"/>
    </row>
    <row r="51" spans="1:13" ht="15" customHeight="1">
      <c r="A51" s="40"/>
      <c r="B51" s="138">
        <v>11</v>
      </c>
      <c r="C51" s="136">
        <v>248.93</v>
      </c>
      <c r="D51" s="51">
        <v>505.03</v>
      </c>
      <c r="E51" s="51">
        <v>142.12</v>
      </c>
      <c r="F51" s="139">
        <v>-896.08</v>
      </c>
      <c r="G51" s="59"/>
      <c r="H51" s="54"/>
      <c r="I51" s="54"/>
      <c r="J51" s="137"/>
      <c r="K51" s="222"/>
    </row>
    <row r="52" spans="1:13" ht="15" customHeight="1">
      <c r="A52" s="40"/>
      <c r="B52" s="138">
        <v>12</v>
      </c>
      <c r="C52" s="136">
        <v>248.93</v>
      </c>
      <c r="D52" s="51">
        <v>505.03</v>
      </c>
      <c r="E52" s="51">
        <v>142.12</v>
      </c>
      <c r="F52" s="135">
        <v>-896.08</v>
      </c>
      <c r="G52" s="59"/>
      <c r="H52" s="54"/>
      <c r="I52" s="54"/>
      <c r="J52" s="137"/>
      <c r="K52" s="222"/>
    </row>
    <row r="53" spans="1:13" ht="15" customHeight="1" thickBot="1">
      <c r="A53" s="40" t="s">
        <v>429</v>
      </c>
      <c r="B53" s="134"/>
      <c r="C53" s="144"/>
      <c r="D53" s="143"/>
      <c r="E53" s="143"/>
      <c r="F53" s="146">
        <v>-10752.96</v>
      </c>
      <c r="G53" s="59"/>
      <c r="H53" s="54"/>
      <c r="I53" s="54"/>
      <c r="J53" s="137"/>
      <c r="K53" s="222"/>
    </row>
    <row r="54" spans="1:13" ht="15" customHeight="1" thickTop="1">
      <c r="A54" s="141">
        <v>2021</v>
      </c>
      <c r="B54" s="138">
        <v>1</v>
      </c>
      <c r="C54" s="136">
        <v>248.93</v>
      </c>
      <c r="D54" s="51">
        <v>505.03</v>
      </c>
      <c r="E54" s="51">
        <v>142.12</v>
      </c>
      <c r="F54" s="140">
        <v>-896.08</v>
      </c>
      <c r="G54" s="136">
        <v>712.1</v>
      </c>
      <c r="H54" s="51">
        <v>1291.1500000000001</v>
      </c>
      <c r="I54" s="51">
        <v>359.81</v>
      </c>
      <c r="J54" s="139">
        <v>-2363.06</v>
      </c>
      <c r="K54" s="222"/>
    </row>
    <row r="55" spans="1:13" ht="15" customHeight="1">
      <c r="A55" s="40"/>
      <c r="B55" s="138">
        <v>2</v>
      </c>
      <c r="C55" s="136">
        <v>248.93</v>
      </c>
      <c r="D55" s="51">
        <v>505.03</v>
      </c>
      <c r="E55" s="51">
        <v>142.12</v>
      </c>
      <c r="F55" s="139">
        <v>-896.08</v>
      </c>
      <c r="G55" s="136">
        <v>1698.08</v>
      </c>
      <c r="H55" s="51">
        <v>3078.9</v>
      </c>
      <c r="I55" s="51">
        <v>858.01</v>
      </c>
      <c r="J55" s="139">
        <v>-5634.99</v>
      </c>
      <c r="K55" s="222"/>
    </row>
    <row r="56" spans="1:13" ht="15" customHeight="1">
      <c r="A56" s="40"/>
      <c r="B56" s="138">
        <v>3</v>
      </c>
      <c r="C56" s="136">
        <v>248.93</v>
      </c>
      <c r="D56" s="51">
        <v>505.03</v>
      </c>
      <c r="E56" s="51">
        <v>142.12</v>
      </c>
      <c r="F56" s="139">
        <v>-896.08</v>
      </c>
      <c r="G56" s="136">
        <v>1698.08</v>
      </c>
      <c r="H56" s="51">
        <v>3078.9</v>
      </c>
      <c r="I56" s="51">
        <v>858.01</v>
      </c>
      <c r="J56" s="139">
        <v>-5634.99</v>
      </c>
      <c r="K56" s="222"/>
    </row>
    <row r="57" spans="1:13" ht="15" customHeight="1">
      <c r="A57" s="40"/>
      <c r="B57" s="138">
        <v>4</v>
      </c>
      <c r="C57" s="136">
        <v>248.93</v>
      </c>
      <c r="D57" s="51">
        <v>505.03</v>
      </c>
      <c r="E57" s="51">
        <v>142.12</v>
      </c>
      <c r="F57" s="139">
        <v>-896.08</v>
      </c>
      <c r="G57" s="136">
        <v>1698.08</v>
      </c>
      <c r="H57" s="51">
        <v>3078.9</v>
      </c>
      <c r="I57" s="51">
        <v>858.01</v>
      </c>
      <c r="J57" s="139">
        <v>-5634.99</v>
      </c>
      <c r="K57" s="222"/>
    </row>
    <row r="58" spans="1:13" ht="15" customHeight="1">
      <c r="A58" s="40"/>
      <c r="B58" s="138">
        <v>5</v>
      </c>
      <c r="C58" s="136">
        <v>248.93</v>
      </c>
      <c r="D58" s="51">
        <v>505.03</v>
      </c>
      <c r="E58" s="51">
        <v>142.12</v>
      </c>
      <c r="F58" s="139">
        <v>-896.08</v>
      </c>
      <c r="G58" s="136">
        <v>1698.08</v>
      </c>
      <c r="H58" s="51">
        <v>3078.9</v>
      </c>
      <c r="I58" s="51">
        <v>858.01</v>
      </c>
      <c r="J58" s="139">
        <v>-5634.99</v>
      </c>
      <c r="K58" s="222"/>
    </row>
    <row r="59" spans="1:13" ht="15" customHeight="1">
      <c r="A59" s="40"/>
      <c r="B59" s="138">
        <v>6</v>
      </c>
      <c r="C59" s="136">
        <v>248.93</v>
      </c>
      <c r="D59" s="51">
        <v>505.03</v>
      </c>
      <c r="E59" s="51">
        <v>142.12</v>
      </c>
      <c r="F59" s="139">
        <v>-896.08</v>
      </c>
      <c r="G59" s="136">
        <v>1698.08</v>
      </c>
      <c r="H59" s="51">
        <v>3078.9</v>
      </c>
      <c r="I59" s="51">
        <v>858.01</v>
      </c>
      <c r="J59" s="139">
        <v>-5634.99</v>
      </c>
      <c r="K59" s="222"/>
    </row>
    <row r="60" spans="1:13" ht="15" customHeight="1">
      <c r="A60" s="40"/>
      <c r="B60" s="138">
        <v>7</v>
      </c>
      <c r="C60" s="136">
        <v>248.93</v>
      </c>
      <c r="D60" s="51">
        <v>505.03</v>
      </c>
      <c r="E60" s="51">
        <v>142.12</v>
      </c>
      <c r="F60" s="139">
        <v>-896.08</v>
      </c>
      <c r="G60" s="136">
        <v>1698.08</v>
      </c>
      <c r="H60" s="51">
        <v>3078.9</v>
      </c>
      <c r="I60" s="51">
        <v>858.01</v>
      </c>
      <c r="J60" s="139">
        <v>-5634.99</v>
      </c>
      <c r="K60" s="222"/>
    </row>
    <row r="61" spans="1:13" ht="15" customHeight="1">
      <c r="A61" s="40"/>
      <c r="B61" s="138">
        <v>8</v>
      </c>
      <c r="C61" s="136">
        <v>248.93</v>
      </c>
      <c r="D61" s="51">
        <v>505.03</v>
      </c>
      <c r="E61" s="51">
        <v>142.12</v>
      </c>
      <c r="F61" s="139">
        <v>-896.08</v>
      </c>
      <c r="G61" s="136">
        <v>1698.08</v>
      </c>
      <c r="H61" s="51">
        <v>3078.9</v>
      </c>
      <c r="I61" s="51">
        <v>858.01</v>
      </c>
      <c r="J61" s="139">
        <v>-5634.99</v>
      </c>
      <c r="K61" s="222"/>
    </row>
    <row r="62" spans="1:13" ht="15" customHeight="1">
      <c r="A62" s="40"/>
      <c r="B62" s="138">
        <v>9</v>
      </c>
      <c r="C62" s="136">
        <v>248.93</v>
      </c>
      <c r="D62" s="51">
        <v>505.03</v>
      </c>
      <c r="E62" s="51">
        <v>142.12</v>
      </c>
      <c r="F62" s="139">
        <v>-896.08</v>
      </c>
      <c r="G62" s="136">
        <v>1698.08</v>
      </c>
      <c r="H62" s="51">
        <v>3078.9</v>
      </c>
      <c r="I62" s="51">
        <v>858.01</v>
      </c>
      <c r="J62" s="139">
        <v>-5634.99</v>
      </c>
      <c r="K62" s="222"/>
    </row>
    <row r="63" spans="1:13" ht="15" customHeight="1">
      <c r="A63" s="40"/>
      <c r="B63" s="138">
        <v>10</v>
      </c>
      <c r="C63" s="136">
        <v>248.93</v>
      </c>
      <c r="D63" s="51">
        <v>505.03</v>
      </c>
      <c r="E63" s="51">
        <v>142.12</v>
      </c>
      <c r="F63" s="139">
        <v>-896.08</v>
      </c>
      <c r="G63" s="136">
        <v>1698.08</v>
      </c>
      <c r="H63" s="51">
        <v>3078.9</v>
      </c>
      <c r="I63" s="51">
        <v>858.01</v>
      </c>
      <c r="J63" s="139">
        <v>-5634.99</v>
      </c>
      <c r="K63" s="222"/>
      <c r="L63" s="209"/>
      <c r="M63" s="209"/>
    </row>
    <row r="64" spans="1:13" ht="15" customHeight="1">
      <c r="A64" s="40"/>
      <c r="B64" s="138">
        <v>11</v>
      </c>
      <c r="C64" s="136">
        <v>248.93</v>
      </c>
      <c r="D64" s="51">
        <v>505.03</v>
      </c>
      <c r="E64" s="51">
        <v>142.12</v>
      </c>
      <c r="F64" s="139">
        <v>-896.08</v>
      </c>
      <c r="G64" s="136">
        <v>1698.08</v>
      </c>
      <c r="H64" s="51">
        <v>3078.9</v>
      </c>
      <c r="I64" s="51">
        <v>858.01</v>
      </c>
      <c r="J64" s="139">
        <v>-5634.99</v>
      </c>
      <c r="K64" s="222"/>
      <c r="L64" s="209"/>
      <c r="M64" s="209"/>
    </row>
    <row r="65" spans="1:13" ht="15" customHeight="1">
      <c r="A65" s="40"/>
      <c r="B65" s="138">
        <v>12</v>
      </c>
      <c r="C65" s="136">
        <v>248.93</v>
      </c>
      <c r="D65" s="51">
        <v>505.03</v>
      </c>
      <c r="E65" s="51">
        <v>142.12</v>
      </c>
      <c r="F65" s="135">
        <v>-896.08</v>
      </c>
      <c r="G65" s="136">
        <v>1698.08</v>
      </c>
      <c r="H65" s="51">
        <v>3078.9</v>
      </c>
      <c r="I65" s="51">
        <v>858.01</v>
      </c>
      <c r="J65" s="135">
        <v>-5634.99</v>
      </c>
      <c r="K65" s="222"/>
      <c r="L65" s="209"/>
      <c r="M65" s="209"/>
    </row>
    <row r="66" spans="1:13" ht="15" customHeight="1" thickBot="1">
      <c r="A66" s="40" t="s">
        <v>428</v>
      </c>
      <c r="B66" s="134"/>
      <c r="C66" s="144"/>
      <c r="D66" s="143"/>
      <c r="E66" s="143"/>
      <c r="F66" s="146">
        <v>-10752.96</v>
      </c>
      <c r="G66" s="144"/>
      <c r="H66" s="143"/>
      <c r="I66" s="143"/>
      <c r="J66" s="142">
        <v>-64347.9</v>
      </c>
      <c r="K66" s="241"/>
      <c r="L66" s="226"/>
      <c r="M66" s="226"/>
    </row>
    <row r="67" spans="1:13" ht="15" customHeight="1" thickTop="1">
      <c r="A67" s="141">
        <v>2022</v>
      </c>
      <c r="B67" s="138">
        <v>1</v>
      </c>
      <c r="C67" s="136">
        <v>248.93</v>
      </c>
      <c r="D67" s="51">
        <v>505.03</v>
      </c>
      <c r="E67" s="51">
        <v>142.12</v>
      </c>
      <c r="F67" s="140">
        <v>-896.08</v>
      </c>
      <c r="G67" s="136">
        <v>1698.08</v>
      </c>
      <c r="H67" s="51">
        <v>3078.9</v>
      </c>
      <c r="I67" s="51">
        <v>858.01</v>
      </c>
      <c r="J67" s="140">
        <v>-5634.99</v>
      </c>
      <c r="K67" s="222"/>
      <c r="L67" s="209"/>
      <c r="M67" s="209"/>
    </row>
    <row r="68" spans="1:13" ht="15" customHeight="1">
      <c r="A68" s="40"/>
      <c r="B68" s="138">
        <v>2</v>
      </c>
      <c r="C68" s="136">
        <v>248.93</v>
      </c>
      <c r="D68" s="51">
        <v>505.03</v>
      </c>
      <c r="E68" s="51">
        <v>142.12</v>
      </c>
      <c r="F68" s="139">
        <v>-896.08</v>
      </c>
      <c r="G68" s="136">
        <v>1698.08</v>
      </c>
      <c r="H68" s="51">
        <v>3078.9</v>
      </c>
      <c r="I68" s="51">
        <v>858.01</v>
      </c>
      <c r="J68" s="139">
        <v>-5634.99</v>
      </c>
      <c r="K68" s="222"/>
      <c r="L68" s="209"/>
      <c r="M68" s="209"/>
    </row>
    <row r="69" spans="1:13" ht="15" customHeight="1">
      <c r="A69" s="40"/>
      <c r="B69" s="138">
        <v>3</v>
      </c>
      <c r="C69" s="136">
        <v>248.93</v>
      </c>
      <c r="D69" s="51">
        <v>505.03</v>
      </c>
      <c r="E69" s="51">
        <v>142.12</v>
      </c>
      <c r="F69" s="139">
        <v>-896.08</v>
      </c>
      <c r="G69" s="136">
        <v>1698.08</v>
      </c>
      <c r="H69" s="51">
        <v>3078.9</v>
      </c>
      <c r="I69" s="51">
        <v>858.01</v>
      </c>
      <c r="J69" s="139">
        <v>-5634.99</v>
      </c>
      <c r="K69" s="222"/>
      <c r="L69" s="209"/>
      <c r="M69" s="209"/>
    </row>
    <row r="70" spans="1:13" ht="15" customHeight="1">
      <c r="A70" s="40"/>
      <c r="B70" s="138">
        <v>4</v>
      </c>
      <c r="C70" s="136">
        <v>248.93</v>
      </c>
      <c r="D70" s="51">
        <v>505.03</v>
      </c>
      <c r="E70" s="51">
        <v>142.12</v>
      </c>
      <c r="F70" s="139">
        <v>-896.08</v>
      </c>
      <c r="G70" s="136">
        <v>1698.08</v>
      </c>
      <c r="H70" s="51">
        <v>3078.9</v>
      </c>
      <c r="I70" s="51">
        <v>858.01</v>
      </c>
      <c r="J70" s="139">
        <v>-5634.99</v>
      </c>
      <c r="K70" s="222"/>
      <c r="L70" s="236">
        <f t="shared" ref="L70:L78" si="0">F70+J70</f>
        <v>-6531.07</v>
      </c>
      <c r="M70" s="209"/>
    </row>
    <row r="71" spans="1:13" ht="15" customHeight="1">
      <c r="A71" s="40"/>
      <c r="B71" s="138">
        <v>5</v>
      </c>
      <c r="C71" s="136">
        <v>248.93</v>
      </c>
      <c r="D71" s="51">
        <v>505.03</v>
      </c>
      <c r="E71" s="51">
        <v>142.12</v>
      </c>
      <c r="F71" s="139">
        <v>-896.08</v>
      </c>
      <c r="G71" s="136">
        <v>1698.08</v>
      </c>
      <c r="H71" s="51">
        <v>3078.9</v>
      </c>
      <c r="I71" s="51">
        <v>858.01</v>
      </c>
      <c r="J71" s="139">
        <v>-5634.99</v>
      </c>
      <c r="K71" s="222"/>
      <c r="L71" s="236">
        <f t="shared" si="0"/>
        <v>-6531.07</v>
      </c>
      <c r="M71" s="209"/>
    </row>
    <row r="72" spans="1:13" ht="15" customHeight="1">
      <c r="A72" s="40"/>
      <c r="B72" s="138">
        <v>6</v>
      </c>
      <c r="C72" s="136">
        <v>248.93</v>
      </c>
      <c r="D72" s="51">
        <v>505.03</v>
      </c>
      <c r="E72" s="51">
        <v>142.12</v>
      </c>
      <c r="F72" s="139">
        <v>-896.08</v>
      </c>
      <c r="G72" s="136">
        <v>1698.08</v>
      </c>
      <c r="H72" s="51">
        <v>3078.9</v>
      </c>
      <c r="I72" s="51">
        <v>858.01</v>
      </c>
      <c r="J72" s="139">
        <v>-5634.99</v>
      </c>
      <c r="K72" s="222"/>
      <c r="L72" s="236">
        <f t="shared" si="0"/>
        <v>-6531.07</v>
      </c>
      <c r="M72" s="209"/>
    </row>
    <row r="73" spans="1:13" ht="15" customHeight="1">
      <c r="A73" s="40"/>
      <c r="B73" s="138">
        <v>7</v>
      </c>
      <c r="C73" s="136">
        <v>248.93</v>
      </c>
      <c r="D73" s="51">
        <v>505.03</v>
      </c>
      <c r="E73" s="51">
        <v>142.12</v>
      </c>
      <c r="F73" s="139">
        <v>-896.08</v>
      </c>
      <c r="G73" s="136">
        <v>1698.08</v>
      </c>
      <c r="H73" s="51">
        <v>3078.9</v>
      </c>
      <c r="I73" s="51">
        <v>858.01</v>
      </c>
      <c r="J73" s="139">
        <v>-5634.99</v>
      </c>
      <c r="K73" s="222"/>
      <c r="L73" s="236">
        <f t="shared" si="0"/>
        <v>-6531.07</v>
      </c>
      <c r="M73" s="209"/>
    </row>
    <row r="74" spans="1:13" ht="15" customHeight="1">
      <c r="A74" s="40"/>
      <c r="B74" s="138">
        <v>8</v>
      </c>
      <c r="C74" s="136">
        <v>248.93</v>
      </c>
      <c r="D74" s="51">
        <v>505.03</v>
      </c>
      <c r="E74" s="51">
        <v>142.12</v>
      </c>
      <c r="F74" s="139">
        <v>-896.08</v>
      </c>
      <c r="G74" s="136">
        <v>1698.08</v>
      </c>
      <c r="H74" s="51">
        <v>3078.9</v>
      </c>
      <c r="I74" s="51">
        <v>858.01</v>
      </c>
      <c r="J74" s="139">
        <v>-5634.99</v>
      </c>
      <c r="K74" s="222"/>
      <c r="L74" s="236">
        <f t="shared" si="0"/>
        <v>-6531.07</v>
      </c>
      <c r="M74" s="209"/>
    </row>
    <row r="75" spans="1:13" ht="15" customHeight="1">
      <c r="A75" s="40"/>
      <c r="B75" s="138">
        <v>9</v>
      </c>
      <c r="C75" s="136">
        <v>248.93</v>
      </c>
      <c r="D75" s="51">
        <v>505.03</v>
      </c>
      <c r="E75" s="51">
        <v>142.12</v>
      </c>
      <c r="F75" s="139">
        <v>-896.08</v>
      </c>
      <c r="G75" s="136">
        <v>1698.08</v>
      </c>
      <c r="H75" s="51">
        <v>3078.9</v>
      </c>
      <c r="I75" s="51">
        <v>858.01</v>
      </c>
      <c r="J75" s="139">
        <v>-5634.99</v>
      </c>
      <c r="K75" s="222"/>
      <c r="L75" s="236">
        <f t="shared" si="0"/>
        <v>-6531.07</v>
      </c>
      <c r="M75" s="209"/>
    </row>
    <row r="76" spans="1:13" ht="15" customHeight="1">
      <c r="A76" s="40"/>
      <c r="B76" s="138">
        <v>10</v>
      </c>
      <c r="C76" s="136">
        <v>248.93</v>
      </c>
      <c r="D76" s="51">
        <v>505.03</v>
      </c>
      <c r="E76" s="51">
        <v>142.12</v>
      </c>
      <c r="F76" s="139">
        <v>-896.08</v>
      </c>
      <c r="G76" s="136">
        <v>1698.08</v>
      </c>
      <c r="H76" s="51">
        <v>3078.9</v>
      </c>
      <c r="I76" s="51">
        <v>858.01</v>
      </c>
      <c r="J76" s="139">
        <v>-5634.99</v>
      </c>
      <c r="K76" s="222"/>
      <c r="L76" s="236">
        <f t="shared" si="0"/>
        <v>-6531.07</v>
      </c>
      <c r="M76" s="209"/>
    </row>
    <row r="77" spans="1:13" ht="15" customHeight="1">
      <c r="A77" s="40"/>
      <c r="B77" s="138">
        <v>11</v>
      </c>
      <c r="C77" s="136">
        <v>248.93</v>
      </c>
      <c r="D77" s="51">
        <v>505.03</v>
      </c>
      <c r="E77" s="51">
        <v>142.12</v>
      </c>
      <c r="F77" s="139">
        <v>-896.08</v>
      </c>
      <c r="G77" s="136">
        <v>1698.08</v>
      </c>
      <c r="H77" s="51">
        <v>3078.9</v>
      </c>
      <c r="I77" s="51">
        <v>858.01</v>
      </c>
      <c r="J77" s="139">
        <v>-5634.99</v>
      </c>
      <c r="K77" s="222"/>
      <c r="L77" s="236">
        <f t="shared" si="0"/>
        <v>-6531.07</v>
      </c>
      <c r="M77" s="209"/>
    </row>
    <row r="78" spans="1:13" ht="15" customHeight="1">
      <c r="A78" s="40"/>
      <c r="B78" s="138">
        <v>12</v>
      </c>
      <c r="C78" s="136">
        <v>248.93</v>
      </c>
      <c r="D78" s="51">
        <v>505.03</v>
      </c>
      <c r="E78" s="51">
        <v>142.12</v>
      </c>
      <c r="F78" s="135">
        <v>-896.08</v>
      </c>
      <c r="G78" s="136">
        <v>1698.08</v>
      </c>
      <c r="H78" s="51">
        <v>3078.9</v>
      </c>
      <c r="I78" s="51">
        <v>858.01</v>
      </c>
      <c r="J78" s="135">
        <v>-5634.99</v>
      </c>
      <c r="K78" s="222"/>
      <c r="L78" s="236">
        <f t="shared" si="0"/>
        <v>-6531.07</v>
      </c>
      <c r="M78" s="209"/>
    </row>
    <row r="79" spans="1:13" ht="15" customHeight="1" thickBot="1">
      <c r="A79" s="40" t="s">
        <v>427</v>
      </c>
      <c r="B79" s="134"/>
      <c r="C79" s="144"/>
      <c r="D79" s="143"/>
      <c r="E79" s="143"/>
      <c r="F79" s="146">
        <v>-10752.96</v>
      </c>
      <c r="G79" s="144"/>
      <c r="H79" s="143"/>
      <c r="I79" s="143"/>
      <c r="J79" s="142">
        <v>-67619.820000000007</v>
      </c>
      <c r="K79" s="241"/>
      <c r="L79" s="209"/>
      <c r="M79" s="226"/>
    </row>
    <row r="80" spans="1:13" ht="15" customHeight="1" thickTop="1">
      <c r="A80" s="141">
        <v>2023</v>
      </c>
      <c r="B80" s="138">
        <v>1</v>
      </c>
      <c r="C80" s="136">
        <v>144.54</v>
      </c>
      <c r="D80" s="51">
        <v>293.24</v>
      </c>
      <c r="E80" s="51">
        <v>82.52</v>
      </c>
      <c r="F80" s="140">
        <v>-520.29999999999995</v>
      </c>
      <c r="G80" s="136">
        <v>1698.08</v>
      </c>
      <c r="H80" s="51">
        <v>3078.9</v>
      </c>
      <c r="I80" s="51">
        <v>858.01</v>
      </c>
      <c r="J80" s="140">
        <v>-5634.99</v>
      </c>
      <c r="K80" s="222"/>
      <c r="L80" s="236">
        <f>F80+J80</f>
        <v>-6155.29</v>
      </c>
      <c r="M80" s="209"/>
    </row>
    <row r="81" spans="1:13" ht="15" customHeight="1">
      <c r="A81" s="40"/>
      <c r="B81" s="138">
        <v>2</v>
      </c>
      <c r="C81" s="136">
        <v>0</v>
      </c>
      <c r="D81" s="51">
        <v>0</v>
      </c>
      <c r="E81" s="51">
        <v>0</v>
      </c>
      <c r="F81" s="139">
        <v>0</v>
      </c>
      <c r="G81" s="136">
        <v>1698.08</v>
      </c>
      <c r="H81" s="51">
        <v>3078.9</v>
      </c>
      <c r="I81" s="51">
        <v>858.01</v>
      </c>
      <c r="J81" s="139">
        <v>-5634.99</v>
      </c>
      <c r="K81" s="222"/>
      <c r="L81" s="236">
        <f>F81+J81</f>
        <v>-5634.99</v>
      </c>
      <c r="M81" s="209"/>
    </row>
    <row r="82" spans="1:13" ht="15" customHeight="1">
      <c r="A82" s="40"/>
      <c r="B82" s="138">
        <v>3</v>
      </c>
      <c r="C82" s="136">
        <v>0</v>
      </c>
      <c r="D82" s="51">
        <v>0</v>
      </c>
      <c r="E82" s="51">
        <v>0</v>
      </c>
      <c r="F82" s="139">
        <v>0</v>
      </c>
      <c r="G82" s="136">
        <v>1698.08</v>
      </c>
      <c r="H82" s="51">
        <v>3078.9</v>
      </c>
      <c r="I82" s="51">
        <v>858.01</v>
      </c>
      <c r="J82" s="139">
        <v>-5634.99</v>
      </c>
      <c r="K82" s="222"/>
      <c r="L82" s="244">
        <f>F82+J82</f>
        <v>-5634.99</v>
      </c>
      <c r="M82" s="209"/>
    </row>
    <row r="83" spans="1:13" ht="15" customHeight="1" thickBot="1">
      <c r="A83" s="40"/>
      <c r="B83" s="138">
        <v>4</v>
      </c>
      <c r="C83" s="136">
        <v>0</v>
      </c>
      <c r="D83" s="51">
        <v>0</v>
      </c>
      <c r="E83" s="51">
        <v>0</v>
      </c>
      <c r="F83" s="139">
        <v>0</v>
      </c>
      <c r="G83" s="136">
        <v>1698.08</v>
      </c>
      <c r="H83" s="51">
        <v>3078.9</v>
      </c>
      <c r="I83" s="51">
        <v>858.01</v>
      </c>
      <c r="J83" s="139">
        <v>-5634.99</v>
      </c>
      <c r="K83" s="222"/>
      <c r="L83" s="245">
        <f>SUM(L70:L82)</f>
        <v>-76204.900000000009</v>
      </c>
      <c r="M83" s="209" t="s">
        <v>426</v>
      </c>
    </row>
    <row r="84" spans="1:13" ht="15" customHeight="1" thickTop="1">
      <c r="A84" s="40"/>
      <c r="B84" s="138">
        <v>5</v>
      </c>
      <c r="C84" s="136">
        <v>0</v>
      </c>
      <c r="D84" s="51">
        <v>0</v>
      </c>
      <c r="E84" s="51">
        <v>0</v>
      </c>
      <c r="F84" s="139">
        <v>0</v>
      </c>
      <c r="G84" s="136">
        <v>1698.08</v>
      </c>
      <c r="H84" s="51">
        <v>3078.9</v>
      </c>
      <c r="I84" s="51">
        <v>858.01</v>
      </c>
      <c r="J84" s="139">
        <v>-5634.99</v>
      </c>
      <c r="K84" s="222"/>
      <c r="L84" s="228"/>
      <c r="M84" s="208"/>
    </row>
    <row r="85" spans="1:13" ht="15" customHeight="1">
      <c r="A85" s="40"/>
      <c r="B85" s="138">
        <v>6</v>
      </c>
      <c r="C85" s="136">
        <v>0</v>
      </c>
      <c r="D85" s="51">
        <v>0</v>
      </c>
      <c r="E85" s="51">
        <v>0</v>
      </c>
      <c r="F85" s="139">
        <v>0</v>
      </c>
      <c r="G85" s="136">
        <v>1698.08</v>
      </c>
      <c r="H85" s="51">
        <v>3078.9</v>
      </c>
      <c r="I85" s="51">
        <v>858.01</v>
      </c>
      <c r="J85" s="139">
        <v>-5634.99</v>
      </c>
      <c r="K85" s="222"/>
      <c r="L85" s="209"/>
      <c r="M85" s="208"/>
    </row>
    <row r="86" spans="1:13" ht="15" customHeight="1">
      <c r="A86" s="40"/>
      <c r="B86" s="138">
        <v>7</v>
      </c>
      <c r="C86" s="136">
        <v>0</v>
      </c>
      <c r="D86" s="51">
        <v>0</v>
      </c>
      <c r="E86" s="51">
        <v>0</v>
      </c>
      <c r="F86" s="139">
        <v>0</v>
      </c>
      <c r="G86" s="136">
        <v>1698.08</v>
      </c>
      <c r="H86" s="51">
        <v>3078.9</v>
      </c>
      <c r="I86" s="51">
        <v>858.01</v>
      </c>
      <c r="J86" s="139">
        <v>-5634.99</v>
      </c>
      <c r="K86" s="222"/>
      <c r="L86" s="209"/>
      <c r="M86" s="208"/>
    </row>
    <row r="87" spans="1:13" ht="15" customHeight="1">
      <c r="A87" s="40"/>
      <c r="B87" s="138">
        <v>8</v>
      </c>
      <c r="C87" s="136">
        <v>0</v>
      </c>
      <c r="D87" s="51">
        <v>0</v>
      </c>
      <c r="E87" s="51">
        <v>0</v>
      </c>
      <c r="F87" s="139">
        <v>0</v>
      </c>
      <c r="G87" s="136">
        <v>1698.08</v>
      </c>
      <c r="H87" s="51">
        <v>3078.9</v>
      </c>
      <c r="I87" s="51">
        <v>858.01</v>
      </c>
      <c r="J87" s="139">
        <v>-5634.99</v>
      </c>
      <c r="K87" s="222"/>
      <c r="L87" s="209"/>
      <c r="M87" s="208"/>
    </row>
    <row r="88" spans="1:13" ht="15" customHeight="1">
      <c r="A88" s="40"/>
      <c r="B88" s="138">
        <v>9</v>
      </c>
      <c r="C88" s="136">
        <v>0</v>
      </c>
      <c r="D88" s="51">
        <v>0</v>
      </c>
      <c r="E88" s="51">
        <v>0</v>
      </c>
      <c r="F88" s="139">
        <v>0</v>
      </c>
      <c r="G88" s="136">
        <v>1698.08</v>
      </c>
      <c r="H88" s="51">
        <v>3078.9</v>
      </c>
      <c r="I88" s="51">
        <v>858.01</v>
      </c>
      <c r="J88" s="139">
        <v>-5634.99</v>
      </c>
      <c r="K88" s="222"/>
      <c r="L88" s="209"/>
      <c r="M88" s="208"/>
    </row>
    <row r="89" spans="1:13" ht="15" customHeight="1">
      <c r="A89" s="40"/>
      <c r="B89" s="138">
        <v>10</v>
      </c>
      <c r="C89" s="136">
        <v>0</v>
      </c>
      <c r="D89" s="51">
        <v>0</v>
      </c>
      <c r="E89" s="51">
        <v>0</v>
      </c>
      <c r="F89" s="139">
        <v>0</v>
      </c>
      <c r="G89" s="136">
        <v>1698.08</v>
      </c>
      <c r="H89" s="51">
        <v>3078.9</v>
      </c>
      <c r="I89" s="51">
        <v>858.01</v>
      </c>
      <c r="J89" s="139">
        <v>-5634.99</v>
      </c>
      <c r="K89" s="222"/>
      <c r="L89" s="209"/>
      <c r="M89" s="208"/>
    </row>
    <row r="90" spans="1:13" ht="15" customHeight="1">
      <c r="A90" s="40"/>
      <c r="B90" s="138">
        <v>11</v>
      </c>
      <c r="C90" s="136">
        <v>0</v>
      </c>
      <c r="D90" s="51">
        <v>0</v>
      </c>
      <c r="E90" s="51">
        <v>0</v>
      </c>
      <c r="F90" s="139">
        <v>0</v>
      </c>
      <c r="G90" s="136">
        <v>1698.08</v>
      </c>
      <c r="H90" s="51">
        <v>3078.9</v>
      </c>
      <c r="I90" s="51">
        <v>858.01</v>
      </c>
      <c r="J90" s="139">
        <v>-5634.99</v>
      </c>
      <c r="K90" s="222"/>
      <c r="L90" s="209"/>
      <c r="M90" s="208"/>
    </row>
    <row r="91" spans="1:13" ht="15" customHeight="1">
      <c r="A91" s="40"/>
      <c r="B91" s="138">
        <v>12</v>
      </c>
      <c r="C91" s="136">
        <v>0</v>
      </c>
      <c r="D91" s="51">
        <v>0</v>
      </c>
      <c r="E91" s="51">
        <v>0</v>
      </c>
      <c r="F91" s="135">
        <v>0</v>
      </c>
      <c r="G91" s="136">
        <v>1698.08</v>
      </c>
      <c r="H91" s="51">
        <v>3078.9</v>
      </c>
      <c r="I91" s="51">
        <v>858.01</v>
      </c>
      <c r="J91" s="135">
        <v>-5634.99</v>
      </c>
      <c r="K91" s="222"/>
      <c r="L91" s="209"/>
      <c r="M91" s="208"/>
    </row>
    <row r="92" spans="1:13" ht="15" customHeight="1" thickBot="1">
      <c r="A92" s="40" t="s">
        <v>425</v>
      </c>
      <c r="B92" s="134"/>
      <c r="C92" s="144"/>
      <c r="D92" s="143"/>
      <c r="E92" s="143"/>
      <c r="F92" s="146">
        <v>-520.29999999999995</v>
      </c>
      <c r="G92" s="144"/>
      <c r="H92" s="143"/>
      <c r="I92" s="143"/>
      <c r="J92" s="142">
        <v>-67619.820000000007</v>
      </c>
      <c r="K92" s="241"/>
      <c r="L92" s="236">
        <f>J92+W24_PG_3_of_4!J91+W24_PG_4_of_4!J93</f>
        <v>-88867.98000000001</v>
      </c>
      <c r="M92" s="209" t="s">
        <v>424</v>
      </c>
    </row>
    <row r="93" spans="1:13" ht="15" customHeight="1" thickTop="1">
      <c r="A93" s="141">
        <v>2024</v>
      </c>
      <c r="B93" s="138">
        <v>1</v>
      </c>
      <c r="C93" s="59"/>
      <c r="D93" s="54"/>
      <c r="E93" s="54"/>
      <c r="F93" s="145"/>
      <c r="G93" s="136">
        <v>1698.08</v>
      </c>
      <c r="H93" s="51">
        <v>3078.9</v>
      </c>
      <c r="I93" s="51">
        <v>858.01</v>
      </c>
      <c r="J93" s="140">
        <v>-5634.99</v>
      </c>
      <c r="K93" s="222"/>
      <c r="L93" s="209"/>
      <c r="M93" s="208"/>
    </row>
    <row r="94" spans="1:13" ht="15" customHeight="1">
      <c r="A94" s="40"/>
      <c r="B94" s="138">
        <v>2</v>
      </c>
      <c r="C94" s="59"/>
      <c r="D94" s="54"/>
      <c r="E94" s="54"/>
      <c r="F94" s="137"/>
      <c r="G94" s="136">
        <v>1698.08</v>
      </c>
      <c r="H94" s="51">
        <v>3078.9</v>
      </c>
      <c r="I94" s="51">
        <v>858.01</v>
      </c>
      <c r="J94" s="139">
        <v>-5634.99</v>
      </c>
      <c r="K94" s="222"/>
      <c r="L94" s="209"/>
      <c r="M94" s="209"/>
    </row>
    <row r="95" spans="1:13" ht="15" customHeight="1">
      <c r="A95" s="40"/>
      <c r="B95" s="138">
        <v>3</v>
      </c>
      <c r="C95" s="59"/>
      <c r="D95" s="54"/>
      <c r="E95" s="54"/>
      <c r="F95" s="137"/>
      <c r="G95" s="136">
        <v>1698.08</v>
      </c>
      <c r="H95" s="51">
        <v>3078.9</v>
      </c>
      <c r="I95" s="51">
        <v>858.01</v>
      </c>
      <c r="J95" s="139">
        <v>-5634.99</v>
      </c>
      <c r="K95" s="222"/>
      <c r="L95" s="209"/>
      <c r="M95" s="209"/>
    </row>
    <row r="96" spans="1:13" ht="15" customHeight="1">
      <c r="A96" s="40"/>
      <c r="B96" s="138">
        <v>4</v>
      </c>
      <c r="C96" s="59"/>
      <c r="D96" s="54"/>
      <c r="E96" s="54"/>
      <c r="F96" s="137"/>
      <c r="G96" s="136">
        <v>1698.08</v>
      </c>
      <c r="H96" s="51">
        <v>3078.9</v>
      </c>
      <c r="I96" s="51">
        <v>858.01</v>
      </c>
      <c r="J96" s="139">
        <v>-5634.99</v>
      </c>
      <c r="K96" s="222"/>
      <c r="L96" s="209"/>
      <c r="M96" s="209"/>
    </row>
    <row r="97" spans="1:13" ht="15" customHeight="1">
      <c r="A97" s="40"/>
      <c r="B97" s="138">
        <v>5</v>
      </c>
      <c r="C97" s="59"/>
      <c r="D97" s="54"/>
      <c r="E97" s="54"/>
      <c r="F97" s="137"/>
      <c r="G97" s="136">
        <v>1698.08</v>
      </c>
      <c r="H97" s="51">
        <v>3078.9</v>
      </c>
      <c r="I97" s="51">
        <v>858.01</v>
      </c>
      <c r="J97" s="139">
        <v>-5634.99</v>
      </c>
      <c r="K97" s="222"/>
      <c r="L97" s="209"/>
      <c r="M97" s="209"/>
    </row>
    <row r="98" spans="1:13" ht="15" customHeight="1">
      <c r="A98" s="40"/>
      <c r="B98" s="138">
        <v>6</v>
      </c>
      <c r="C98" s="59"/>
      <c r="D98" s="54"/>
      <c r="E98" s="54"/>
      <c r="F98" s="137"/>
      <c r="G98" s="136">
        <v>1698.08</v>
      </c>
      <c r="H98" s="51">
        <v>3078.9</v>
      </c>
      <c r="I98" s="51">
        <v>858.01</v>
      </c>
      <c r="J98" s="139">
        <v>-5634.99</v>
      </c>
      <c r="K98" s="222"/>
      <c r="L98" s="209"/>
      <c r="M98" s="209"/>
    </row>
    <row r="99" spans="1:13" ht="15" customHeight="1">
      <c r="A99" s="40"/>
      <c r="B99" s="138">
        <v>7</v>
      </c>
      <c r="C99" s="59"/>
      <c r="D99" s="54"/>
      <c r="E99" s="54"/>
      <c r="F99" s="137"/>
      <c r="G99" s="136">
        <v>1698.08</v>
      </c>
      <c r="H99" s="51">
        <v>3078.9</v>
      </c>
      <c r="I99" s="51">
        <v>858.01</v>
      </c>
      <c r="J99" s="139">
        <v>-5634.99</v>
      </c>
      <c r="K99" s="222"/>
      <c r="L99" s="209"/>
      <c r="M99" s="209"/>
    </row>
    <row r="100" spans="1:13" ht="15" customHeight="1">
      <c r="A100" s="40"/>
      <c r="B100" s="138">
        <v>8</v>
      </c>
      <c r="C100" s="59"/>
      <c r="D100" s="54"/>
      <c r="E100" s="54"/>
      <c r="F100" s="137"/>
      <c r="G100" s="136">
        <v>1698.08</v>
      </c>
      <c r="H100" s="51">
        <v>3078.9</v>
      </c>
      <c r="I100" s="51">
        <v>858.01</v>
      </c>
      <c r="J100" s="139">
        <v>-5634.99</v>
      </c>
      <c r="K100" s="222"/>
      <c r="L100" s="209"/>
      <c r="M100" s="209"/>
    </row>
    <row r="101" spans="1:13" ht="15" customHeight="1">
      <c r="A101" s="40"/>
      <c r="B101" s="138">
        <v>9</v>
      </c>
      <c r="C101" s="59"/>
      <c r="D101" s="54"/>
      <c r="E101" s="54"/>
      <c r="F101" s="137"/>
      <c r="G101" s="136">
        <v>1698.08</v>
      </c>
      <c r="H101" s="51">
        <v>3078.9</v>
      </c>
      <c r="I101" s="51">
        <v>858.01</v>
      </c>
      <c r="J101" s="139">
        <v>-5634.99</v>
      </c>
      <c r="K101" s="222"/>
      <c r="L101" s="209"/>
      <c r="M101" s="209"/>
    </row>
    <row r="102" spans="1:13" ht="15" customHeight="1">
      <c r="A102" s="40"/>
      <c r="B102" s="138">
        <v>10</v>
      </c>
      <c r="C102" s="59"/>
      <c r="D102" s="54"/>
      <c r="E102" s="54"/>
      <c r="F102" s="137"/>
      <c r="G102" s="136">
        <v>1698.08</v>
      </c>
      <c r="H102" s="51">
        <v>3078.9</v>
      </c>
      <c r="I102" s="51">
        <v>858.01</v>
      </c>
      <c r="J102" s="139">
        <v>-5634.99</v>
      </c>
      <c r="K102" s="222"/>
      <c r="L102" s="209"/>
      <c r="M102" s="209"/>
    </row>
    <row r="103" spans="1:13" ht="15" customHeight="1">
      <c r="A103" s="40"/>
      <c r="B103" s="138">
        <v>11</v>
      </c>
      <c r="C103" s="59"/>
      <c r="D103" s="54"/>
      <c r="E103" s="54"/>
      <c r="F103" s="137"/>
      <c r="G103" s="136">
        <v>1698.08</v>
      </c>
      <c r="H103" s="51">
        <v>3078.9</v>
      </c>
      <c r="I103" s="51">
        <v>858.01</v>
      </c>
      <c r="J103" s="139">
        <v>-5634.99</v>
      </c>
      <c r="K103" s="222"/>
      <c r="L103" s="209"/>
      <c r="M103" s="209"/>
    </row>
    <row r="104" spans="1:13" ht="15" customHeight="1">
      <c r="A104" s="40"/>
      <c r="B104" s="138">
        <v>12</v>
      </c>
      <c r="C104" s="59"/>
      <c r="D104" s="54"/>
      <c r="E104" s="54"/>
      <c r="F104" s="137"/>
      <c r="G104" s="136">
        <v>1698.08</v>
      </c>
      <c r="H104" s="51">
        <v>3078.9</v>
      </c>
      <c r="I104" s="51">
        <v>858.01</v>
      </c>
      <c r="J104" s="135">
        <v>-5634.99</v>
      </c>
      <c r="K104" s="222"/>
      <c r="L104" s="209"/>
      <c r="M104" s="209"/>
    </row>
    <row r="105" spans="1:13" ht="15" customHeight="1" thickBot="1">
      <c r="A105" s="40" t="s">
        <v>423</v>
      </c>
      <c r="B105" s="134"/>
      <c r="C105" s="59"/>
      <c r="D105" s="54"/>
      <c r="E105" s="54"/>
      <c r="F105" s="137"/>
      <c r="G105" s="144"/>
      <c r="H105" s="143"/>
      <c r="I105" s="143"/>
      <c r="J105" s="142">
        <v>-67619.820000000007</v>
      </c>
      <c r="K105" s="241"/>
      <c r="L105" s="226"/>
      <c r="M105" s="226"/>
    </row>
    <row r="106" spans="1:13" ht="15" customHeight="1" thickTop="1">
      <c r="A106" s="141">
        <v>2025</v>
      </c>
      <c r="B106" s="138">
        <v>1</v>
      </c>
      <c r="C106" s="59"/>
      <c r="D106" s="54"/>
      <c r="E106" s="54"/>
      <c r="F106" s="137"/>
      <c r="G106" s="136">
        <v>1698.08</v>
      </c>
      <c r="H106" s="51">
        <v>3078.9</v>
      </c>
      <c r="I106" s="51">
        <v>858.01</v>
      </c>
      <c r="J106" s="140">
        <v>-5634.99</v>
      </c>
      <c r="K106" s="222"/>
      <c r="L106" s="209"/>
      <c r="M106" s="209"/>
    </row>
    <row r="107" spans="1:13" ht="15" customHeight="1">
      <c r="A107" s="40"/>
      <c r="B107" s="138">
        <v>2</v>
      </c>
      <c r="C107" s="59"/>
      <c r="D107" s="54"/>
      <c r="E107" s="54"/>
      <c r="F107" s="137"/>
      <c r="G107" s="136">
        <v>1698.08</v>
      </c>
      <c r="H107" s="51">
        <v>3078.9</v>
      </c>
      <c r="I107" s="51">
        <v>858.01</v>
      </c>
      <c r="J107" s="139">
        <v>-5634.99</v>
      </c>
      <c r="K107" s="222"/>
      <c r="L107" s="209"/>
      <c r="M107" s="209"/>
    </row>
    <row r="108" spans="1:13" ht="15" customHeight="1">
      <c r="A108" s="40"/>
      <c r="B108" s="138">
        <v>3</v>
      </c>
      <c r="C108" s="59"/>
      <c r="D108" s="54"/>
      <c r="E108" s="54"/>
      <c r="F108" s="137"/>
      <c r="G108" s="136">
        <v>1698.08</v>
      </c>
      <c r="H108" s="51">
        <v>3078.9</v>
      </c>
      <c r="I108" s="51">
        <v>858.01</v>
      </c>
      <c r="J108" s="139">
        <v>-5634.99</v>
      </c>
      <c r="K108" s="222"/>
      <c r="L108" s="209"/>
      <c r="M108" s="209"/>
    </row>
    <row r="109" spans="1:13" ht="15" customHeight="1">
      <c r="A109" s="40"/>
      <c r="B109" s="138">
        <v>4</v>
      </c>
      <c r="C109" s="59"/>
      <c r="D109" s="54"/>
      <c r="E109" s="54"/>
      <c r="F109" s="137"/>
      <c r="G109" s="136">
        <v>1698.08</v>
      </c>
      <c r="H109" s="51">
        <v>3078.9</v>
      </c>
      <c r="I109" s="51">
        <v>858.01</v>
      </c>
      <c r="J109" s="139">
        <v>-5634.99</v>
      </c>
      <c r="K109" s="222"/>
      <c r="L109" s="209"/>
      <c r="M109" s="209"/>
    </row>
    <row r="110" spans="1:13" ht="15" customHeight="1">
      <c r="A110" s="40"/>
      <c r="B110" s="138">
        <v>5</v>
      </c>
      <c r="C110" s="59"/>
      <c r="D110" s="54"/>
      <c r="E110" s="54"/>
      <c r="F110" s="137"/>
      <c r="G110" s="136">
        <v>1698.08</v>
      </c>
      <c r="H110" s="51">
        <v>3078.9</v>
      </c>
      <c r="I110" s="51">
        <v>858.01</v>
      </c>
      <c r="J110" s="139">
        <v>-5634.99</v>
      </c>
      <c r="K110" s="222"/>
      <c r="L110" s="209"/>
      <c r="M110" s="209"/>
    </row>
    <row r="111" spans="1:13" ht="15" customHeight="1">
      <c r="A111" s="40"/>
      <c r="B111" s="138">
        <v>6</v>
      </c>
      <c r="C111" s="59"/>
      <c r="D111" s="54"/>
      <c r="E111" s="54"/>
      <c r="F111" s="137"/>
      <c r="G111" s="136">
        <v>1698.08</v>
      </c>
      <c r="H111" s="51">
        <v>3078.9</v>
      </c>
      <c r="I111" s="51">
        <v>858.01</v>
      </c>
      <c r="J111" s="139">
        <v>-5634.99</v>
      </c>
      <c r="K111" s="222"/>
      <c r="L111" s="209"/>
      <c r="M111" s="209"/>
    </row>
    <row r="112" spans="1:13" ht="15" customHeight="1">
      <c r="A112" s="40"/>
      <c r="B112" s="138">
        <v>7</v>
      </c>
      <c r="C112" s="59"/>
      <c r="D112" s="54"/>
      <c r="E112" s="54"/>
      <c r="F112" s="137"/>
      <c r="G112" s="136">
        <v>1698.08</v>
      </c>
      <c r="H112" s="51">
        <v>3078.9</v>
      </c>
      <c r="I112" s="51">
        <v>858.01</v>
      </c>
      <c r="J112" s="139">
        <v>-5634.99</v>
      </c>
      <c r="K112" s="222"/>
      <c r="L112" s="209"/>
      <c r="M112" s="209"/>
    </row>
    <row r="113" spans="1:13" ht="15" customHeight="1">
      <c r="A113" s="40"/>
      <c r="B113" s="138">
        <v>8</v>
      </c>
      <c r="C113" s="59"/>
      <c r="D113" s="54"/>
      <c r="E113" s="54"/>
      <c r="F113" s="137"/>
      <c r="G113" s="136">
        <v>1698.08</v>
      </c>
      <c r="H113" s="51">
        <v>3078.9</v>
      </c>
      <c r="I113" s="51">
        <v>858.01</v>
      </c>
      <c r="J113" s="139">
        <v>-5634.99</v>
      </c>
      <c r="K113" s="222"/>
      <c r="L113" s="209"/>
      <c r="M113" s="209"/>
    </row>
    <row r="114" spans="1:13" ht="15" customHeight="1">
      <c r="A114" s="40"/>
      <c r="B114" s="138">
        <v>9</v>
      </c>
      <c r="C114" s="59"/>
      <c r="D114" s="54"/>
      <c r="E114" s="54"/>
      <c r="F114" s="137"/>
      <c r="G114" s="136">
        <v>1698.08</v>
      </c>
      <c r="H114" s="51">
        <v>3078.9</v>
      </c>
      <c r="I114" s="51">
        <v>858.01</v>
      </c>
      <c r="J114" s="139">
        <v>-5634.99</v>
      </c>
      <c r="K114" s="222"/>
      <c r="L114" s="209"/>
      <c r="M114" s="209"/>
    </row>
    <row r="115" spans="1:13" ht="15" customHeight="1">
      <c r="A115" s="40"/>
      <c r="B115" s="138">
        <v>10</v>
      </c>
      <c r="C115" s="59"/>
      <c r="D115" s="54"/>
      <c r="E115" s="54"/>
      <c r="F115" s="137"/>
      <c r="G115" s="136">
        <v>1698.08</v>
      </c>
      <c r="H115" s="51">
        <v>3078.9</v>
      </c>
      <c r="I115" s="51">
        <v>858.01</v>
      </c>
      <c r="J115" s="139">
        <v>-5634.99</v>
      </c>
      <c r="K115" s="222"/>
      <c r="L115" s="209"/>
      <c r="M115" s="209"/>
    </row>
    <row r="116" spans="1:13" ht="15" customHeight="1">
      <c r="A116" s="40"/>
      <c r="B116" s="138">
        <v>11</v>
      </c>
      <c r="C116" s="59"/>
      <c r="D116" s="54"/>
      <c r="E116" s="54"/>
      <c r="F116" s="137"/>
      <c r="G116" s="136">
        <v>1698.08</v>
      </c>
      <c r="H116" s="51">
        <v>3078.9</v>
      </c>
      <c r="I116" s="51">
        <v>858.01</v>
      </c>
      <c r="J116" s="139">
        <v>-5634.99</v>
      </c>
      <c r="K116" s="222"/>
      <c r="L116" s="209"/>
      <c r="M116" s="209"/>
    </row>
    <row r="117" spans="1:13" ht="15" customHeight="1">
      <c r="A117" s="40"/>
      <c r="B117" s="138">
        <v>12</v>
      </c>
      <c r="C117" s="59"/>
      <c r="D117" s="54"/>
      <c r="E117" s="54"/>
      <c r="F117" s="137"/>
      <c r="G117" s="136">
        <v>1698.08</v>
      </c>
      <c r="H117" s="51">
        <v>3078.9</v>
      </c>
      <c r="I117" s="51">
        <v>858.01</v>
      </c>
      <c r="J117" s="135">
        <v>-5634.99</v>
      </c>
      <c r="K117" s="222"/>
      <c r="L117" s="209"/>
      <c r="M117" s="209"/>
    </row>
    <row r="118" spans="1:13" ht="15" customHeight="1" thickBot="1">
      <c r="A118" s="40" t="s">
        <v>422</v>
      </c>
      <c r="B118" s="134"/>
      <c r="C118" s="59"/>
      <c r="D118" s="54"/>
      <c r="E118" s="54"/>
      <c r="F118" s="137"/>
      <c r="G118" s="144"/>
      <c r="H118" s="143"/>
      <c r="I118" s="143"/>
      <c r="J118" s="142">
        <v>-67619.820000000007</v>
      </c>
      <c r="K118" s="241"/>
      <c r="L118" s="226"/>
      <c r="M118" s="226"/>
    </row>
    <row r="119" spans="1:13" ht="15" customHeight="1" thickTop="1">
      <c r="A119" s="141">
        <v>2026</v>
      </c>
      <c r="B119" s="138">
        <v>1</v>
      </c>
      <c r="C119" s="59"/>
      <c r="D119" s="54"/>
      <c r="E119" s="54"/>
      <c r="F119" s="137"/>
      <c r="G119" s="136">
        <v>985.98</v>
      </c>
      <c r="H119" s="51">
        <v>1787.75</v>
      </c>
      <c r="I119" s="51">
        <v>498.2</v>
      </c>
      <c r="J119" s="140">
        <v>-3271.93</v>
      </c>
      <c r="K119" s="222"/>
      <c r="L119" s="209"/>
      <c r="M119" s="209"/>
    </row>
    <row r="120" spans="1:13" ht="15" customHeight="1">
      <c r="A120" s="40"/>
      <c r="B120" s="138">
        <v>2</v>
      </c>
      <c r="C120" s="59"/>
      <c r="D120" s="54"/>
      <c r="E120" s="54"/>
      <c r="F120" s="137"/>
      <c r="G120" s="136">
        <v>0</v>
      </c>
      <c r="H120" s="51">
        <v>0</v>
      </c>
      <c r="I120" s="51">
        <v>0</v>
      </c>
      <c r="J120" s="139">
        <v>0</v>
      </c>
      <c r="K120" s="222"/>
      <c r="L120" s="209"/>
      <c r="M120" s="209"/>
    </row>
    <row r="121" spans="1:13" ht="15" customHeight="1">
      <c r="A121" s="40"/>
      <c r="B121" s="138">
        <v>3</v>
      </c>
      <c r="C121" s="59"/>
      <c r="D121" s="54"/>
      <c r="E121" s="54"/>
      <c r="F121" s="137"/>
      <c r="G121" s="136">
        <v>0</v>
      </c>
      <c r="H121" s="51">
        <v>0</v>
      </c>
      <c r="I121" s="51">
        <v>0</v>
      </c>
      <c r="J121" s="139">
        <v>0</v>
      </c>
      <c r="K121" s="222"/>
      <c r="L121" s="209"/>
      <c r="M121" s="209"/>
    </row>
    <row r="122" spans="1:13" ht="15" customHeight="1">
      <c r="A122" s="40"/>
      <c r="B122" s="138">
        <v>4</v>
      </c>
      <c r="C122" s="59"/>
      <c r="D122" s="54"/>
      <c r="E122" s="54"/>
      <c r="F122" s="137"/>
      <c r="G122" s="136">
        <v>0</v>
      </c>
      <c r="H122" s="51">
        <v>0</v>
      </c>
      <c r="I122" s="51">
        <v>0</v>
      </c>
      <c r="J122" s="139">
        <v>0</v>
      </c>
      <c r="K122" s="222"/>
      <c r="L122" s="209"/>
      <c r="M122" s="209"/>
    </row>
    <row r="123" spans="1:13" ht="15" customHeight="1">
      <c r="A123" s="40"/>
      <c r="B123" s="138">
        <v>5</v>
      </c>
      <c r="C123" s="59"/>
      <c r="D123" s="54"/>
      <c r="E123" s="54"/>
      <c r="F123" s="137"/>
      <c r="G123" s="136">
        <v>0</v>
      </c>
      <c r="H123" s="51">
        <v>0</v>
      </c>
      <c r="I123" s="51">
        <v>0</v>
      </c>
      <c r="J123" s="139">
        <v>0</v>
      </c>
      <c r="K123" s="222"/>
      <c r="L123" s="209"/>
      <c r="M123" s="209"/>
    </row>
    <row r="124" spans="1:13" ht="15" customHeight="1">
      <c r="A124" s="40"/>
      <c r="B124" s="138">
        <v>6</v>
      </c>
      <c r="C124" s="59"/>
      <c r="D124" s="54"/>
      <c r="E124" s="54"/>
      <c r="F124" s="137"/>
      <c r="G124" s="136">
        <v>0</v>
      </c>
      <c r="H124" s="51">
        <v>0</v>
      </c>
      <c r="I124" s="51">
        <v>0</v>
      </c>
      <c r="J124" s="139">
        <v>0</v>
      </c>
      <c r="K124" s="222"/>
      <c r="L124" s="209"/>
      <c r="M124" s="209"/>
    </row>
    <row r="125" spans="1:13" ht="15" customHeight="1">
      <c r="A125" s="40"/>
      <c r="B125" s="138">
        <v>7</v>
      </c>
      <c r="C125" s="59"/>
      <c r="D125" s="54"/>
      <c r="E125" s="54"/>
      <c r="F125" s="137"/>
      <c r="G125" s="136">
        <v>0</v>
      </c>
      <c r="H125" s="51">
        <v>0</v>
      </c>
      <c r="I125" s="51">
        <v>0</v>
      </c>
      <c r="J125" s="139">
        <v>0</v>
      </c>
      <c r="K125" s="222"/>
      <c r="L125" s="209"/>
      <c r="M125" s="209"/>
    </row>
    <row r="126" spans="1:13" ht="15" customHeight="1">
      <c r="A126" s="40"/>
      <c r="B126" s="138">
        <v>8</v>
      </c>
      <c r="C126" s="59"/>
      <c r="D126" s="54"/>
      <c r="E126" s="54"/>
      <c r="F126" s="137"/>
      <c r="G126" s="136">
        <v>0</v>
      </c>
      <c r="H126" s="51">
        <v>0</v>
      </c>
      <c r="I126" s="51">
        <v>0</v>
      </c>
      <c r="J126" s="139">
        <v>0</v>
      </c>
      <c r="K126" s="222"/>
      <c r="L126" s="209"/>
      <c r="M126" s="209"/>
    </row>
    <row r="127" spans="1:13" ht="15" customHeight="1">
      <c r="A127" s="40"/>
      <c r="B127" s="138">
        <v>9</v>
      </c>
      <c r="C127" s="59"/>
      <c r="D127" s="54"/>
      <c r="E127" s="54"/>
      <c r="F127" s="137"/>
      <c r="G127" s="136">
        <v>0</v>
      </c>
      <c r="H127" s="51">
        <v>0</v>
      </c>
      <c r="I127" s="51">
        <v>0</v>
      </c>
      <c r="J127" s="139">
        <v>0</v>
      </c>
      <c r="K127" s="222"/>
      <c r="L127" s="209"/>
      <c r="M127" s="209"/>
    </row>
    <row r="128" spans="1:13" ht="15" customHeight="1">
      <c r="A128" s="40"/>
      <c r="B128" s="138">
        <v>10</v>
      </c>
      <c r="C128" s="59"/>
      <c r="D128" s="54"/>
      <c r="E128" s="54"/>
      <c r="F128" s="137"/>
      <c r="G128" s="136">
        <v>0</v>
      </c>
      <c r="H128" s="51">
        <v>0</v>
      </c>
      <c r="I128" s="51">
        <v>0</v>
      </c>
      <c r="J128" s="139">
        <v>0</v>
      </c>
      <c r="K128" s="222"/>
      <c r="L128" s="209"/>
      <c r="M128" s="209"/>
    </row>
    <row r="129" spans="1:13" ht="15" customHeight="1">
      <c r="A129" s="40"/>
      <c r="B129" s="138">
        <v>11</v>
      </c>
      <c r="C129" s="59"/>
      <c r="D129" s="54"/>
      <c r="E129" s="54"/>
      <c r="F129" s="137"/>
      <c r="G129" s="136">
        <v>0</v>
      </c>
      <c r="H129" s="51">
        <v>0</v>
      </c>
      <c r="I129" s="51">
        <v>0</v>
      </c>
      <c r="J129" s="139">
        <v>0</v>
      </c>
      <c r="K129" s="222"/>
      <c r="L129" s="209"/>
      <c r="M129" s="209"/>
    </row>
    <row r="130" spans="1:13" ht="15" customHeight="1">
      <c r="A130" s="40"/>
      <c r="B130" s="138">
        <v>12</v>
      </c>
      <c r="C130" s="59"/>
      <c r="D130" s="54"/>
      <c r="E130" s="54"/>
      <c r="F130" s="137"/>
      <c r="G130" s="136">
        <v>0</v>
      </c>
      <c r="H130" s="51">
        <v>0</v>
      </c>
      <c r="I130" s="51">
        <v>0</v>
      </c>
      <c r="J130" s="135">
        <v>0</v>
      </c>
      <c r="K130" s="222"/>
      <c r="L130" s="209"/>
      <c r="M130" s="209"/>
    </row>
    <row r="131" spans="1:13" ht="15" customHeight="1">
      <c r="A131" s="40" t="s">
        <v>421</v>
      </c>
      <c r="B131" s="134"/>
      <c r="C131" s="109"/>
      <c r="D131" s="65"/>
      <c r="E131" s="65"/>
      <c r="F131" s="129"/>
      <c r="G131" s="133"/>
      <c r="H131" s="132"/>
      <c r="I131" s="132"/>
      <c r="J131" s="131">
        <v>-3271.93</v>
      </c>
      <c r="K131" s="241"/>
      <c r="L131" s="226"/>
      <c r="M131" s="226"/>
    </row>
    <row r="132" spans="1:13" ht="15" customHeight="1">
      <c r="A132" s="40"/>
      <c r="B132" s="40"/>
      <c r="C132" s="58"/>
      <c r="D132" s="58"/>
      <c r="E132" s="58"/>
      <c r="F132" s="48"/>
      <c r="G132" s="58"/>
      <c r="H132" s="58"/>
      <c r="I132" s="58"/>
      <c r="J132" s="48"/>
      <c r="K132" s="209"/>
      <c r="L132" s="209"/>
      <c r="M132" s="209"/>
    </row>
    <row r="133" spans="1:13" ht="15" customHeight="1" thickBot="1">
      <c r="A133" s="40"/>
      <c r="B133" s="40"/>
      <c r="C133" s="54"/>
      <c r="D133" s="54"/>
      <c r="E133" s="40" t="s">
        <v>158</v>
      </c>
      <c r="F133" s="130">
        <v>-53764.800000000003</v>
      </c>
      <c r="G133" s="40"/>
      <c r="H133" s="40"/>
      <c r="I133" s="40" t="s">
        <v>158</v>
      </c>
      <c r="J133" s="130">
        <v>-338099.12</v>
      </c>
      <c r="K133" s="226"/>
      <c r="L133" s="226"/>
      <c r="M133" s="226"/>
    </row>
    <row r="134" spans="1:13" ht="15" customHeight="1" thickTop="1">
      <c r="A134" s="40"/>
      <c r="B134" s="40"/>
      <c r="C134" s="54"/>
      <c r="D134" s="54"/>
      <c r="E134" s="54"/>
      <c r="F134" s="63"/>
      <c r="G134" s="54"/>
      <c r="H134" s="54"/>
      <c r="I134" s="54"/>
      <c r="J134" s="63"/>
      <c r="K134" s="209"/>
      <c r="L134" s="209"/>
      <c r="M134" s="209"/>
    </row>
    <row r="135" spans="1:13" ht="15" customHeight="1">
      <c r="A135" s="72" t="s">
        <v>2</v>
      </c>
      <c r="B135" s="54" t="s">
        <v>3</v>
      </c>
      <c r="C135" s="54"/>
      <c r="D135" s="54"/>
      <c r="E135" s="54"/>
      <c r="F135" s="54"/>
      <c r="G135" s="54"/>
      <c r="H135" s="54"/>
      <c r="I135" s="54"/>
      <c r="J135" s="54"/>
    </row>
    <row r="136" spans="1:13" ht="15" customHeight="1"/>
  </sheetData>
  <mergeCells count="10">
    <mergeCell ref="G12:J12"/>
    <mergeCell ref="G11:J11"/>
    <mergeCell ref="C12:F12"/>
    <mergeCell ref="C11:F11"/>
    <mergeCell ref="A1:D1"/>
    <mergeCell ref="A2:E2"/>
    <mergeCell ref="A4:C4"/>
    <mergeCell ref="A3:D3"/>
    <mergeCell ref="B8:J8"/>
    <mergeCell ref="B7:J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04B86-6E98-42DE-AFF5-E7B716C006EF}">
  <dimension ref="A1:M134"/>
  <sheetViews>
    <sheetView workbookViewId="0">
      <pane xSplit="2" ySplit="13" topLeftCell="C14" activePane="bottomRight" state="frozen"/>
      <selection sqref="A1:D1"/>
      <selection pane="topRight" sqref="A1:D1"/>
      <selection pane="bottomLeft" sqref="A1:D1"/>
      <selection pane="bottomRight" sqref="A1:D1"/>
    </sheetView>
  </sheetViews>
  <sheetFormatPr defaultColWidth="13.7265625" defaultRowHeight="12.5"/>
  <cols>
    <col min="1" max="12" width="13.7265625" style="41"/>
    <col min="13" max="13" width="21.1796875" style="41" customWidth="1"/>
    <col min="14" max="16384" width="13.7265625" style="41"/>
  </cols>
  <sheetData>
    <row r="1" spans="1:11" ht="15" customHeight="1">
      <c r="A1" s="711" t="s">
        <v>0</v>
      </c>
      <c r="B1" s="711"/>
      <c r="C1" s="711"/>
      <c r="D1" s="711"/>
      <c r="E1" s="54"/>
    </row>
    <row r="2" spans="1:11" ht="15" customHeight="1">
      <c r="A2" s="712" t="s">
        <v>420</v>
      </c>
      <c r="B2" s="712"/>
      <c r="C2" s="712"/>
      <c r="D2" s="712"/>
      <c r="E2" s="712"/>
    </row>
    <row r="3" spans="1:11" ht="15" customHeight="1">
      <c r="A3" s="712" t="s">
        <v>442</v>
      </c>
      <c r="B3" s="712"/>
      <c r="C3" s="712"/>
      <c r="D3" s="712"/>
      <c r="E3" s="54"/>
    </row>
    <row r="4" spans="1:11" ht="15" customHeight="1">
      <c r="A4" s="711" t="s">
        <v>352</v>
      </c>
      <c r="B4" s="711"/>
      <c r="C4" s="711"/>
      <c r="D4" s="54"/>
      <c r="E4" s="54"/>
    </row>
    <row r="5" spans="1:11" ht="15" customHeight="1"/>
    <row r="6" spans="1:11" ht="15" customHeight="1">
      <c r="A6" s="153" t="s">
        <v>296</v>
      </c>
      <c r="B6" s="765" t="s">
        <v>439</v>
      </c>
      <c r="C6" s="766"/>
      <c r="D6" s="766"/>
      <c r="E6" s="766"/>
      <c r="F6" s="766"/>
      <c r="G6" s="766"/>
      <c r="H6" s="766"/>
      <c r="I6" s="766"/>
      <c r="J6" s="767"/>
      <c r="K6" s="59"/>
    </row>
    <row r="7" spans="1:11" ht="27.65" customHeight="1">
      <c r="A7" s="158" t="s">
        <v>181</v>
      </c>
      <c r="B7" s="768" t="s">
        <v>438</v>
      </c>
      <c r="C7" s="769"/>
      <c r="D7" s="769"/>
      <c r="E7" s="769"/>
      <c r="F7" s="769"/>
      <c r="G7" s="769"/>
      <c r="H7" s="769"/>
      <c r="I7" s="769"/>
      <c r="J7" s="770"/>
      <c r="K7" s="59"/>
    </row>
    <row r="8" spans="1:11" ht="15" customHeight="1">
      <c r="A8" s="58"/>
      <c r="B8" s="58"/>
      <c r="C8" s="58"/>
      <c r="D8" s="58"/>
      <c r="E8" s="58"/>
      <c r="F8" s="58"/>
      <c r="G8" s="58"/>
      <c r="H8" s="58"/>
      <c r="I8" s="58"/>
      <c r="J8" s="58"/>
    </row>
    <row r="9" spans="1:11" ht="15" customHeight="1">
      <c r="A9" s="54"/>
      <c r="B9" s="54"/>
      <c r="C9" s="65"/>
      <c r="D9" s="65"/>
      <c r="E9" s="65"/>
      <c r="F9" s="65"/>
      <c r="G9" s="65"/>
      <c r="H9" s="65"/>
      <c r="I9" s="65"/>
      <c r="J9" s="65"/>
    </row>
    <row r="10" spans="1:11" ht="15" customHeight="1">
      <c r="A10" s="54"/>
      <c r="B10" s="137"/>
      <c r="C10" s="762" t="s">
        <v>437</v>
      </c>
      <c r="D10" s="762"/>
      <c r="E10" s="762"/>
      <c r="F10" s="762"/>
      <c r="G10" s="762" t="s">
        <v>437</v>
      </c>
      <c r="H10" s="762"/>
      <c r="I10" s="762"/>
      <c r="J10" s="762"/>
      <c r="K10" s="59"/>
    </row>
    <row r="11" spans="1:11" ht="15" customHeight="1">
      <c r="A11" s="65"/>
      <c r="B11" s="129"/>
      <c r="C11" s="762" t="s">
        <v>436</v>
      </c>
      <c r="D11" s="762"/>
      <c r="E11" s="762"/>
      <c r="F11" s="762"/>
      <c r="G11" s="762" t="s">
        <v>435</v>
      </c>
      <c r="H11" s="762"/>
      <c r="I11" s="762"/>
      <c r="J11" s="762"/>
      <c r="K11" s="59"/>
    </row>
    <row r="12" spans="1:11" ht="15" customHeight="1">
      <c r="A12" s="155" t="s">
        <v>434</v>
      </c>
      <c r="B12" s="155" t="s">
        <v>433</v>
      </c>
      <c r="C12" s="154">
        <v>1823536</v>
      </c>
      <c r="D12" s="154">
        <v>1823536</v>
      </c>
      <c r="E12" s="154">
        <v>1823536</v>
      </c>
      <c r="F12" s="154">
        <v>1823537</v>
      </c>
      <c r="G12" s="154">
        <v>1823536</v>
      </c>
      <c r="H12" s="154">
        <v>1823536</v>
      </c>
      <c r="I12" s="154">
        <v>1823536</v>
      </c>
      <c r="J12" s="154">
        <v>1823537</v>
      </c>
      <c r="K12" s="59"/>
    </row>
    <row r="13" spans="1:11" ht="15" customHeight="1">
      <c r="A13" s="155" t="s">
        <v>432</v>
      </c>
      <c r="B13" s="155"/>
      <c r="C13" s="154">
        <v>110</v>
      </c>
      <c r="D13" s="154">
        <v>117</v>
      </c>
      <c r="E13" s="154">
        <v>180</v>
      </c>
      <c r="F13" s="153" t="s">
        <v>158</v>
      </c>
      <c r="G13" s="154">
        <v>110</v>
      </c>
      <c r="H13" s="154">
        <v>117</v>
      </c>
      <c r="I13" s="154">
        <v>180</v>
      </c>
      <c r="J13" s="153" t="s">
        <v>158</v>
      </c>
      <c r="K13" s="59"/>
    </row>
    <row r="14" spans="1:11" ht="15" customHeight="1">
      <c r="A14" s="152">
        <v>2018</v>
      </c>
      <c r="B14" s="151">
        <v>1</v>
      </c>
      <c r="C14" s="150">
        <v>17.03</v>
      </c>
      <c r="D14" s="55">
        <v>34.54</v>
      </c>
      <c r="E14" s="55">
        <v>9.7200000000000006</v>
      </c>
      <c r="F14" s="149">
        <v>-61.29</v>
      </c>
      <c r="G14" s="148"/>
      <c r="H14" s="58"/>
      <c r="I14" s="58"/>
      <c r="J14" s="147"/>
      <c r="K14" s="59"/>
    </row>
    <row r="15" spans="1:11" ht="15" customHeight="1">
      <c r="A15" s="40"/>
      <c r="B15" s="138">
        <v>2</v>
      </c>
      <c r="C15" s="136">
        <v>40.6</v>
      </c>
      <c r="D15" s="51">
        <v>82.37</v>
      </c>
      <c r="E15" s="51">
        <v>23.18</v>
      </c>
      <c r="F15" s="139">
        <v>-146.15</v>
      </c>
      <c r="G15" s="59"/>
      <c r="H15" s="54"/>
      <c r="I15" s="54"/>
      <c r="J15" s="137"/>
      <c r="K15" s="59"/>
    </row>
    <row r="16" spans="1:11" ht="15" customHeight="1">
      <c r="A16" s="40"/>
      <c r="B16" s="138">
        <v>3</v>
      </c>
      <c r="C16" s="136">
        <v>40.6</v>
      </c>
      <c r="D16" s="51">
        <v>82.37</v>
      </c>
      <c r="E16" s="51">
        <v>23.18</v>
      </c>
      <c r="F16" s="139">
        <v>-146.15</v>
      </c>
      <c r="G16" s="59"/>
      <c r="H16" s="54"/>
      <c r="I16" s="54"/>
      <c r="J16" s="137"/>
      <c r="K16" s="59"/>
    </row>
    <row r="17" spans="1:11" ht="15" customHeight="1">
      <c r="A17" s="40"/>
      <c r="B17" s="138">
        <v>4</v>
      </c>
      <c r="C17" s="136">
        <v>40.6</v>
      </c>
      <c r="D17" s="51">
        <v>82.37</v>
      </c>
      <c r="E17" s="51">
        <v>23.18</v>
      </c>
      <c r="F17" s="139">
        <v>-146.15</v>
      </c>
      <c r="G17" s="59"/>
      <c r="H17" s="54"/>
      <c r="I17" s="54"/>
      <c r="J17" s="137"/>
      <c r="K17" s="59"/>
    </row>
    <row r="18" spans="1:11" ht="15" customHeight="1">
      <c r="A18" s="40"/>
      <c r="B18" s="138">
        <v>5</v>
      </c>
      <c r="C18" s="136">
        <v>40.6</v>
      </c>
      <c r="D18" s="51">
        <v>82.37</v>
      </c>
      <c r="E18" s="51">
        <v>23.18</v>
      </c>
      <c r="F18" s="139">
        <v>-146.15</v>
      </c>
      <c r="G18" s="59"/>
      <c r="H18" s="54"/>
      <c r="I18" s="54"/>
      <c r="J18" s="137"/>
      <c r="K18" s="59"/>
    </row>
    <row r="19" spans="1:11" ht="15" customHeight="1">
      <c r="A19" s="40"/>
      <c r="B19" s="138">
        <v>6</v>
      </c>
      <c r="C19" s="136">
        <v>40.6</v>
      </c>
      <c r="D19" s="51">
        <v>82.37</v>
      </c>
      <c r="E19" s="51">
        <v>23.18</v>
      </c>
      <c r="F19" s="139">
        <v>-146.15</v>
      </c>
      <c r="G19" s="59"/>
      <c r="H19" s="54"/>
      <c r="I19" s="54"/>
      <c r="J19" s="137"/>
      <c r="K19" s="59"/>
    </row>
    <row r="20" spans="1:11" ht="15" customHeight="1">
      <c r="A20" s="40"/>
      <c r="B20" s="138">
        <v>7</v>
      </c>
      <c r="C20" s="136">
        <v>40.6</v>
      </c>
      <c r="D20" s="51">
        <v>82.37</v>
      </c>
      <c r="E20" s="51">
        <v>23.18</v>
      </c>
      <c r="F20" s="139">
        <v>-146.15</v>
      </c>
      <c r="G20" s="59"/>
      <c r="H20" s="54"/>
      <c r="I20" s="54"/>
      <c r="J20" s="137"/>
      <c r="K20" s="59"/>
    </row>
    <row r="21" spans="1:11" ht="15" customHeight="1">
      <c r="A21" s="40"/>
      <c r="B21" s="138">
        <v>8</v>
      </c>
      <c r="C21" s="136">
        <v>40.6</v>
      </c>
      <c r="D21" s="51">
        <v>82.37</v>
      </c>
      <c r="E21" s="51">
        <v>23.18</v>
      </c>
      <c r="F21" s="139">
        <v>-146.15</v>
      </c>
      <c r="G21" s="59"/>
      <c r="H21" s="54"/>
      <c r="I21" s="54"/>
      <c r="J21" s="137"/>
      <c r="K21" s="59"/>
    </row>
    <row r="22" spans="1:11" ht="15" customHeight="1">
      <c r="A22" s="40"/>
      <c r="B22" s="138">
        <v>9</v>
      </c>
      <c r="C22" s="136">
        <v>40.6</v>
      </c>
      <c r="D22" s="51">
        <v>82.37</v>
      </c>
      <c r="E22" s="51">
        <v>23.18</v>
      </c>
      <c r="F22" s="139">
        <v>-146.15</v>
      </c>
      <c r="G22" s="59"/>
      <c r="H22" s="54"/>
      <c r="I22" s="54"/>
      <c r="J22" s="137"/>
      <c r="K22" s="59"/>
    </row>
    <row r="23" spans="1:11" ht="15" customHeight="1">
      <c r="A23" s="40"/>
      <c r="B23" s="138">
        <v>10</v>
      </c>
      <c r="C23" s="136">
        <v>40.6</v>
      </c>
      <c r="D23" s="51">
        <v>82.37</v>
      </c>
      <c r="E23" s="51">
        <v>23.18</v>
      </c>
      <c r="F23" s="139">
        <v>-146.15</v>
      </c>
      <c r="G23" s="59"/>
      <c r="H23" s="54"/>
      <c r="I23" s="54"/>
      <c r="J23" s="137"/>
      <c r="K23" s="59"/>
    </row>
    <row r="24" spans="1:11" ht="15" customHeight="1">
      <c r="A24" s="40"/>
      <c r="B24" s="138">
        <v>11</v>
      </c>
      <c r="C24" s="136">
        <v>40.6</v>
      </c>
      <c r="D24" s="51">
        <v>82.37</v>
      </c>
      <c r="E24" s="51">
        <v>23.18</v>
      </c>
      <c r="F24" s="139">
        <v>-146.15</v>
      </c>
      <c r="G24" s="59"/>
      <c r="H24" s="54"/>
      <c r="I24" s="54"/>
      <c r="J24" s="137"/>
      <c r="K24" s="59"/>
    </row>
    <row r="25" spans="1:11" ht="15" customHeight="1">
      <c r="A25" s="40"/>
      <c r="B25" s="138">
        <v>12</v>
      </c>
      <c r="C25" s="136">
        <v>40.6</v>
      </c>
      <c r="D25" s="51">
        <v>82.37</v>
      </c>
      <c r="E25" s="51">
        <v>23.18</v>
      </c>
      <c r="F25" s="135">
        <v>-146.15</v>
      </c>
      <c r="G25" s="59"/>
      <c r="H25" s="54"/>
      <c r="I25" s="54"/>
      <c r="J25" s="137"/>
      <c r="K25" s="59"/>
    </row>
    <row r="26" spans="1:11" ht="15" customHeight="1" thickBot="1">
      <c r="A26" s="40" t="s">
        <v>431</v>
      </c>
      <c r="B26" s="134"/>
      <c r="C26" s="144"/>
      <c r="D26" s="143"/>
      <c r="E26" s="143"/>
      <c r="F26" s="146">
        <v>-1668.94</v>
      </c>
      <c r="G26" s="59"/>
      <c r="H26" s="54"/>
      <c r="I26" s="54"/>
      <c r="J26" s="137"/>
      <c r="K26" s="59"/>
    </row>
    <row r="27" spans="1:11" ht="15" customHeight="1" thickTop="1">
      <c r="A27" s="141">
        <v>2019</v>
      </c>
      <c r="B27" s="138">
        <v>1</v>
      </c>
      <c r="C27" s="136">
        <v>40.6</v>
      </c>
      <c r="D27" s="51">
        <v>82.37</v>
      </c>
      <c r="E27" s="51">
        <v>23.18</v>
      </c>
      <c r="F27" s="140">
        <v>-146.15</v>
      </c>
      <c r="G27" s="59"/>
      <c r="H27" s="54"/>
      <c r="I27" s="54"/>
      <c r="J27" s="137"/>
      <c r="K27" s="59"/>
    </row>
    <row r="28" spans="1:11" ht="15" customHeight="1">
      <c r="A28" s="40"/>
      <c r="B28" s="138">
        <v>2</v>
      </c>
      <c r="C28" s="136">
        <v>40.6</v>
      </c>
      <c r="D28" s="51">
        <v>82.37</v>
      </c>
      <c r="E28" s="51">
        <v>23.18</v>
      </c>
      <c r="F28" s="139">
        <v>-146.15</v>
      </c>
      <c r="G28" s="59"/>
      <c r="H28" s="54"/>
      <c r="I28" s="54"/>
      <c r="J28" s="137"/>
      <c r="K28" s="59"/>
    </row>
    <row r="29" spans="1:11" ht="15" customHeight="1">
      <c r="A29" s="40"/>
      <c r="B29" s="138">
        <v>3</v>
      </c>
      <c r="C29" s="136">
        <v>40.6</v>
      </c>
      <c r="D29" s="51">
        <v>82.37</v>
      </c>
      <c r="E29" s="51">
        <v>23.18</v>
      </c>
      <c r="F29" s="139">
        <v>-146.15</v>
      </c>
      <c r="G29" s="59"/>
      <c r="H29" s="54"/>
      <c r="I29" s="54"/>
      <c r="J29" s="137"/>
      <c r="K29" s="59"/>
    </row>
    <row r="30" spans="1:11" ht="15" customHeight="1">
      <c r="A30" s="40"/>
      <c r="B30" s="138">
        <v>4</v>
      </c>
      <c r="C30" s="136">
        <v>40.6</v>
      </c>
      <c r="D30" s="51">
        <v>82.37</v>
      </c>
      <c r="E30" s="51">
        <v>23.18</v>
      </c>
      <c r="F30" s="139">
        <v>-146.15</v>
      </c>
      <c r="G30" s="59"/>
      <c r="H30" s="54"/>
      <c r="I30" s="54"/>
      <c r="J30" s="137"/>
      <c r="K30" s="59"/>
    </row>
    <row r="31" spans="1:11" ht="15" customHeight="1">
      <c r="A31" s="40"/>
      <c r="B31" s="138">
        <v>5</v>
      </c>
      <c r="C31" s="136">
        <v>40.6</v>
      </c>
      <c r="D31" s="51">
        <v>82.37</v>
      </c>
      <c r="E31" s="51">
        <v>23.18</v>
      </c>
      <c r="F31" s="139">
        <v>-146.15</v>
      </c>
      <c r="G31" s="59"/>
      <c r="H31" s="54"/>
      <c r="I31" s="54"/>
      <c r="J31" s="137"/>
      <c r="K31" s="59"/>
    </row>
    <row r="32" spans="1:11" ht="15" customHeight="1">
      <c r="A32" s="40"/>
      <c r="B32" s="138">
        <v>6</v>
      </c>
      <c r="C32" s="136">
        <v>40.6</v>
      </c>
      <c r="D32" s="51">
        <v>82.37</v>
      </c>
      <c r="E32" s="51">
        <v>23.18</v>
      </c>
      <c r="F32" s="139">
        <v>-146.15</v>
      </c>
      <c r="G32" s="59"/>
      <c r="H32" s="54"/>
      <c r="I32" s="54"/>
      <c r="J32" s="137"/>
      <c r="K32" s="59"/>
    </row>
    <row r="33" spans="1:11" ht="15" customHeight="1">
      <c r="A33" s="40"/>
      <c r="B33" s="138">
        <v>7</v>
      </c>
      <c r="C33" s="136">
        <v>40.6</v>
      </c>
      <c r="D33" s="51">
        <v>82.37</v>
      </c>
      <c r="E33" s="51">
        <v>23.18</v>
      </c>
      <c r="F33" s="139">
        <v>-146.15</v>
      </c>
      <c r="G33" s="59"/>
      <c r="H33" s="54"/>
      <c r="I33" s="54"/>
      <c r="J33" s="137"/>
      <c r="K33" s="59"/>
    </row>
    <row r="34" spans="1:11" ht="15" customHeight="1">
      <c r="A34" s="40"/>
      <c r="B34" s="138">
        <v>8</v>
      </c>
      <c r="C34" s="136">
        <v>40.6</v>
      </c>
      <c r="D34" s="51">
        <v>82.37</v>
      </c>
      <c r="E34" s="51">
        <v>23.18</v>
      </c>
      <c r="F34" s="139">
        <v>-146.15</v>
      </c>
      <c r="G34" s="59"/>
      <c r="H34" s="54"/>
      <c r="I34" s="54"/>
      <c r="J34" s="137"/>
      <c r="K34" s="59"/>
    </row>
    <row r="35" spans="1:11" ht="15" customHeight="1">
      <c r="A35" s="40"/>
      <c r="B35" s="138">
        <v>9</v>
      </c>
      <c r="C35" s="136">
        <v>40.6</v>
      </c>
      <c r="D35" s="51">
        <v>82.37</v>
      </c>
      <c r="E35" s="51">
        <v>23.18</v>
      </c>
      <c r="F35" s="139">
        <v>-146.15</v>
      </c>
      <c r="G35" s="59"/>
      <c r="H35" s="54"/>
      <c r="I35" s="54"/>
      <c r="J35" s="137"/>
      <c r="K35" s="59"/>
    </row>
    <row r="36" spans="1:11" ht="15" customHeight="1">
      <c r="A36" s="40"/>
      <c r="B36" s="138">
        <v>10</v>
      </c>
      <c r="C36" s="136">
        <v>40.6</v>
      </c>
      <c r="D36" s="51">
        <v>82.37</v>
      </c>
      <c r="E36" s="51">
        <v>23.18</v>
      </c>
      <c r="F36" s="139">
        <v>-146.15</v>
      </c>
      <c r="G36" s="59"/>
      <c r="H36" s="54"/>
      <c r="I36" s="54"/>
      <c r="J36" s="137"/>
      <c r="K36" s="59"/>
    </row>
    <row r="37" spans="1:11" ht="15" customHeight="1">
      <c r="A37" s="40"/>
      <c r="B37" s="138">
        <v>11</v>
      </c>
      <c r="C37" s="136">
        <v>40.6</v>
      </c>
      <c r="D37" s="51">
        <v>82.37</v>
      </c>
      <c r="E37" s="51">
        <v>23.18</v>
      </c>
      <c r="F37" s="139">
        <v>-146.15</v>
      </c>
      <c r="G37" s="59"/>
      <c r="H37" s="54"/>
      <c r="I37" s="54"/>
      <c r="J37" s="137"/>
      <c r="K37" s="59"/>
    </row>
    <row r="38" spans="1:11" ht="15" customHeight="1">
      <c r="A38" s="40"/>
      <c r="B38" s="138">
        <v>12</v>
      </c>
      <c r="C38" s="136">
        <v>40.6</v>
      </c>
      <c r="D38" s="51">
        <v>82.37</v>
      </c>
      <c r="E38" s="51">
        <v>23.18</v>
      </c>
      <c r="F38" s="135">
        <v>-146.15</v>
      </c>
      <c r="G38" s="59"/>
      <c r="H38" s="54"/>
      <c r="I38" s="54"/>
      <c r="J38" s="137"/>
      <c r="K38" s="59"/>
    </row>
    <row r="39" spans="1:11" ht="15" customHeight="1" thickBot="1">
      <c r="A39" s="40" t="s">
        <v>430</v>
      </c>
      <c r="B39" s="134"/>
      <c r="C39" s="144"/>
      <c r="D39" s="143"/>
      <c r="E39" s="143"/>
      <c r="F39" s="146">
        <v>-1753.8</v>
      </c>
      <c r="G39" s="59"/>
      <c r="H39" s="54"/>
      <c r="I39" s="54"/>
      <c r="J39" s="137"/>
      <c r="K39" s="59"/>
    </row>
    <row r="40" spans="1:11" ht="15" customHeight="1" thickTop="1">
      <c r="A40" s="141">
        <v>2020</v>
      </c>
      <c r="B40" s="138">
        <v>1</v>
      </c>
      <c r="C40" s="136">
        <v>40.6</v>
      </c>
      <c r="D40" s="51">
        <v>82.37</v>
      </c>
      <c r="E40" s="51">
        <v>23.18</v>
      </c>
      <c r="F40" s="140">
        <v>-146.15</v>
      </c>
      <c r="G40" s="59"/>
      <c r="H40" s="54"/>
      <c r="I40" s="54"/>
      <c r="J40" s="137"/>
      <c r="K40" s="59"/>
    </row>
    <row r="41" spans="1:11" ht="15" customHeight="1">
      <c r="A41" s="40"/>
      <c r="B41" s="138">
        <v>2</v>
      </c>
      <c r="C41" s="136">
        <v>40.6</v>
      </c>
      <c r="D41" s="51">
        <v>82.37</v>
      </c>
      <c r="E41" s="51">
        <v>23.18</v>
      </c>
      <c r="F41" s="139">
        <v>-146.15</v>
      </c>
      <c r="G41" s="59"/>
      <c r="H41" s="54"/>
      <c r="I41" s="54"/>
      <c r="J41" s="137"/>
      <c r="K41" s="59"/>
    </row>
    <row r="42" spans="1:11" ht="15" customHeight="1">
      <c r="A42" s="40"/>
      <c r="B42" s="138">
        <v>3</v>
      </c>
      <c r="C42" s="136">
        <v>40.6</v>
      </c>
      <c r="D42" s="51">
        <v>82.37</v>
      </c>
      <c r="E42" s="51">
        <v>23.18</v>
      </c>
      <c r="F42" s="139">
        <v>-146.15</v>
      </c>
      <c r="G42" s="59"/>
      <c r="H42" s="54"/>
      <c r="I42" s="54"/>
      <c r="J42" s="137"/>
      <c r="K42" s="59"/>
    </row>
    <row r="43" spans="1:11" ht="15" customHeight="1">
      <c r="A43" s="40"/>
      <c r="B43" s="138">
        <v>4</v>
      </c>
      <c r="C43" s="136">
        <v>40.6</v>
      </c>
      <c r="D43" s="51">
        <v>82.37</v>
      </c>
      <c r="E43" s="51">
        <v>23.18</v>
      </c>
      <c r="F43" s="139">
        <v>-146.15</v>
      </c>
      <c r="G43" s="59"/>
      <c r="H43" s="54"/>
      <c r="I43" s="54"/>
      <c r="J43" s="137"/>
      <c r="K43" s="59"/>
    </row>
    <row r="44" spans="1:11" ht="15" customHeight="1">
      <c r="A44" s="40"/>
      <c r="B44" s="138">
        <v>5</v>
      </c>
      <c r="C44" s="136">
        <v>40.6</v>
      </c>
      <c r="D44" s="51">
        <v>82.37</v>
      </c>
      <c r="E44" s="51">
        <v>23.18</v>
      </c>
      <c r="F44" s="139">
        <v>-146.15</v>
      </c>
      <c r="G44" s="59"/>
      <c r="H44" s="54"/>
      <c r="I44" s="54"/>
      <c r="J44" s="137"/>
      <c r="K44" s="59"/>
    </row>
    <row r="45" spans="1:11" ht="15" customHeight="1">
      <c r="A45" s="40"/>
      <c r="B45" s="138">
        <v>6</v>
      </c>
      <c r="C45" s="136">
        <v>40.6</v>
      </c>
      <c r="D45" s="51">
        <v>82.37</v>
      </c>
      <c r="E45" s="51">
        <v>23.18</v>
      </c>
      <c r="F45" s="139">
        <v>-146.15</v>
      </c>
      <c r="G45" s="59"/>
      <c r="H45" s="54"/>
      <c r="I45" s="54"/>
      <c r="J45" s="137"/>
      <c r="K45" s="59"/>
    </row>
    <row r="46" spans="1:11" ht="15" customHeight="1">
      <c r="A46" s="40"/>
      <c r="B46" s="138">
        <v>7</v>
      </c>
      <c r="C46" s="136">
        <v>40.6</v>
      </c>
      <c r="D46" s="51">
        <v>82.37</v>
      </c>
      <c r="E46" s="51">
        <v>23.18</v>
      </c>
      <c r="F46" s="139">
        <v>-146.15</v>
      </c>
      <c r="G46" s="59"/>
      <c r="H46" s="54"/>
      <c r="I46" s="54"/>
      <c r="J46" s="137"/>
      <c r="K46" s="59"/>
    </row>
    <row r="47" spans="1:11" ht="15" customHeight="1">
      <c r="A47" s="40"/>
      <c r="B47" s="138">
        <v>8</v>
      </c>
      <c r="C47" s="136">
        <v>40.6</v>
      </c>
      <c r="D47" s="51">
        <v>82.37</v>
      </c>
      <c r="E47" s="51">
        <v>23.18</v>
      </c>
      <c r="F47" s="139">
        <v>-146.15</v>
      </c>
      <c r="G47" s="59"/>
      <c r="H47" s="54"/>
      <c r="I47" s="54"/>
      <c r="J47" s="137"/>
      <c r="K47" s="59"/>
    </row>
    <row r="48" spans="1:11" ht="15" customHeight="1">
      <c r="A48" s="40"/>
      <c r="B48" s="138">
        <v>9</v>
      </c>
      <c r="C48" s="136">
        <v>40.6</v>
      </c>
      <c r="D48" s="51">
        <v>82.37</v>
      </c>
      <c r="E48" s="51">
        <v>23.18</v>
      </c>
      <c r="F48" s="139">
        <v>-146.15</v>
      </c>
      <c r="G48" s="59"/>
      <c r="H48" s="54"/>
      <c r="I48" s="54"/>
      <c r="J48" s="137"/>
      <c r="K48" s="59"/>
    </row>
    <row r="49" spans="1:11" ht="15" customHeight="1">
      <c r="A49" s="40"/>
      <c r="B49" s="138">
        <v>10</v>
      </c>
      <c r="C49" s="136">
        <v>40.6</v>
      </c>
      <c r="D49" s="51">
        <v>82.37</v>
      </c>
      <c r="E49" s="51">
        <v>23.18</v>
      </c>
      <c r="F49" s="139">
        <v>-146.15</v>
      </c>
      <c r="G49" s="59"/>
      <c r="H49" s="54"/>
      <c r="I49" s="54"/>
      <c r="J49" s="137"/>
      <c r="K49" s="59"/>
    </row>
    <row r="50" spans="1:11" ht="15" customHeight="1">
      <c r="A50" s="40"/>
      <c r="B50" s="138">
        <v>11</v>
      </c>
      <c r="C50" s="136">
        <v>40.6</v>
      </c>
      <c r="D50" s="51">
        <v>82.37</v>
      </c>
      <c r="E50" s="51">
        <v>23.18</v>
      </c>
      <c r="F50" s="139">
        <v>-146.15</v>
      </c>
      <c r="G50" s="59"/>
      <c r="H50" s="54"/>
      <c r="I50" s="54"/>
      <c r="J50" s="137"/>
      <c r="K50" s="59"/>
    </row>
    <row r="51" spans="1:11" ht="15" customHeight="1">
      <c r="A51" s="40"/>
      <c r="B51" s="138">
        <v>12</v>
      </c>
      <c r="C51" s="136">
        <v>40.6</v>
      </c>
      <c r="D51" s="51">
        <v>82.37</v>
      </c>
      <c r="E51" s="51">
        <v>23.18</v>
      </c>
      <c r="F51" s="135">
        <v>-146.15</v>
      </c>
      <c r="G51" s="59"/>
      <c r="H51" s="54"/>
      <c r="I51" s="54"/>
      <c r="J51" s="137"/>
      <c r="K51" s="59"/>
    </row>
    <row r="52" spans="1:11" ht="15" customHeight="1" thickBot="1">
      <c r="A52" s="40" t="s">
        <v>429</v>
      </c>
      <c r="B52" s="134"/>
      <c r="C52" s="144"/>
      <c r="D52" s="143"/>
      <c r="E52" s="143"/>
      <c r="F52" s="146">
        <v>-1753.8</v>
      </c>
      <c r="G52" s="59"/>
      <c r="H52" s="54"/>
      <c r="I52" s="54"/>
      <c r="J52" s="137"/>
      <c r="K52" s="59"/>
    </row>
    <row r="53" spans="1:11" ht="15" customHeight="1" thickTop="1">
      <c r="A53" s="141">
        <v>2021</v>
      </c>
      <c r="B53" s="138">
        <v>1</v>
      </c>
      <c r="C53" s="136">
        <v>40.6</v>
      </c>
      <c r="D53" s="51">
        <v>82.37</v>
      </c>
      <c r="E53" s="51">
        <v>23.18</v>
      </c>
      <c r="F53" s="140">
        <v>-146.15</v>
      </c>
      <c r="G53" s="136">
        <v>149.36000000000001</v>
      </c>
      <c r="H53" s="51">
        <v>268.05</v>
      </c>
      <c r="I53" s="51">
        <v>76.03</v>
      </c>
      <c r="J53" s="139">
        <v>-493.44</v>
      </c>
      <c r="K53" s="59"/>
    </row>
    <row r="54" spans="1:11" ht="15" customHeight="1">
      <c r="A54" s="40"/>
      <c r="B54" s="138">
        <v>2</v>
      </c>
      <c r="C54" s="136">
        <v>40.6</v>
      </c>
      <c r="D54" s="51">
        <v>82.37</v>
      </c>
      <c r="E54" s="51">
        <v>23.18</v>
      </c>
      <c r="F54" s="139">
        <v>-146.15</v>
      </c>
      <c r="G54" s="136">
        <v>257.23</v>
      </c>
      <c r="H54" s="51">
        <v>461.64</v>
      </c>
      <c r="I54" s="51">
        <v>130.94999999999999</v>
      </c>
      <c r="J54" s="139">
        <v>-849.82</v>
      </c>
      <c r="K54" s="59"/>
    </row>
    <row r="55" spans="1:11" ht="15" customHeight="1">
      <c r="A55" s="40"/>
      <c r="B55" s="138">
        <v>3</v>
      </c>
      <c r="C55" s="136">
        <v>40.6</v>
      </c>
      <c r="D55" s="51">
        <v>82.37</v>
      </c>
      <c r="E55" s="51">
        <v>23.18</v>
      </c>
      <c r="F55" s="139">
        <v>-146.15</v>
      </c>
      <c r="G55" s="136">
        <v>257.23</v>
      </c>
      <c r="H55" s="51">
        <v>461.64</v>
      </c>
      <c r="I55" s="51">
        <v>130.94999999999999</v>
      </c>
      <c r="J55" s="139">
        <v>-849.82</v>
      </c>
      <c r="K55" s="59"/>
    </row>
    <row r="56" spans="1:11" ht="15" customHeight="1">
      <c r="A56" s="40"/>
      <c r="B56" s="138">
        <v>4</v>
      </c>
      <c r="C56" s="136">
        <v>40.6</v>
      </c>
      <c r="D56" s="51">
        <v>82.37</v>
      </c>
      <c r="E56" s="51">
        <v>23.18</v>
      </c>
      <c r="F56" s="139">
        <v>-146.15</v>
      </c>
      <c r="G56" s="136">
        <v>257.23</v>
      </c>
      <c r="H56" s="51">
        <v>461.64</v>
      </c>
      <c r="I56" s="51">
        <v>130.94999999999999</v>
      </c>
      <c r="J56" s="139">
        <v>-849.82</v>
      </c>
      <c r="K56" s="59"/>
    </row>
    <row r="57" spans="1:11" ht="15" customHeight="1">
      <c r="A57" s="40"/>
      <c r="B57" s="138">
        <v>5</v>
      </c>
      <c r="C57" s="136">
        <v>40.6</v>
      </c>
      <c r="D57" s="51">
        <v>82.37</v>
      </c>
      <c r="E57" s="51">
        <v>23.18</v>
      </c>
      <c r="F57" s="139">
        <v>-146.15</v>
      </c>
      <c r="G57" s="136">
        <v>257.23</v>
      </c>
      <c r="H57" s="51">
        <v>461.64</v>
      </c>
      <c r="I57" s="51">
        <v>130.94999999999999</v>
      </c>
      <c r="J57" s="139">
        <v>-849.82</v>
      </c>
      <c r="K57" s="59"/>
    </row>
    <row r="58" spans="1:11" ht="15" customHeight="1">
      <c r="A58" s="40"/>
      <c r="B58" s="138">
        <v>6</v>
      </c>
      <c r="C58" s="136">
        <v>40.6</v>
      </c>
      <c r="D58" s="51">
        <v>82.37</v>
      </c>
      <c r="E58" s="51">
        <v>23.18</v>
      </c>
      <c r="F58" s="139">
        <v>-146.15</v>
      </c>
      <c r="G58" s="136">
        <v>257.23</v>
      </c>
      <c r="H58" s="51">
        <v>461.64</v>
      </c>
      <c r="I58" s="51">
        <v>130.94999999999999</v>
      </c>
      <c r="J58" s="139">
        <v>-849.82</v>
      </c>
      <c r="K58" s="59"/>
    </row>
    <row r="59" spans="1:11" ht="15" customHeight="1">
      <c r="A59" s="40"/>
      <c r="B59" s="138">
        <v>7</v>
      </c>
      <c r="C59" s="136">
        <v>40.6</v>
      </c>
      <c r="D59" s="51">
        <v>82.37</v>
      </c>
      <c r="E59" s="51">
        <v>23.18</v>
      </c>
      <c r="F59" s="139">
        <v>-146.15</v>
      </c>
      <c r="G59" s="136">
        <v>257.23</v>
      </c>
      <c r="H59" s="51">
        <v>461.64</v>
      </c>
      <c r="I59" s="51">
        <v>130.94999999999999</v>
      </c>
      <c r="J59" s="139">
        <v>-849.82</v>
      </c>
      <c r="K59" s="59"/>
    </row>
    <row r="60" spans="1:11" ht="15" customHeight="1">
      <c r="A60" s="40"/>
      <c r="B60" s="138">
        <v>8</v>
      </c>
      <c r="C60" s="136">
        <v>40.6</v>
      </c>
      <c r="D60" s="51">
        <v>82.37</v>
      </c>
      <c r="E60" s="51">
        <v>23.18</v>
      </c>
      <c r="F60" s="139">
        <v>-146.15</v>
      </c>
      <c r="G60" s="136">
        <v>257.23</v>
      </c>
      <c r="H60" s="51">
        <v>461.64</v>
      </c>
      <c r="I60" s="51">
        <v>130.94999999999999</v>
      </c>
      <c r="J60" s="139">
        <v>-849.82</v>
      </c>
      <c r="K60" s="59"/>
    </row>
    <row r="61" spans="1:11" ht="15" customHeight="1">
      <c r="A61" s="40"/>
      <c r="B61" s="138">
        <v>9</v>
      </c>
      <c r="C61" s="136">
        <v>40.6</v>
      </c>
      <c r="D61" s="51">
        <v>82.37</v>
      </c>
      <c r="E61" s="51">
        <v>23.18</v>
      </c>
      <c r="F61" s="139">
        <v>-146.15</v>
      </c>
      <c r="G61" s="136">
        <v>257.23</v>
      </c>
      <c r="H61" s="51">
        <v>461.64</v>
      </c>
      <c r="I61" s="51">
        <v>130.94999999999999</v>
      </c>
      <c r="J61" s="139">
        <v>-849.82</v>
      </c>
      <c r="K61" s="59"/>
    </row>
    <row r="62" spans="1:11" ht="15" customHeight="1">
      <c r="A62" s="40"/>
      <c r="B62" s="138">
        <v>10</v>
      </c>
      <c r="C62" s="136">
        <v>40.6</v>
      </c>
      <c r="D62" s="51">
        <v>82.37</v>
      </c>
      <c r="E62" s="51">
        <v>23.18</v>
      </c>
      <c r="F62" s="139">
        <v>-146.15</v>
      </c>
      <c r="G62" s="136">
        <v>257.23</v>
      </c>
      <c r="H62" s="51">
        <v>461.64</v>
      </c>
      <c r="I62" s="51">
        <v>130.94999999999999</v>
      </c>
      <c r="J62" s="139">
        <v>-849.82</v>
      </c>
      <c r="K62" s="59"/>
    </row>
    <row r="63" spans="1:11" ht="15" customHeight="1">
      <c r="A63" s="40"/>
      <c r="B63" s="138">
        <v>11</v>
      </c>
      <c r="C63" s="136">
        <v>40.6</v>
      </c>
      <c r="D63" s="51">
        <v>82.37</v>
      </c>
      <c r="E63" s="51">
        <v>23.18</v>
      </c>
      <c r="F63" s="139">
        <v>-146.15</v>
      </c>
      <c r="G63" s="136">
        <v>257.23</v>
      </c>
      <c r="H63" s="51">
        <v>461.64</v>
      </c>
      <c r="I63" s="51">
        <v>130.94999999999999</v>
      </c>
      <c r="J63" s="139">
        <v>-849.82</v>
      </c>
      <c r="K63" s="59"/>
    </row>
    <row r="64" spans="1:11" ht="15" customHeight="1">
      <c r="A64" s="40"/>
      <c r="B64" s="138">
        <v>12</v>
      </c>
      <c r="C64" s="136">
        <v>40.6</v>
      </c>
      <c r="D64" s="51">
        <v>82.37</v>
      </c>
      <c r="E64" s="51">
        <v>23.18</v>
      </c>
      <c r="F64" s="135">
        <v>-146.15</v>
      </c>
      <c r="G64" s="136">
        <v>257.23</v>
      </c>
      <c r="H64" s="51">
        <v>461.64</v>
      </c>
      <c r="I64" s="51">
        <v>130.94999999999999</v>
      </c>
      <c r="J64" s="135">
        <v>-849.82</v>
      </c>
      <c r="K64" s="59"/>
    </row>
    <row r="65" spans="1:12" ht="15" customHeight="1" thickBot="1">
      <c r="A65" s="40" t="s">
        <v>428</v>
      </c>
      <c r="B65" s="134"/>
      <c r="C65" s="144"/>
      <c r="D65" s="143"/>
      <c r="E65" s="143"/>
      <c r="F65" s="146">
        <v>-1753.8</v>
      </c>
      <c r="G65" s="144"/>
      <c r="H65" s="143"/>
      <c r="I65" s="143"/>
      <c r="J65" s="146">
        <v>-9841.4599999999991</v>
      </c>
      <c r="K65" s="59"/>
    </row>
    <row r="66" spans="1:12" ht="15" customHeight="1" thickTop="1">
      <c r="A66" s="141">
        <v>2022</v>
      </c>
      <c r="B66" s="138">
        <v>1</v>
      </c>
      <c r="C66" s="136">
        <v>40.6</v>
      </c>
      <c r="D66" s="51">
        <v>82.37</v>
      </c>
      <c r="E66" s="51">
        <v>23.18</v>
      </c>
      <c r="F66" s="140">
        <v>-146.15</v>
      </c>
      <c r="G66" s="136">
        <v>257.23</v>
      </c>
      <c r="H66" s="51">
        <v>461.64</v>
      </c>
      <c r="I66" s="51">
        <v>130.94999999999999</v>
      </c>
      <c r="J66" s="140">
        <v>-849.82</v>
      </c>
      <c r="K66" s="59"/>
    </row>
    <row r="67" spans="1:12" ht="15" customHeight="1">
      <c r="A67" s="40"/>
      <c r="B67" s="138">
        <v>2</v>
      </c>
      <c r="C67" s="136">
        <v>40.6</v>
      </c>
      <c r="D67" s="51">
        <v>82.37</v>
      </c>
      <c r="E67" s="51">
        <v>23.18</v>
      </c>
      <c r="F67" s="139">
        <v>-146.15</v>
      </c>
      <c r="G67" s="136">
        <v>257.23</v>
      </c>
      <c r="H67" s="51">
        <v>461.64</v>
      </c>
      <c r="I67" s="51">
        <v>130.94999999999999</v>
      </c>
      <c r="J67" s="139">
        <v>-849.82</v>
      </c>
      <c r="K67" s="59"/>
    </row>
    <row r="68" spans="1:12" ht="15" customHeight="1">
      <c r="A68" s="40"/>
      <c r="B68" s="138">
        <v>3</v>
      </c>
      <c r="C68" s="136">
        <v>40.6</v>
      </c>
      <c r="D68" s="51">
        <v>82.37</v>
      </c>
      <c r="E68" s="51">
        <v>23.18</v>
      </c>
      <c r="F68" s="139">
        <v>-146.15</v>
      </c>
      <c r="G68" s="136">
        <v>257.23</v>
      </c>
      <c r="H68" s="51">
        <v>461.64</v>
      </c>
      <c r="I68" s="51">
        <v>130.94999999999999</v>
      </c>
      <c r="J68" s="139">
        <v>-849.82</v>
      </c>
      <c r="K68" s="59"/>
    </row>
    <row r="69" spans="1:12" ht="15" customHeight="1">
      <c r="A69" s="40"/>
      <c r="B69" s="138">
        <v>4</v>
      </c>
      <c r="C69" s="136">
        <v>40.6</v>
      </c>
      <c r="D69" s="51">
        <v>82.37</v>
      </c>
      <c r="E69" s="51">
        <v>23.18</v>
      </c>
      <c r="F69" s="139">
        <v>-146.15</v>
      </c>
      <c r="G69" s="136">
        <v>257.23</v>
      </c>
      <c r="H69" s="51">
        <v>461.64</v>
      </c>
      <c r="I69" s="51">
        <v>130.94999999999999</v>
      </c>
      <c r="J69" s="139">
        <v>-849.82</v>
      </c>
      <c r="K69" s="59"/>
      <c r="L69" s="51">
        <f t="shared" ref="L69:L77" si="0">F69+J69</f>
        <v>-995.97</v>
      </c>
    </row>
    <row r="70" spans="1:12" ht="15" customHeight="1">
      <c r="A70" s="40"/>
      <c r="B70" s="138">
        <v>5</v>
      </c>
      <c r="C70" s="136">
        <v>40.6</v>
      </c>
      <c r="D70" s="51">
        <v>82.37</v>
      </c>
      <c r="E70" s="51">
        <v>23.18</v>
      </c>
      <c r="F70" s="139">
        <v>-146.15</v>
      </c>
      <c r="G70" s="136">
        <v>257.23</v>
      </c>
      <c r="H70" s="51">
        <v>461.64</v>
      </c>
      <c r="I70" s="51">
        <v>130.94999999999999</v>
      </c>
      <c r="J70" s="139">
        <v>-849.82</v>
      </c>
      <c r="K70" s="59"/>
      <c r="L70" s="51">
        <f t="shared" si="0"/>
        <v>-995.97</v>
      </c>
    </row>
    <row r="71" spans="1:12" ht="15" customHeight="1">
      <c r="A71" s="40"/>
      <c r="B71" s="138">
        <v>6</v>
      </c>
      <c r="C71" s="136">
        <v>40.6</v>
      </c>
      <c r="D71" s="51">
        <v>82.37</v>
      </c>
      <c r="E71" s="51">
        <v>23.18</v>
      </c>
      <c r="F71" s="139">
        <v>-146.15</v>
      </c>
      <c r="G71" s="136">
        <v>257.23</v>
      </c>
      <c r="H71" s="51">
        <v>461.64</v>
      </c>
      <c r="I71" s="51">
        <v>130.94999999999999</v>
      </c>
      <c r="J71" s="139">
        <v>-849.82</v>
      </c>
      <c r="K71" s="59"/>
      <c r="L71" s="51">
        <f t="shared" si="0"/>
        <v>-995.97</v>
      </c>
    </row>
    <row r="72" spans="1:12" ht="15" customHeight="1">
      <c r="A72" s="40"/>
      <c r="B72" s="138">
        <v>7</v>
      </c>
      <c r="C72" s="136">
        <v>40.6</v>
      </c>
      <c r="D72" s="51">
        <v>82.37</v>
      </c>
      <c r="E72" s="51">
        <v>23.18</v>
      </c>
      <c r="F72" s="139">
        <v>-146.15</v>
      </c>
      <c r="G72" s="136">
        <v>257.23</v>
      </c>
      <c r="H72" s="51">
        <v>461.64</v>
      </c>
      <c r="I72" s="51">
        <v>130.94999999999999</v>
      </c>
      <c r="J72" s="139">
        <v>-849.82</v>
      </c>
      <c r="K72" s="59"/>
      <c r="L72" s="51">
        <f t="shared" si="0"/>
        <v>-995.97</v>
      </c>
    </row>
    <row r="73" spans="1:12" ht="15" customHeight="1">
      <c r="A73" s="40"/>
      <c r="B73" s="138">
        <v>8</v>
      </c>
      <c r="C73" s="136">
        <v>40.6</v>
      </c>
      <c r="D73" s="51">
        <v>82.37</v>
      </c>
      <c r="E73" s="51">
        <v>23.18</v>
      </c>
      <c r="F73" s="139">
        <v>-146.15</v>
      </c>
      <c r="G73" s="136">
        <v>257.23</v>
      </c>
      <c r="H73" s="51">
        <v>461.64</v>
      </c>
      <c r="I73" s="51">
        <v>130.94999999999999</v>
      </c>
      <c r="J73" s="139">
        <v>-849.82</v>
      </c>
      <c r="K73" s="59"/>
      <c r="L73" s="51">
        <f t="shared" si="0"/>
        <v>-995.97</v>
      </c>
    </row>
    <row r="74" spans="1:12" ht="15" customHeight="1">
      <c r="A74" s="40"/>
      <c r="B74" s="138">
        <v>9</v>
      </c>
      <c r="C74" s="136">
        <v>40.6</v>
      </c>
      <c r="D74" s="51">
        <v>82.37</v>
      </c>
      <c r="E74" s="51">
        <v>23.18</v>
      </c>
      <c r="F74" s="139">
        <v>-146.15</v>
      </c>
      <c r="G74" s="136">
        <v>257.23</v>
      </c>
      <c r="H74" s="51">
        <v>461.64</v>
      </c>
      <c r="I74" s="51">
        <v>130.94999999999999</v>
      </c>
      <c r="J74" s="139">
        <v>-849.82</v>
      </c>
      <c r="K74" s="59"/>
      <c r="L74" s="51">
        <f t="shared" si="0"/>
        <v>-995.97</v>
      </c>
    </row>
    <row r="75" spans="1:12" ht="15" customHeight="1">
      <c r="A75" s="40"/>
      <c r="B75" s="138">
        <v>10</v>
      </c>
      <c r="C75" s="136">
        <v>40.6</v>
      </c>
      <c r="D75" s="51">
        <v>82.37</v>
      </c>
      <c r="E75" s="51">
        <v>23.18</v>
      </c>
      <c r="F75" s="139">
        <v>-146.15</v>
      </c>
      <c r="G75" s="136">
        <v>257.23</v>
      </c>
      <c r="H75" s="51">
        <v>461.64</v>
      </c>
      <c r="I75" s="51">
        <v>130.94999999999999</v>
      </c>
      <c r="J75" s="139">
        <v>-849.82</v>
      </c>
      <c r="K75" s="59"/>
      <c r="L75" s="51">
        <f t="shared" si="0"/>
        <v>-995.97</v>
      </c>
    </row>
    <row r="76" spans="1:12" ht="15" customHeight="1">
      <c r="A76" s="40"/>
      <c r="B76" s="138">
        <v>11</v>
      </c>
      <c r="C76" s="136">
        <v>40.6</v>
      </c>
      <c r="D76" s="51">
        <v>82.37</v>
      </c>
      <c r="E76" s="51">
        <v>23.18</v>
      </c>
      <c r="F76" s="139">
        <v>-146.15</v>
      </c>
      <c r="G76" s="136">
        <v>257.23</v>
      </c>
      <c r="H76" s="51">
        <v>461.64</v>
      </c>
      <c r="I76" s="51">
        <v>130.94999999999999</v>
      </c>
      <c r="J76" s="139">
        <v>-849.82</v>
      </c>
      <c r="K76" s="59"/>
      <c r="L76" s="51">
        <f t="shared" si="0"/>
        <v>-995.97</v>
      </c>
    </row>
    <row r="77" spans="1:12" ht="15" customHeight="1">
      <c r="A77" s="40"/>
      <c r="B77" s="138">
        <v>12</v>
      </c>
      <c r="C77" s="136">
        <v>40.6</v>
      </c>
      <c r="D77" s="51">
        <v>82.37</v>
      </c>
      <c r="E77" s="51">
        <v>23.18</v>
      </c>
      <c r="F77" s="135">
        <v>-146.15</v>
      </c>
      <c r="G77" s="136">
        <v>257.23</v>
      </c>
      <c r="H77" s="51">
        <v>461.64</v>
      </c>
      <c r="I77" s="51">
        <v>130.94999999999999</v>
      </c>
      <c r="J77" s="135">
        <v>-849.82</v>
      </c>
      <c r="K77" s="59"/>
      <c r="L77" s="51">
        <f t="shared" si="0"/>
        <v>-995.97</v>
      </c>
    </row>
    <row r="78" spans="1:12" ht="15" customHeight="1" thickBot="1">
      <c r="A78" s="40" t="s">
        <v>427</v>
      </c>
      <c r="B78" s="134"/>
      <c r="C78" s="144"/>
      <c r="D78" s="143"/>
      <c r="E78" s="143"/>
      <c r="F78" s="146">
        <v>-1753.8</v>
      </c>
      <c r="G78" s="144"/>
      <c r="H78" s="143"/>
      <c r="I78" s="143"/>
      <c r="J78" s="146">
        <v>-10197.84</v>
      </c>
      <c r="K78" s="59"/>
      <c r="L78" s="54"/>
    </row>
    <row r="79" spans="1:12" ht="15" customHeight="1" thickTop="1">
      <c r="A79" s="141">
        <v>2023</v>
      </c>
      <c r="B79" s="138">
        <v>1</v>
      </c>
      <c r="C79" s="136">
        <v>23.57</v>
      </c>
      <c r="D79" s="51">
        <v>47.83</v>
      </c>
      <c r="E79" s="51">
        <v>13.46</v>
      </c>
      <c r="F79" s="140">
        <v>-84.86</v>
      </c>
      <c r="G79" s="136">
        <v>257.23</v>
      </c>
      <c r="H79" s="51">
        <v>461.64</v>
      </c>
      <c r="I79" s="51">
        <v>130.94999999999999</v>
      </c>
      <c r="J79" s="140">
        <v>-849.82</v>
      </c>
      <c r="K79" s="59"/>
      <c r="L79" s="51">
        <f>F79+J79</f>
        <v>-934.68000000000006</v>
      </c>
    </row>
    <row r="80" spans="1:12" ht="15" customHeight="1">
      <c r="A80" s="40"/>
      <c r="B80" s="138">
        <v>2</v>
      </c>
      <c r="C80" s="136">
        <v>0</v>
      </c>
      <c r="D80" s="51">
        <v>0</v>
      </c>
      <c r="E80" s="51">
        <v>0</v>
      </c>
      <c r="F80" s="139">
        <v>0</v>
      </c>
      <c r="G80" s="136">
        <v>257.23</v>
      </c>
      <c r="H80" s="51">
        <v>461.64</v>
      </c>
      <c r="I80" s="51">
        <v>130.94999999999999</v>
      </c>
      <c r="J80" s="139">
        <v>-849.82</v>
      </c>
      <c r="K80" s="59"/>
      <c r="L80" s="51">
        <f>F80+J80</f>
        <v>-849.82</v>
      </c>
    </row>
    <row r="81" spans="1:13" ht="15" customHeight="1">
      <c r="A81" s="40"/>
      <c r="B81" s="138">
        <v>3</v>
      </c>
      <c r="C81" s="136">
        <v>0</v>
      </c>
      <c r="D81" s="51">
        <v>0</v>
      </c>
      <c r="E81" s="51">
        <v>0</v>
      </c>
      <c r="F81" s="139">
        <v>0</v>
      </c>
      <c r="G81" s="136">
        <v>257.23</v>
      </c>
      <c r="H81" s="51">
        <v>461.64</v>
      </c>
      <c r="I81" s="51">
        <v>130.94999999999999</v>
      </c>
      <c r="J81" s="139">
        <v>-849.82</v>
      </c>
      <c r="K81" s="59"/>
      <c r="L81" s="50">
        <f>F81+J81</f>
        <v>-849.82</v>
      </c>
    </row>
    <row r="82" spans="1:13" ht="15" customHeight="1" thickBot="1">
      <c r="A82" s="40"/>
      <c r="B82" s="138">
        <v>4</v>
      </c>
      <c r="C82" s="136">
        <v>0</v>
      </c>
      <c r="D82" s="51">
        <v>0</v>
      </c>
      <c r="E82" s="51">
        <v>0</v>
      </c>
      <c r="F82" s="139">
        <v>0</v>
      </c>
      <c r="G82" s="136">
        <v>257.23</v>
      </c>
      <c r="H82" s="51">
        <v>461.64</v>
      </c>
      <c r="I82" s="51">
        <v>130.94999999999999</v>
      </c>
      <c r="J82" s="139">
        <v>-849.82</v>
      </c>
      <c r="K82" s="59"/>
      <c r="L82" s="64">
        <f>SUM(L69:L81)</f>
        <v>-11598.050000000001</v>
      </c>
      <c r="M82" s="54" t="s">
        <v>441</v>
      </c>
    </row>
    <row r="83" spans="1:13" ht="15" customHeight="1" thickTop="1">
      <c r="A83" s="40"/>
      <c r="B83" s="138">
        <v>5</v>
      </c>
      <c r="C83" s="136">
        <v>0</v>
      </c>
      <c r="D83" s="51">
        <v>0</v>
      </c>
      <c r="E83" s="51">
        <v>0</v>
      </c>
      <c r="F83" s="139">
        <v>0</v>
      </c>
      <c r="G83" s="136">
        <v>257.23</v>
      </c>
      <c r="H83" s="51">
        <v>461.64</v>
      </c>
      <c r="I83" s="51">
        <v>130.94999999999999</v>
      </c>
      <c r="J83" s="139">
        <v>-849.82</v>
      </c>
      <c r="K83" s="59"/>
      <c r="L83" s="63"/>
    </row>
    <row r="84" spans="1:13" ht="15" customHeight="1">
      <c r="A84" s="40"/>
      <c r="B84" s="138">
        <v>6</v>
      </c>
      <c r="C84" s="136">
        <v>0</v>
      </c>
      <c r="D84" s="51">
        <v>0</v>
      </c>
      <c r="E84" s="51">
        <v>0</v>
      </c>
      <c r="F84" s="139">
        <v>0</v>
      </c>
      <c r="G84" s="136">
        <v>257.23</v>
      </c>
      <c r="H84" s="51">
        <v>461.64</v>
      </c>
      <c r="I84" s="51">
        <v>130.94999999999999</v>
      </c>
      <c r="J84" s="139">
        <v>-849.82</v>
      </c>
      <c r="K84" s="59"/>
    </row>
    <row r="85" spans="1:13" ht="15" customHeight="1">
      <c r="A85" s="40"/>
      <c r="B85" s="138">
        <v>7</v>
      </c>
      <c r="C85" s="136">
        <v>0</v>
      </c>
      <c r="D85" s="51">
        <v>0</v>
      </c>
      <c r="E85" s="51">
        <v>0</v>
      </c>
      <c r="F85" s="139">
        <v>0</v>
      </c>
      <c r="G85" s="136">
        <v>257.23</v>
      </c>
      <c r="H85" s="51">
        <v>461.64</v>
      </c>
      <c r="I85" s="51">
        <v>130.94999999999999</v>
      </c>
      <c r="J85" s="139">
        <v>-849.82</v>
      </c>
      <c r="K85" s="59"/>
    </row>
    <row r="86" spans="1:13" ht="15" customHeight="1">
      <c r="A86" s="40"/>
      <c r="B86" s="138">
        <v>8</v>
      </c>
      <c r="C86" s="136">
        <v>0</v>
      </c>
      <c r="D86" s="51">
        <v>0</v>
      </c>
      <c r="E86" s="51">
        <v>0</v>
      </c>
      <c r="F86" s="139">
        <v>0</v>
      </c>
      <c r="G86" s="136">
        <v>257.23</v>
      </c>
      <c r="H86" s="51">
        <v>461.64</v>
      </c>
      <c r="I86" s="51">
        <v>130.94999999999999</v>
      </c>
      <c r="J86" s="139">
        <v>-849.82</v>
      </c>
      <c r="K86" s="59"/>
    </row>
    <row r="87" spans="1:13" ht="15" customHeight="1">
      <c r="A87" s="40"/>
      <c r="B87" s="138">
        <v>9</v>
      </c>
      <c r="C87" s="136">
        <v>0</v>
      </c>
      <c r="D87" s="51">
        <v>0</v>
      </c>
      <c r="E87" s="51">
        <v>0</v>
      </c>
      <c r="F87" s="139">
        <v>0</v>
      </c>
      <c r="G87" s="136">
        <v>257.23</v>
      </c>
      <c r="H87" s="51">
        <v>461.64</v>
      </c>
      <c r="I87" s="51">
        <v>130.94999999999999</v>
      </c>
      <c r="J87" s="139">
        <v>-849.82</v>
      </c>
      <c r="K87" s="59"/>
    </row>
    <row r="88" spans="1:13" ht="15" customHeight="1">
      <c r="A88" s="40"/>
      <c r="B88" s="138">
        <v>10</v>
      </c>
      <c r="C88" s="136">
        <v>0</v>
      </c>
      <c r="D88" s="51">
        <v>0</v>
      </c>
      <c r="E88" s="51">
        <v>0</v>
      </c>
      <c r="F88" s="139">
        <v>0</v>
      </c>
      <c r="G88" s="136">
        <v>257.23</v>
      </c>
      <c r="H88" s="51">
        <v>461.64</v>
      </c>
      <c r="I88" s="51">
        <v>130.94999999999999</v>
      </c>
      <c r="J88" s="139">
        <v>-849.82</v>
      </c>
      <c r="K88" s="59"/>
    </row>
    <row r="89" spans="1:13" ht="15" customHeight="1">
      <c r="A89" s="40"/>
      <c r="B89" s="138">
        <v>11</v>
      </c>
      <c r="C89" s="136">
        <v>0</v>
      </c>
      <c r="D89" s="51">
        <v>0</v>
      </c>
      <c r="E89" s="51">
        <v>0</v>
      </c>
      <c r="F89" s="139">
        <v>0</v>
      </c>
      <c r="G89" s="136">
        <v>257.23</v>
      </c>
      <c r="H89" s="51">
        <v>461.64</v>
      </c>
      <c r="I89" s="51">
        <v>130.94999999999999</v>
      </c>
      <c r="J89" s="139">
        <v>-849.82</v>
      </c>
      <c r="K89" s="59"/>
    </row>
    <row r="90" spans="1:13" ht="15" customHeight="1">
      <c r="A90" s="40"/>
      <c r="B90" s="138">
        <v>12</v>
      </c>
      <c r="C90" s="136">
        <v>0</v>
      </c>
      <c r="D90" s="51">
        <v>0</v>
      </c>
      <c r="E90" s="51">
        <v>0</v>
      </c>
      <c r="F90" s="135">
        <v>0</v>
      </c>
      <c r="G90" s="136">
        <v>257.23</v>
      </c>
      <c r="H90" s="51">
        <v>461.64</v>
      </c>
      <c r="I90" s="51">
        <v>130.94999999999999</v>
      </c>
      <c r="J90" s="135">
        <v>-849.82</v>
      </c>
      <c r="K90" s="59"/>
    </row>
    <row r="91" spans="1:13" ht="15" customHeight="1" thickBot="1">
      <c r="A91" s="40" t="s">
        <v>425</v>
      </c>
      <c r="B91" s="134"/>
      <c r="C91" s="144"/>
      <c r="D91" s="143"/>
      <c r="E91" s="143"/>
      <c r="F91" s="146">
        <v>-84.86</v>
      </c>
      <c r="G91" s="144"/>
      <c r="H91" s="143"/>
      <c r="I91" s="143"/>
      <c r="J91" s="146">
        <v>-10197.84</v>
      </c>
      <c r="K91" s="59"/>
    </row>
    <row r="92" spans="1:13" ht="15" customHeight="1" thickTop="1">
      <c r="A92" s="141">
        <v>2024</v>
      </c>
      <c r="B92" s="138">
        <v>1</v>
      </c>
      <c r="C92" s="59"/>
      <c r="D92" s="54"/>
      <c r="E92" s="54"/>
      <c r="F92" s="145"/>
      <c r="G92" s="136">
        <v>257.23</v>
      </c>
      <c r="H92" s="51">
        <v>461.64</v>
      </c>
      <c r="I92" s="51">
        <v>130.94999999999999</v>
      </c>
      <c r="J92" s="140">
        <v>-849.82</v>
      </c>
      <c r="K92" s="59"/>
    </row>
    <row r="93" spans="1:13" ht="15" customHeight="1">
      <c r="A93" s="40"/>
      <c r="B93" s="138">
        <v>2</v>
      </c>
      <c r="C93" s="59"/>
      <c r="D93" s="54"/>
      <c r="E93" s="54"/>
      <c r="F93" s="137"/>
      <c r="G93" s="136">
        <v>257.23</v>
      </c>
      <c r="H93" s="51">
        <v>461.64</v>
      </c>
      <c r="I93" s="51">
        <v>130.94999999999999</v>
      </c>
      <c r="J93" s="139">
        <v>-849.82</v>
      </c>
      <c r="K93" s="59"/>
    </row>
    <row r="94" spans="1:13" ht="15" customHeight="1">
      <c r="A94" s="40"/>
      <c r="B94" s="138">
        <v>3</v>
      </c>
      <c r="C94" s="59"/>
      <c r="D94" s="54"/>
      <c r="E94" s="54"/>
      <c r="F94" s="137"/>
      <c r="G94" s="136">
        <v>257.23</v>
      </c>
      <c r="H94" s="51">
        <v>461.64</v>
      </c>
      <c r="I94" s="51">
        <v>130.94999999999999</v>
      </c>
      <c r="J94" s="139">
        <v>-849.82</v>
      </c>
      <c r="K94" s="59"/>
    </row>
    <row r="95" spans="1:13" ht="15" customHeight="1">
      <c r="A95" s="40"/>
      <c r="B95" s="138">
        <v>4</v>
      </c>
      <c r="C95" s="59"/>
      <c r="D95" s="54"/>
      <c r="E95" s="54"/>
      <c r="F95" s="137"/>
      <c r="G95" s="136">
        <v>257.23</v>
      </c>
      <c r="H95" s="51">
        <v>461.64</v>
      </c>
      <c r="I95" s="51">
        <v>130.94999999999999</v>
      </c>
      <c r="J95" s="139">
        <v>-849.82</v>
      </c>
      <c r="K95" s="59"/>
    </row>
    <row r="96" spans="1:13" ht="15" customHeight="1">
      <c r="A96" s="40"/>
      <c r="B96" s="138">
        <v>5</v>
      </c>
      <c r="C96" s="59"/>
      <c r="D96" s="54"/>
      <c r="E96" s="54"/>
      <c r="F96" s="137"/>
      <c r="G96" s="136">
        <v>257.23</v>
      </c>
      <c r="H96" s="51">
        <v>461.64</v>
      </c>
      <c r="I96" s="51">
        <v>130.94999999999999</v>
      </c>
      <c r="J96" s="139">
        <v>-849.82</v>
      </c>
      <c r="K96" s="59"/>
    </row>
    <row r="97" spans="1:11" ht="15" customHeight="1">
      <c r="A97" s="40"/>
      <c r="B97" s="138">
        <v>6</v>
      </c>
      <c r="C97" s="59"/>
      <c r="D97" s="54"/>
      <c r="E97" s="54"/>
      <c r="F97" s="137"/>
      <c r="G97" s="136">
        <v>257.23</v>
      </c>
      <c r="H97" s="51">
        <v>461.64</v>
      </c>
      <c r="I97" s="51">
        <v>130.94999999999999</v>
      </c>
      <c r="J97" s="139">
        <v>-849.82</v>
      </c>
      <c r="K97" s="59"/>
    </row>
    <row r="98" spans="1:11" ht="15" customHeight="1">
      <c r="A98" s="40"/>
      <c r="B98" s="138">
        <v>7</v>
      </c>
      <c r="C98" s="59"/>
      <c r="D98" s="54"/>
      <c r="E98" s="54"/>
      <c r="F98" s="137"/>
      <c r="G98" s="136">
        <v>257.23</v>
      </c>
      <c r="H98" s="51">
        <v>461.64</v>
      </c>
      <c r="I98" s="51">
        <v>130.94999999999999</v>
      </c>
      <c r="J98" s="139">
        <v>-849.82</v>
      </c>
      <c r="K98" s="59"/>
    </row>
    <row r="99" spans="1:11" ht="15" customHeight="1">
      <c r="A99" s="40"/>
      <c r="B99" s="138">
        <v>8</v>
      </c>
      <c r="C99" s="59"/>
      <c r="D99" s="54"/>
      <c r="E99" s="54"/>
      <c r="F99" s="137"/>
      <c r="G99" s="136">
        <v>257.23</v>
      </c>
      <c r="H99" s="51">
        <v>461.64</v>
      </c>
      <c r="I99" s="51">
        <v>130.94999999999999</v>
      </c>
      <c r="J99" s="139">
        <v>-849.82</v>
      </c>
      <c r="K99" s="59"/>
    </row>
    <row r="100" spans="1:11" ht="15" customHeight="1">
      <c r="A100" s="40"/>
      <c r="B100" s="138">
        <v>9</v>
      </c>
      <c r="C100" s="59"/>
      <c r="D100" s="54"/>
      <c r="E100" s="54"/>
      <c r="F100" s="137"/>
      <c r="G100" s="136">
        <v>257.23</v>
      </c>
      <c r="H100" s="51">
        <v>461.64</v>
      </c>
      <c r="I100" s="51">
        <v>130.94999999999999</v>
      </c>
      <c r="J100" s="139">
        <v>-849.82</v>
      </c>
      <c r="K100" s="59"/>
    </row>
    <row r="101" spans="1:11" ht="15" customHeight="1">
      <c r="A101" s="40"/>
      <c r="B101" s="138">
        <v>10</v>
      </c>
      <c r="C101" s="59"/>
      <c r="D101" s="54"/>
      <c r="E101" s="54"/>
      <c r="F101" s="137"/>
      <c r="G101" s="136">
        <v>257.23</v>
      </c>
      <c r="H101" s="51">
        <v>461.64</v>
      </c>
      <c r="I101" s="51">
        <v>130.94999999999999</v>
      </c>
      <c r="J101" s="139">
        <v>-849.82</v>
      </c>
      <c r="K101" s="59"/>
    </row>
    <row r="102" spans="1:11" ht="15" customHeight="1">
      <c r="A102" s="40"/>
      <c r="B102" s="138">
        <v>11</v>
      </c>
      <c r="C102" s="59"/>
      <c r="D102" s="54"/>
      <c r="E102" s="54"/>
      <c r="F102" s="137"/>
      <c r="G102" s="136">
        <v>257.23</v>
      </c>
      <c r="H102" s="51">
        <v>461.64</v>
      </c>
      <c r="I102" s="51">
        <v>130.94999999999999</v>
      </c>
      <c r="J102" s="139">
        <v>-849.82</v>
      </c>
      <c r="K102" s="59"/>
    </row>
    <row r="103" spans="1:11" ht="15" customHeight="1">
      <c r="A103" s="40"/>
      <c r="B103" s="138">
        <v>12</v>
      </c>
      <c r="C103" s="59"/>
      <c r="D103" s="54"/>
      <c r="E103" s="54"/>
      <c r="F103" s="137"/>
      <c r="G103" s="136">
        <v>257.23</v>
      </c>
      <c r="H103" s="51">
        <v>461.64</v>
      </c>
      <c r="I103" s="51">
        <v>130.94999999999999</v>
      </c>
      <c r="J103" s="135">
        <v>-849.82</v>
      </c>
      <c r="K103" s="59"/>
    </row>
    <row r="104" spans="1:11" ht="15" customHeight="1" thickBot="1">
      <c r="A104" s="40" t="s">
        <v>423</v>
      </c>
      <c r="B104" s="134"/>
      <c r="C104" s="59"/>
      <c r="D104" s="54"/>
      <c r="E104" s="54"/>
      <c r="F104" s="137"/>
      <c r="G104" s="144"/>
      <c r="H104" s="143"/>
      <c r="I104" s="143"/>
      <c r="J104" s="146">
        <v>-10197.84</v>
      </c>
      <c r="K104" s="59"/>
    </row>
    <row r="105" spans="1:11" ht="15" customHeight="1" thickTop="1">
      <c r="A105" s="141">
        <v>2025</v>
      </c>
      <c r="B105" s="138">
        <v>1</v>
      </c>
      <c r="C105" s="59"/>
      <c r="D105" s="54"/>
      <c r="E105" s="54"/>
      <c r="F105" s="137"/>
      <c r="G105" s="136">
        <v>257.23</v>
      </c>
      <c r="H105" s="51">
        <v>461.64</v>
      </c>
      <c r="I105" s="51">
        <v>130.94999999999999</v>
      </c>
      <c r="J105" s="140">
        <v>-849.82</v>
      </c>
      <c r="K105" s="59"/>
    </row>
    <row r="106" spans="1:11" ht="15" customHeight="1">
      <c r="A106" s="40"/>
      <c r="B106" s="138">
        <v>2</v>
      </c>
      <c r="C106" s="59"/>
      <c r="D106" s="54"/>
      <c r="E106" s="54"/>
      <c r="F106" s="137"/>
      <c r="G106" s="136">
        <v>257.23</v>
      </c>
      <c r="H106" s="51">
        <v>461.64</v>
      </c>
      <c r="I106" s="51">
        <v>130.94999999999999</v>
      </c>
      <c r="J106" s="139">
        <v>-849.82</v>
      </c>
      <c r="K106" s="59"/>
    </row>
    <row r="107" spans="1:11" ht="15" customHeight="1">
      <c r="A107" s="40"/>
      <c r="B107" s="138">
        <v>3</v>
      </c>
      <c r="C107" s="59"/>
      <c r="D107" s="54"/>
      <c r="E107" s="54"/>
      <c r="F107" s="137"/>
      <c r="G107" s="136">
        <v>257.23</v>
      </c>
      <c r="H107" s="51">
        <v>461.64</v>
      </c>
      <c r="I107" s="51">
        <v>130.94999999999999</v>
      </c>
      <c r="J107" s="139">
        <v>-849.82</v>
      </c>
      <c r="K107" s="59"/>
    </row>
    <row r="108" spans="1:11" ht="15" customHeight="1">
      <c r="A108" s="40"/>
      <c r="B108" s="138">
        <v>4</v>
      </c>
      <c r="C108" s="59"/>
      <c r="D108" s="54"/>
      <c r="E108" s="54"/>
      <c r="F108" s="137"/>
      <c r="G108" s="136">
        <v>257.23</v>
      </c>
      <c r="H108" s="51">
        <v>461.64</v>
      </c>
      <c r="I108" s="51">
        <v>130.94999999999999</v>
      </c>
      <c r="J108" s="139">
        <v>-849.82</v>
      </c>
      <c r="K108" s="59"/>
    </row>
    <row r="109" spans="1:11" ht="15" customHeight="1">
      <c r="A109" s="40"/>
      <c r="B109" s="138">
        <v>5</v>
      </c>
      <c r="C109" s="59"/>
      <c r="D109" s="54"/>
      <c r="E109" s="54"/>
      <c r="F109" s="137"/>
      <c r="G109" s="136">
        <v>257.23</v>
      </c>
      <c r="H109" s="51">
        <v>461.64</v>
      </c>
      <c r="I109" s="51">
        <v>130.94999999999999</v>
      </c>
      <c r="J109" s="139">
        <v>-849.82</v>
      </c>
      <c r="K109" s="59"/>
    </row>
    <row r="110" spans="1:11" ht="15" customHeight="1">
      <c r="A110" s="40"/>
      <c r="B110" s="138">
        <v>6</v>
      </c>
      <c r="C110" s="59"/>
      <c r="D110" s="54"/>
      <c r="E110" s="54"/>
      <c r="F110" s="137"/>
      <c r="G110" s="136">
        <v>257.23</v>
      </c>
      <c r="H110" s="51">
        <v>461.64</v>
      </c>
      <c r="I110" s="51">
        <v>130.94999999999999</v>
      </c>
      <c r="J110" s="139">
        <v>-849.82</v>
      </c>
      <c r="K110" s="59"/>
    </row>
    <row r="111" spans="1:11" ht="15" customHeight="1">
      <c r="A111" s="40"/>
      <c r="B111" s="138">
        <v>7</v>
      </c>
      <c r="C111" s="59"/>
      <c r="D111" s="54"/>
      <c r="E111" s="54"/>
      <c r="F111" s="137"/>
      <c r="G111" s="136">
        <v>257.23</v>
      </c>
      <c r="H111" s="51">
        <v>461.64</v>
      </c>
      <c r="I111" s="51">
        <v>130.94999999999999</v>
      </c>
      <c r="J111" s="139">
        <v>-849.82</v>
      </c>
      <c r="K111" s="59"/>
    </row>
    <row r="112" spans="1:11" ht="15" customHeight="1">
      <c r="A112" s="40"/>
      <c r="B112" s="138">
        <v>8</v>
      </c>
      <c r="C112" s="59"/>
      <c r="D112" s="54"/>
      <c r="E112" s="54"/>
      <c r="F112" s="137"/>
      <c r="G112" s="136">
        <v>257.23</v>
      </c>
      <c r="H112" s="51">
        <v>461.64</v>
      </c>
      <c r="I112" s="51">
        <v>130.94999999999999</v>
      </c>
      <c r="J112" s="139">
        <v>-849.82</v>
      </c>
      <c r="K112" s="59"/>
    </row>
    <row r="113" spans="1:11" ht="15" customHeight="1">
      <c r="A113" s="40"/>
      <c r="B113" s="138">
        <v>9</v>
      </c>
      <c r="C113" s="59"/>
      <c r="D113" s="54"/>
      <c r="E113" s="54"/>
      <c r="F113" s="137"/>
      <c r="G113" s="136">
        <v>257.23</v>
      </c>
      <c r="H113" s="51">
        <v>461.64</v>
      </c>
      <c r="I113" s="51">
        <v>130.94999999999999</v>
      </c>
      <c r="J113" s="139">
        <v>-849.82</v>
      </c>
      <c r="K113" s="59"/>
    </row>
    <row r="114" spans="1:11" ht="15" customHeight="1">
      <c r="A114" s="40"/>
      <c r="B114" s="138">
        <v>10</v>
      </c>
      <c r="C114" s="59"/>
      <c r="D114" s="54"/>
      <c r="E114" s="54"/>
      <c r="F114" s="137"/>
      <c r="G114" s="136">
        <v>257.23</v>
      </c>
      <c r="H114" s="51">
        <v>461.64</v>
      </c>
      <c r="I114" s="51">
        <v>130.94999999999999</v>
      </c>
      <c r="J114" s="139">
        <v>-849.82</v>
      </c>
      <c r="K114" s="59"/>
    </row>
    <row r="115" spans="1:11" ht="15" customHeight="1">
      <c r="A115" s="40"/>
      <c r="B115" s="138">
        <v>11</v>
      </c>
      <c r="C115" s="59"/>
      <c r="D115" s="54"/>
      <c r="E115" s="54"/>
      <c r="F115" s="137"/>
      <c r="G115" s="136">
        <v>257.23</v>
      </c>
      <c r="H115" s="51">
        <v>461.64</v>
      </c>
      <c r="I115" s="51">
        <v>130.94999999999999</v>
      </c>
      <c r="J115" s="139">
        <v>-849.82</v>
      </c>
      <c r="K115" s="59"/>
    </row>
    <row r="116" spans="1:11" ht="15" customHeight="1">
      <c r="A116" s="40"/>
      <c r="B116" s="138">
        <v>12</v>
      </c>
      <c r="C116" s="59"/>
      <c r="D116" s="54"/>
      <c r="E116" s="54"/>
      <c r="F116" s="137"/>
      <c r="G116" s="136">
        <v>257.23</v>
      </c>
      <c r="H116" s="51">
        <v>461.64</v>
      </c>
      <c r="I116" s="51">
        <v>130.94999999999999</v>
      </c>
      <c r="J116" s="135">
        <v>-849.82</v>
      </c>
      <c r="K116" s="59"/>
    </row>
    <row r="117" spans="1:11" ht="15" customHeight="1" thickBot="1">
      <c r="A117" s="40" t="s">
        <v>422</v>
      </c>
      <c r="B117" s="134"/>
      <c r="C117" s="59"/>
      <c r="D117" s="54"/>
      <c r="E117" s="54"/>
      <c r="F117" s="137"/>
      <c r="G117" s="144"/>
      <c r="H117" s="143"/>
      <c r="I117" s="143"/>
      <c r="J117" s="146">
        <v>-10197.84</v>
      </c>
      <c r="K117" s="59"/>
    </row>
    <row r="118" spans="1:11" ht="15" customHeight="1" thickTop="1">
      <c r="A118" s="141">
        <v>2026</v>
      </c>
      <c r="B118" s="138">
        <v>1</v>
      </c>
      <c r="C118" s="59"/>
      <c r="D118" s="54"/>
      <c r="E118" s="54"/>
      <c r="F118" s="137"/>
      <c r="G118" s="136">
        <v>108.14</v>
      </c>
      <c r="H118" s="51">
        <v>193.3</v>
      </c>
      <c r="I118" s="51">
        <v>54.91</v>
      </c>
      <c r="J118" s="140">
        <v>-356.35</v>
      </c>
      <c r="K118" s="59"/>
    </row>
    <row r="119" spans="1:11" ht="15" customHeight="1">
      <c r="A119" s="40"/>
      <c r="B119" s="138">
        <v>2</v>
      </c>
      <c r="C119" s="59"/>
      <c r="D119" s="54"/>
      <c r="E119" s="54"/>
      <c r="F119" s="137"/>
      <c r="G119" s="136">
        <v>0</v>
      </c>
      <c r="H119" s="51">
        <v>0</v>
      </c>
      <c r="I119" s="51">
        <v>0</v>
      </c>
      <c r="J119" s="139">
        <v>0</v>
      </c>
      <c r="K119" s="59"/>
    </row>
    <row r="120" spans="1:11" ht="15" customHeight="1">
      <c r="A120" s="40"/>
      <c r="B120" s="138">
        <v>3</v>
      </c>
      <c r="C120" s="59"/>
      <c r="D120" s="54"/>
      <c r="E120" s="54"/>
      <c r="F120" s="137"/>
      <c r="G120" s="136">
        <v>0</v>
      </c>
      <c r="H120" s="51">
        <v>0</v>
      </c>
      <c r="I120" s="51">
        <v>0</v>
      </c>
      <c r="J120" s="139">
        <v>0</v>
      </c>
      <c r="K120" s="59"/>
    </row>
    <row r="121" spans="1:11" ht="15" customHeight="1">
      <c r="A121" s="40"/>
      <c r="B121" s="138">
        <v>4</v>
      </c>
      <c r="C121" s="59"/>
      <c r="D121" s="54"/>
      <c r="E121" s="54"/>
      <c r="F121" s="137"/>
      <c r="G121" s="136">
        <v>0</v>
      </c>
      <c r="H121" s="51">
        <v>0</v>
      </c>
      <c r="I121" s="51">
        <v>0</v>
      </c>
      <c r="J121" s="139">
        <v>0</v>
      </c>
      <c r="K121" s="59"/>
    </row>
    <row r="122" spans="1:11" ht="15" customHeight="1">
      <c r="A122" s="40"/>
      <c r="B122" s="138">
        <v>5</v>
      </c>
      <c r="C122" s="59"/>
      <c r="D122" s="54"/>
      <c r="E122" s="54"/>
      <c r="F122" s="137"/>
      <c r="G122" s="136">
        <v>0</v>
      </c>
      <c r="H122" s="51">
        <v>0</v>
      </c>
      <c r="I122" s="51">
        <v>0</v>
      </c>
      <c r="J122" s="139">
        <v>0</v>
      </c>
      <c r="K122" s="59"/>
    </row>
    <row r="123" spans="1:11" ht="15" customHeight="1">
      <c r="A123" s="40"/>
      <c r="B123" s="138">
        <v>6</v>
      </c>
      <c r="C123" s="59"/>
      <c r="D123" s="54"/>
      <c r="E123" s="54"/>
      <c r="F123" s="137"/>
      <c r="G123" s="136">
        <v>0</v>
      </c>
      <c r="H123" s="51">
        <v>0</v>
      </c>
      <c r="I123" s="51">
        <v>0</v>
      </c>
      <c r="J123" s="139">
        <v>0</v>
      </c>
      <c r="K123" s="59"/>
    </row>
    <row r="124" spans="1:11" ht="15" customHeight="1">
      <c r="A124" s="40"/>
      <c r="B124" s="138">
        <v>7</v>
      </c>
      <c r="C124" s="59"/>
      <c r="D124" s="54"/>
      <c r="E124" s="54"/>
      <c r="F124" s="137"/>
      <c r="G124" s="136">
        <v>0</v>
      </c>
      <c r="H124" s="51">
        <v>0</v>
      </c>
      <c r="I124" s="51">
        <v>0</v>
      </c>
      <c r="J124" s="139">
        <v>0</v>
      </c>
      <c r="K124" s="59"/>
    </row>
    <row r="125" spans="1:11" ht="15" customHeight="1">
      <c r="A125" s="40"/>
      <c r="B125" s="138">
        <v>8</v>
      </c>
      <c r="C125" s="59"/>
      <c r="D125" s="54"/>
      <c r="E125" s="54"/>
      <c r="F125" s="137"/>
      <c r="G125" s="136">
        <v>0</v>
      </c>
      <c r="H125" s="51">
        <v>0</v>
      </c>
      <c r="I125" s="51">
        <v>0</v>
      </c>
      <c r="J125" s="139">
        <v>0</v>
      </c>
      <c r="K125" s="59"/>
    </row>
    <row r="126" spans="1:11" ht="15" customHeight="1">
      <c r="A126" s="40"/>
      <c r="B126" s="138">
        <v>9</v>
      </c>
      <c r="C126" s="59"/>
      <c r="D126" s="54"/>
      <c r="E126" s="54"/>
      <c r="F126" s="137"/>
      <c r="G126" s="136">
        <v>0</v>
      </c>
      <c r="H126" s="51">
        <v>0</v>
      </c>
      <c r="I126" s="51">
        <v>0</v>
      </c>
      <c r="J126" s="139">
        <v>0</v>
      </c>
      <c r="K126" s="59"/>
    </row>
    <row r="127" spans="1:11" ht="15" customHeight="1">
      <c r="A127" s="40"/>
      <c r="B127" s="138">
        <v>10</v>
      </c>
      <c r="C127" s="59"/>
      <c r="D127" s="54"/>
      <c r="E127" s="54"/>
      <c r="F127" s="137"/>
      <c r="G127" s="136">
        <v>0</v>
      </c>
      <c r="H127" s="51">
        <v>0</v>
      </c>
      <c r="I127" s="51">
        <v>0</v>
      </c>
      <c r="J127" s="139">
        <v>0</v>
      </c>
      <c r="K127" s="59"/>
    </row>
    <row r="128" spans="1:11" ht="15" customHeight="1">
      <c r="A128" s="40"/>
      <c r="B128" s="138">
        <v>11</v>
      </c>
      <c r="C128" s="59"/>
      <c r="D128" s="54"/>
      <c r="E128" s="54"/>
      <c r="F128" s="137"/>
      <c r="G128" s="136">
        <v>0</v>
      </c>
      <c r="H128" s="51">
        <v>0</v>
      </c>
      <c r="I128" s="51">
        <v>0</v>
      </c>
      <c r="J128" s="139">
        <v>0</v>
      </c>
      <c r="K128" s="59"/>
    </row>
    <row r="129" spans="1:11" ht="15" customHeight="1">
      <c r="A129" s="40"/>
      <c r="B129" s="138">
        <v>12</v>
      </c>
      <c r="C129" s="59"/>
      <c r="D129" s="54"/>
      <c r="E129" s="54"/>
      <c r="F129" s="137"/>
      <c r="G129" s="136">
        <v>0</v>
      </c>
      <c r="H129" s="51">
        <v>0</v>
      </c>
      <c r="I129" s="51">
        <v>0</v>
      </c>
      <c r="J129" s="135">
        <v>0</v>
      </c>
      <c r="K129" s="59"/>
    </row>
    <row r="130" spans="1:11" ht="15" customHeight="1">
      <c r="A130" s="40" t="s">
        <v>421</v>
      </c>
      <c r="B130" s="134"/>
      <c r="C130" s="109"/>
      <c r="D130" s="65"/>
      <c r="E130" s="65"/>
      <c r="F130" s="129"/>
      <c r="G130" s="133"/>
      <c r="H130" s="132"/>
      <c r="I130" s="132"/>
      <c r="J130" s="157">
        <v>-356.35</v>
      </c>
      <c r="K130" s="59"/>
    </row>
    <row r="131" spans="1:11" ht="15" customHeight="1">
      <c r="A131" s="40"/>
      <c r="B131" s="40"/>
      <c r="C131" s="58"/>
      <c r="D131" s="58"/>
      <c r="E131" s="58"/>
      <c r="F131" s="48"/>
      <c r="G131" s="58"/>
      <c r="H131" s="58"/>
      <c r="I131" s="58"/>
      <c r="J131" s="48"/>
    </row>
    <row r="132" spans="1:11" ht="15" customHeight="1" thickBot="1">
      <c r="A132" s="54"/>
      <c r="B132" s="54"/>
      <c r="C132" s="54"/>
      <c r="D132" s="54"/>
      <c r="E132" s="40" t="s">
        <v>158</v>
      </c>
      <c r="F132" s="146">
        <v>-8769</v>
      </c>
      <c r="G132" s="59"/>
      <c r="H132" s="54"/>
      <c r="I132" s="40" t="s">
        <v>158</v>
      </c>
      <c r="J132" s="146">
        <v>-50989.17</v>
      </c>
      <c r="K132" s="59"/>
    </row>
    <row r="133" spans="1:11" ht="15" customHeight="1" thickTop="1">
      <c r="F133" s="63"/>
      <c r="J133" s="63"/>
    </row>
    <row r="134" spans="1:11" ht="15" customHeight="1">
      <c r="A134" s="54" t="s">
        <v>2</v>
      </c>
      <c r="B134" s="54" t="s">
        <v>3</v>
      </c>
      <c r="C134" s="54"/>
      <c r="D134" s="54"/>
      <c r="E134" s="54"/>
      <c r="F134" s="54"/>
      <c r="G134" s="54"/>
      <c r="H134" s="54"/>
      <c r="I134" s="54"/>
      <c r="J134" s="54"/>
    </row>
  </sheetData>
  <mergeCells count="10">
    <mergeCell ref="B7:J7"/>
    <mergeCell ref="G11:J11"/>
    <mergeCell ref="G10:J10"/>
    <mergeCell ref="C11:F11"/>
    <mergeCell ref="C10:F10"/>
    <mergeCell ref="A1:D1"/>
    <mergeCell ref="A2:E2"/>
    <mergeCell ref="A4:C4"/>
    <mergeCell ref="A3:D3"/>
    <mergeCell ref="B6:J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11279-7CA3-405E-AEFF-6298A44DAF78}">
  <dimension ref="A1:M136"/>
  <sheetViews>
    <sheetView showRuler="0" workbookViewId="0">
      <pane ySplit="15" topLeftCell="A16" activePane="bottomLeft" state="frozen"/>
      <selection pane="bottomLeft" activeCell="A16" sqref="A16"/>
    </sheetView>
  </sheetViews>
  <sheetFormatPr defaultColWidth="13.7265625" defaultRowHeight="12.5"/>
  <cols>
    <col min="1" max="12" width="13.7265625" style="41"/>
    <col min="13" max="13" width="21.26953125" style="41" customWidth="1"/>
    <col min="14" max="16384" width="13.7265625" style="41"/>
  </cols>
  <sheetData>
    <row r="1" spans="1:11" ht="15" customHeight="1">
      <c r="A1" s="711" t="s">
        <v>0</v>
      </c>
      <c r="B1" s="711"/>
      <c r="C1" s="711"/>
      <c r="D1" s="711"/>
      <c r="E1" s="54"/>
    </row>
    <row r="2" spans="1:11" ht="15" customHeight="1">
      <c r="A2" s="712" t="s">
        <v>420</v>
      </c>
      <c r="B2" s="712"/>
      <c r="C2" s="712"/>
      <c r="D2" s="712"/>
      <c r="E2" s="712"/>
    </row>
    <row r="3" spans="1:11" ht="15" customHeight="1">
      <c r="A3" s="712" t="s">
        <v>443</v>
      </c>
      <c r="B3" s="712"/>
      <c r="C3" s="712"/>
      <c r="D3" s="712"/>
      <c r="E3" s="54"/>
    </row>
    <row r="4" spans="1:11" ht="15" customHeight="1">
      <c r="A4" s="711" t="s">
        <v>352</v>
      </c>
      <c r="B4" s="711"/>
      <c r="C4" s="711"/>
      <c r="D4" s="54"/>
      <c r="E4" s="54"/>
    </row>
    <row r="5" spans="1:11" ht="15" customHeight="1"/>
    <row r="6" spans="1:11" ht="15" customHeight="1"/>
    <row r="7" spans="1:11" ht="15" customHeight="1">
      <c r="A7" s="65"/>
      <c r="B7" s="65"/>
      <c r="C7" s="65"/>
      <c r="D7" s="65"/>
      <c r="E7" s="65"/>
      <c r="F7" s="65"/>
      <c r="G7" s="65"/>
      <c r="H7" s="65"/>
      <c r="I7" s="65"/>
      <c r="J7" s="65"/>
    </row>
    <row r="8" spans="1:11" ht="16.75" customHeight="1">
      <c r="A8" s="153" t="s">
        <v>296</v>
      </c>
      <c r="B8" s="765" t="s">
        <v>439</v>
      </c>
      <c r="C8" s="766"/>
      <c r="D8" s="766"/>
      <c r="E8" s="766"/>
      <c r="F8" s="766"/>
      <c r="G8" s="766"/>
      <c r="H8" s="766"/>
      <c r="I8" s="766"/>
      <c r="J8" s="767"/>
      <c r="K8" s="59"/>
    </row>
    <row r="9" spans="1:11" ht="27.65" customHeight="1">
      <c r="A9" s="158" t="s">
        <v>181</v>
      </c>
      <c r="B9" s="768" t="s">
        <v>438</v>
      </c>
      <c r="C9" s="769"/>
      <c r="D9" s="769"/>
      <c r="E9" s="769"/>
      <c r="F9" s="769"/>
      <c r="G9" s="769"/>
      <c r="H9" s="769"/>
      <c r="I9" s="769"/>
      <c r="J9" s="770"/>
      <c r="K9" s="59"/>
    </row>
    <row r="10" spans="1:11" ht="15" customHeight="1">
      <c r="A10" s="58"/>
      <c r="B10" s="58"/>
      <c r="C10" s="58"/>
      <c r="D10" s="58"/>
      <c r="E10" s="58"/>
      <c r="F10" s="58"/>
      <c r="G10" s="58"/>
      <c r="H10" s="58"/>
      <c r="I10" s="58"/>
      <c r="J10" s="58"/>
    </row>
    <row r="11" spans="1:11" ht="15" customHeight="1">
      <c r="A11" s="54"/>
      <c r="B11" s="54"/>
      <c r="C11" s="65"/>
      <c r="D11" s="65"/>
      <c r="E11" s="65"/>
      <c r="F11" s="65"/>
      <c r="G11" s="65"/>
      <c r="H11" s="65"/>
      <c r="I11" s="65"/>
      <c r="J11" s="65"/>
    </row>
    <row r="12" spans="1:11" ht="15" customHeight="1">
      <c r="A12" s="54"/>
      <c r="B12" s="137"/>
      <c r="C12" s="762" t="s">
        <v>437</v>
      </c>
      <c r="D12" s="762"/>
      <c r="E12" s="762"/>
      <c r="F12" s="762"/>
      <c r="G12" s="762" t="s">
        <v>437</v>
      </c>
      <c r="H12" s="762"/>
      <c r="I12" s="762"/>
      <c r="J12" s="762"/>
      <c r="K12" s="59"/>
    </row>
    <row r="13" spans="1:11" ht="15" customHeight="1">
      <c r="A13" s="65"/>
      <c r="B13" s="129"/>
      <c r="C13" s="762" t="s">
        <v>436</v>
      </c>
      <c r="D13" s="762"/>
      <c r="E13" s="762"/>
      <c r="F13" s="762"/>
      <c r="G13" s="762" t="s">
        <v>435</v>
      </c>
      <c r="H13" s="762"/>
      <c r="I13" s="762"/>
      <c r="J13" s="762"/>
      <c r="K13" s="59"/>
    </row>
    <row r="14" spans="1:11" ht="15" customHeight="1">
      <c r="A14" s="155" t="s">
        <v>434</v>
      </c>
      <c r="B14" s="155" t="s">
        <v>433</v>
      </c>
      <c r="C14" s="154">
        <v>4310001</v>
      </c>
      <c r="D14" s="154">
        <v>4310001</v>
      </c>
      <c r="E14" s="154">
        <v>4310001</v>
      </c>
      <c r="F14" s="154">
        <v>1823537</v>
      </c>
      <c r="G14" s="154">
        <v>4310001</v>
      </c>
      <c r="H14" s="154">
        <v>4310001</v>
      </c>
      <c r="I14" s="154">
        <v>4310001</v>
      </c>
      <c r="J14" s="154">
        <v>1823537</v>
      </c>
      <c r="K14" s="59"/>
    </row>
    <row r="15" spans="1:11" ht="15" customHeight="1">
      <c r="A15" s="155" t="s">
        <v>432</v>
      </c>
      <c r="B15" s="155"/>
      <c r="C15" s="154">
        <v>110</v>
      </c>
      <c r="D15" s="154">
        <v>117</v>
      </c>
      <c r="E15" s="154">
        <v>180</v>
      </c>
      <c r="F15" s="153" t="s">
        <v>158</v>
      </c>
      <c r="G15" s="154">
        <v>110</v>
      </c>
      <c r="H15" s="154">
        <v>117</v>
      </c>
      <c r="I15" s="154">
        <v>180</v>
      </c>
      <c r="J15" s="153" t="s">
        <v>158</v>
      </c>
      <c r="K15" s="59"/>
    </row>
    <row r="16" spans="1:11" ht="15" customHeight="1">
      <c r="A16" s="152">
        <v>2018</v>
      </c>
      <c r="B16" s="151">
        <v>1</v>
      </c>
      <c r="C16" s="150">
        <v>17.16</v>
      </c>
      <c r="D16" s="55">
        <v>34.83</v>
      </c>
      <c r="E16" s="55">
        <v>9.8000000000000007</v>
      </c>
      <c r="F16" s="149">
        <v>-61.79</v>
      </c>
      <c r="G16" s="148"/>
      <c r="H16" s="58"/>
      <c r="I16" s="58"/>
      <c r="J16" s="147"/>
      <c r="K16" s="59"/>
    </row>
    <row r="17" spans="1:11" ht="15" customHeight="1">
      <c r="A17" s="40"/>
      <c r="B17" s="138">
        <v>2</v>
      </c>
      <c r="C17" s="136">
        <v>40.93</v>
      </c>
      <c r="D17" s="51">
        <v>83.05</v>
      </c>
      <c r="E17" s="51">
        <v>23.37</v>
      </c>
      <c r="F17" s="139">
        <v>-147.35</v>
      </c>
      <c r="G17" s="59"/>
      <c r="H17" s="54"/>
      <c r="I17" s="54"/>
      <c r="J17" s="137"/>
      <c r="K17" s="59"/>
    </row>
    <row r="18" spans="1:11" ht="15" customHeight="1">
      <c r="A18" s="40"/>
      <c r="B18" s="138">
        <v>3</v>
      </c>
      <c r="C18" s="136">
        <v>40.93</v>
      </c>
      <c r="D18" s="51">
        <v>83.05</v>
      </c>
      <c r="E18" s="51">
        <v>23.37</v>
      </c>
      <c r="F18" s="139">
        <v>-147.35</v>
      </c>
      <c r="G18" s="59"/>
      <c r="H18" s="54"/>
      <c r="I18" s="54"/>
      <c r="J18" s="137"/>
      <c r="K18" s="59"/>
    </row>
    <row r="19" spans="1:11" ht="15" customHeight="1">
      <c r="A19" s="40"/>
      <c r="B19" s="138">
        <v>4</v>
      </c>
      <c r="C19" s="136">
        <v>40.93</v>
      </c>
      <c r="D19" s="51">
        <v>83.05</v>
      </c>
      <c r="E19" s="51">
        <v>23.37</v>
      </c>
      <c r="F19" s="139">
        <v>-147.35</v>
      </c>
      <c r="G19" s="59"/>
      <c r="H19" s="54"/>
      <c r="I19" s="54"/>
      <c r="J19" s="137"/>
      <c r="K19" s="59"/>
    </row>
    <row r="20" spans="1:11" ht="15" customHeight="1">
      <c r="A20" s="40"/>
      <c r="B20" s="138">
        <v>5</v>
      </c>
      <c r="C20" s="136">
        <v>40.93</v>
      </c>
      <c r="D20" s="51">
        <v>83.05</v>
      </c>
      <c r="E20" s="51">
        <v>23.37</v>
      </c>
      <c r="F20" s="139">
        <v>-147.35</v>
      </c>
      <c r="G20" s="59"/>
      <c r="H20" s="54"/>
      <c r="I20" s="54"/>
      <c r="J20" s="137"/>
      <c r="K20" s="59"/>
    </row>
    <row r="21" spans="1:11" ht="15" customHeight="1">
      <c r="A21" s="40"/>
      <c r="B21" s="138">
        <v>6</v>
      </c>
      <c r="C21" s="136">
        <v>40.93</v>
      </c>
      <c r="D21" s="51">
        <v>83.05</v>
      </c>
      <c r="E21" s="51">
        <v>23.37</v>
      </c>
      <c r="F21" s="139">
        <v>-147.35</v>
      </c>
      <c r="G21" s="59"/>
      <c r="H21" s="54"/>
      <c r="I21" s="54"/>
      <c r="J21" s="137"/>
      <c r="K21" s="59"/>
    </row>
    <row r="22" spans="1:11" ht="15" customHeight="1">
      <c r="A22" s="40"/>
      <c r="B22" s="138">
        <v>7</v>
      </c>
      <c r="C22" s="136">
        <v>40.93</v>
      </c>
      <c r="D22" s="51">
        <v>83.05</v>
      </c>
      <c r="E22" s="51">
        <v>23.37</v>
      </c>
      <c r="F22" s="139">
        <v>-147.35</v>
      </c>
      <c r="G22" s="59"/>
      <c r="H22" s="54"/>
      <c r="I22" s="54"/>
      <c r="J22" s="137"/>
      <c r="K22" s="59"/>
    </row>
    <row r="23" spans="1:11" ht="15" customHeight="1">
      <c r="A23" s="40"/>
      <c r="B23" s="138">
        <v>8</v>
      </c>
      <c r="C23" s="136">
        <v>40.93</v>
      </c>
      <c r="D23" s="51">
        <v>83.05</v>
      </c>
      <c r="E23" s="51">
        <v>23.37</v>
      </c>
      <c r="F23" s="139">
        <v>-147.35</v>
      </c>
      <c r="G23" s="59"/>
      <c r="H23" s="54"/>
      <c r="I23" s="54"/>
      <c r="J23" s="137"/>
      <c r="K23" s="59"/>
    </row>
    <row r="24" spans="1:11" ht="15" customHeight="1">
      <c r="A24" s="40"/>
      <c r="B24" s="138">
        <v>9</v>
      </c>
      <c r="C24" s="136">
        <v>40.93</v>
      </c>
      <c r="D24" s="51">
        <v>83.05</v>
      </c>
      <c r="E24" s="51">
        <v>23.37</v>
      </c>
      <c r="F24" s="139">
        <v>-147.35</v>
      </c>
      <c r="G24" s="59"/>
      <c r="H24" s="54"/>
      <c r="I24" s="54"/>
      <c r="J24" s="137"/>
      <c r="K24" s="59"/>
    </row>
    <row r="25" spans="1:11" ht="15" customHeight="1">
      <c r="A25" s="40"/>
      <c r="B25" s="138">
        <v>10</v>
      </c>
      <c r="C25" s="136">
        <v>40.93</v>
      </c>
      <c r="D25" s="51">
        <v>83.05</v>
      </c>
      <c r="E25" s="51">
        <v>23.37</v>
      </c>
      <c r="F25" s="139">
        <v>-147.35</v>
      </c>
      <c r="G25" s="59"/>
      <c r="H25" s="54"/>
      <c r="I25" s="54"/>
      <c r="J25" s="137"/>
      <c r="K25" s="59"/>
    </row>
    <row r="26" spans="1:11" ht="15" customHeight="1">
      <c r="A26" s="40"/>
      <c r="B26" s="138">
        <v>11</v>
      </c>
      <c r="C26" s="136">
        <v>40.93</v>
      </c>
      <c r="D26" s="51">
        <v>83.05</v>
      </c>
      <c r="E26" s="51">
        <v>23.37</v>
      </c>
      <c r="F26" s="139">
        <v>-147.35</v>
      </c>
      <c r="G26" s="59"/>
      <c r="H26" s="54"/>
      <c r="I26" s="54"/>
      <c r="J26" s="137"/>
      <c r="K26" s="59"/>
    </row>
    <row r="27" spans="1:11" ht="15" customHeight="1">
      <c r="A27" s="40"/>
      <c r="B27" s="138">
        <v>12</v>
      </c>
      <c r="C27" s="136">
        <v>40.93</v>
      </c>
      <c r="D27" s="51">
        <v>83.05</v>
      </c>
      <c r="E27" s="51">
        <v>23.37</v>
      </c>
      <c r="F27" s="135">
        <v>-147.35</v>
      </c>
      <c r="G27" s="59"/>
      <c r="H27" s="54"/>
      <c r="I27" s="54"/>
      <c r="J27" s="137"/>
      <c r="K27" s="59"/>
    </row>
    <row r="28" spans="1:11" ht="15" customHeight="1" thickBot="1">
      <c r="A28" s="40" t="s">
        <v>431</v>
      </c>
      <c r="B28" s="134"/>
      <c r="C28" s="144"/>
      <c r="D28" s="143"/>
      <c r="E28" s="143"/>
      <c r="F28" s="146">
        <v>-1682.64</v>
      </c>
      <c r="G28" s="59"/>
      <c r="H28" s="54"/>
      <c r="I28" s="54"/>
      <c r="J28" s="137"/>
      <c r="K28" s="59"/>
    </row>
    <row r="29" spans="1:11" ht="15" customHeight="1" thickTop="1">
      <c r="A29" s="141">
        <v>2019</v>
      </c>
      <c r="B29" s="138">
        <v>1</v>
      </c>
      <c r="C29" s="136">
        <v>40.93</v>
      </c>
      <c r="D29" s="51">
        <v>83.05</v>
      </c>
      <c r="E29" s="51">
        <v>23.37</v>
      </c>
      <c r="F29" s="140">
        <v>-147.35</v>
      </c>
      <c r="G29" s="59"/>
      <c r="H29" s="54"/>
      <c r="I29" s="54"/>
      <c r="J29" s="137"/>
      <c r="K29" s="59"/>
    </row>
    <row r="30" spans="1:11" ht="15" customHeight="1">
      <c r="A30" s="40"/>
      <c r="B30" s="138">
        <v>2</v>
      </c>
      <c r="C30" s="136">
        <v>40.93</v>
      </c>
      <c r="D30" s="51">
        <v>83.05</v>
      </c>
      <c r="E30" s="51">
        <v>23.37</v>
      </c>
      <c r="F30" s="139">
        <v>-147.35</v>
      </c>
      <c r="G30" s="59"/>
      <c r="H30" s="54"/>
      <c r="I30" s="54"/>
      <c r="J30" s="137"/>
      <c r="K30" s="59"/>
    </row>
    <row r="31" spans="1:11" ht="15" customHeight="1">
      <c r="A31" s="40"/>
      <c r="B31" s="138">
        <v>3</v>
      </c>
      <c r="C31" s="136">
        <v>40.93</v>
      </c>
      <c r="D31" s="51">
        <v>83.05</v>
      </c>
      <c r="E31" s="51">
        <v>23.37</v>
      </c>
      <c r="F31" s="139">
        <v>-147.35</v>
      </c>
      <c r="G31" s="59"/>
      <c r="H31" s="54"/>
      <c r="I31" s="54"/>
      <c r="J31" s="137"/>
      <c r="K31" s="59"/>
    </row>
    <row r="32" spans="1:11" ht="15" customHeight="1">
      <c r="A32" s="40"/>
      <c r="B32" s="138">
        <v>4</v>
      </c>
      <c r="C32" s="136">
        <v>40.93</v>
      </c>
      <c r="D32" s="51">
        <v>83.05</v>
      </c>
      <c r="E32" s="51">
        <v>23.37</v>
      </c>
      <c r="F32" s="139">
        <v>-147.35</v>
      </c>
      <c r="G32" s="59"/>
      <c r="H32" s="54"/>
      <c r="I32" s="54"/>
      <c r="J32" s="137"/>
      <c r="K32" s="59"/>
    </row>
    <row r="33" spans="1:11" ht="15" customHeight="1">
      <c r="A33" s="40"/>
      <c r="B33" s="138">
        <v>5</v>
      </c>
      <c r="C33" s="136">
        <v>40.93</v>
      </c>
      <c r="D33" s="51">
        <v>83.05</v>
      </c>
      <c r="E33" s="51">
        <v>23.37</v>
      </c>
      <c r="F33" s="139">
        <v>-147.35</v>
      </c>
      <c r="G33" s="59"/>
      <c r="H33" s="54"/>
      <c r="I33" s="54"/>
      <c r="J33" s="137"/>
      <c r="K33" s="59"/>
    </row>
    <row r="34" spans="1:11" ht="15" customHeight="1">
      <c r="A34" s="40"/>
      <c r="B34" s="138">
        <v>6</v>
      </c>
      <c r="C34" s="136">
        <v>40.93</v>
      </c>
      <c r="D34" s="51">
        <v>83.05</v>
      </c>
      <c r="E34" s="51">
        <v>23.37</v>
      </c>
      <c r="F34" s="139">
        <v>-147.35</v>
      </c>
      <c r="G34" s="59"/>
      <c r="H34" s="54"/>
      <c r="I34" s="54"/>
      <c r="J34" s="137"/>
      <c r="K34" s="59"/>
    </row>
    <row r="35" spans="1:11" ht="15" customHeight="1">
      <c r="A35" s="40"/>
      <c r="B35" s="138">
        <v>7</v>
      </c>
      <c r="C35" s="136">
        <v>40.93</v>
      </c>
      <c r="D35" s="51">
        <v>83.05</v>
      </c>
      <c r="E35" s="51">
        <v>23.37</v>
      </c>
      <c r="F35" s="139">
        <v>-147.35</v>
      </c>
      <c r="G35" s="59"/>
      <c r="H35" s="54"/>
      <c r="I35" s="54"/>
      <c r="J35" s="137"/>
      <c r="K35" s="59"/>
    </row>
    <row r="36" spans="1:11" ht="15" customHeight="1">
      <c r="A36" s="40"/>
      <c r="B36" s="138">
        <v>8</v>
      </c>
      <c r="C36" s="136">
        <v>40.93</v>
      </c>
      <c r="D36" s="51">
        <v>83.05</v>
      </c>
      <c r="E36" s="51">
        <v>23.37</v>
      </c>
      <c r="F36" s="139">
        <v>-147.35</v>
      </c>
      <c r="G36" s="59"/>
      <c r="H36" s="54"/>
      <c r="I36" s="54"/>
      <c r="J36" s="137"/>
      <c r="K36" s="59"/>
    </row>
    <row r="37" spans="1:11" ht="15" customHeight="1">
      <c r="A37" s="40"/>
      <c r="B37" s="138">
        <v>9</v>
      </c>
      <c r="C37" s="136">
        <v>40.93</v>
      </c>
      <c r="D37" s="51">
        <v>83.05</v>
      </c>
      <c r="E37" s="51">
        <v>23.37</v>
      </c>
      <c r="F37" s="139">
        <v>-147.35</v>
      </c>
      <c r="G37" s="59"/>
      <c r="H37" s="54"/>
      <c r="I37" s="54"/>
      <c r="J37" s="137"/>
      <c r="K37" s="59"/>
    </row>
    <row r="38" spans="1:11" ht="15" customHeight="1">
      <c r="A38" s="40"/>
      <c r="B38" s="138">
        <v>10</v>
      </c>
      <c r="C38" s="136">
        <v>40.93</v>
      </c>
      <c r="D38" s="51">
        <v>83.05</v>
      </c>
      <c r="E38" s="51">
        <v>23.37</v>
      </c>
      <c r="F38" s="139">
        <v>-147.35</v>
      </c>
      <c r="G38" s="59"/>
      <c r="H38" s="54"/>
      <c r="I38" s="54"/>
      <c r="J38" s="137"/>
      <c r="K38" s="59"/>
    </row>
    <row r="39" spans="1:11" ht="15" customHeight="1">
      <c r="A39" s="40"/>
      <c r="B39" s="138">
        <v>11</v>
      </c>
      <c r="C39" s="136">
        <v>40.93</v>
      </c>
      <c r="D39" s="51">
        <v>83.05</v>
      </c>
      <c r="E39" s="51">
        <v>23.37</v>
      </c>
      <c r="F39" s="139">
        <v>-147.35</v>
      </c>
      <c r="G39" s="59"/>
      <c r="H39" s="54"/>
      <c r="I39" s="54"/>
      <c r="J39" s="137"/>
      <c r="K39" s="59"/>
    </row>
    <row r="40" spans="1:11" ht="15" customHeight="1">
      <c r="A40" s="40"/>
      <c r="B40" s="138">
        <v>12</v>
      </c>
      <c r="C40" s="136">
        <v>40.93</v>
      </c>
      <c r="D40" s="51">
        <v>83.05</v>
      </c>
      <c r="E40" s="51">
        <v>23.37</v>
      </c>
      <c r="F40" s="135">
        <v>-147.35</v>
      </c>
      <c r="G40" s="59"/>
      <c r="H40" s="54"/>
      <c r="I40" s="54"/>
      <c r="J40" s="137"/>
      <c r="K40" s="59"/>
    </row>
    <row r="41" spans="1:11" ht="15" customHeight="1" thickBot="1">
      <c r="A41" s="40" t="s">
        <v>430</v>
      </c>
      <c r="B41" s="134"/>
      <c r="C41" s="144"/>
      <c r="D41" s="143"/>
      <c r="E41" s="143"/>
      <c r="F41" s="146">
        <v>-1768.2</v>
      </c>
      <c r="G41" s="59"/>
      <c r="H41" s="54"/>
      <c r="I41" s="54"/>
      <c r="J41" s="137"/>
      <c r="K41" s="59"/>
    </row>
    <row r="42" spans="1:11" ht="15" customHeight="1" thickTop="1">
      <c r="A42" s="141">
        <v>2020</v>
      </c>
      <c r="B42" s="138">
        <v>1</v>
      </c>
      <c r="C42" s="136">
        <v>40.93</v>
      </c>
      <c r="D42" s="51">
        <v>83.05</v>
      </c>
      <c r="E42" s="51">
        <v>23.37</v>
      </c>
      <c r="F42" s="140">
        <v>-147.35</v>
      </c>
      <c r="G42" s="59"/>
      <c r="H42" s="54"/>
      <c r="I42" s="54"/>
      <c r="J42" s="137"/>
      <c r="K42" s="59"/>
    </row>
    <row r="43" spans="1:11" ht="15" customHeight="1">
      <c r="A43" s="40"/>
      <c r="B43" s="138">
        <v>2</v>
      </c>
      <c r="C43" s="136">
        <v>40.93</v>
      </c>
      <c r="D43" s="51">
        <v>83.05</v>
      </c>
      <c r="E43" s="51">
        <v>23.37</v>
      </c>
      <c r="F43" s="139">
        <v>-147.35</v>
      </c>
      <c r="G43" s="59"/>
      <c r="H43" s="54"/>
      <c r="I43" s="54"/>
      <c r="J43" s="137"/>
      <c r="K43" s="59"/>
    </row>
    <row r="44" spans="1:11" ht="15" customHeight="1">
      <c r="A44" s="40"/>
      <c r="B44" s="138">
        <v>3</v>
      </c>
      <c r="C44" s="136">
        <v>40.93</v>
      </c>
      <c r="D44" s="51">
        <v>83.05</v>
      </c>
      <c r="E44" s="51">
        <v>23.37</v>
      </c>
      <c r="F44" s="139">
        <v>-147.35</v>
      </c>
      <c r="G44" s="59"/>
      <c r="H44" s="54"/>
      <c r="I44" s="54"/>
      <c r="J44" s="137"/>
      <c r="K44" s="59"/>
    </row>
    <row r="45" spans="1:11" ht="15" customHeight="1">
      <c r="A45" s="40"/>
      <c r="B45" s="138">
        <v>4</v>
      </c>
      <c r="C45" s="136">
        <v>40.93</v>
      </c>
      <c r="D45" s="51">
        <v>83.05</v>
      </c>
      <c r="E45" s="51">
        <v>23.37</v>
      </c>
      <c r="F45" s="139">
        <v>-147.35</v>
      </c>
      <c r="G45" s="59"/>
      <c r="H45" s="54"/>
      <c r="I45" s="54"/>
      <c r="J45" s="137"/>
      <c r="K45" s="59"/>
    </row>
    <row r="46" spans="1:11" ht="15" customHeight="1">
      <c r="A46" s="40"/>
      <c r="B46" s="138">
        <v>5</v>
      </c>
      <c r="C46" s="136">
        <v>40.93</v>
      </c>
      <c r="D46" s="51">
        <v>83.05</v>
      </c>
      <c r="E46" s="51">
        <v>23.37</v>
      </c>
      <c r="F46" s="139">
        <v>-147.35</v>
      </c>
      <c r="G46" s="59"/>
      <c r="H46" s="54"/>
      <c r="I46" s="54"/>
      <c r="J46" s="137"/>
      <c r="K46" s="59"/>
    </row>
    <row r="47" spans="1:11" ht="15" customHeight="1">
      <c r="A47" s="40"/>
      <c r="B47" s="138">
        <v>6</v>
      </c>
      <c r="C47" s="136">
        <v>40.93</v>
      </c>
      <c r="D47" s="51">
        <v>83.05</v>
      </c>
      <c r="E47" s="51">
        <v>23.37</v>
      </c>
      <c r="F47" s="139">
        <v>-147.35</v>
      </c>
      <c r="G47" s="59"/>
      <c r="H47" s="54"/>
      <c r="I47" s="54"/>
      <c r="J47" s="137"/>
      <c r="K47" s="59"/>
    </row>
    <row r="48" spans="1:11" ht="15" customHeight="1">
      <c r="A48" s="40"/>
      <c r="B48" s="138">
        <v>7</v>
      </c>
      <c r="C48" s="136">
        <v>40.93</v>
      </c>
      <c r="D48" s="51">
        <v>83.05</v>
      </c>
      <c r="E48" s="51">
        <v>23.37</v>
      </c>
      <c r="F48" s="139">
        <v>-147.35</v>
      </c>
      <c r="G48" s="59"/>
      <c r="H48" s="54"/>
      <c r="I48" s="54"/>
      <c r="J48" s="137"/>
      <c r="K48" s="59"/>
    </row>
    <row r="49" spans="1:11" ht="15" customHeight="1">
      <c r="A49" s="40"/>
      <c r="B49" s="138">
        <v>8</v>
      </c>
      <c r="C49" s="136">
        <v>40.93</v>
      </c>
      <c r="D49" s="51">
        <v>83.05</v>
      </c>
      <c r="E49" s="51">
        <v>23.37</v>
      </c>
      <c r="F49" s="139">
        <v>-147.35</v>
      </c>
      <c r="G49" s="59"/>
      <c r="H49" s="54"/>
      <c r="I49" s="54"/>
      <c r="J49" s="137"/>
      <c r="K49" s="59"/>
    </row>
    <row r="50" spans="1:11" ht="15" customHeight="1">
      <c r="A50" s="40"/>
      <c r="B50" s="138">
        <v>9</v>
      </c>
      <c r="C50" s="136">
        <v>40.93</v>
      </c>
      <c r="D50" s="51">
        <v>83.05</v>
      </c>
      <c r="E50" s="51">
        <v>23.37</v>
      </c>
      <c r="F50" s="139">
        <v>-147.35</v>
      </c>
      <c r="G50" s="59"/>
      <c r="H50" s="54"/>
      <c r="I50" s="54"/>
      <c r="J50" s="137"/>
      <c r="K50" s="59"/>
    </row>
    <row r="51" spans="1:11" ht="15" customHeight="1">
      <c r="A51" s="40"/>
      <c r="B51" s="138">
        <v>10</v>
      </c>
      <c r="C51" s="136">
        <v>40.93</v>
      </c>
      <c r="D51" s="51">
        <v>83.05</v>
      </c>
      <c r="E51" s="51">
        <v>23.37</v>
      </c>
      <c r="F51" s="139">
        <v>-147.35</v>
      </c>
      <c r="G51" s="59"/>
      <c r="H51" s="54"/>
      <c r="I51" s="54"/>
      <c r="J51" s="137"/>
      <c r="K51" s="59"/>
    </row>
    <row r="52" spans="1:11" ht="15" customHeight="1">
      <c r="A52" s="40"/>
      <c r="B52" s="138">
        <v>11</v>
      </c>
      <c r="C52" s="136">
        <v>40.93</v>
      </c>
      <c r="D52" s="51">
        <v>83.05</v>
      </c>
      <c r="E52" s="51">
        <v>23.37</v>
      </c>
      <c r="F52" s="139">
        <v>-147.35</v>
      </c>
      <c r="G52" s="59"/>
      <c r="H52" s="54"/>
      <c r="I52" s="54"/>
      <c r="J52" s="137"/>
      <c r="K52" s="59"/>
    </row>
    <row r="53" spans="1:11" ht="15" customHeight="1">
      <c r="A53" s="40"/>
      <c r="B53" s="138">
        <v>12</v>
      </c>
      <c r="C53" s="136">
        <v>40.93</v>
      </c>
      <c r="D53" s="51">
        <v>83.05</v>
      </c>
      <c r="E53" s="51">
        <v>23.37</v>
      </c>
      <c r="F53" s="135">
        <v>-147.35</v>
      </c>
      <c r="G53" s="59"/>
      <c r="H53" s="54"/>
      <c r="I53" s="54"/>
      <c r="J53" s="137"/>
      <c r="K53" s="59"/>
    </row>
    <row r="54" spans="1:11" ht="15" customHeight="1" thickBot="1">
      <c r="A54" s="40" t="s">
        <v>429</v>
      </c>
      <c r="B54" s="134"/>
      <c r="C54" s="144"/>
      <c r="D54" s="143"/>
      <c r="E54" s="143"/>
      <c r="F54" s="146">
        <v>-1768.2</v>
      </c>
      <c r="G54" s="59"/>
      <c r="H54" s="54"/>
      <c r="I54" s="54"/>
      <c r="J54" s="137"/>
      <c r="K54" s="59"/>
    </row>
    <row r="55" spans="1:11" ht="15" customHeight="1" thickTop="1">
      <c r="A55" s="141">
        <v>2021</v>
      </c>
      <c r="B55" s="138">
        <v>1</v>
      </c>
      <c r="C55" s="136">
        <v>40.93</v>
      </c>
      <c r="D55" s="51">
        <v>83.05</v>
      </c>
      <c r="E55" s="51">
        <v>23.37</v>
      </c>
      <c r="F55" s="140">
        <v>-147.35</v>
      </c>
      <c r="G55" s="136">
        <v>161.97999999999999</v>
      </c>
      <c r="H55" s="51">
        <v>290.33999999999997</v>
      </c>
      <c r="I55" s="51">
        <v>82.37</v>
      </c>
      <c r="J55" s="139">
        <v>-534.69000000000005</v>
      </c>
      <c r="K55" s="59"/>
    </row>
    <row r="56" spans="1:11" ht="15" customHeight="1">
      <c r="A56" s="40"/>
      <c r="B56" s="138">
        <v>2</v>
      </c>
      <c r="C56" s="136">
        <v>40.93</v>
      </c>
      <c r="D56" s="51">
        <v>83.05</v>
      </c>
      <c r="E56" s="51">
        <v>23.37</v>
      </c>
      <c r="F56" s="139">
        <v>-147.35</v>
      </c>
      <c r="G56" s="136">
        <v>278.97000000000003</v>
      </c>
      <c r="H56" s="51">
        <v>500.03</v>
      </c>
      <c r="I56" s="51">
        <v>141.86000000000001</v>
      </c>
      <c r="J56" s="139">
        <v>-920.86</v>
      </c>
      <c r="K56" s="59"/>
    </row>
    <row r="57" spans="1:11" ht="15" customHeight="1">
      <c r="A57" s="40"/>
      <c r="B57" s="138">
        <v>3</v>
      </c>
      <c r="C57" s="136">
        <v>40.93</v>
      </c>
      <c r="D57" s="51">
        <v>83.05</v>
      </c>
      <c r="E57" s="51">
        <v>23.37</v>
      </c>
      <c r="F57" s="139">
        <v>-147.35</v>
      </c>
      <c r="G57" s="136">
        <v>278.97000000000003</v>
      </c>
      <c r="H57" s="51">
        <v>500.03</v>
      </c>
      <c r="I57" s="51">
        <v>141.86000000000001</v>
      </c>
      <c r="J57" s="139">
        <v>-920.86</v>
      </c>
      <c r="K57" s="59"/>
    </row>
    <row r="58" spans="1:11" ht="15" customHeight="1">
      <c r="A58" s="40"/>
      <c r="B58" s="138">
        <v>4</v>
      </c>
      <c r="C58" s="136">
        <v>40.93</v>
      </c>
      <c r="D58" s="51">
        <v>83.05</v>
      </c>
      <c r="E58" s="51">
        <v>23.37</v>
      </c>
      <c r="F58" s="139">
        <v>-147.35</v>
      </c>
      <c r="G58" s="136">
        <v>278.97000000000003</v>
      </c>
      <c r="H58" s="51">
        <v>500.03</v>
      </c>
      <c r="I58" s="51">
        <v>141.86000000000001</v>
      </c>
      <c r="J58" s="139">
        <v>-920.86</v>
      </c>
      <c r="K58" s="59"/>
    </row>
    <row r="59" spans="1:11" ht="15" customHeight="1">
      <c r="A59" s="40"/>
      <c r="B59" s="138">
        <v>5</v>
      </c>
      <c r="C59" s="136">
        <v>40.93</v>
      </c>
      <c r="D59" s="51">
        <v>83.05</v>
      </c>
      <c r="E59" s="51">
        <v>23.37</v>
      </c>
      <c r="F59" s="139">
        <v>-147.35</v>
      </c>
      <c r="G59" s="136">
        <v>278.97000000000003</v>
      </c>
      <c r="H59" s="51">
        <v>500.03</v>
      </c>
      <c r="I59" s="51">
        <v>141.86000000000001</v>
      </c>
      <c r="J59" s="139">
        <v>-920.86</v>
      </c>
      <c r="K59" s="59"/>
    </row>
    <row r="60" spans="1:11" ht="15" customHeight="1">
      <c r="A60" s="40"/>
      <c r="B60" s="138">
        <v>6</v>
      </c>
      <c r="C60" s="136">
        <v>40.93</v>
      </c>
      <c r="D60" s="51">
        <v>83.05</v>
      </c>
      <c r="E60" s="51">
        <v>23.37</v>
      </c>
      <c r="F60" s="139">
        <v>-147.35</v>
      </c>
      <c r="G60" s="136">
        <v>278.97000000000003</v>
      </c>
      <c r="H60" s="51">
        <v>500.03</v>
      </c>
      <c r="I60" s="51">
        <v>141.86000000000001</v>
      </c>
      <c r="J60" s="139">
        <v>-920.86</v>
      </c>
      <c r="K60" s="59"/>
    </row>
    <row r="61" spans="1:11" ht="15" customHeight="1">
      <c r="A61" s="40"/>
      <c r="B61" s="138">
        <v>7</v>
      </c>
      <c r="C61" s="136">
        <v>40.93</v>
      </c>
      <c r="D61" s="51">
        <v>83.05</v>
      </c>
      <c r="E61" s="51">
        <v>23.37</v>
      </c>
      <c r="F61" s="139">
        <v>-147.35</v>
      </c>
      <c r="G61" s="136">
        <v>278.97000000000003</v>
      </c>
      <c r="H61" s="51">
        <v>500.03</v>
      </c>
      <c r="I61" s="51">
        <v>141.86000000000001</v>
      </c>
      <c r="J61" s="139">
        <v>-920.86</v>
      </c>
      <c r="K61" s="59"/>
    </row>
    <row r="62" spans="1:11" ht="15" customHeight="1">
      <c r="A62" s="40"/>
      <c r="B62" s="138">
        <v>8</v>
      </c>
      <c r="C62" s="136">
        <v>40.93</v>
      </c>
      <c r="D62" s="51">
        <v>83.05</v>
      </c>
      <c r="E62" s="51">
        <v>23.37</v>
      </c>
      <c r="F62" s="139">
        <v>-147.35</v>
      </c>
      <c r="G62" s="136">
        <v>278.97000000000003</v>
      </c>
      <c r="H62" s="51">
        <v>500.03</v>
      </c>
      <c r="I62" s="51">
        <v>141.86000000000001</v>
      </c>
      <c r="J62" s="139">
        <v>-920.86</v>
      </c>
      <c r="K62" s="59"/>
    </row>
    <row r="63" spans="1:11" ht="15" customHeight="1">
      <c r="A63" s="40"/>
      <c r="B63" s="138">
        <v>9</v>
      </c>
      <c r="C63" s="136">
        <v>40.93</v>
      </c>
      <c r="D63" s="51">
        <v>83.05</v>
      </c>
      <c r="E63" s="51">
        <v>23.37</v>
      </c>
      <c r="F63" s="139">
        <v>-147.35</v>
      </c>
      <c r="G63" s="136">
        <v>278.97000000000003</v>
      </c>
      <c r="H63" s="51">
        <v>500.03</v>
      </c>
      <c r="I63" s="51">
        <v>141.86000000000001</v>
      </c>
      <c r="J63" s="139">
        <v>-920.86</v>
      </c>
      <c r="K63" s="59"/>
    </row>
    <row r="64" spans="1:11" ht="15" customHeight="1">
      <c r="A64" s="40"/>
      <c r="B64" s="138">
        <v>10</v>
      </c>
      <c r="C64" s="136">
        <v>40.93</v>
      </c>
      <c r="D64" s="51">
        <v>83.05</v>
      </c>
      <c r="E64" s="51">
        <v>23.37</v>
      </c>
      <c r="F64" s="139">
        <v>-147.35</v>
      </c>
      <c r="G64" s="136">
        <v>278.97000000000003</v>
      </c>
      <c r="H64" s="51">
        <v>500.03</v>
      </c>
      <c r="I64" s="51">
        <v>141.86000000000001</v>
      </c>
      <c r="J64" s="139">
        <v>-920.86</v>
      </c>
      <c r="K64" s="59"/>
    </row>
    <row r="65" spans="1:12" ht="15" customHeight="1">
      <c r="A65" s="40"/>
      <c r="B65" s="138">
        <v>11</v>
      </c>
      <c r="C65" s="136">
        <v>40.93</v>
      </c>
      <c r="D65" s="51">
        <v>83.05</v>
      </c>
      <c r="E65" s="51">
        <v>23.37</v>
      </c>
      <c r="F65" s="139">
        <v>-147.35</v>
      </c>
      <c r="G65" s="136">
        <v>278.97000000000003</v>
      </c>
      <c r="H65" s="51">
        <v>500.03</v>
      </c>
      <c r="I65" s="51">
        <v>141.86000000000001</v>
      </c>
      <c r="J65" s="139">
        <v>-920.86</v>
      </c>
      <c r="K65" s="59"/>
    </row>
    <row r="66" spans="1:12" ht="15" customHeight="1">
      <c r="A66" s="40"/>
      <c r="B66" s="138">
        <v>12</v>
      </c>
      <c r="C66" s="136">
        <v>40.93</v>
      </c>
      <c r="D66" s="51">
        <v>83.05</v>
      </c>
      <c r="E66" s="51">
        <v>23.37</v>
      </c>
      <c r="F66" s="135">
        <v>-147.35</v>
      </c>
      <c r="G66" s="136">
        <v>278.97000000000003</v>
      </c>
      <c r="H66" s="51">
        <v>500.03</v>
      </c>
      <c r="I66" s="51">
        <v>141.86000000000001</v>
      </c>
      <c r="J66" s="135">
        <v>-920.86</v>
      </c>
      <c r="K66" s="59"/>
    </row>
    <row r="67" spans="1:12" ht="15" customHeight="1" thickBot="1">
      <c r="A67" s="40" t="s">
        <v>428</v>
      </c>
      <c r="B67" s="134"/>
      <c r="C67" s="144"/>
      <c r="D67" s="143"/>
      <c r="E67" s="143"/>
      <c r="F67" s="146">
        <v>-1768.2</v>
      </c>
      <c r="G67" s="144"/>
      <c r="H67" s="143"/>
      <c r="I67" s="143"/>
      <c r="J67" s="146">
        <v>-10664.15</v>
      </c>
      <c r="K67" s="59"/>
    </row>
    <row r="68" spans="1:12" ht="15" customHeight="1" thickTop="1">
      <c r="A68" s="141">
        <v>2022</v>
      </c>
      <c r="B68" s="138">
        <v>1</v>
      </c>
      <c r="C68" s="136">
        <v>40.93</v>
      </c>
      <c r="D68" s="51">
        <v>83.05</v>
      </c>
      <c r="E68" s="51">
        <v>23.37</v>
      </c>
      <c r="F68" s="140">
        <v>-147.35</v>
      </c>
      <c r="G68" s="136">
        <v>278.97000000000003</v>
      </c>
      <c r="H68" s="51">
        <v>500.03</v>
      </c>
      <c r="I68" s="51">
        <v>141.86000000000001</v>
      </c>
      <c r="J68" s="140">
        <v>-920.86</v>
      </c>
      <c r="K68" s="59"/>
    </row>
    <row r="69" spans="1:12" ht="15" customHeight="1">
      <c r="A69" s="40"/>
      <c r="B69" s="138">
        <v>2</v>
      </c>
      <c r="C69" s="136">
        <v>40.93</v>
      </c>
      <c r="D69" s="51">
        <v>83.05</v>
      </c>
      <c r="E69" s="51">
        <v>23.37</v>
      </c>
      <c r="F69" s="139">
        <v>-147.35</v>
      </c>
      <c r="G69" s="136">
        <v>278.97000000000003</v>
      </c>
      <c r="H69" s="51">
        <v>500.03</v>
      </c>
      <c r="I69" s="51">
        <v>141.86000000000001</v>
      </c>
      <c r="J69" s="139">
        <v>-920.86</v>
      </c>
      <c r="K69" s="59"/>
    </row>
    <row r="70" spans="1:12" ht="15" customHeight="1">
      <c r="A70" s="40"/>
      <c r="B70" s="138">
        <v>3</v>
      </c>
      <c r="C70" s="136">
        <v>40.93</v>
      </c>
      <c r="D70" s="51">
        <v>83.05</v>
      </c>
      <c r="E70" s="51">
        <v>23.37</v>
      </c>
      <c r="F70" s="139">
        <v>-147.35</v>
      </c>
      <c r="G70" s="136">
        <v>278.97000000000003</v>
      </c>
      <c r="H70" s="51">
        <v>500.03</v>
      </c>
      <c r="I70" s="51">
        <v>141.86000000000001</v>
      </c>
      <c r="J70" s="139">
        <v>-920.86</v>
      </c>
      <c r="K70" s="59"/>
    </row>
    <row r="71" spans="1:12" ht="15" customHeight="1">
      <c r="A71" s="40"/>
      <c r="B71" s="138">
        <v>4</v>
      </c>
      <c r="C71" s="136">
        <v>40.93</v>
      </c>
      <c r="D71" s="51">
        <v>83.05</v>
      </c>
      <c r="E71" s="51">
        <v>23.37</v>
      </c>
      <c r="F71" s="139">
        <v>-147.35</v>
      </c>
      <c r="G71" s="136">
        <v>278.97000000000003</v>
      </c>
      <c r="H71" s="51">
        <v>500.03</v>
      </c>
      <c r="I71" s="51">
        <v>141.86000000000001</v>
      </c>
      <c r="J71" s="139">
        <v>-920.86</v>
      </c>
      <c r="K71" s="59"/>
      <c r="L71" s="51">
        <f t="shared" ref="L71:L79" si="0">J71+F71</f>
        <v>-1068.21</v>
      </c>
    </row>
    <row r="72" spans="1:12" ht="15" customHeight="1">
      <c r="A72" s="40"/>
      <c r="B72" s="138">
        <v>5</v>
      </c>
      <c r="C72" s="136">
        <v>40.93</v>
      </c>
      <c r="D72" s="51">
        <v>83.05</v>
      </c>
      <c r="E72" s="51">
        <v>23.37</v>
      </c>
      <c r="F72" s="139">
        <v>-147.35</v>
      </c>
      <c r="G72" s="136">
        <v>278.97000000000003</v>
      </c>
      <c r="H72" s="51">
        <v>500.03</v>
      </c>
      <c r="I72" s="51">
        <v>141.86000000000001</v>
      </c>
      <c r="J72" s="139">
        <v>-920.86</v>
      </c>
      <c r="K72" s="59"/>
      <c r="L72" s="51">
        <f t="shared" si="0"/>
        <v>-1068.21</v>
      </c>
    </row>
    <row r="73" spans="1:12" ht="15" customHeight="1">
      <c r="A73" s="40"/>
      <c r="B73" s="138">
        <v>6</v>
      </c>
      <c r="C73" s="136">
        <v>40.93</v>
      </c>
      <c r="D73" s="51">
        <v>83.05</v>
      </c>
      <c r="E73" s="51">
        <v>23.37</v>
      </c>
      <c r="F73" s="139">
        <v>-147.35</v>
      </c>
      <c r="G73" s="136">
        <v>278.97000000000003</v>
      </c>
      <c r="H73" s="51">
        <v>500.03</v>
      </c>
      <c r="I73" s="51">
        <v>141.86000000000001</v>
      </c>
      <c r="J73" s="139">
        <v>-920.86</v>
      </c>
      <c r="K73" s="59"/>
      <c r="L73" s="51">
        <f t="shared" si="0"/>
        <v>-1068.21</v>
      </c>
    </row>
    <row r="74" spans="1:12" ht="15" customHeight="1">
      <c r="A74" s="40"/>
      <c r="B74" s="138">
        <v>7</v>
      </c>
      <c r="C74" s="136">
        <v>40.93</v>
      </c>
      <c r="D74" s="51">
        <v>83.05</v>
      </c>
      <c r="E74" s="51">
        <v>23.37</v>
      </c>
      <c r="F74" s="139">
        <v>-147.35</v>
      </c>
      <c r="G74" s="136">
        <v>278.97000000000003</v>
      </c>
      <c r="H74" s="51">
        <v>500.03</v>
      </c>
      <c r="I74" s="51">
        <v>141.86000000000001</v>
      </c>
      <c r="J74" s="139">
        <v>-920.86</v>
      </c>
      <c r="K74" s="59"/>
      <c r="L74" s="51">
        <f t="shared" si="0"/>
        <v>-1068.21</v>
      </c>
    </row>
    <row r="75" spans="1:12" ht="15" customHeight="1">
      <c r="A75" s="40"/>
      <c r="B75" s="138">
        <v>8</v>
      </c>
      <c r="C75" s="136">
        <v>40.93</v>
      </c>
      <c r="D75" s="51">
        <v>83.05</v>
      </c>
      <c r="E75" s="51">
        <v>23.37</v>
      </c>
      <c r="F75" s="139">
        <v>-147.35</v>
      </c>
      <c r="G75" s="136">
        <v>278.97000000000003</v>
      </c>
      <c r="H75" s="51">
        <v>500.03</v>
      </c>
      <c r="I75" s="51">
        <v>141.86000000000001</v>
      </c>
      <c r="J75" s="139">
        <v>-920.86</v>
      </c>
      <c r="K75" s="59"/>
      <c r="L75" s="51">
        <f t="shared" si="0"/>
        <v>-1068.21</v>
      </c>
    </row>
    <row r="76" spans="1:12" ht="15" customHeight="1">
      <c r="A76" s="40"/>
      <c r="B76" s="138">
        <v>9</v>
      </c>
      <c r="C76" s="136">
        <v>40.93</v>
      </c>
      <c r="D76" s="51">
        <v>83.05</v>
      </c>
      <c r="E76" s="51">
        <v>23.37</v>
      </c>
      <c r="F76" s="139">
        <v>-147.35</v>
      </c>
      <c r="G76" s="136">
        <v>278.97000000000003</v>
      </c>
      <c r="H76" s="51">
        <v>500.03</v>
      </c>
      <c r="I76" s="51">
        <v>141.86000000000001</v>
      </c>
      <c r="J76" s="139">
        <v>-920.86</v>
      </c>
      <c r="K76" s="59"/>
      <c r="L76" s="51">
        <f t="shared" si="0"/>
        <v>-1068.21</v>
      </c>
    </row>
    <row r="77" spans="1:12" ht="15" customHeight="1">
      <c r="A77" s="40"/>
      <c r="B77" s="138">
        <v>10</v>
      </c>
      <c r="C77" s="136">
        <v>40.93</v>
      </c>
      <c r="D77" s="51">
        <v>83.05</v>
      </c>
      <c r="E77" s="51">
        <v>23.37</v>
      </c>
      <c r="F77" s="139">
        <v>-147.35</v>
      </c>
      <c r="G77" s="136">
        <v>278.97000000000003</v>
      </c>
      <c r="H77" s="51">
        <v>500.03</v>
      </c>
      <c r="I77" s="51">
        <v>141.86000000000001</v>
      </c>
      <c r="J77" s="139">
        <v>-920.86</v>
      </c>
      <c r="K77" s="59"/>
      <c r="L77" s="51">
        <f t="shared" si="0"/>
        <v>-1068.21</v>
      </c>
    </row>
    <row r="78" spans="1:12" ht="15" customHeight="1">
      <c r="A78" s="40"/>
      <c r="B78" s="138">
        <v>11</v>
      </c>
      <c r="C78" s="136">
        <v>40.93</v>
      </c>
      <c r="D78" s="51">
        <v>83.05</v>
      </c>
      <c r="E78" s="51">
        <v>23.37</v>
      </c>
      <c r="F78" s="139">
        <v>-147.35</v>
      </c>
      <c r="G78" s="136">
        <v>278.97000000000003</v>
      </c>
      <c r="H78" s="51">
        <v>500.03</v>
      </c>
      <c r="I78" s="51">
        <v>141.86000000000001</v>
      </c>
      <c r="J78" s="139">
        <v>-920.86</v>
      </c>
      <c r="K78" s="59"/>
      <c r="L78" s="51">
        <f t="shared" si="0"/>
        <v>-1068.21</v>
      </c>
    </row>
    <row r="79" spans="1:12" ht="15" customHeight="1">
      <c r="A79" s="40"/>
      <c r="B79" s="138">
        <v>12</v>
      </c>
      <c r="C79" s="136">
        <v>40.93</v>
      </c>
      <c r="D79" s="51">
        <v>83.05</v>
      </c>
      <c r="E79" s="51">
        <v>23.37</v>
      </c>
      <c r="F79" s="135">
        <v>-147.35</v>
      </c>
      <c r="G79" s="136">
        <v>278.97000000000003</v>
      </c>
      <c r="H79" s="51">
        <v>500.03</v>
      </c>
      <c r="I79" s="51">
        <v>141.86000000000001</v>
      </c>
      <c r="J79" s="135">
        <v>-920.86</v>
      </c>
      <c r="K79" s="59"/>
      <c r="L79" s="51">
        <f t="shared" si="0"/>
        <v>-1068.21</v>
      </c>
    </row>
    <row r="80" spans="1:12" ht="15" customHeight="1" thickBot="1">
      <c r="A80" s="40" t="s">
        <v>427</v>
      </c>
      <c r="B80" s="134"/>
      <c r="C80" s="144"/>
      <c r="D80" s="143"/>
      <c r="E80" s="143"/>
      <c r="F80" s="146">
        <v>-1768.2</v>
      </c>
      <c r="G80" s="144"/>
      <c r="H80" s="143"/>
      <c r="I80" s="143"/>
      <c r="J80" s="146">
        <v>-11050.32</v>
      </c>
      <c r="K80" s="59"/>
      <c r="L80" s="54"/>
    </row>
    <row r="81" spans="1:13" ht="15" customHeight="1" thickTop="1">
      <c r="A81" s="141">
        <v>2023</v>
      </c>
      <c r="B81" s="138">
        <v>1</v>
      </c>
      <c r="C81" s="136">
        <v>23.77</v>
      </c>
      <c r="D81" s="51">
        <v>48.22</v>
      </c>
      <c r="E81" s="51">
        <v>13.57</v>
      </c>
      <c r="F81" s="140">
        <v>-85.56</v>
      </c>
      <c r="G81" s="136">
        <v>278.97000000000003</v>
      </c>
      <c r="H81" s="51">
        <v>500.03</v>
      </c>
      <c r="I81" s="51">
        <v>141.86000000000001</v>
      </c>
      <c r="J81" s="140">
        <v>-920.86</v>
      </c>
      <c r="K81" s="59"/>
      <c r="L81" s="51">
        <f>J81+F81</f>
        <v>-1006.4200000000001</v>
      </c>
    </row>
    <row r="82" spans="1:13" ht="15" customHeight="1">
      <c r="A82" s="40"/>
      <c r="B82" s="138">
        <v>2</v>
      </c>
      <c r="C82" s="136">
        <v>0</v>
      </c>
      <c r="D82" s="51">
        <v>0</v>
      </c>
      <c r="E82" s="51">
        <v>0</v>
      </c>
      <c r="F82" s="139">
        <v>0</v>
      </c>
      <c r="G82" s="136">
        <v>278.97000000000003</v>
      </c>
      <c r="H82" s="51">
        <v>500.03</v>
      </c>
      <c r="I82" s="51">
        <v>141.86000000000001</v>
      </c>
      <c r="J82" s="139">
        <v>-920.86</v>
      </c>
      <c r="K82" s="59"/>
      <c r="L82" s="51">
        <f>J82+F82</f>
        <v>-920.86</v>
      </c>
    </row>
    <row r="83" spans="1:13" ht="15" customHeight="1">
      <c r="A83" s="40"/>
      <c r="B83" s="138">
        <v>3</v>
      </c>
      <c r="C83" s="136">
        <v>0</v>
      </c>
      <c r="D83" s="51">
        <v>0</v>
      </c>
      <c r="E83" s="51">
        <v>0</v>
      </c>
      <c r="F83" s="139">
        <v>0</v>
      </c>
      <c r="G83" s="136">
        <v>278.97000000000003</v>
      </c>
      <c r="H83" s="51">
        <v>500.03</v>
      </c>
      <c r="I83" s="51">
        <v>141.86000000000001</v>
      </c>
      <c r="J83" s="139">
        <v>-920.86</v>
      </c>
      <c r="K83" s="59"/>
      <c r="L83" s="50">
        <f>J83+F83</f>
        <v>-920.86</v>
      </c>
    </row>
    <row r="84" spans="1:13" ht="15" customHeight="1" thickBot="1">
      <c r="A84" s="40"/>
      <c r="B84" s="138">
        <v>4</v>
      </c>
      <c r="C84" s="136">
        <v>0</v>
      </c>
      <c r="D84" s="51">
        <v>0</v>
      </c>
      <c r="E84" s="51">
        <v>0</v>
      </c>
      <c r="F84" s="139">
        <v>0</v>
      </c>
      <c r="G84" s="136">
        <v>278.97000000000003</v>
      </c>
      <c r="H84" s="51">
        <v>500.03</v>
      </c>
      <c r="I84" s="51">
        <v>141.86000000000001</v>
      </c>
      <c r="J84" s="139">
        <v>-920.86</v>
      </c>
      <c r="K84" s="59"/>
      <c r="L84" s="64">
        <f>SUM(L71:L83)</f>
        <v>-12462.03</v>
      </c>
      <c r="M84" s="54" t="s">
        <v>426</v>
      </c>
    </row>
    <row r="85" spans="1:13" ht="15" customHeight="1" thickTop="1">
      <c r="A85" s="40"/>
      <c r="B85" s="138">
        <v>5</v>
      </c>
      <c r="C85" s="136">
        <v>0</v>
      </c>
      <c r="D85" s="51">
        <v>0</v>
      </c>
      <c r="E85" s="51">
        <v>0</v>
      </c>
      <c r="F85" s="139">
        <v>0</v>
      </c>
      <c r="G85" s="136">
        <v>278.97000000000003</v>
      </c>
      <c r="H85" s="51">
        <v>500.03</v>
      </c>
      <c r="I85" s="51">
        <v>141.86000000000001</v>
      </c>
      <c r="J85" s="139">
        <v>-920.86</v>
      </c>
      <c r="K85" s="59"/>
      <c r="L85" s="63"/>
    </row>
    <row r="86" spans="1:13" ht="15" customHeight="1">
      <c r="A86" s="40"/>
      <c r="B86" s="138">
        <v>6</v>
      </c>
      <c r="C86" s="136">
        <v>0</v>
      </c>
      <c r="D86" s="51">
        <v>0</v>
      </c>
      <c r="E86" s="51">
        <v>0</v>
      </c>
      <c r="F86" s="139">
        <v>0</v>
      </c>
      <c r="G86" s="136">
        <v>278.97000000000003</v>
      </c>
      <c r="H86" s="51">
        <v>500.03</v>
      </c>
      <c r="I86" s="51">
        <v>141.86000000000001</v>
      </c>
      <c r="J86" s="139">
        <v>-920.86</v>
      </c>
      <c r="K86" s="59"/>
    </row>
    <row r="87" spans="1:13" ht="15" customHeight="1">
      <c r="A87" s="40"/>
      <c r="B87" s="138">
        <v>7</v>
      </c>
      <c r="C87" s="136">
        <v>0</v>
      </c>
      <c r="D87" s="51">
        <v>0</v>
      </c>
      <c r="E87" s="51">
        <v>0</v>
      </c>
      <c r="F87" s="139">
        <v>0</v>
      </c>
      <c r="G87" s="136">
        <v>278.97000000000003</v>
      </c>
      <c r="H87" s="51">
        <v>500.03</v>
      </c>
      <c r="I87" s="51">
        <v>141.86000000000001</v>
      </c>
      <c r="J87" s="139">
        <v>-920.86</v>
      </c>
      <c r="K87" s="59"/>
    </row>
    <row r="88" spans="1:13" ht="15" customHeight="1">
      <c r="A88" s="40"/>
      <c r="B88" s="138">
        <v>8</v>
      </c>
      <c r="C88" s="136">
        <v>0</v>
      </c>
      <c r="D88" s="51">
        <v>0</v>
      </c>
      <c r="E88" s="51">
        <v>0</v>
      </c>
      <c r="F88" s="139">
        <v>0</v>
      </c>
      <c r="G88" s="136">
        <v>278.97000000000003</v>
      </c>
      <c r="H88" s="51">
        <v>500.03</v>
      </c>
      <c r="I88" s="51">
        <v>141.86000000000001</v>
      </c>
      <c r="J88" s="139">
        <v>-920.86</v>
      </c>
      <c r="K88" s="59"/>
    </row>
    <row r="89" spans="1:13" ht="15" customHeight="1">
      <c r="A89" s="40"/>
      <c r="B89" s="138">
        <v>9</v>
      </c>
      <c r="C89" s="136">
        <v>0</v>
      </c>
      <c r="D89" s="51">
        <v>0</v>
      </c>
      <c r="E89" s="51">
        <v>0</v>
      </c>
      <c r="F89" s="139">
        <v>0</v>
      </c>
      <c r="G89" s="136">
        <v>278.97000000000003</v>
      </c>
      <c r="H89" s="51">
        <v>500.03</v>
      </c>
      <c r="I89" s="51">
        <v>141.86000000000001</v>
      </c>
      <c r="J89" s="139">
        <v>-920.86</v>
      </c>
      <c r="K89" s="59"/>
    </row>
    <row r="90" spans="1:13" ht="15" customHeight="1">
      <c r="A90" s="40"/>
      <c r="B90" s="138">
        <v>10</v>
      </c>
      <c r="C90" s="136">
        <v>0</v>
      </c>
      <c r="D90" s="51">
        <v>0</v>
      </c>
      <c r="E90" s="51">
        <v>0</v>
      </c>
      <c r="F90" s="139">
        <v>0</v>
      </c>
      <c r="G90" s="136">
        <v>278.97000000000003</v>
      </c>
      <c r="H90" s="51">
        <v>500.03</v>
      </c>
      <c r="I90" s="51">
        <v>141.86000000000001</v>
      </c>
      <c r="J90" s="139">
        <v>-920.86</v>
      </c>
      <c r="K90" s="59"/>
    </row>
    <row r="91" spans="1:13" ht="15" customHeight="1">
      <c r="A91" s="40"/>
      <c r="B91" s="138">
        <v>11</v>
      </c>
      <c r="C91" s="136">
        <v>0</v>
      </c>
      <c r="D91" s="51">
        <v>0</v>
      </c>
      <c r="E91" s="51">
        <v>0</v>
      </c>
      <c r="F91" s="139">
        <v>0</v>
      </c>
      <c r="G91" s="136">
        <v>278.97000000000003</v>
      </c>
      <c r="H91" s="51">
        <v>500.03</v>
      </c>
      <c r="I91" s="51">
        <v>141.86000000000001</v>
      </c>
      <c r="J91" s="139">
        <v>-920.86</v>
      </c>
      <c r="K91" s="59"/>
    </row>
    <row r="92" spans="1:13" ht="15" customHeight="1">
      <c r="A92" s="40"/>
      <c r="B92" s="138">
        <v>12</v>
      </c>
      <c r="C92" s="136">
        <v>0</v>
      </c>
      <c r="D92" s="51">
        <v>0</v>
      </c>
      <c r="E92" s="51">
        <v>0</v>
      </c>
      <c r="F92" s="135">
        <v>0</v>
      </c>
      <c r="G92" s="136">
        <v>278.97000000000003</v>
      </c>
      <c r="H92" s="51">
        <v>500.03</v>
      </c>
      <c r="I92" s="51">
        <v>141.86000000000001</v>
      </c>
      <c r="J92" s="135">
        <v>-920.86</v>
      </c>
      <c r="K92" s="59"/>
    </row>
    <row r="93" spans="1:13" ht="15" customHeight="1" thickBot="1">
      <c r="A93" s="40" t="s">
        <v>425</v>
      </c>
      <c r="B93" s="134"/>
      <c r="C93" s="144"/>
      <c r="D93" s="143"/>
      <c r="E93" s="143"/>
      <c r="F93" s="146">
        <v>-85.56</v>
      </c>
      <c r="G93" s="144"/>
      <c r="H93" s="143"/>
      <c r="I93" s="143"/>
      <c r="J93" s="146">
        <v>-11050.32</v>
      </c>
      <c r="K93" s="59"/>
      <c r="L93" s="54"/>
    </row>
    <row r="94" spans="1:13" ht="15" customHeight="1" thickTop="1">
      <c r="A94" s="141">
        <v>2024</v>
      </c>
      <c r="B94" s="138">
        <v>1</v>
      </c>
      <c r="C94" s="59"/>
      <c r="D94" s="54"/>
      <c r="E94" s="54"/>
      <c r="F94" s="145"/>
      <c r="G94" s="136">
        <v>278.97000000000003</v>
      </c>
      <c r="H94" s="51">
        <v>500.03</v>
      </c>
      <c r="I94" s="51">
        <v>141.86000000000001</v>
      </c>
      <c r="J94" s="140">
        <v>-920.86</v>
      </c>
      <c r="K94" s="59"/>
    </row>
    <row r="95" spans="1:13" ht="15" customHeight="1">
      <c r="A95" s="40"/>
      <c r="B95" s="138">
        <v>2</v>
      </c>
      <c r="C95" s="59"/>
      <c r="D95" s="54"/>
      <c r="E95" s="54"/>
      <c r="F95" s="137"/>
      <c r="G95" s="136">
        <v>278.97000000000003</v>
      </c>
      <c r="H95" s="51">
        <v>500.03</v>
      </c>
      <c r="I95" s="51">
        <v>141.86000000000001</v>
      </c>
      <c r="J95" s="139">
        <v>-920.86</v>
      </c>
      <c r="K95" s="59"/>
    </row>
    <row r="96" spans="1:13" ht="15" customHeight="1">
      <c r="A96" s="40"/>
      <c r="B96" s="138">
        <v>3</v>
      </c>
      <c r="C96" s="59"/>
      <c r="D96" s="54"/>
      <c r="E96" s="54"/>
      <c r="F96" s="137"/>
      <c r="G96" s="136">
        <v>278.97000000000003</v>
      </c>
      <c r="H96" s="51">
        <v>500.03</v>
      </c>
      <c r="I96" s="51">
        <v>141.86000000000001</v>
      </c>
      <c r="J96" s="139">
        <v>-920.86</v>
      </c>
      <c r="K96" s="59"/>
    </row>
    <row r="97" spans="1:11" ht="15" customHeight="1">
      <c r="A97" s="40"/>
      <c r="B97" s="138">
        <v>4</v>
      </c>
      <c r="C97" s="59"/>
      <c r="D97" s="54"/>
      <c r="E97" s="54"/>
      <c r="F97" s="137"/>
      <c r="G97" s="136">
        <v>278.97000000000003</v>
      </c>
      <c r="H97" s="51">
        <v>500.03</v>
      </c>
      <c r="I97" s="51">
        <v>141.86000000000001</v>
      </c>
      <c r="J97" s="139">
        <v>-920.86</v>
      </c>
      <c r="K97" s="59"/>
    </row>
    <row r="98" spans="1:11" ht="15" customHeight="1">
      <c r="A98" s="40"/>
      <c r="B98" s="138">
        <v>5</v>
      </c>
      <c r="C98" s="59"/>
      <c r="D98" s="54"/>
      <c r="E98" s="54"/>
      <c r="F98" s="137"/>
      <c r="G98" s="136">
        <v>278.97000000000003</v>
      </c>
      <c r="H98" s="51">
        <v>500.03</v>
      </c>
      <c r="I98" s="51">
        <v>141.86000000000001</v>
      </c>
      <c r="J98" s="139">
        <v>-920.86</v>
      </c>
      <c r="K98" s="59"/>
    </row>
    <row r="99" spans="1:11" ht="15" customHeight="1">
      <c r="A99" s="40"/>
      <c r="B99" s="138">
        <v>6</v>
      </c>
      <c r="C99" s="59"/>
      <c r="D99" s="54"/>
      <c r="E99" s="54"/>
      <c r="F99" s="137"/>
      <c r="G99" s="136">
        <v>278.97000000000003</v>
      </c>
      <c r="H99" s="51">
        <v>500.03</v>
      </c>
      <c r="I99" s="51">
        <v>141.86000000000001</v>
      </c>
      <c r="J99" s="139">
        <v>-920.86</v>
      </c>
      <c r="K99" s="59"/>
    </row>
    <row r="100" spans="1:11" ht="15" customHeight="1">
      <c r="A100" s="40"/>
      <c r="B100" s="138">
        <v>7</v>
      </c>
      <c r="C100" s="59"/>
      <c r="D100" s="54"/>
      <c r="E100" s="54"/>
      <c r="F100" s="137"/>
      <c r="G100" s="136">
        <v>278.97000000000003</v>
      </c>
      <c r="H100" s="51">
        <v>500.03</v>
      </c>
      <c r="I100" s="51">
        <v>141.86000000000001</v>
      </c>
      <c r="J100" s="139">
        <v>-920.86</v>
      </c>
      <c r="K100" s="59"/>
    </row>
    <row r="101" spans="1:11" ht="15" customHeight="1">
      <c r="A101" s="40"/>
      <c r="B101" s="138">
        <v>8</v>
      </c>
      <c r="C101" s="59"/>
      <c r="D101" s="54"/>
      <c r="E101" s="54"/>
      <c r="F101" s="137"/>
      <c r="G101" s="136">
        <v>278.97000000000003</v>
      </c>
      <c r="H101" s="51">
        <v>500.03</v>
      </c>
      <c r="I101" s="51">
        <v>141.86000000000001</v>
      </c>
      <c r="J101" s="139">
        <v>-920.86</v>
      </c>
      <c r="K101" s="59"/>
    </row>
    <row r="102" spans="1:11" ht="15" customHeight="1">
      <c r="A102" s="40"/>
      <c r="B102" s="138">
        <v>9</v>
      </c>
      <c r="C102" s="59"/>
      <c r="D102" s="54"/>
      <c r="E102" s="54"/>
      <c r="F102" s="137"/>
      <c r="G102" s="136">
        <v>278.97000000000003</v>
      </c>
      <c r="H102" s="51">
        <v>500.03</v>
      </c>
      <c r="I102" s="51">
        <v>141.86000000000001</v>
      </c>
      <c r="J102" s="139">
        <v>-920.86</v>
      </c>
      <c r="K102" s="59"/>
    </row>
    <row r="103" spans="1:11" ht="15" customHeight="1">
      <c r="A103" s="40"/>
      <c r="B103" s="138">
        <v>10</v>
      </c>
      <c r="C103" s="59"/>
      <c r="D103" s="54"/>
      <c r="E103" s="54"/>
      <c r="F103" s="137"/>
      <c r="G103" s="136">
        <v>278.97000000000003</v>
      </c>
      <c r="H103" s="51">
        <v>500.03</v>
      </c>
      <c r="I103" s="51">
        <v>141.86000000000001</v>
      </c>
      <c r="J103" s="139">
        <v>-920.86</v>
      </c>
      <c r="K103" s="59"/>
    </row>
    <row r="104" spans="1:11" ht="15" customHeight="1">
      <c r="A104" s="40"/>
      <c r="B104" s="138">
        <v>11</v>
      </c>
      <c r="C104" s="59"/>
      <c r="D104" s="54"/>
      <c r="E104" s="54"/>
      <c r="F104" s="137"/>
      <c r="G104" s="136">
        <v>278.97000000000003</v>
      </c>
      <c r="H104" s="51">
        <v>500.03</v>
      </c>
      <c r="I104" s="51">
        <v>141.86000000000001</v>
      </c>
      <c r="J104" s="139">
        <v>-920.86</v>
      </c>
      <c r="K104" s="59"/>
    </row>
    <row r="105" spans="1:11" ht="15" customHeight="1">
      <c r="A105" s="40"/>
      <c r="B105" s="138">
        <v>12</v>
      </c>
      <c r="C105" s="59"/>
      <c r="D105" s="54"/>
      <c r="E105" s="54"/>
      <c r="F105" s="137"/>
      <c r="G105" s="136">
        <v>278.97000000000003</v>
      </c>
      <c r="H105" s="51">
        <v>500.03</v>
      </c>
      <c r="I105" s="51">
        <v>141.86000000000001</v>
      </c>
      <c r="J105" s="135">
        <v>-920.86</v>
      </c>
      <c r="K105" s="59"/>
    </row>
    <row r="106" spans="1:11" ht="15" customHeight="1" thickBot="1">
      <c r="A106" s="40" t="s">
        <v>423</v>
      </c>
      <c r="B106" s="134"/>
      <c r="C106" s="59"/>
      <c r="D106" s="54"/>
      <c r="E106" s="54"/>
      <c r="F106" s="137"/>
      <c r="G106" s="144"/>
      <c r="H106" s="143"/>
      <c r="I106" s="143"/>
      <c r="J106" s="146">
        <v>-11050.32</v>
      </c>
      <c r="K106" s="59"/>
    </row>
    <row r="107" spans="1:11" ht="15" customHeight="1" thickTop="1">
      <c r="A107" s="141">
        <v>2025</v>
      </c>
      <c r="B107" s="138">
        <v>1</v>
      </c>
      <c r="C107" s="59"/>
      <c r="D107" s="54"/>
      <c r="E107" s="54"/>
      <c r="F107" s="137"/>
      <c r="G107" s="136">
        <v>278.97000000000003</v>
      </c>
      <c r="H107" s="51">
        <v>500.03</v>
      </c>
      <c r="I107" s="51">
        <v>141.86000000000001</v>
      </c>
      <c r="J107" s="140">
        <v>-920.86</v>
      </c>
      <c r="K107" s="59"/>
    </row>
    <row r="108" spans="1:11" ht="15" customHeight="1">
      <c r="A108" s="40"/>
      <c r="B108" s="138">
        <v>2</v>
      </c>
      <c r="C108" s="59"/>
      <c r="D108" s="54"/>
      <c r="E108" s="54"/>
      <c r="F108" s="137"/>
      <c r="G108" s="136">
        <v>278.97000000000003</v>
      </c>
      <c r="H108" s="51">
        <v>500.03</v>
      </c>
      <c r="I108" s="51">
        <v>141.86000000000001</v>
      </c>
      <c r="J108" s="139">
        <v>-920.86</v>
      </c>
      <c r="K108" s="59"/>
    </row>
    <row r="109" spans="1:11" ht="15" customHeight="1">
      <c r="A109" s="40"/>
      <c r="B109" s="138">
        <v>3</v>
      </c>
      <c r="C109" s="59"/>
      <c r="D109" s="54"/>
      <c r="E109" s="54"/>
      <c r="F109" s="137"/>
      <c r="G109" s="136">
        <v>278.97000000000003</v>
      </c>
      <c r="H109" s="51">
        <v>500.03</v>
      </c>
      <c r="I109" s="51">
        <v>141.86000000000001</v>
      </c>
      <c r="J109" s="139">
        <v>-920.86</v>
      </c>
      <c r="K109" s="59"/>
    </row>
    <row r="110" spans="1:11" ht="15" customHeight="1">
      <c r="A110" s="40"/>
      <c r="B110" s="138">
        <v>4</v>
      </c>
      <c r="C110" s="59"/>
      <c r="D110" s="54"/>
      <c r="E110" s="54"/>
      <c r="F110" s="137"/>
      <c r="G110" s="136">
        <v>278.97000000000003</v>
      </c>
      <c r="H110" s="51">
        <v>500.03</v>
      </c>
      <c r="I110" s="51">
        <v>141.86000000000001</v>
      </c>
      <c r="J110" s="139">
        <v>-920.86</v>
      </c>
      <c r="K110" s="59"/>
    </row>
    <row r="111" spans="1:11" ht="15" customHeight="1">
      <c r="A111" s="40"/>
      <c r="B111" s="138">
        <v>5</v>
      </c>
      <c r="C111" s="59"/>
      <c r="D111" s="54"/>
      <c r="E111" s="54"/>
      <c r="F111" s="137"/>
      <c r="G111" s="136">
        <v>278.97000000000003</v>
      </c>
      <c r="H111" s="51">
        <v>500.03</v>
      </c>
      <c r="I111" s="51">
        <v>141.86000000000001</v>
      </c>
      <c r="J111" s="139">
        <v>-920.86</v>
      </c>
      <c r="K111" s="59"/>
    </row>
    <row r="112" spans="1:11" ht="15" customHeight="1">
      <c r="A112" s="40"/>
      <c r="B112" s="138">
        <v>6</v>
      </c>
      <c r="C112" s="59"/>
      <c r="D112" s="54"/>
      <c r="E112" s="54"/>
      <c r="F112" s="137"/>
      <c r="G112" s="136">
        <v>278.97000000000003</v>
      </c>
      <c r="H112" s="51">
        <v>500.03</v>
      </c>
      <c r="I112" s="51">
        <v>141.86000000000001</v>
      </c>
      <c r="J112" s="139">
        <v>-920.86</v>
      </c>
      <c r="K112" s="59"/>
    </row>
    <row r="113" spans="1:11" ht="15" customHeight="1">
      <c r="A113" s="40"/>
      <c r="B113" s="138">
        <v>7</v>
      </c>
      <c r="C113" s="59"/>
      <c r="D113" s="54"/>
      <c r="E113" s="54"/>
      <c r="F113" s="137"/>
      <c r="G113" s="136">
        <v>278.97000000000003</v>
      </c>
      <c r="H113" s="51">
        <v>500.03</v>
      </c>
      <c r="I113" s="51">
        <v>141.86000000000001</v>
      </c>
      <c r="J113" s="139">
        <v>-920.86</v>
      </c>
      <c r="K113" s="59"/>
    </row>
    <row r="114" spans="1:11" ht="15" customHeight="1">
      <c r="A114" s="40"/>
      <c r="B114" s="138">
        <v>8</v>
      </c>
      <c r="C114" s="59"/>
      <c r="D114" s="54"/>
      <c r="E114" s="54"/>
      <c r="F114" s="137"/>
      <c r="G114" s="136">
        <v>278.97000000000003</v>
      </c>
      <c r="H114" s="51">
        <v>500.03</v>
      </c>
      <c r="I114" s="51">
        <v>141.86000000000001</v>
      </c>
      <c r="J114" s="139">
        <v>-920.86</v>
      </c>
      <c r="K114" s="59"/>
    </row>
    <row r="115" spans="1:11" ht="15" customHeight="1">
      <c r="A115" s="40"/>
      <c r="B115" s="138">
        <v>9</v>
      </c>
      <c r="C115" s="59"/>
      <c r="D115" s="54"/>
      <c r="E115" s="54"/>
      <c r="F115" s="137"/>
      <c r="G115" s="136">
        <v>278.97000000000003</v>
      </c>
      <c r="H115" s="51">
        <v>500.03</v>
      </c>
      <c r="I115" s="51">
        <v>141.86000000000001</v>
      </c>
      <c r="J115" s="139">
        <v>-920.86</v>
      </c>
      <c r="K115" s="59"/>
    </row>
    <row r="116" spans="1:11" ht="15" customHeight="1">
      <c r="A116" s="40"/>
      <c r="B116" s="138">
        <v>10</v>
      </c>
      <c r="C116" s="59"/>
      <c r="D116" s="54"/>
      <c r="E116" s="54"/>
      <c r="F116" s="137"/>
      <c r="G116" s="136">
        <v>278.97000000000003</v>
      </c>
      <c r="H116" s="51">
        <v>500.03</v>
      </c>
      <c r="I116" s="51">
        <v>141.86000000000001</v>
      </c>
      <c r="J116" s="139">
        <v>-920.86</v>
      </c>
      <c r="K116" s="59"/>
    </row>
    <row r="117" spans="1:11" ht="15" customHeight="1">
      <c r="A117" s="40"/>
      <c r="B117" s="138">
        <v>11</v>
      </c>
      <c r="C117" s="59"/>
      <c r="D117" s="54"/>
      <c r="E117" s="54"/>
      <c r="F117" s="137"/>
      <c r="G117" s="136">
        <v>278.97000000000003</v>
      </c>
      <c r="H117" s="51">
        <v>500.03</v>
      </c>
      <c r="I117" s="51">
        <v>141.86000000000001</v>
      </c>
      <c r="J117" s="139">
        <v>-920.86</v>
      </c>
      <c r="K117" s="59"/>
    </row>
    <row r="118" spans="1:11" ht="15" customHeight="1">
      <c r="A118" s="40"/>
      <c r="B118" s="138">
        <v>12</v>
      </c>
      <c r="C118" s="59"/>
      <c r="D118" s="54"/>
      <c r="E118" s="54"/>
      <c r="F118" s="137"/>
      <c r="G118" s="136">
        <v>278.97000000000003</v>
      </c>
      <c r="H118" s="51">
        <v>500.03</v>
      </c>
      <c r="I118" s="51">
        <v>141.86000000000001</v>
      </c>
      <c r="J118" s="135">
        <v>-920.86</v>
      </c>
      <c r="K118" s="59"/>
    </row>
    <row r="119" spans="1:11" ht="15" customHeight="1" thickBot="1">
      <c r="A119" s="40" t="s">
        <v>422</v>
      </c>
      <c r="B119" s="134"/>
      <c r="C119" s="59"/>
      <c r="D119" s="54"/>
      <c r="E119" s="54"/>
      <c r="F119" s="137"/>
      <c r="G119" s="144"/>
      <c r="H119" s="143"/>
      <c r="I119" s="143"/>
      <c r="J119" s="146">
        <v>-11050.32</v>
      </c>
      <c r="K119" s="59"/>
    </row>
    <row r="120" spans="1:11" ht="15" customHeight="1" thickTop="1">
      <c r="A120" s="141">
        <v>2026</v>
      </c>
      <c r="B120" s="138">
        <v>1</v>
      </c>
      <c r="C120" s="59"/>
      <c r="D120" s="54"/>
      <c r="E120" s="54"/>
      <c r="F120" s="137"/>
      <c r="G120" s="136">
        <v>117.03</v>
      </c>
      <c r="H120" s="51">
        <v>210.12</v>
      </c>
      <c r="I120" s="51">
        <v>59.22</v>
      </c>
      <c r="J120" s="140">
        <v>-386.37</v>
      </c>
      <c r="K120" s="59"/>
    </row>
    <row r="121" spans="1:11" ht="15" customHeight="1">
      <c r="A121" s="40"/>
      <c r="B121" s="138">
        <v>2</v>
      </c>
      <c r="C121" s="59"/>
      <c r="D121" s="54"/>
      <c r="E121" s="54"/>
      <c r="F121" s="137"/>
      <c r="G121" s="136">
        <v>0</v>
      </c>
      <c r="H121" s="51">
        <v>0</v>
      </c>
      <c r="I121" s="51">
        <v>0</v>
      </c>
      <c r="J121" s="139">
        <v>0</v>
      </c>
      <c r="K121" s="59"/>
    </row>
    <row r="122" spans="1:11" ht="15" customHeight="1">
      <c r="A122" s="40"/>
      <c r="B122" s="138">
        <v>3</v>
      </c>
      <c r="C122" s="59"/>
      <c r="D122" s="54"/>
      <c r="E122" s="54"/>
      <c r="F122" s="137"/>
      <c r="G122" s="136">
        <v>0</v>
      </c>
      <c r="H122" s="51">
        <v>0</v>
      </c>
      <c r="I122" s="51">
        <v>0</v>
      </c>
      <c r="J122" s="139">
        <v>0</v>
      </c>
      <c r="K122" s="59"/>
    </row>
    <row r="123" spans="1:11" ht="15" customHeight="1">
      <c r="A123" s="40"/>
      <c r="B123" s="138">
        <v>4</v>
      </c>
      <c r="C123" s="59"/>
      <c r="D123" s="54"/>
      <c r="E123" s="54"/>
      <c r="F123" s="137"/>
      <c r="G123" s="136">
        <v>0</v>
      </c>
      <c r="H123" s="51">
        <v>0</v>
      </c>
      <c r="I123" s="51">
        <v>0</v>
      </c>
      <c r="J123" s="139">
        <v>0</v>
      </c>
      <c r="K123" s="59"/>
    </row>
    <row r="124" spans="1:11" ht="15" customHeight="1">
      <c r="A124" s="40"/>
      <c r="B124" s="138">
        <v>5</v>
      </c>
      <c r="C124" s="59"/>
      <c r="D124" s="54"/>
      <c r="E124" s="54"/>
      <c r="F124" s="137"/>
      <c r="G124" s="136">
        <v>0</v>
      </c>
      <c r="H124" s="51">
        <v>0</v>
      </c>
      <c r="I124" s="51">
        <v>0</v>
      </c>
      <c r="J124" s="139">
        <v>0</v>
      </c>
      <c r="K124" s="59"/>
    </row>
    <row r="125" spans="1:11" ht="15" customHeight="1">
      <c r="A125" s="40"/>
      <c r="B125" s="138">
        <v>6</v>
      </c>
      <c r="C125" s="59"/>
      <c r="D125" s="54"/>
      <c r="E125" s="54"/>
      <c r="F125" s="137"/>
      <c r="G125" s="136">
        <v>0</v>
      </c>
      <c r="H125" s="51">
        <v>0</v>
      </c>
      <c r="I125" s="51">
        <v>0</v>
      </c>
      <c r="J125" s="139">
        <v>0</v>
      </c>
      <c r="K125" s="59"/>
    </row>
    <row r="126" spans="1:11" ht="15" customHeight="1">
      <c r="A126" s="40"/>
      <c r="B126" s="138">
        <v>7</v>
      </c>
      <c r="C126" s="59"/>
      <c r="D126" s="54"/>
      <c r="E126" s="54"/>
      <c r="F126" s="137"/>
      <c r="G126" s="136">
        <v>0</v>
      </c>
      <c r="H126" s="51">
        <v>0</v>
      </c>
      <c r="I126" s="51">
        <v>0</v>
      </c>
      <c r="J126" s="139">
        <v>0</v>
      </c>
      <c r="K126" s="59"/>
    </row>
    <row r="127" spans="1:11" ht="15" customHeight="1">
      <c r="A127" s="40"/>
      <c r="B127" s="138">
        <v>8</v>
      </c>
      <c r="C127" s="59"/>
      <c r="D127" s="54"/>
      <c r="E127" s="54"/>
      <c r="F127" s="137"/>
      <c r="G127" s="136">
        <v>0</v>
      </c>
      <c r="H127" s="51">
        <v>0</v>
      </c>
      <c r="I127" s="51">
        <v>0</v>
      </c>
      <c r="J127" s="139">
        <v>0</v>
      </c>
      <c r="K127" s="59"/>
    </row>
    <row r="128" spans="1:11" ht="15" customHeight="1">
      <c r="A128" s="40"/>
      <c r="B128" s="138">
        <v>9</v>
      </c>
      <c r="C128" s="59"/>
      <c r="D128" s="54"/>
      <c r="E128" s="54"/>
      <c r="F128" s="137"/>
      <c r="G128" s="136">
        <v>0</v>
      </c>
      <c r="H128" s="51">
        <v>0</v>
      </c>
      <c r="I128" s="51">
        <v>0</v>
      </c>
      <c r="J128" s="139">
        <v>0</v>
      </c>
      <c r="K128" s="59"/>
    </row>
    <row r="129" spans="1:11" ht="15" customHeight="1">
      <c r="A129" s="40"/>
      <c r="B129" s="138">
        <v>10</v>
      </c>
      <c r="C129" s="59"/>
      <c r="D129" s="54"/>
      <c r="E129" s="54"/>
      <c r="F129" s="137"/>
      <c r="G129" s="136">
        <v>0</v>
      </c>
      <c r="H129" s="51">
        <v>0</v>
      </c>
      <c r="I129" s="51">
        <v>0</v>
      </c>
      <c r="J129" s="139">
        <v>0</v>
      </c>
      <c r="K129" s="59"/>
    </row>
    <row r="130" spans="1:11" ht="15" customHeight="1">
      <c r="A130" s="40"/>
      <c r="B130" s="138">
        <v>11</v>
      </c>
      <c r="C130" s="59"/>
      <c r="D130" s="54"/>
      <c r="E130" s="54"/>
      <c r="F130" s="137"/>
      <c r="G130" s="136">
        <v>0</v>
      </c>
      <c r="H130" s="51">
        <v>0</v>
      </c>
      <c r="I130" s="51">
        <v>0</v>
      </c>
      <c r="J130" s="139">
        <v>0</v>
      </c>
      <c r="K130" s="59"/>
    </row>
    <row r="131" spans="1:11" ht="15" customHeight="1">
      <c r="A131" s="40"/>
      <c r="B131" s="138">
        <v>12</v>
      </c>
      <c r="C131" s="59"/>
      <c r="D131" s="54"/>
      <c r="E131" s="54"/>
      <c r="F131" s="137"/>
      <c r="G131" s="136">
        <v>0</v>
      </c>
      <c r="H131" s="51">
        <v>0</v>
      </c>
      <c r="I131" s="51">
        <v>0</v>
      </c>
      <c r="J131" s="135">
        <v>0</v>
      </c>
      <c r="K131" s="59"/>
    </row>
    <row r="132" spans="1:11" ht="15" customHeight="1">
      <c r="A132" s="40" t="s">
        <v>421</v>
      </c>
      <c r="B132" s="134"/>
      <c r="C132" s="109"/>
      <c r="D132" s="65"/>
      <c r="E132" s="65"/>
      <c r="F132" s="129"/>
      <c r="G132" s="133"/>
      <c r="H132" s="132"/>
      <c r="I132" s="132"/>
      <c r="J132" s="157">
        <v>-386.37</v>
      </c>
      <c r="K132" s="59"/>
    </row>
    <row r="133" spans="1:11" ht="15" customHeight="1">
      <c r="A133" s="40"/>
      <c r="B133" s="40"/>
      <c r="C133" s="58"/>
      <c r="D133" s="58"/>
      <c r="E133" s="58"/>
      <c r="F133" s="48"/>
      <c r="G133" s="58"/>
      <c r="H133" s="58"/>
      <c r="I133" s="58"/>
      <c r="J133" s="48"/>
    </row>
    <row r="134" spans="1:11" ht="15" customHeight="1" thickBot="1">
      <c r="A134" s="54"/>
      <c r="B134" s="54"/>
      <c r="C134" s="54"/>
      <c r="D134" s="54"/>
      <c r="E134" s="54" t="s">
        <v>158</v>
      </c>
      <c r="F134" s="146">
        <v>-8841</v>
      </c>
      <c r="G134" s="59"/>
      <c r="H134" s="54"/>
      <c r="I134" s="54" t="s">
        <v>158</v>
      </c>
      <c r="J134" s="146">
        <v>-55251.8</v>
      </c>
      <c r="K134" s="59"/>
    </row>
    <row r="135" spans="1:11" ht="15" customHeight="1" thickTop="1">
      <c r="A135" s="54"/>
      <c r="B135" s="54"/>
      <c r="C135" s="54"/>
      <c r="D135" s="54"/>
      <c r="E135" s="54"/>
      <c r="F135" s="63"/>
      <c r="G135" s="54"/>
      <c r="H135" s="54"/>
      <c r="I135" s="54"/>
      <c r="J135" s="63"/>
    </row>
    <row r="136" spans="1:11" ht="15" customHeight="1">
      <c r="A136" s="54" t="s">
        <v>2</v>
      </c>
      <c r="B136" s="54" t="s">
        <v>3</v>
      </c>
    </row>
  </sheetData>
  <mergeCells count="10">
    <mergeCell ref="G13:J13"/>
    <mergeCell ref="G12:J12"/>
    <mergeCell ref="B9:J9"/>
    <mergeCell ref="C12:F12"/>
    <mergeCell ref="C13:F13"/>
    <mergeCell ref="A1:D1"/>
    <mergeCell ref="A2:E2"/>
    <mergeCell ref="A4:C4"/>
    <mergeCell ref="A3:D3"/>
    <mergeCell ref="B8:J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3CBEB-A84D-42C6-A533-0B21007F524D}">
  <dimension ref="A1:D14"/>
  <sheetViews>
    <sheetView showRuler="0" workbookViewId="0">
      <selection sqref="A1:D1"/>
    </sheetView>
  </sheetViews>
  <sheetFormatPr defaultColWidth="13.7265625" defaultRowHeight="12.5"/>
  <cols>
    <col min="1" max="1" width="20" style="41" customWidth="1"/>
    <col min="2" max="2" width="16.453125" style="41" customWidth="1"/>
    <col min="3" max="3" width="27.54296875" style="41" customWidth="1"/>
    <col min="4" max="4" width="20" style="41" customWidth="1"/>
    <col min="5" max="16384" width="13.7265625" style="41"/>
  </cols>
  <sheetData>
    <row r="1" spans="1:4" ht="15" customHeight="1">
      <c r="A1" s="712" t="s">
        <v>0</v>
      </c>
      <c r="B1" s="709"/>
    </row>
    <row r="2" spans="1:4" ht="15" customHeight="1">
      <c r="A2" s="712" t="s">
        <v>446</v>
      </c>
      <c r="B2" s="709"/>
    </row>
    <row r="3" spans="1:4" ht="15" customHeight="1">
      <c r="A3" s="712" t="s">
        <v>119</v>
      </c>
      <c r="B3" s="709"/>
      <c r="C3" s="709"/>
    </row>
    <row r="4" spans="1:4" ht="15" customHeight="1">
      <c r="A4" s="712" t="s">
        <v>445</v>
      </c>
      <c r="B4" s="709"/>
      <c r="C4" s="709"/>
      <c r="D4" s="709"/>
    </row>
    <row r="5" spans="1:4" ht="15" customHeight="1"/>
    <row r="6" spans="1:4" ht="15" customHeight="1"/>
    <row r="7" spans="1:4" ht="43.4" customHeight="1">
      <c r="A7" s="161" t="s">
        <v>177</v>
      </c>
      <c r="B7" s="161" t="s">
        <v>444</v>
      </c>
      <c r="C7" s="161" t="s">
        <v>179</v>
      </c>
    </row>
    <row r="8" spans="1:4" ht="15" customHeight="1">
      <c r="A8" s="54"/>
      <c r="B8" s="54"/>
      <c r="C8" s="52">
        <v>0</v>
      </c>
    </row>
    <row r="9" spans="1:4" ht="15" customHeight="1">
      <c r="A9" s="160" t="s">
        <v>172</v>
      </c>
      <c r="B9" s="160"/>
      <c r="C9" s="159">
        <f>SUM(C8)</f>
        <v>0</v>
      </c>
    </row>
    <row r="10" spans="1:4" ht="15" customHeight="1"/>
    <row r="11" spans="1:4" ht="15" customHeight="1"/>
    <row r="12" spans="1:4" ht="15" customHeight="1"/>
    <row r="13" spans="1:4" ht="15" customHeight="1">
      <c r="A13" s="54" t="s">
        <v>2</v>
      </c>
      <c r="B13" s="54" t="s">
        <v>3</v>
      </c>
    </row>
    <row r="14" spans="1:4" ht="15" customHeight="1"/>
  </sheetData>
  <mergeCells count="4">
    <mergeCell ref="A1:B1"/>
    <mergeCell ref="A2:B2"/>
    <mergeCell ref="A4:D4"/>
    <mergeCell ref="A3:C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1F9EA-6110-4CBC-9424-36A353BB8C92}">
  <dimension ref="A1:D29"/>
  <sheetViews>
    <sheetView showRuler="0" workbookViewId="0">
      <selection sqref="A1:D1"/>
    </sheetView>
  </sheetViews>
  <sheetFormatPr defaultColWidth="13.7265625" defaultRowHeight="12.5"/>
  <cols>
    <col min="1" max="1" width="13.7265625" style="41"/>
    <col min="2" max="2" width="32.453125" style="41" customWidth="1"/>
    <col min="3" max="3" width="19.1796875" style="41" customWidth="1"/>
    <col min="4" max="16384" width="13.7265625" style="41"/>
  </cols>
  <sheetData>
    <row r="1" spans="1:4" ht="15" customHeight="1">
      <c r="A1" s="712" t="s">
        <v>0</v>
      </c>
      <c r="B1" s="709"/>
      <c r="C1" s="709"/>
      <c r="D1" s="709"/>
    </row>
    <row r="2" spans="1:4" ht="15" customHeight="1">
      <c r="A2" s="712" t="s">
        <v>453</v>
      </c>
      <c r="B2" s="709"/>
      <c r="C2" s="709"/>
      <c r="D2" s="709"/>
    </row>
    <row r="3" spans="1:4" ht="15" customHeight="1">
      <c r="A3" s="712" t="s">
        <v>452</v>
      </c>
      <c r="B3" s="709"/>
      <c r="C3" s="709"/>
      <c r="D3" s="709"/>
    </row>
    <row r="4" spans="1:4" ht="15" customHeight="1">
      <c r="A4" s="712" t="s">
        <v>119</v>
      </c>
      <c r="B4" s="709"/>
      <c r="C4" s="709"/>
      <c r="D4" s="709"/>
    </row>
    <row r="5" spans="1:4" ht="15" customHeight="1"/>
    <row r="6" spans="1:4" ht="15" customHeight="1"/>
    <row r="7" spans="1:4" ht="50.15" customHeight="1">
      <c r="B7" s="2" t="s">
        <v>451</v>
      </c>
      <c r="C7" s="2" t="s">
        <v>450</v>
      </c>
    </row>
    <row r="8" spans="1:4" ht="15" customHeight="1">
      <c r="B8" s="54" t="s">
        <v>201</v>
      </c>
      <c r="C8" s="52">
        <v>27908</v>
      </c>
    </row>
    <row r="9" spans="1:4" ht="15" customHeight="1">
      <c r="B9" s="54" t="s">
        <v>200</v>
      </c>
      <c r="C9" s="52">
        <v>1097</v>
      </c>
    </row>
    <row r="10" spans="1:4" ht="15" customHeight="1">
      <c r="B10" s="54" t="s">
        <v>199</v>
      </c>
      <c r="C10" s="52">
        <v>308150</v>
      </c>
    </row>
    <row r="11" spans="1:4" ht="15" customHeight="1">
      <c r="B11" s="54" t="s">
        <v>198</v>
      </c>
      <c r="C11" s="52">
        <v>291826</v>
      </c>
      <c r="D11" s="54"/>
    </row>
    <row r="12" spans="1:4" ht="15" customHeight="1">
      <c r="B12" s="54" t="s">
        <v>197</v>
      </c>
      <c r="C12" s="52">
        <v>199558</v>
      </c>
      <c r="D12" s="54"/>
    </row>
    <row r="13" spans="1:4" ht="15" customHeight="1">
      <c r="B13" s="54" t="s">
        <v>196</v>
      </c>
      <c r="C13" s="52">
        <v>206540</v>
      </c>
    </row>
    <row r="14" spans="1:4" ht="15" customHeight="1">
      <c r="B14" s="54" t="s">
        <v>195</v>
      </c>
      <c r="C14" s="52">
        <v>160122</v>
      </c>
    </row>
    <row r="15" spans="1:4" ht="15" customHeight="1">
      <c r="B15" s="54" t="s">
        <v>194</v>
      </c>
      <c r="C15" s="52">
        <v>302200</v>
      </c>
    </row>
    <row r="16" spans="1:4" ht="15" customHeight="1">
      <c r="B16" s="54" t="s">
        <v>193</v>
      </c>
      <c r="C16" s="52">
        <v>381237</v>
      </c>
    </row>
    <row r="17" spans="1:3" ht="15" customHeight="1">
      <c r="B17" s="54" t="s">
        <v>192</v>
      </c>
      <c r="C17" s="52">
        <v>539253</v>
      </c>
    </row>
    <row r="18" spans="1:3" ht="15" customHeight="1">
      <c r="B18" s="54" t="s">
        <v>191</v>
      </c>
      <c r="C18" s="52">
        <v>166151</v>
      </c>
    </row>
    <row r="19" spans="1:3" ht="15" customHeight="1">
      <c r="B19" s="54" t="s">
        <v>190</v>
      </c>
      <c r="C19" s="89">
        <v>-419836</v>
      </c>
    </row>
    <row r="20" spans="1:3" ht="15" customHeight="1" thickBot="1">
      <c r="B20" s="54"/>
      <c r="C20" s="88">
        <f>SUM(C8:C19)</f>
        <v>2164206</v>
      </c>
    </row>
    <row r="21" spans="1:3" ht="15" customHeight="1" thickTop="1">
      <c r="B21" s="54"/>
      <c r="C21" s="63"/>
    </row>
    <row r="22" spans="1:3" ht="27.65" customHeight="1">
      <c r="B22" s="54" t="s">
        <v>449</v>
      </c>
      <c r="C22" s="77">
        <f>SUM(C10:C19)</f>
        <v>2135201</v>
      </c>
    </row>
    <row r="23" spans="1:3" ht="15" customHeight="1">
      <c r="B23" s="54"/>
      <c r="C23" s="54"/>
    </row>
    <row r="24" spans="1:3" ht="27.65" customHeight="1">
      <c r="B24" s="54" t="s">
        <v>448</v>
      </c>
      <c r="C24" s="77">
        <f>C22/10</f>
        <v>213520.1</v>
      </c>
    </row>
    <row r="25" spans="1:3" ht="15" customHeight="1">
      <c r="B25" s="54"/>
      <c r="C25" s="65"/>
    </row>
    <row r="26" spans="1:3" ht="37.5" customHeight="1" thickBot="1">
      <c r="B26" s="40" t="s">
        <v>447</v>
      </c>
      <c r="C26" s="88">
        <f>C24*12</f>
        <v>2562241.2000000002</v>
      </c>
    </row>
    <row r="27" spans="1:3" ht="15" customHeight="1" thickTop="1">
      <c r="C27" s="63"/>
    </row>
    <row r="28" spans="1:3" ht="15" customHeight="1"/>
    <row r="29" spans="1:3" ht="15" customHeight="1">
      <c r="A29" s="72" t="s">
        <v>2</v>
      </c>
      <c r="B29" s="54" t="s">
        <v>3</v>
      </c>
    </row>
  </sheetData>
  <mergeCells count="4">
    <mergeCell ref="A2:D2"/>
    <mergeCell ref="A1:D1"/>
    <mergeCell ref="A4:D4"/>
    <mergeCell ref="A3: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82CF6-3F0E-44FE-A349-72E9F0CCCD59}">
  <dimension ref="A1:E34"/>
  <sheetViews>
    <sheetView showRuler="0" topLeftCell="A25" workbookViewId="0">
      <selection sqref="A1:E1"/>
    </sheetView>
  </sheetViews>
  <sheetFormatPr defaultColWidth="13.7265625" defaultRowHeight="12.5"/>
  <cols>
    <col min="1" max="2" width="13.7265625" style="41"/>
    <col min="3" max="3" width="24" style="41" customWidth="1"/>
    <col min="4" max="16384" width="13.7265625" style="41"/>
  </cols>
  <sheetData>
    <row r="1" spans="1:5" ht="15" customHeight="1">
      <c r="A1" s="712" t="s">
        <v>0</v>
      </c>
      <c r="B1" s="709"/>
      <c r="C1" s="709"/>
      <c r="D1" s="709"/>
      <c r="E1" s="709"/>
    </row>
    <row r="2" spans="1:5" ht="15" customHeight="1">
      <c r="A2" s="712" t="s">
        <v>453</v>
      </c>
      <c r="B2" s="712"/>
      <c r="C2" s="712"/>
      <c r="D2" s="712"/>
      <c r="E2" s="709"/>
    </row>
    <row r="3" spans="1:5" ht="15" customHeight="1">
      <c r="A3" s="712" t="s">
        <v>480</v>
      </c>
      <c r="B3" s="709"/>
      <c r="C3" s="709"/>
      <c r="D3" s="709"/>
      <c r="E3" s="709"/>
    </row>
    <row r="4" spans="1:5" ht="15" customHeight="1">
      <c r="A4" s="712" t="s">
        <v>119</v>
      </c>
      <c r="B4" s="709"/>
      <c r="C4" s="709"/>
      <c r="D4" s="709"/>
      <c r="E4" s="709"/>
    </row>
    <row r="5" spans="1:5" ht="15" customHeight="1"/>
    <row r="6" spans="1:5" ht="15" customHeight="1"/>
    <row r="7" spans="1:5" ht="15" customHeight="1">
      <c r="A7" s="164" t="s">
        <v>177</v>
      </c>
      <c r="B7" s="163" t="s">
        <v>178</v>
      </c>
      <c r="C7" s="166" t="s">
        <v>479</v>
      </c>
      <c r="D7" s="59"/>
    </row>
    <row r="8" spans="1:5" ht="15" customHeight="1">
      <c r="A8" s="165">
        <v>9040007</v>
      </c>
      <c r="B8" s="58" t="s">
        <v>478</v>
      </c>
      <c r="C8" s="149">
        <v>-0.2</v>
      </c>
      <c r="D8" s="59"/>
    </row>
    <row r="9" spans="1:5" ht="15" customHeight="1">
      <c r="A9" s="59"/>
      <c r="B9" s="54" t="s">
        <v>477</v>
      </c>
      <c r="C9" s="139">
        <v>61658.85</v>
      </c>
      <c r="D9" s="59"/>
    </row>
    <row r="10" spans="1:5" ht="15" customHeight="1">
      <c r="A10" s="59"/>
      <c r="B10" s="54" t="s">
        <v>476</v>
      </c>
      <c r="C10" s="139">
        <v>22947.74</v>
      </c>
      <c r="D10" s="59"/>
    </row>
    <row r="11" spans="1:5" ht="15" customHeight="1">
      <c r="A11" s="59"/>
      <c r="B11" s="54" t="s">
        <v>475</v>
      </c>
      <c r="C11" s="139">
        <v>41204.050000000003</v>
      </c>
      <c r="D11" s="59"/>
    </row>
    <row r="12" spans="1:5" ht="15" customHeight="1">
      <c r="A12" s="59"/>
      <c r="B12" s="54" t="s">
        <v>474</v>
      </c>
      <c r="C12" s="139">
        <v>254.12</v>
      </c>
      <c r="D12" s="59"/>
    </row>
    <row r="13" spans="1:5" ht="15" customHeight="1">
      <c r="A13" s="59"/>
      <c r="B13" s="54" t="s">
        <v>473</v>
      </c>
      <c r="C13" s="139">
        <v>873</v>
      </c>
      <c r="D13" s="59"/>
    </row>
    <row r="14" spans="1:5" ht="15" customHeight="1">
      <c r="A14" s="59"/>
      <c r="B14" s="54" t="s">
        <v>472</v>
      </c>
      <c r="C14" s="139">
        <v>-0.01</v>
      </c>
      <c r="D14" s="59"/>
    </row>
    <row r="15" spans="1:5" ht="15" customHeight="1">
      <c r="A15" s="59"/>
      <c r="B15" s="54" t="s">
        <v>471</v>
      </c>
      <c r="C15" s="139">
        <v>-12644.24</v>
      </c>
      <c r="D15" s="59"/>
    </row>
    <row r="16" spans="1:5" ht="15" customHeight="1">
      <c r="A16" s="59"/>
      <c r="B16" s="54" t="s">
        <v>470</v>
      </c>
      <c r="C16" s="139">
        <v>12621.2</v>
      </c>
      <c r="D16" s="59"/>
    </row>
    <row r="17" spans="1:5" ht="15" customHeight="1">
      <c r="A17" s="59"/>
      <c r="B17" s="54" t="s">
        <v>469</v>
      </c>
      <c r="C17" s="139">
        <v>0.01</v>
      </c>
      <c r="D17" s="59"/>
    </row>
    <row r="18" spans="1:5" ht="15" customHeight="1">
      <c r="A18" s="59"/>
      <c r="B18" s="54" t="s">
        <v>468</v>
      </c>
      <c r="C18" s="139">
        <v>135</v>
      </c>
      <c r="D18" s="59"/>
    </row>
    <row r="19" spans="1:5" ht="15" customHeight="1">
      <c r="A19" s="59"/>
      <c r="B19" s="54" t="s">
        <v>467</v>
      </c>
      <c r="C19" s="139">
        <v>472080.55</v>
      </c>
      <c r="D19" s="118" t="s">
        <v>466</v>
      </c>
    </row>
    <row r="20" spans="1:5" ht="15" customHeight="1">
      <c r="A20" s="59"/>
      <c r="B20" s="54" t="s">
        <v>465</v>
      </c>
      <c r="C20" s="139">
        <v>0.72</v>
      </c>
      <c r="D20" s="118"/>
    </row>
    <row r="21" spans="1:5" ht="15" customHeight="1">
      <c r="A21" s="59"/>
      <c r="B21" s="54" t="s">
        <v>464</v>
      </c>
      <c r="C21" s="139">
        <v>-61658.85</v>
      </c>
      <c r="D21" s="118"/>
    </row>
    <row r="22" spans="1:5" ht="15" customHeight="1">
      <c r="A22" s="59"/>
      <c r="B22" s="54" t="s">
        <v>463</v>
      </c>
      <c r="C22" s="139">
        <v>-0.1</v>
      </c>
      <c r="D22" s="118"/>
    </row>
    <row r="23" spans="1:5" ht="15" customHeight="1">
      <c r="A23" s="59"/>
      <c r="B23" s="54" t="s">
        <v>462</v>
      </c>
      <c r="C23" s="139">
        <v>6201.33</v>
      </c>
      <c r="D23" s="118"/>
    </row>
    <row r="24" spans="1:5" ht="15" customHeight="1">
      <c r="A24" s="59"/>
      <c r="B24" s="54" t="s">
        <v>461</v>
      </c>
      <c r="C24" s="139">
        <v>10362.65</v>
      </c>
      <c r="D24" s="118" t="s">
        <v>460</v>
      </c>
    </row>
    <row r="25" spans="1:5" ht="15" customHeight="1">
      <c r="A25" s="59"/>
      <c r="B25" s="54" t="s">
        <v>459</v>
      </c>
      <c r="C25" s="139">
        <v>3637.73</v>
      </c>
      <c r="D25" s="118"/>
    </row>
    <row r="26" spans="1:5" ht="15" customHeight="1">
      <c r="A26" s="109"/>
      <c r="B26" s="65" t="s">
        <v>458</v>
      </c>
      <c r="C26" s="135">
        <v>6.62</v>
      </c>
      <c r="D26" s="59"/>
    </row>
    <row r="27" spans="1:5" ht="15" customHeight="1">
      <c r="A27" s="164" t="s">
        <v>457</v>
      </c>
      <c r="B27" s="163"/>
      <c r="C27" s="162">
        <v>557680.17000000004</v>
      </c>
      <c r="D27" s="59"/>
    </row>
    <row r="28" spans="1:5" ht="15" customHeight="1">
      <c r="A28" s="58"/>
      <c r="B28" s="58"/>
      <c r="C28" s="58"/>
    </row>
    <row r="29" spans="1:5" ht="16.75" customHeight="1">
      <c r="A29" s="712" t="s">
        <v>456</v>
      </c>
      <c r="B29" s="709"/>
      <c r="C29" s="62">
        <f>-SUM(C19,C24)</f>
        <v>-482443.2</v>
      </c>
    </row>
    <row r="30" spans="1:5" ht="25.9" customHeight="1"/>
    <row r="31" spans="1:5" ht="25.9" customHeight="1">
      <c r="A31" s="771" t="s">
        <v>455</v>
      </c>
      <c r="B31" s="709"/>
      <c r="C31" s="709"/>
      <c r="D31" s="709"/>
      <c r="E31" s="709"/>
    </row>
    <row r="32" spans="1:5" ht="25.9" customHeight="1">
      <c r="A32" s="771" t="s">
        <v>454</v>
      </c>
      <c r="B32" s="709"/>
      <c r="C32" s="709"/>
      <c r="D32" s="709"/>
      <c r="E32" s="709"/>
    </row>
    <row r="33" spans="1:2" ht="15" customHeight="1"/>
    <row r="34" spans="1:2" ht="15" customHeight="1">
      <c r="A34" s="72" t="s">
        <v>2</v>
      </c>
      <c r="B34" s="54" t="s">
        <v>3</v>
      </c>
    </row>
  </sheetData>
  <mergeCells count="7">
    <mergeCell ref="A31:E31"/>
    <mergeCell ref="A32:E32"/>
    <mergeCell ref="A1:E1"/>
    <mergeCell ref="A2:E2"/>
    <mergeCell ref="A3:E3"/>
    <mergeCell ref="A4:E4"/>
    <mergeCell ref="A29:B2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3F5E7-DEEF-41C0-AF2E-E8B70AFED537}">
  <dimension ref="A1:D13"/>
  <sheetViews>
    <sheetView showRuler="0" workbookViewId="0">
      <selection sqref="A1:D1"/>
    </sheetView>
  </sheetViews>
  <sheetFormatPr defaultColWidth="13.7265625" defaultRowHeight="12.5"/>
  <cols>
    <col min="1" max="16384" width="13.7265625" style="41"/>
  </cols>
  <sheetData>
    <row r="1" spans="1:4" ht="15" customHeight="1">
      <c r="A1" s="712" t="s">
        <v>0</v>
      </c>
      <c r="B1" s="709"/>
      <c r="C1" s="709"/>
      <c r="D1" s="709"/>
    </row>
    <row r="2" spans="1:4" ht="15" customHeight="1">
      <c r="A2" s="712" t="s">
        <v>453</v>
      </c>
      <c r="B2" s="712"/>
      <c r="C2" s="712"/>
      <c r="D2" s="712"/>
    </row>
    <row r="3" spans="1:4" ht="15" customHeight="1">
      <c r="A3" s="712" t="s">
        <v>483</v>
      </c>
      <c r="B3" s="709"/>
      <c r="C3" s="709"/>
      <c r="D3" s="709"/>
    </row>
    <row r="4" spans="1:4" ht="15" customHeight="1">
      <c r="A4" s="712" t="s">
        <v>119</v>
      </c>
      <c r="B4" s="709"/>
      <c r="C4" s="709"/>
      <c r="D4" s="709"/>
    </row>
    <row r="5" spans="1:4" ht="15" customHeight="1"/>
    <row r="6" spans="1:4" ht="27.65" customHeight="1">
      <c r="B6" s="2" t="s">
        <v>451</v>
      </c>
      <c r="C6" s="2" t="s">
        <v>482</v>
      </c>
      <c r="D6" s="2" t="s">
        <v>481</v>
      </c>
    </row>
    <row r="7" spans="1:4" ht="15" customHeight="1">
      <c r="B7" s="54" t="s">
        <v>201</v>
      </c>
      <c r="C7" s="77">
        <v>0</v>
      </c>
      <c r="D7" s="77">
        <v>1334.73</v>
      </c>
    </row>
    <row r="8" spans="1:4" ht="15" customHeight="1">
      <c r="B8" s="54" t="s">
        <v>200</v>
      </c>
      <c r="C8" s="77">
        <v>-0.25</v>
      </c>
      <c r="D8" s="77">
        <v>2034.06</v>
      </c>
    </row>
    <row r="9" spans="1:4" ht="15" customHeight="1">
      <c r="B9" s="54" t="s">
        <v>199</v>
      </c>
      <c r="C9" s="75">
        <v>-5.72</v>
      </c>
      <c r="D9" s="75">
        <v>-235560.58</v>
      </c>
    </row>
    <row r="10" spans="1:4" ht="15" customHeight="1" thickBot="1">
      <c r="C10" s="88">
        <f>SUM(C7:C9)</f>
        <v>-5.97</v>
      </c>
      <c r="D10" s="88">
        <f>SUM(D7:D9)</f>
        <v>-232191.78999999998</v>
      </c>
    </row>
    <row r="11" spans="1:4" ht="15" customHeight="1" thickTop="1">
      <c r="C11" s="63"/>
      <c r="D11" s="63"/>
    </row>
    <row r="12" spans="1:4" ht="15" customHeight="1"/>
    <row r="13" spans="1:4" ht="15" customHeight="1">
      <c r="A13" s="72" t="s">
        <v>2</v>
      </c>
      <c r="B13" s="54" t="s">
        <v>3</v>
      </c>
    </row>
  </sheetData>
  <mergeCells count="4">
    <mergeCell ref="A2:D2"/>
    <mergeCell ref="A1:D1"/>
    <mergeCell ref="A4:D4"/>
    <mergeCell ref="A3: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D5CAF-5F11-4BB2-9F4C-E49630E79E28}">
  <dimension ref="A1:F25"/>
  <sheetViews>
    <sheetView showRuler="0" workbookViewId="0">
      <selection sqref="A1:C1"/>
    </sheetView>
  </sheetViews>
  <sheetFormatPr defaultColWidth="13.7265625" defaultRowHeight="12.5"/>
  <cols>
    <col min="1" max="1" width="11" style="41" customWidth="1"/>
    <col min="2" max="2" width="8.453125" style="41" customWidth="1"/>
    <col min="3" max="3" width="13.7265625" style="41"/>
    <col min="4" max="4" width="32.453125" style="41" customWidth="1"/>
    <col min="5" max="5" width="19.1796875" style="41" customWidth="1"/>
    <col min="6" max="16384" width="13.7265625" style="41"/>
  </cols>
  <sheetData>
    <row r="1" spans="1:6" ht="15" customHeight="1">
      <c r="A1" s="711" t="s">
        <v>0</v>
      </c>
      <c r="B1" s="709"/>
      <c r="C1" s="709"/>
    </row>
    <row r="2" spans="1:6" ht="15" customHeight="1">
      <c r="A2" s="712" t="s">
        <v>215</v>
      </c>
      <c r="B2" s="709"/>
      <c r="C2" s="709"/>
      <c r="D2" s="709"/>
      <c r="E2" s="709"/>
    </row>
    <row r="3" spans="1:6" ht="15" customHeight="1">
      <c r="A3" s="712" t="s">
        <v>229</v>
      </c>
      <c r="B3" s="709"/>
      <c r="C3" s="709"/>
      <c r="D3" s="709"/>
    </row>
    <row r="4" spans="1:6" ht="15" customHeight="1">
      <c r="A4" s="711" t="s">
        <v>119</v>
      </c>
      <c r="B4" s="709"/>
      <c r="C4" s="709"/>
      <c r="D4" s="709"/>
      <c r="E4" s="709"/>
    </row>
    <row r="5" spans="1:6" ht="15" customHeight="1"/>
    <row r="6" spans="1:6" ht="15" customHeight="1">
      <c r="A6" s="71" t="s">
        <v>213</v>
      </c>
      <c r="B6" s="71" t="s">
        <v>228</v>
      </c>
      <c r="C6" s="71" t="s">
        <v>227</v>
      </c>
      <c r="D6" s="71" t="s">
        <v>226</v>
      </c>
      <c r="E6" s="71" t="s">
        <v>225</v>
      </c>
      <c r="F6" s="59"/>
    </row>
    <row r="7" spans="1:6" ht="15" customHeight="1">
      <c r="A7" s="58" t="s">
        <v>201</v>
      </c>
      <c r="B7" s="70">
        <v>117</v>
      </c>
      <c r="C7" s="70">
        <v>1823377</v>
      </c>
      <c r="D7" s="58" t="s">
        <v>224</v>
      </c>
      <c r="E7" s="55">
        <v>15378.8</v>
      </c>
    </row>
    <row r="8" spans="1:6" ht="15" customHeight="1">
      <c r="A8" s="54" t="s">
        <v>200</v>
      </c>
      <c r="B8" s="61">
        <v>117</v>
      </c>
      <c r="C8" s="61">
        <v>1823377</v>
      </c>
      <c r="D8" s="54" t="s">
        <v>224</v>
      </c>
      <c r="E8" s="51">
        <v>15049.67</v>
      </c>
    </row>
    <row r="9" spans="1:6" ht="15" customHeight="1">
      <c r="A9" s="54" t="s">
        <v>199</v>
      </c>
      <c r="B9" s="61">
        <v>117</v>
      </c>
      <c r="C9" s="61">
        <v>1823377</v>
      </c>
      <c r="D9" s="54" t="s">
        <v>224</v>
      </c>
      <c r="E9" s="51">
        <v>14814.88</v>
      </c>
    </row>
    <row r="10" spans="1:6" ht="15" customHeight="1">
      <c r="A10" s="54" t="s">
        <v>198</v>
      </c>
      <c r="B10" s="61">
        <v>117</v>
      </c>
      <c r="C10" s="61">
        <v>1823377</v>
      </c>
      <c r="D10" s="54" t="s">
        <v>224</v>
      </c>
      <c r="E10" s="51">
        <v>14813.04</v>
      </c>
    </row>
    <row r="11" spans="1:6" ht="15" customHeight="1">
      <c r="A11" s="54" t="s">
        <v>197</v>
      </c>
      <c r="B11" s="61">
        <v>117</v>
      </c>
      <c r="C11" s="61">
        <v>1823377</v>
      </c>
      <c r="D11" s="54" t="s">
        <v>224</v>
      </c>
      <c r="E11" s="51">
        <v>14812.34</v>
      </c>
    </row>
    <row r="12" spans="1:6" ht="15" customHeight="1">
      <c r="A12" s="54" t="s">
        <v>196</v>
      </c>
      <c r="B12" s="61">
        <v>117</v>
      </c>
      <c r="C12" s="61">
        <v>1823377</v>
      </c>
      <c r="D12" s="54" t="s">
        <v>224</v>
      </c>
      <c r="E12" s="51">
        <v>14673.37</v>
      </c>
    </row>
    <row r="13" spans="1:6" ht="15" customHeight="1">
      <c r="A13" s="54" t="s">
        <v>195</v>
      </c>
      <c r="B13" s="61">
        <v>117</v>
      </c>
      <c r="C13" s="61">
        <v>1823377</v>
      </c>
      <c r="D13" s="54" t="s">
        <v>224</v>
      </c>
      <c r="E13" s="51">
        <v>14712.91</v>
      </c>
    </row>
    <row r="14" spans="1:6" ht="15" customHeight="1">
      <c r="A14" s="54" t="s">
        <v>194</v>
      </c>
      <c r="B14" s="61">
        <v>117</v>
      </c>
      <c r="C14" s="61">
        <v>1823377</v>
      </c>
      <c r="D14" s="54" t="s">
        <v>224</v>
      </c>
      <c r="E14" s="51">
        <v>14577.44</v>
      </c>
    </row>
    <row r="15" spans="1:6" ht="15" customHeight="1">
      <c r="A15" s="54" t="s">
        <v>193</v>
      </c>
      <c r="B15" s="61">
        <v>117</v>
      </c>
      <c r="C15" s="61">
        <v>1823377</v>
      </c>
      <c r="D15" s="54" t="s">
        <v>224</v>
      </c>
      <c r="E15" s="51">
        <v>14605.21</v>
      </c>
    </row>
    <row r="16" spans="1:6" ht="15" customHeight="1">
      <c r="A16" s="54" t="s">
        <v>192</v>
      </c>
      <c r="B16" s="61">
        <v>117</v>
      </c>
      <c r="C16" s="61">
        <v>1823377</v>
      </c>
      <c r="D16" s="54" t="s">
        <v>224</v>
      </c>
      <c r="E16" s="51">
        <v>14595.19</v>
      </c>
    </row>
    <row r="17" spans="1:5" ht="15" customHeight="1">
      <c r="A17" s="54" t="s">
        <v>191</v>
      </c>
      <c r="B17" s="61">
        <v>117</v>
      </c>
      <c r="C17" s="61">
        <v>1823377</v>
      </c>
      <c r="D17" s="54" t="s">
        <v>224</v>
      </c>
      <c r="E17" s="51">
        <v>14616.06</v>
      </c>
    </row>
    <row r="18" spans="1:5" ht="15" customHeight="1">
      <c r="A18" s="65" t="s">
        <v>190</v>
      </c>
      <c r="B18" s="69">
        <v>117</v>
      </c>
      <c r="C18" s="69">
        <v>1823377</v>
      </c>
      <c r="D18" s="65" t="s">
        <v>224</v>
      </c>
      <c r="E18" s="50">
        <v>14660.83</v>
      </c>
    </row>
    <row r="19" spans="1:5" ht="15" customHeight="1" thickBot="1">
      <c r="A19" s="58" t="s">
        <v>158</v>
      </c>
      <c r="B19" s="58"/>
      <c r="C19" s="58"/>
      <c r="D19" s="58"/>
      <c r="E19" s="64">
        <f>SUM(E7:E18)</f>
        <v>177309.74</v>
      </c>
    </row>
    <row r="20" spans="1:5" ht="15" customHeight="1" thickTop="1">
      <c r="E20" s="63"/>
    </row>
    <row r="21" spans="1:5" ht="39.25" customHeight="1">
      <c r="A21" s="712" t="s">
        <v>223</v>
      </c>
      <c r="B21" s="709"/>
      <c r="C21" s="61">
        <v>4111005</v>
      </c>
      <c r="E21" s="62">
        <f>-E19</f>
        <v>-177309.74</v>
      </c>
    </row>
    <row r="22" spans="1:5" ht="15" customHeight="1">
      <c r="A22" s="712" t="s">
        <v>187</v>
      </c>
      <c r="B22" s="709"/>
      <c r="E22" s="68">
        <v>411.1</v>
      </c>
    </row>
    <row r="23" spans="1:5" ht="15" customHeight="1"/>
    <row r="24" spans="1:5" ht="15" customHeight="1">
      <c r="A24" s="44" t="s">
        <v>2</v>
      </c>
      <c r="B24" s="711" t="s">
        <v>3</v>
      </c>
      <c r="C24" s="709"/>
    </row>
    <row r="25" spans="1:5" ht="15" customHeight="1"/>
  </sheetData>
  <mergeCells count="7">
    <mergeCell ref="A22:B22"/>
    <mergeCell ref="B24:C24"/>
    <mergeCell ref="A1:C1"/>
    <mergeCell ref="A2:E2"/>
    <mergeCell ref="A4:E4"/>
    <mergeCell ref="A3:D3"/>
    <mergeCell ref="A21:B2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E2D1-E090-4916-93FC-3D4EE4528D88}">
  <sheetPr>
    <pageSetUpPr fitToPage="1"/>
  </sheetPr>
  <dimension ref="A1:P55"/>
  <sheetViews>
    <sheetView topLeftCell="A34" zoomScale="85" zoomScaleNormal="85" workbookViewId="0">
      <selection activeCell="G52" sqref="G52:K52"/>
    </sheetView>
  </sheetViews>
  <sheetFormatPr defaultColWidth="9.1796875" defaultRowHeight="12.5"/>
  <cols>
    <col min="1" max="1" width="11.54296875" style="24" bestFit="1" customWidth="1"/>
    <col min="2" max="2" width="13.1796875" style="24" customWidth="1"/>
    <col min="3" max="3" width="16.26953125" style="24" customWidth="1"/>
    <col min="4" max="4" width="12.1796875" style="24" customWidth="1"/>
    <col min="5" max="5" width="12.7265625" style="24" bestFit="1" customWidth="1"/>
    <col min="6" max="6" width="9.1796875" style="24"/>
    <col min="7" max="7" width="11.54296875" style="24" bestFit="1" customWidth="1"/>
    <col min="8" max="8" width="13.26953125" style="24" customWidth="1"/>
    <col min="9" max="9" width="16" style="24" customWidth="1"/>
    <col min="10" max="10" width="13.1796875" style="24" customWidth="1"/>
    <col min="11" max="11" width="12.7265625" style="24" bestFit="1" customWidth="1"/>
    <col min="12" max="12" width="9.1796875" style="24"/>
    <col min="13" max="13" width="7.81640625" style="24" customWidth="1"/>
    <col min="14" max="14" width="27" style="24" bestFit="1" customWidth="1"/>
    <col min="15" max="16" width="11.26953125" style="24" bestFit="1" customWidth="1"/>
    <col min="17" max="16384" width="9.1796875" style="24"/>
  </cols>
  <sheetData>
    <row r="1" spans="1:16" ht="12.75" customHeight="1">
      <c r="A1" s="772" t="s">
        <v>0</v>
      </c>
      <c r="B1" s="773"/>
      <c r="C1" s="18"/>
      <c r="D1" s="43"/>
    </row>
    <row r="2" spans="1:16" ht="12.75" customHeight="1">
      <c r="A2" s="18" t="s">
        <v>1100</v>
      </c>
      <c r="B2" s="18"/>
      <c r="C2" s="18"/>
      <c r="D2" s="43"/>
    </row>
    <row r="3" spans="1:16" ht="12.75" customHeight="1">
      <c r="A3" s="772" t="s">
        <v>119</v>
      </c>
      <c r="B3" s="773"/>
      <c r="C3" s="773"/>
      <c r="D3" s="43"/>
    </row>
    <row r="4" spans="1:16" ht="12.75" customHeight="1">
      <c r="A4" s="551"/>
      <c r="B4" s="43"/>
      <c r="C4" s="43"/>
      <c r="D4" s="43"/>
    </row>
    <row r="5" spans="1:16">
      <c r="A5" s="552"/>
      <c r="B5" s="552"/>
      <c r="C5" s="552"/>
      <c r="D5" s="552"/>
    </row>
    <row r="6" spans="1:16" ht="14">
      <c r="A6" s="774" t="s">
        <v>1101</v>
      </c>
      <c r="B6" s="775"/>
      <c r="C6" s="775"/>
      <c r="D6" s="775"/>
      <c r="E6" s="776"/>
      <c r="G6" s="774" t="s">
        <v>1102</v>
      </c>
      <c r="H6" s="775"/>
      <c r="I6" s="775"/>
      <c r="J6" s="775"/>
      <c r="K6" s="776"/>
    </row>
    <row r="7" spans="1:16" ht="37.5">
      <c r="A7" s="777" t="s">
        <v>1103</v>
      </c>
      <c r="B7" s="553" t="s">
        <v>1104</v>
      </c>
      <c r="C7" s="553" t="s">
        <v>1105</v>
      </c>
      <c r="D7" s="553" t="s">
        <v>1106</v>
      </c>
      <c r="E7" s="777" t="s">
        <v>1107</v>
      </c>
      <c r="G7" s="777" t="s">
        <v>1103</v>
      </c>
      <c r="H7" s="553" t="s">
        <v>1104</v>
      </c>
      <c r="I7" s="553" t="s">
        <v>1105</v>
      </c>
      <c r="J7" s="553" t="s">
        <v>1106</v>
      </c>
      <c r="K7" s="777" t="s">
        <v>1107</v>
      </c>
    </row>
    <row r="8" spans="1:16">
      <c r="A8" s="778"/>
      <c r="B8" s="554" t="s">
        <v>52</v>
      </c>
      <c r="C8" s="554" t="s">
        <v>55</v>
      </c>
      <c r="D8" s="554" t="s">
        <v>58</v>
      </c>
      <c r="E8" s="778"/>
      <c r="G8" s="778"/>
      <c r="H8" s="554" t="s">
        <v>52</v>
      </c>
      <c r="I8" s="554" t="s">
        <v>55</v>
      </c>
      <c r="J8" s="554" t="s">
        <v>58</v>
      </c>
      <c r="K8" s="778"/>
    </row>
    <row r="9" spans="1:16">
      <c r="A9" s="555" t="s">
        <v>1108</v>
      </c>
      <c r="B9" s="556">
        <f>IFERROR(VLOOKUP(A9,W27_PG_1_of_3!$B$9:$K$43,10,FALSE),0)</f>
        <v>-61760.257498336716</v>
      </c>
      <c r="C9" s="556">
        <f>IFERROR(VLOOKUP(A9,W29_PG_1_of_2!$B$10:$D$37,3,FALSE),0)</f>
        <v>5844.760146238511</v>
      </c>
      <c r="D9" s="556">
        <f>IFERROR(VLOOKUP(A9,W28_PG_1_of_4!$B$9:$I$44,8,FALSE),0)</f>
        <v>140308.85591478343</v>
      </c>
      <c r="E9" s="557">
        <f t="shared" ref="E9:E51" si="0">SUM(B9:D9)</f>
        <v>84393.358562685229</v>
      </c>
      <c r="G9" s="555" t="s">
        <v>1108</v>
      </c>
      <c r="H9" s="556">
        <f>IFERROR(VLOOKUP(G9,W27_PG_1_of_3!$B$9:$L$43,11,FALSE),0)</f>
        <v>-61204.415180851684</v>
      </c>
      <c r="I9" s="556">
        <f>IFERROR(VLOOKUP(G9,W29_PG_1_of_2!$B$10:$F$37,5,FALSE),0)</f>
        <v>5792.1573049223643</v>
      </c>
      <c r="J9" s="556">
        <f>IFERROR(VLOOKUP(G9,W28_PG_1_of_4!$B$9:$J$44,9,FALSE),0)</f>
        <v>139046.07621155039</v>
      </c>
      <c r="K9" s="558">
        <f t="shared" ref="K9:K51" si="1">SUM(H9:J9)</f>
        <v>83633.818335621065</v>
      </c>
    </row>
    <row r="10" spans="1:16">
      <c r="A10" s="555" t="s">
        <v>1109</v>
      </c>
      <c r="B10" s="556">
        <f>IFERROR(VLOOKUP(A10,W27_PG_1_of_3!$B$9:$K$43,10,FALSE),0)</f>
        <v>-83809.124693201054</v>
      </c>
      <c r="C10" s="556">
        <f>IFERROR(VLOOKUP(A10,W29_PG_1_of_2!$B$10:$D$37,3,FALSE),0)</f>
        <v>20395.64642075817</v>
      </c>
      <c r="D10" s="556">
        <f>IFERROR(VLOOKUP(A10,W28_PG_1_of_4!$B$9:$I$44,8,FALSE),0)</f>
        <v>177004.73337750463</v>
      </c>
      <c r="E10" s="557">
        <f t="shared" si="0"/>
        <v>113591.25510506175</v>
      </c>
      <c r="G10" s="555" t="s">
        <v>1109</v>
      </c>
      <c r="H10" s="556">
        <f>IFERROR(VLOOKUP(G10,W27_PG_1_of_3!$B$9:$L$43,11,FALSE),0)</f>
        <v>-83054.842570962239</v>
      </c>
      <c r="I10" s="556">
        <f>IFERROR(VLOOKUP(G10,W29_PG_1_of_2!$B$10:$F$37,5,FALSE),0)</f>
        <v>20212.085602971347</v>
      </c>
      <c r="J10" s="556">
        <f>IFERROR(VLOOKUP(G10,W28_PG_1_of_4!$B$9:$J$44,9,FALSE),0)</f>
        <v>175411.69077710708</v>
      </c>
      <c r="K10" s="558">
        <f t="shared" si="1"/>
        <v>112568.93380911619</v>
      </c>
    </row>
    <row r="11" spans="1:16">
      <c r="A11" s="555" t="s">
        <v>1110</v>
      </c>
      <c r="B11" s="556">
        <f>IFERROR(VLOOKUP(A11,W27_PG_1_of_3!$B$9:$K$43,10,FALSE),0)</f>
        <v>-55714.554769692593</v>
      </c>
      <c r="C11" s="556">
        <f>IFERROR(VLOOKUP(A11,W29_PG_1_of_2!$B$10:$D$37,3,FALSE),0)</f>
        <v>13302.449428516713</v>
      </c>
      <c r="D11" s="556">
        <f>IFERROR(VLOOKUP(A11,W28_PG_1_of_4!$B$9:$I$44,8,FALSE),0)</f>
        <v>108240.32570641814</v>
      </c>
      <c r="E11" s="557">
        <f t="shared" si="0"/>
        <v>65828.220365242261</v>
      </c>
      <c r="G11" s="555" t="s">
        <v>1110</v>
      </c>
      <c r="H11" s="556">
        <f>IFERROR(VLOOKUP(G11,W27_PG_1_of_3!$B$9:$L$43,11,FALSE),0)</f>
        <v>-55213.123776765358</v>
      </c>
      <c r="I11" s="556">
        <f>IFERROR(VLOOKUP(G11,W29_PG_1_of_2!$B$10:$F$37,5,FALSE),0)</f>
        <v>13182.727383660062</v>
      </c>
      <c r="J11" s="556">
        <f>IFERROR(VLOOKUP(G11,W28_PG_1_of_4!$B$9:$J$44,9,FALSE),0)</f>
        <v>107266.16277506038</v>
      </c>
      <c r="K11" s="558">
        <f t="shared" si="1"/>
        <v>65235.76638195508</v>
      </c>
    </row>
    <row r="12" spans="1:16">
      <c r="A12" s="555" t="s">
        <v>1111</v>
      </c>
      <c r="B12" s="556">
        <f>IFERROR(VLOOKUP(A12,W27_PG_1_of_3!$B$9:$K$43,10,FALSE),0)</f>
        <v>-3071.2758300774481</v>
      </c>
      <c r="C12" s="556">
        <f>IFERROR(VLOOKUP(A12,W29_PG_1_of_2!$B$10:$D$37,3,FALSE),0)</f>
        <v>761.1911160523008</v>
      </c>
      <c r="D12" s="556">
        <f>IFERROR(VLOOKUP(A12,W28_PG_1_of_4!$B$9:$I$44,8,FALSE),0)</f>
        <v>8096.9353280116193</v>
      </c>
      <c r="E12" s="557">
        <f t="shared" si="0"/>
        <v>5786.8506139864721</v>
      </c>
      <c r="G12" s="555" t="s">
        <v>1111</v>
      </c>
      <c r="H12" s="556">
        <f>IFERROR(VLOOKUP(G12,W27_PG_1_of_3!$B$9:$L$43,11,FALSE),0)</f>
        <v>-3043.6343476067509</v>
      </c>
      <c r="I12" s="556">
        <f>IFERROR(VLOOKUP(G12,W29_PG_1_of_2!$B$10:$F$37,5,FALSE),0)</f>
        <v>754.34039600783012</v>
      </c>
      <c r="J12" s="556">
        <f>IFERROR(VLOOKUP(G12,W28_PG_1_of_4!$B$9:$J$44,9,FALSE),0)</f>
        <v>8024.0629100595143</v>
      </c>
      <c r="K12" s="558">
        <f t="shared" si="1"/>
        <v>5734.7689584605932</v>
      </c>
    </row>
    <row r="13" spans="1:16">
      <c r="A13" s="555" t="s">
        <v>1112</v>
      </c>
      <c r="B13" s="556">
        <f>IFERROR(VLOOKUP(A13,W27_PG_1_of_3!$B$9:$K$43,10,FALSE),0)</f>
        <v>-54914.036723918529</v>
      </c>
      <c r="C13" s="556">
        <f>IFERROR(VLOOKUP(A13,W29_PG_1_of_2!$B$10:$D$37,3,FALSE),0)</f>
        <v>9954.8054137096806</v>
      </c>
      <c r="D13" s="556">
        <f>IFERROR(VLOOKUP(A13,W28_PG_1_of_4!$B$9:$I$44,8,FALSE),0)</f>
        <v>122518.3349418093</v>
      </c>
      <c r="E13" s="557">
        <f t="shared" si="0"/>
        <v>77559.103631600447</v>
      </c>
      <c r="G13" s="555" t="s">
        <v>1112</v>
      </c>
      <c r="H13" s="556">
        <f>IFERROR(VLOOKUP(G13,W27_PG_1_of_3!$B$9:$L$43,11,FALSE),0)</f>
        <v>-54419.810393403262</v>
      </c>
      <c r="I13" s="556">
        <f>IFERROR(VLOOKUP(G13,W29_PG_1_of_2!$B$10:$F$37,5,FALSE),0)</f>
        <v>9865.2121649862929</v>
      </c>
      <c r="J13" s="556">
        <f>IFERROR(VLOOKUP(G13,W28_PG_1_of_4!$B$9:$J$44,9,FALSE),0)</f>
        <v>121415.66992733302</v>
      </c>
      <c r="K13" s="558">
        <f t="shared" si="1"/>
        <v>76861.071698916043</v>
      </c>
    </row>
    <row r="14" spans="1:16">
      <c r="A14" s="555" t="s">
        <v>1113</v>
      </c>
      <c r="B14" s="556">
        <f>IFERROR(VLOOKUP(A14,W27_PG_1_of_3!$B$9:$K$43,10,FALSE),0)</f>
        <v>-46108.54877388067</v>
      </c>
      <c r="C14" s="556">
        <f>IFERROR(VLOOKUP(A14,W29_PG_1_of_2!$B$10:$D$37,3,FALSE),0)</f>
        <v>4410.1150608672133</v>
      </c>
      <c r="D14" s="556">
        <f>IFERROR(VLOOKUP(A14,W28_PG_1_of_4!$B$9:$I$44,8,FALSE),0)</f>
        <v>114503.10919825477</v>
      </c>
      <c r="E14" s="557">
        <f t="shared" si="0"/>
        <v>72804.675485241314</v>
      </c>
      <c r="G14" s="555" t="s">
        <v>1113</v>
      </c>
      <c r="H14" s="556">
        <f>IFERROR(VLOOKUP(G14,W27_PG_1_of_3!$B$9:$L$43,11,FALSE),0)</f>
        <v>-45693.57183491574</v>
      </c>
      <c r="I14" s="556">
        <f>IFERROR(VLOOKUP(G14,W29_PG_1_of_2!$B$10:$F$37,5,FALSE),0)</f>
        <v>4370.4240253194084</v>
      </c>
      <c r="J14" s="556">
        <f>IFERROR(VLOOKUP(G14,W28_PG_1_of_4!$B$9:$J$44,9,FALSE),0)</f>
        <v>113472.58121547048</v>
      </c>
      <c r="K14" s="558">
        <f t="shared" si="1"/>
        <v>72149.433405874152</v>
      </c>
    </row>
    <row r="15" spans="1:16" ht="21" customHeight="1">
      <c r="A15" s="555" t="s">
        <v>1114</v>
      </c>
      <c r="B15" s="556">
        <f>IFERROR(VLOOKUP(A15,W27_PG_1_of_3!$B$9:$K$43,10,FALSE),0)</f>
        <v>-5880.2868719798635</v>
      </c>
      <c r="C15" s="556">
        <f>IFERROR(VLOOKUP(A15,W29_PG_1_of_2!$B$10:$D$37,3,FALSE),0)</f>
        <v>492.30924642154292</v>
      </c>
      <c r="D15" s="556">
        <f>IFERROR(VLOOKUP(A15,W28_PG_1_of_4!$B$9:$I$44,8,FALSE),0)</f>
        <v>14356.936017049797</v>
      </c>
      <c r="E15" s="557">
        <f t="shared" si="0"/>
        <v>8968.9583914914765</v>
      </c>
      <c r="G15" s="555" t="s">
        <v>1114</v>
      </c>
      <c r="H15" s="556">
        <f>IFERROR(VLOOKUP(G15,W27_PG_1_of_3!$B$9:$L$43,11,FALSE),0)</f>
        <v>-5827.3642901320445</v>
      </c>
      <c r="I15" s="556">
        <f>IFERROR(VLOOKUP(G15,W29_PG_1_of_2!$B$10:$F$37,5,FALSE),0)</f>
        <v>487.87846320374905</v>
      </c>
      <c r="J15" s="556">
        <f>IFERROR(VLOOKUP(G15,W28_PG_1_of_4!$B$9:$J$44,9,FALSE),0)</f>
        <v>14227.723592896349</v>
      </c>
      <c r="K15" s="558">
        <f t="shared" si="1"/>
        <v>8888.2377659680533</v>
      </c>
      <c r="O15" s="559" t="s">
        <v>158</v>
      </c>
      <c r="P15" s="560" t="s">
        <v>1115</v>
      </c>
    </row>
    <row r="16" spans="1:16">
      <c r="A16" s="555" t="s">
        <v>1116</v>
      </c>
      <c r="B16" s="556">
        <f>IFERROR(VLOOKUP(A16,W27_PG_1_of_3!$B$9:$K$43,10,FALSE),0)</f>
        <v>-65003.701459302596</v>
      </c>
      <c r="C16" s="556">
        <f>IFERROR(VLOOKUP(A16,W29_PG_1_of_2!$B$10:$D$37,3,FALSE),0)</f>
        <v>11098.178486526795</v>
      </c>
      <c r="D16" s="556">
        <f>IFERROR(VLOOKUP(A16,W28_PG_1_of_4!$B$9:$I$44,8,FALSE),0)</f>
        <v>153454.17158880294</v>
      </c>
      <c r="E16" s="557">
        <f t="shared" si="0"/>
        <v>99548.648616027145</v>
      </c>
      <c r="G16" s="555" t="s">
        <v>1116</v>
      </c>
      <c r="H16" s="556">
        <f>IFERROR(VLOOKUP(G16,W27_PG_1_of_3!$B$9:$L$43,11,FALSE),0)</f>
        <v>-64418.668146168871</v>
      </c>
      <c r="I16" s="556">
        <f>IFERROR(VLOOKUP(G16,W29_PG_1_of_2!$B$10:$F$37,5,FALSE),0)</f>
        <v>10998.294880148052</v>
      </c>
      <c r="J16" s="556">
        <f>IFERROR(VLOOKUP(G16,W28_PG_1_of_4!$B$9:$J$44,9,FALSE),0)</f>
        <v>152073.08404450372</v>
      </c>
      <c r="K16" s="558">
        <f t="shared" si="1"/>
        <v>98652.710778482899</v>
      </c>
      <c r="M16" s="561" t="s">
        <v>61</v>
      </c>
      <c r="N16" s="562" t="s">
        <v>1117</v>
      </c>
      <c r="O16" s="563">
        <v>20934</v>
      </c>
      <c r="P16" s="564">
        <v>20745</v>
      </c>
    </row>
    <row r="17" spans="1:16">
      <c r="A17" s="555" t="s">
        <v>1118</v>
      </c>
      <c r="B17" s="556">
        <f>IFERROR(VLOOKUP(A17,W27_PG_1_of_3!$B$9:$K$43,10,FALSE),0)</f>
        <v>-29959.796466375567</v>
      </c>
      <c r="C17" s="556">
        <f>IFERROR(VLOOKUP(A17,W29_PG_1_of_2!$B$10:$D$37,3,FALSE),0)</f>
        <v>5446.6976068806298</v>
      </c>
      <c r="D17" s="556">
        <f>IFERROR(VLOOKUP(A17,W28_PG_1_of_4!$B$9:$I$44,8,FALSE),0)</f>
        <v>60826.219605553662</v>
      </c>
      <c r="E17" s="557">
        <f t="shared" si="0"/>
        <v>36313.120746058725</v>
      </c>
      <c r="G17" s="555" t="s">
        <v>1118</v>
      </c>
      <c r="H17" s="556">
        <f>IFERROR(VLOOKUP(G17,W27_PG_1_of_3!$B$9:$L$43,11,FALSE),0)</f>
        <v>-29690.158298178187</v>
      </c>
      <c r="I17" s="556">
        <f>IFERROR(VLOOKUP(G17,W29_PG_1_of_2!$B$10:$F$37,5,FALSE),0)</f>
        <v>5397.6773284187038</v>
      </c>
      <c r="J17" s="556">
        <f>IFERROR(VLOOKUP(G17,W28_PG_1_of_4!$B$9:$J$44,9,FALSE),0)</f>
        <v>60278.78362910368</v>
      </c>
      <c r="K17" s="558">
        <f t="shared" si="1"/>
        <v>35986.302659344197</v>
      </c>
      <c r="M17" s="565" t="s">
        <v>63</v>
      </c>
      <c r="N17" s="24" t="s">
        <v>1119</v>
      </c>
      <c r="O17" s="566">
        <f>W31_PG_1_of_3!H22</f>
        <v>86198.237309193137</v>
      </c>
      <c r="P17" s="558">
        <f>W31_PG_1_of_3!H25</f>
        <v>85422.453173410395</v>
      </c>
    </row>
    <row r="18" spans="1:16">
      <c r="A18" s="555" t="s">
        <v>1120</v>
      </c>
      <c r="B18" s="556">
        <f>IFERROR(VLOOKUP(A18,W27_PG_1_of_3!$B$9:$K$43,10,FALSE),0)</f>
        <v>-12834.954436834256</v>
      </c>
      <c r="C18" s="556">
        <f>IFERROR(VLOOKUP(A18,W29_PG_1_of_2!$B$10:$D$37,3,FALSE),0)</f>
        <v>1545.4120956213285</v>
      </c>
      <c r="D18" s="556">
        <f>IFERROR(VLOOKUP(A18,W28_PG_1_of_4!$B$9:$I$44,8,FALSE),0)</f>
        <v>33128.238224516273</v>
      </c>
      <c r="E18" s="557">
        <f t="shared" si="0"/>
        <v>21838.695883303346</v>
      </c>
      <c r="G18" s="555" t="s">
        <v>1120</v>
      </c>
      <c r="H18" s="556">
        <f>IFERROR(VLOOKUP(G18,W27_PG_1_of_3!$B$9:$L$43,11,FALSE),0)</f>
        <v>-12719.439846902747</v>
      </c>
      <c r="I18" s="556">
        <f>IFERROR(VLOOKUP(G18,W29_PG_1_of_2!$B$10:$F$37,5,FALSE),0)</f>
        <v>1531.5033867607365</v>
      </c>
      <c r="J18" s="556">
        <f>IFERROR(VLOOKUP(G18,W28_PG_1_of_4!$B$9:$J$44,9,FALSE),0)</f>
        <v>32830.084080495624</v>
      </c>
      <c r="K18" s="558">
        <f t="shared" si="1"/>
        <v>21642.147620353615</v>
      </c>
      <c r="M18" s="567" t="s">
        <v>66</v>
      </c>
      <c r="N18" s="568" t="s">
        <v>1121</v>
      </c>
      <c r="O18" s="569">
        <f>W32_PG_1_of_2!K20</f>
        <v>22794</v>
      </c>
      <c r="P18" s="570">
        <f>W32_PG_1_of_2!K22</f>
        <v>22589</v>
      </c>
    </row>
    <row r="19" spans="1:16">
      <c r="A19" s="555" t="s">
        <v>1122</v>
      </c>
      <c r="B19" s="556">
        <f>IFERROR(VLOOKUP(A19,W27_PG_1_of_3!$B$9:$K$43,10,FALSE),0)</f>
        <v>0</v>
      </c>
      <c r="C19" s="556">
        <f>IFERROR(VLOOKUP(A19,W29_PG_1_of_2!$B$10:$D$37,3,FALSE),0)</f>
        <v>0</v>
      </c>
      <c r="D19" s="556">
        <f>IFERROR(VLOOKUP(A19,W28_PG_1_of_4!$B$9:$I$44,8,FALSE),0)</f>
        <v>0</v>
      </c>
      <c r="E19" s="557">
        <f t="shared" si="0"/>
        <v>0</v>
      </c>
      <c r="G19" s="555" t="s">
        <v>1122</v>
      </c>
      <c r="H19" s="556">
        <f>IFERROR(VLOOKUP(G19,W27_PG_1_of_3!$B$9:$L$43,11,FALSE),0)</f>
        <v>0</v>
      </c>
      <c r="I19" s="556">
        <f>IFERROR(VLOOKUP(G19,W29_PG_1_of_2!$B$10:$F$37,5,FALSE),0)</f>
        <v>0</v>
      </c>
      <c r="J19" s="556">
        <f>IFERROR(VLOOKUP(G19,W28_PG_1_of_4!$B$9:$J$44,9,FALSE),0)</f>
        <v>0</v>
      </c>
      <c r="K19" s="558">
        <f t="shared" si="1"/>
        <v>0</v>
      </c>
      <c r="M19" s="840" t="s">
        <v>1123</v>
      </c>
      <c r="N19" s="841"/>
      <c r="O19" s="842">
        <f>SUM(O16:O18)</f>
        <v>129926.23730919314</v>
      </c>
      <c r="P19" s="843">
        <f>SUM(P16:P18)</f>
        <v>128756.45317341039</v>
      </c>
    </row>
    <row r="20" spans="1:16">
      <c r="A20" s="555" t="s">
        <v>1124</v>
      </c>
      <c r="B20" s="556">
        <f>IFERROR(VLOOKUP(A20,W27_PG_1_of_3!$B$9:$K$43,10,FALSE),0)</f>
        <v>0</v>
      </c>
      <c r="C20" s="556">
        <f>IFERROR(VLOOKUP(A20,W29_PG_1_of_2!$B$10:$D$37,3,FALSE),0)</f>
        <v>0</v>
      </c>
      <c r="D20" s="556">
        <f>IFERROR(VLOOKUP(A20,W28_PG_1_of_4!$B$9:$I$44,8,FALSE),0)</f>
        <v>0</v>
      </c>
      <c r="E20" s="557">
        <f t="shared" si="0"/>
        <v>0</v>
      </c>
      <c r="G20" s="555" t="s">
        <v>1124</v>
      </c>
      <c r="H20" s="556">
        <f>IFERROR(VLOOKUP(G20,W27_PG_1_of_3!$B$9:$L$43,11,FALSE),0)</f>
        <v>0</v>
      </c>
      <c r="I20" s="556">
        <f>IFERROR(VLOOKUP(G20,W29_PG_1_of_2!$B$10:$F$37,5,FALSE),0)</f>
        <v>0</v>
      </c>
      <c r="J20" s="556">
        <f>IFERROR(VLOOKUP(G20,W28_PG_1_of_4!$B$9:$J$44,9,FALSE),0)</f>
        <v>0</v>
      </c>
      <c r="K20" s="558">
        <f t="shared" si="1"/>
        <v>0</v>
      </c>
    </row>
    <row r="21" spans="1:16">
      <c r="A21" s="555" t="s">
        <v>1125</v>
      </c>
      <c r="B21" s="556">
        <f>IFERROR(VLOOKUP(A21,W27_PG_1_of_3!$B$9:$K$43,10,FALSE),0)</f>
        <v>-46072.219703457507</v>
      </c>
      <c r="C21" s="556">
        <f>IFERROR(VLOOKUP(A21,W29_PG_1_of_2!$B$10:$D$37,3,FALSE),0)</f>
        <v>0</v>
      </c>
      <c r="D21" s="556">
        <f>IFERROR(VLOOKUP(A21,W28_PG_1_of_4!$B$9:$I$44,8,FALSE),0)</f>
        <v>-462.31772716779233</v>
      </c>
      <c r="E21" s="557">
        <f t="shared" si="0"/>
        <v>-46534.5374306253</v>
      </c>
      <c r="G21" s="555" t="s">
        <v>1125</v>
      </c>
      <c r="H21" s="556">
        <f>IFERROR(VLOOKUP(G21,W27_PG_1_of_3!$B$9:$L$43,11,FALSE),0)</f>
        <v>-45657.569726126392</v>
      </c>
      <c r="I21" s="556">
        <f>IFERROR(VLOOKUP(G21,W29_PG_1_of_2!$B$10:$F$37,5,FALSE),0)</f>
        <v>0</v>
      </c>
      <c r="J21" s="556">
        <f>IFERROR(VLOOKUP(G21,W28_PG_1_of_4!$B$9:$J$44,9,FALSE),0)</f>
        <v>-458.15686762328221</v>
      </c>
      <c r="K21" s="558">
        <f t="shared" si="1"/>
        <v>-46115.726593749678</v>
      </c>
    </row>
    <row r="22" spans="1:16">
      <c r="A22" s="555" t="s">
        <v>1126</v>
      </c>
      <c r="B22" s="556">
        <f>IFERROR(VLOOKUP(A22,W27_PG_1_of_3!$B$9:$K$43,10,FALSE),0)</f>
        <v>0</v>
      </c>
      <c r="C22" s="556">
        <f>IFERROR(VLOOKUP(A22,W29_PG_1_of_2!$B$10:$D$37,3,FALSE),0)</f>
        <v>0</v>
      </c>
      <c r="D22" s="556">
        <f>IFERROR(VLOOKUP(A22,W28_PG_1_of_4!$B$9:$I$44,8,FALSE),0)</f>
        <v>0</v>
      </c>
      <c r="E22" s="557">
        <f t="shared" si="0"/>
        <v>0</v>
      </c>
      <c r="G22" s="555" t="s">
        <v>1126</v>
      </c>
      <c r="H22" s="556">
        <f>IFERROR(VLOOKUP(G22,W27_PG_1_of_3!$B$9:$L$43,11,FALSE),0)</f>
        <v>0</v>
      </c>
      <c r="I22" s="556">
        <f>IFERROR(VLOOKUP(G22,W29_PG_1_of_2!$B$10:$F$37,5,FALSE),0)</f>
        <v>0</v>
      </c>
      <c r="J22" s="556">
        <f>IFERROR(VLOOKUP(G22,W28_PG_1_of_4!$B$9:$J$44,9,FALSE),0)</f>
        <v>0</v>
      </c>
      <c r="K22" s="558">
        <f t="shared" si="1"/>
        <v>0</v>
      </c>
    </row>
    <row r="23" spans="1:16">
      <c r="A23" s="555" t="s">
        <v>1127</v>
      </c>
      <c r="B23" s="556">
        <f>IFERROR(VLOOKUP(A23,W27_PG_1_of_3!$B$9:$K$43,10,FALSE),0)</f>
        <v>0</v>
      </c>
      <c r="C23" s="556">
        <f>IFERROR(VLOOKUP(A23,W29_PG_1_of_2!$B$10:$D$37,3,FALSE),0)</f>
        <v>0</v>
      </c>
      <c r="D23" s="556">
        <f>IFERROR(VLOOKUP(A23,W28_PG_1_of_4!$B$9:$I$44,8,FALSE),0)</f>
        <v>0</v>
      </c>
      <c r="E23" s="557">
        <f t="shared" si="0"/>
        <v>0</v>
      </c>
      <c r="G23" s="555" t="s">
        <v>1127</v>
      </c>
      <c r="H23" s="556">
        <f>IFERROR(VLOOKUP(G23,W27_PG_1_of_3!$B$9:$L$43,11,FALSE),0)</f>
        <v>0</v>
      </c>
      <c r="I23" s="556">
        <f>IFERROR(VLOOKUP(G23,W29_PG_1_of_2!$B$10:$F$37,5,FALSE),0)</f>
        <v>0</v>
      </c>
      <c r="J23" s="556">
        <f>IFERROR(VLOOKUP(G23,W28_PG_1_of_4!$B$9:$J$44,9,FALSE),0)</f>
        <v>0</v>
      </c>
      <c r="K23" s="558">
        <f t="shared" si="1"/>
        <v>0</v>
      </c>
    </row>
    <row r="24" spans="1:16">
      <c r="A24" s="24" t="s">
        <v>1128</v>
      </c>
      <c r="B24" s="556">
        <f>IFERROR(VLOOKUP(A24,W27_PG_1_of_3!$B$9:$K$43,10,FALSE),0)</f>
        <v>-15.458599271051426</v>
      </c>
      <c r="C24" s="556">
        <f>IFERROR(VLOOKUP(A24,W29_PG_1_of_2!$B$10:$D$37,3,FALSE),0)</f>
        <v>16.828599668245101</v>
      </c>
      <c r="D24" s="556">
        <f>IFERROR(VLOOKUP(A24,W28_PG_1_of_4!$B$9:$I$44,8,FALSE),0)</f>
        <v>4.7962659151834828</v>
      </c>
      <c r="E24" s="557">
        <f t="shared" si="0"/>
        <v>6.1662663123771573</v>
      </c>
      <c r="G24" s="24" t="s">
        <v>1128</v>
      </c>
      <c r="H24" s="556">
        <f>IFERROR(VLOOKUP(G24,W27_PG_1_of_3!$B$9:$L$43,11,FALSE),0)</f>
        <v>-15.319471877611964</v>
      </c>
      <c r="I24" s="556">
        <f>IFERROR(VLOOKUP(G24,W29_PG_1_of_2!$B$10:$F$37,5,FALSE),0)</f>
        <v>16.677142271230895</v>
      </c>
      <c r="J24" s="556">
        <f>IFERROR(VLOOKUP(G24,W28_PG_1_of_4!$B$9:$J$44,9,FALSE),0)</f>
        <v>4.7530995219468313</v>
      </c>
      <c r="K24" s="558">
        <f t="shared" si="1"/>
        <v>6.1107699155657631</v>
      </c>
    </row>
    <row r="25" spans="1:16">
      <c r="A25" s="555" t="s">
        <v>1129</v>
      </c>
      <c r="B25" s="556">
        <f>IFERROR(VLOOKUP(A25,W27_PG_1_of_3!$B$9:$K$43,10,FALSE),0)</f>
        <v>-667.61426895095838</v>
      </c>
      <c r="C25" s="556">
        <f>IFERROR(VLOOKUP(A25,W29_PG_1_of_2!$B$10:$D$37,3,FALSE),0)</f>
        <v>89.674165257599498</v>
      </c>
      <c r="D25" s="556">
        <f>IFERROR(VLOOKUP(A25,W28_PG_1_of_4!$B$9:$I$44,8,FALSE),0)</f>
        <v>23619.167332434619</v>
      </c>
      <c r="E25" s="557">
        <f t="shared" si="0"/>
        <v>23041.22722874126</v>
      </c>
      <c r="G25" s="555" t="s">
        <v>1129</v>
      </c>
      <c r="H25" s="556">
        <f>IFERROR(VLOOKUP(G25,W27_PG_1_of_3!$B$9:$L$43,11,FALSE),0)</f>
        <v>-661.60574053039977</v>
      </c>
      <c r="I25" s="556">
        <f>IFERROR(VLOOKUP(G25,W29_PG_1_of_2!$B$10:$F$37,5,FALSE),0)</f>
        <v>88.867097770281106</v>
      </c>
      <c r="J25" s="556">
        <f>IFERROR(VLOOKUP(G25,W28_PG_1_of_4!$B$9:$J$44,9,FALSE),0)</f>
        <v>23406.594826442706</v>
      </c>
      <c r="K25" s="558">
        <f t="shared" si="1"/>
        <v>22833.856183682587</v>
      </c>
    </row>
    <row r="26" spans="1:16">
      <c r="A26" s="555" t="s">
        <v>1130</v>
      </c>
      <c r="B26" s="556">
        <f>IFERROR(VLOOKUP(A26,W27_PG_1_of_3!$B$9:$K$43,10,FALSE),0)</f>
        <v>-1640.496999619485</v>
      </c>
      <c r="C26" s="556">
        <f>IFERROR(VLOOKUP(A26,W29_PG_1_of_2!$B$10:$D$37,3,FALSE),0)</f>
        <v>1524.4314824055855</v>
      </c>
      <c r="D26" s="556">
        <f>IFERROR(VLOOKUP(A26,W28_PG_1_of_4!$B$9:$I$44,8,FALSE),0)</f>
        <v>-8081.8391535465344</v>
      </c>
      <c r="E26" s="557">
        <f t="shared" si="0"/>
        <v>-8197.9046707604339</v>
      </c>
      <c r="G26" s="555" t="s">
        <v>1130</v>
      </c>
      <c r="H26" s="556">
        <f>IFERROR(VLOOKUP(G26,W27_PG_1_of_3!$B$9:$L$43,11,FALSE),0)</f>
        <v>-1625.7325266229095</v>
      </c>
      <c r="I26" s="556">
        <f>IFERROR(VLOOKUP(G26,W29_PG_1_of_2!$B$10:$F$37,5,FALSE),0)</f>
        <v>1510.7115990639352</v>
      </c>
      <c r="J26" s="556">
        <f>IFERROR(VLOOKUP(G26,W28_PG_1_of_4!$B$9:$J$44,9,FALSE),0)</f>
        <v>-8009.1026011646154</v>
      </c>
      <c r="K26" s="558">
        <f t="shared" si="1"/>
        <v>-8124.1235287235895</v>
      </c>
    </row>
    <row r="27" spans="1:16">
      <c r="A27" s="555" t="s">
        <v>1131</v>
      </c>
      <c r="B27" s="556">
        <f>IFERROR(VLOOKUP(A27,W27_PG_1_of_3!$B$9:$K$43,10,FALSE),0)</f>
        <v>-4.0941981017352589</v>
      </c>
      <c r="C27" s="556">
        <f>IFERROR(VLOOKUP(A27,W29_PG_1_of_2!$B$10:$D$37,3,FALSE),0)</f>
        <v>0</v>
      </c>
      <c r="D27" s="556">
        <f>IFERROR(VLOOKUP(A27,W28_PG_1_of_4!$B$9:$I$44,8,FALSE),0)</f>
        <v>193.36538873511336</v>
      </c>
      <c r="E27" s="557">
        <f t="shared" si="0"/>
        <v>189.2711906333781</v>
      </c>
      <c r="G27" s="555" t="s">
        <v>1131</v>
      </c>
      <c r="H27" s="556">
        <f>IFERROR(VLOOKUP(G27,W27_PG_1_of_3!$B$9:$L$43,11,FALSE),0)</f>
        <v>-4.0573503188196414</v>
      </c>
      <c r="I27" s="556">
        <f>IFERROR(VLOOKUP(G27,W29_PG_1_of_2!$B$10:$F$37,5,FALSE),0)</f>
        <v>0</v>
      </c>
      <c r="J27" s="556">
        <f>IFERROR(VLOOKUP(G27,W28_PG_1_of_4!$B$9:$J$44,9,FALSE),0)</f>
        <v>191.62510023649733</v>
      </c>
      <c r="K27" s="558">
        <f t="shared" si="1"/>
        <v>187.5677499176777</v>
      </c>
    </row>
    <row r="28" spans="1:16">
      <c r="A28" s="555" t="s">
        <v>1132</v>
      </c>
      <c r="B28" s="556">
        <f>IFERROR(VLOOKUP(A28,W27_PG_1_of_3!$B$9:$K$43,10,FALSE),0)</f>
        <v>-4.7503772529887378</v>
      </c>
      <c r="C28" s="556">
        <f>IFERROR(VLOOKUP(A28,W29_PG_1_of_2!$B$10:$D$37,3,FALSE),0)</f>
        <v>0</v>
      </c>
      <c r="D28" s="556">
        <f>IFERROR(VLOOKUP(A28,W28_PG_1_of_4!$B$9:$I$44,8,FALSE),0)</f>
        <v>251.90829099412986</v>
      </c>
      <c r="E28" s="557">
        <f t="shared" si="0"/>
        <v>247.15791374114113</v>
      </c>
      <c r="G28" s="555" t="s">
        <v>1132</v>
      </c>
      <c r="H28" s="556">
        <f>IFERROR(VLOOKUP(G28,W27_PG_1_of_3!$B$9:$L$43,11,FALSE),0)</f>
        <v>-4.7076238577118392</v>
      </c>
      <c r="I28" s="556">
        <f>IFERROR(VLOOKUP(G28,W29_PG_1_of_2!$B$10:$F$37,5,FALSE),0)</f>
        <v>0</v>
      </c>
      <c r="J28" s="556">
        <f>IFERROR(VLOOKUP(G28,W28_PG_1_of_4!$B$9:$J$44,9,FALSE),0)</f>
        <v>249.64111637518269</v>
      </c>
      <c r="K28" s="558">
        <f t="shared" si="1"/>
        <v>244.93349251747085</v>
      </c>
    </row>
    <row r="29" spans="1:16">
      <c r="A29" s="555" t="s">
        <v>1133</v>
      </c>
      <c r="B29" s="556">
        <f>IFERROR(VLOOKUP(A29,W27_PG_1_of_3!$B$9:$K$43,10,FALSE),0)</f>
        <v>-2994.378953224099</v>
      </c>
      <c r="C29" s="556">
        <f>IFERROR(VLOOKUP(A29,W29_PG_1_of_2!$B$10:$D$37,3,FALSE),0)</f>
        <v>3662.5221056594801</v>
      </c>
      <c r="D29" s="556">
        <f>IFERROR(VLOOKUP(A29,W28_PG_1_of_4!$B$9:$I$44,8,FALSE),0)</f>
        <v>65530.602254354395</v>
      </c>
      <c r="E29" s="557">
        <f t="shared" si="0"/>
        <v>66198.745406789778</v>
      </c>
      <c r="G29" s="555" t="s">
        <v>1133</v>
      </c>
      <c r="H29" s="556">
        <f>IFERROR(VLOOKUP(G29,W27_PG_1_of_3!$B$9:$L$43,11,FALSE),0)</f>
        <v>-2967.4295426450822</v>
      </c>
      <c r="I29" s="556">
        <f>IFERROR(VLOOKUP(G29,W29_PG_1_of_2!$B$10:$F$37,5,FALSE),0)</f>
        <v>3629.5594067085449</v>
      </c>
      <c r="J29" s="556">
        <f>IFERROR(VLOOKUP(G29,W28_PG_1_of_4!$B$9:$J$44,9,FALSE),0)</f>
        <v>64940.826834065207</v>
      </c>
      <c r="K29" s="558">
        <f t="shared" si="1"/>
        <v>65602.956698128663</v>
      </c>
    </row>
    <row r="30" spans="1:16">
      <c r="A30" s="555" t="s">
        <v>1134</v>
      </c>
      <c r="B30" s="556">
        <f>IFERROR(VLOOKUP(A30,W27_PG_1_of_3!$B$9:$K$43,10,FALSE),0)</f>
        <v>-452.01424869945345</v>
      </c>
      <c r="C30" s="556">
        <f>IFERROR(VLOOKUP(A30,W29_PG_1_of_2!$B$10:$D$37,3,FALSE),0)</f>
        <v>45.69091945554468</v>
      </c>
      <c r="D30" s="556">
        <f>IFERROR(VLOOKUP(A30,W28_PG_1_of_4!$B$9:$I$44,8,FALSE),0)</f>
        <v>15788.395140205539</v>
      </c>
      <c r="E30" s="557">
        <f t="shared" si="0"/>
        <v>15382.07181096163</v>
      </c>
      <c r="G30" s="555" t="s">
        <v>1134</v>
      </c>
      <c r="H30" s="556">
        <f>IFERROR(VLOOKUP(G30,W27_PG_1_of_3!$B$9:$L$43,11,FALSE),0)</f>
        <v>-447.94612046115839</v>
      </c>
      <c r="I30" s="556">
        <f>IFERROR(VLOOKUP(G30,W29_PG_1_of_2!$B$10:$F$37,5,FALSE),0)</f>
        <v>45.279701180444775</v>
      </c>
      <c r="J30" s="556">
        <f>IFERROR(VLOOKUP(G30,W28_PG_1_of_4!$B$9:$J$44,9,FALSE),0)</f>
        <v>15646.29958394369</v>
      </c>
      <c r="K30" s="558">
        <f t="shared" si="1"/>
        <v>15243.633164662977</v>
      </c>
    </row>
    <row r="31" spans="1:16">
      <c r="A31" s="555" t="s">
        <v>1135</v>
      </c>
      <c r="B31" s="556">
        <f>IFERROR(VLOOKUP(A31,W27_PG_1_of_3!$B$9:$K$43,10,FALSE),0)</f>
        <v>-6598.8877639453276</v>
      </c>
      <c r="C31" s="556">
        <f>IFERROR(VLOOKUP(A31,W29_PG_1_of_2!$B$10:$D$37,3,FALSE),0)</f>
        <v>2479.8197029628914</v>
      </c>
      <c r="D31" s="556">
        <f>IFERROR(VLOOKUP(A31,W28_PG_1_of_4!$B$9:$I$44,8,FALSE),0)</f>
        <v>203060.61701495224</v>
      </c>
      <c r="E31" s="557">
        <f t="shared" si="0"/>
        <v>198941.54895396979</v>
      </c>
      <c r="G31" s="555" t="s">
        <v>1135</v>
      </c>
      <c r="H31" s="556">
        <f>IFERROR(VLOOKUP(G31,W27_PG_1_of_3!$B$9:$L$43,11,FALSE),0)</f>
        <v>-6539.4977740698196</v>
      </c>
      <c r="I31" s="556">
        <f>IFERROR(VLOOKUP(G31,W29_PG_1_of_2!$B$10:$F$37,5,FALSE),0)</f>
        <v>2457.5013256362254</v>
      </c>
      <c r="J31" s="556">
        <f>IFERROR(VLOOKUP(G31,W28_PG_1_of_4!$B$9:$J$44,9,FALSE),0)</f>
        <v>201233.07146181766</v>
      </c>
      <c r="K31" s="558">
        <f t="shared" si="1"/>
        <v>197151.07501338405</v>
      </c>
    </row>
    <row r="32" spans="1:16">
      <c r="A32" s="24" t="s">
        <v>1136</v>
      </c>
      <c r="B32" s="556">
        <f>IFERROR(VLOOKUP(A32,W27_PG_1_of_3!$B$9:$K$43,10,FALSE),0)</f>
        <v>-13.868412617000132</v>
      </c>
      <c r="C32" s="556">
        <f>IFERROR(VLOOKUP(A32,W29_PG_1_of_2!$B$10:$D$37,3,FALSE),0)</f>
        <v>0</v>
      </c>
      <c r="D32" s="556">
        <f>IFERROR(VLOOKUP(A32,W28_PG_1_of_4!$B$9:$I$44,8,FALSE),0)</f>
        <v>337.61820679654329</v>
      </c>
      <c r="E32" s="557">
        <f t="shared" si="0"/>
        <v>323.74979417954319</v>
      </c>
      <c r="G32" s="24" t="s">
        <v>1136</v>
      </c>
      <c r="H32" s="556">
        <f>IFERROR(VLOOKUP(G32,W27_PG_1_of_3!$B$9:$L$43,11,FALSE),0)</f>
        <v>-13.743596903447131</v>
      </c>
      <c r="I32" s="556">
        <f>IFERROR(VLOOKUP(G32,W29_PG_1_of_2!$B$10:$F$37,5,FALSE),0)</f>
        <v>0</v>
      </c>
      <c r="J32" s="556">
        <f>IFERROR(VLOOKUP(G32,W28_PG_1_of_4!$B$9:$J$44,9,FALSE),0)</f>
        <v>334.57964293537441</v>
      </c>
      <c r="K32" s="558">
        <f t="shared" si="1"/>
        <v>320.83604603192725</v>
      </c>
    </row>
    <row r="33" spans="1:11">
      <c r="A33" s="555" t="s">
        <v>1137</v>
      </c>
      <c r="B33" s="556">
        <f>IFERROR(VLOOKUP(A33,W27_PG_1_of_3!$B$9:$K$43,10,FALSE),0)</f>
        <v>0</v>
      </c>
      <c r="C33" s="556">
        <f>IFERROR(VLOOKUP(A33,W29_PG_1_of_2!$B$10:$D$37,3,FALSE),0)</f>
        <v>0</v>
      </c>
      <c r="D33" s="556">
        <f>IFERROR(VLOOKUP(A33,W28_PG_1_of_4!$B$9:$I$44,8,FALSE),0)</f>
        <v>0</v>
      </c>
      <c r="E33" s="557">
        <f t="shared" si="0"/>
        <v>0</v>
      </c>
      <c r="G33" s="555" t="s">
        <v>1137</v>
      </c>
      <c r="H33" s="556">
        <f>IFERROR(VLOOKUP(G33,W27_PG_1_of_3!$B$9:$L$43,11,FALSE),0)</f>
        <v>0</v>
      </c>
      <c r="I33" s="556">
        <f>IFERROR(VLOOKUP(G33,W29_PG_1_of_2!$B$10:$F$37,5,FALSE),0)</f>
        <v>0</v>
      </c>
      <c r="J33" s="556">
        <f>IFERROR(VLOOKUP(G33,W28_PG_1_of_4!$B$9:$J$44,9,FALSE),0)</f>
        <v>0</v>
      </c>
      <c r="K33" s="558">
        <f t="shared" si="1"/>
        <v>0</v>
      </c>
    </row>
    <row r="34" spans="1:11">
      <c r="A34" s="555" t="s">
        <v>1138</v>
      </c>
      <c r="B34" s="556">
        <f>IFERROR(VLOOKUP(A34,W27_PG_1_of_3!$B$9:$K$43,10,FALSE),0)</f>
        <v>-12980.710161386683</v>
      </c>
      <c r="C34" s="556">
        <f>IFERROR(VLOOKUP(A34,W29_PG_1_of_2!$B$10:$D$37,3,FALSE),0)</f>
        <v>108285.52296661596</v>
      </c>
      <c r="D34" s="556">
        <f>IFERROR(VLOOKUP(A34,W28_PG_1_of_4!$B$9:$I$44,8,FALSE),0)</f>
        <v>257134.6650000019</v>
      </c>
      <c r="E34" s="557">
        <f t="shared" si="0"/>
        <v>352439.47780523117</v>
      </c>
      <c r="G34" s="555" t="s">
        <v>1138</v>
      </c>
      <c r="H34" s="556">
        <f>IFERROR(VLOOKUP(G34,W27_PG_1_of_3!$B$9:$L$43,11,FALSE),0)</f>
        <v>-12863.883769934204</v>
      </c>
      <c r="I34" s="556">
        <f>IFERROR(VLOOKUP(G34,W29_PG_1_of_2!$B$10:$F$37,5,FALSE),0)</f>
        <v>107310.95325991641</v>
      </c>
      <c r="J34" s="556">
        <f>IFERROR(VLOOKUP(G34,W28_PG_1_of_4!$B$9:$J$44,9,FALSE),0)</f>
        <v>254820.45301500187</v>
      </c>
      <c r="K34" s="558">
        <f t="shared" si="1"/>
        <v>349267.52250498405</v>
      </c>
    </row>
    <row r="35" spans="1:11">
      <c r="A35" s="555" t="s">
        <v>1139</v>
      </c>
      <c r="B35" s="556">
        <f>IFERROR(VLOOKUP(A35,W27_PG_1_of_3!$B$9:$K$43,10,FALSE),0)</f>
        <v>-14.629681189972885</v>
      </c>
      <c r="C35" s="556">
        <f>IFERROR(VLOOKUP(A35,W29_PG_1_of_2!$B$10:$D$37,3,FALSE),0)</f>
        <v>-51.137737206937757</v>
      </c>
      <c r="D35" s="556">
        <f>IFERROR(VLOOKUP(A35,W28_PG_1_of_4!$B$9:$I$44,8,FALSE),0)</f>
        <v>115.44101834760886</v>
      </c>
      <c r="E35" s="557">
        <f t="shared" si="0"/>
        <v>49.673599950698218</v>
      </c>
      <c r="G35" s="555" t="s">
        <v>1139</v>
      </c>
      <c r="H35" s="556">
        <f>IFERROR(VLOOKUP(G35,W27_PG_1_of_3!$B$9:$L$43,11,FALSE),0)</f>
        <v>-14.498014059263129</v>
      </c>
      <c r="I35" s="556">
        <f>IFERROR(VLOOKUP(G35,W29_PG_1_of_2!$B$10:$F$37,5,FALSE),0)</f>
        <v>-50.677497572075318</v>
      </c>
      <c r="J35" s="556">
        <f>IFERROR(VLOOKUP(G35,W28_PG_1_of_4!$B$9:$J$44,9,FALSE),0)</f>
        <v>114.40204918248038</v>
      </c>
      <c r="K35" s="558">
        <f t="shared" si="1"/>
        <v>49.226537551141931</v>
      </c>
    </row>
    <row r="36" spans="1:11">
      <c r="A36" s="555" t="s">
        <v>1140</v>
      </c>
      <c r="B36" s="556">
        <f>IFERROR(VLOOKUP(A36,W27_PG_1_of_3!$B$9:$K$43,10,FALSE),0)</f>
        <v>-43.473124377647622</v>
      </c>
      <c r="C36" s="556">
        <f>IFERROR(VLOOKUP(A36,W29_PG_1_of_2!$B$10:$D$37,3,FALSE),0)</f>
        <v>235.90784262297274</v>
      </c>
      <c r="D36" s="556">
        <f>IFERROR(VLOOKUP(A36,W28_PG_1_of_4!$B$9:$I$44,8,FALSE),0)</f>
        <v>693.2182719509774</v>
      </c>
      <c r="E36" s="557">
        <f t="shared" si="0"/>
        <v>885.65299019630254</v>
      </c>
      <c r="G36" s="555" t="s">
        <v>1140</v>
      </c>
      <c r="H36" s="556">
        <f>IFERROR(VLOOKUP(G36,W27_PG_1_of_3!$B$9:$L$43,11,FALSE),0)</f>
        <v>-43.081866258248795</v>
      </c>
      <c r="I36" s="556">
        <f>IFERROR(VLOOKUP(G36,W29_PG_1_of_2!$B$10:$F$37,5,FALSE),0)</f>
        <v>233.78467203936597</v>
      </c>
      <c r="J36" s="556">
        <f>IFERROR(VLOOKUP(G36,W28_PG_1_of_4!$B$9:$J$44,9,FALSE),0)</f>
        <v>686.97930750341857</v>
      </c>
      <c r="K36" s="558">
        <f t="shared" si="1"/>
        <v>877.68211328453572</v>
      </c>
    </row>
    <row r="37" spans="1:11">
      <c r="A37" s="555" t="s">
        <v>1141</v>
      </c>
      <c r="B37" s="556">
        <f>IFERROR(VLOOKUP(A37,W27_PG_1_of_3!$B$9:$K$43,10,FALSE),0)</f>
        <v>-43.636248399542467</v>
      </c>
      <c r="C37" s="556">
        <f>IFERROR(VLOOKUP(A37,W29_PG_1_of_2!$B$10:$D$37,3,FALSE),0)</f>
        <v>33.668220012269693</v>
      </c>
      <c r="D37" s="556">
        <f>IFERROR(VLOOKUP(A37,W28_PG_1_of_4!$B$9:$I$44,8,FALSE),0)</f>
        <v>1665.7947487098645</v>
      </c>
      <c r="E37" s="557">
        <f t="shared" si="0"/>
        <v>1655.8267203225917</v>
      </c>
      <c r="G37" s="555" t="s">
        <v>1141</v>
      </c>
      <c r="H37" s="556">
        <f>IFERROR(VLOOKUP(G37,W27_PG_1_of_3!$B$9:$L$43,11,FALSE),0)</f>
        <v>-43.243522163946587</v>
      </c>
      <c r="I37" s="556">
        <f>IFERROR(VLOOKUP(G37,W29_PG_1_of_2!$B$10:$F$37,5,FALSE),0)</f>
        <v>33.365206032159264</v>
      </c>
      <c r="J37" s="556">
        <f>IFERROR(VLOOKUP(G37,W28_PG_1_of_4!$B$9:$J$44,9,FALSE),0)</f>
        <v>1650.8025959714757</v>
      </c>
      <c r="K37" s="558">
        <f t="shared" si="1"/>
        <v>1640.9242798396883</v>
      </c>
    </row>
    <row r="38" spans="1:11">
      <c r="A38" s="555" t="s">
        <v>1142</v>
      </c>
      <c r="B38" s="556">
        <f>IFERROR(VLOOKUP(A38,W27_PG_1_of_3!$B$9:$K$43,10,FALSE),0)</f>
        <v>-67.140984725440887</v>
      </c>
      <c r="C38" s="556">
        <f>IFERROR(VLOOKUP(A38,W29_PG_1_of_2!$B$10:$D$37,3,FALSE),0)</f>
        <v>100.64539888135215</v>
      </c>
      <c r="D38" s="556">
        <f>IFERROR(VLOOKUP(A38,W28_PG_1_of_4!$B$9:$I$44,8,FALSE),0)</f>
        <v>2445.394497107467</v>
      </c>
      <c r="E38" s="557">
        <f t="shared" si="0"/>
        <v>2478.8989112633781</v>
      </c>
      <c r="G38" s="555" t="s">
        <v>1142</v>
      </c>
      <c r="H38" s="556">
        <f>IFERROR(VLOOKUP(G38,W27_PG_1_of_3!$B$9:$L$43,11,FALSE),0)</f>
        <v>-66.536715862911919</v>
      </c>
      <c r="I38" s="556">
        <f>IFERROR(VLOOKUP(G38,W29_PG_1_of_2!$B$10:$F$37,5,FALSE),0)</f>
        <v>99.739590291419987</v>
      </c>
      <c r="J38" s="556">
        <f>IFERROR(VLOOKUP(G38,W28_PG_1_of_4!$B$9:$J$44,9,FALSE),0)</f>
        <v>2423.3859466334998</v>
      </c>
      <c r="K38" s="558">
        <f t="shared" si="1"/>
        <v>2456.5888210620078</v>
      </c>
    </row>
    <row r="39" spans="1:11">
      <c r="A39" s="555" t="s">
        <v>1143</v>
      </c>
      <c r="B39" s="556">
        <f>IFERROR(VLOOKUP(A39,W27_PG_1_of_3!$B$9:$K$43,10,FALSE),0)</f>
        <v>-18.436265328535825</v>
      </c>
      <c r="C39" s="556">
        <f>IFERROR(VLOOKUP(A39,W29_PG_1_of_2!$B$10:$D$37,3,FALSE),0)</f>
        <v>23.370669374007608</v>
      </c>
      <c r="D39" s="556">
        <f>IFERROR(VLOOKUP(A39,W28_PG_1_of_4!$B$9:$I$44,8,FALSE),0)</f>
        <v>878.04814750722471</v>
      </c>
      <c r="E39" s="557">
        <f t="shared" si="0"/>
        <v>882.98255155269646</v>
      </c>
      <c r="G39" s="555" t="s">
        <v>1143</v>
      </c>
      <c r="H39" s="556">
        <f>IFERROR(VLOOKUP(G39,W27_PG_1_of_3!$B$9:$L$43,11,FALSE),0)</f>
        <v>-18.270338940579002</v>
      </c>
      <c r="I39" s="556">
        <f>IFERROR(VLOOKUP(G39,W29_PG_1_of_2!$B$10:$F$37,5,FALSE),0)</f>
        <v>23.16033334964154</v>
      </c>
      <c r="J39" s="556">
        <f>IFERROR(VLOOKUP(G39,W28_PG_1_of_4!$B$9:$J$44,9,FALSE),0)</f>
        <v>870.14571417965965</v>
      </c>
      <c r="K39" s="558">
        <f t="shared" si="1"/>
        <v>875.03570858872217</v>
      </c>
    </row>
    <row r="40" spans="1:11">
      <c r="A40" s="555" t="s">
        <v>1144</v>
      </c>
      <c r="B40" s="556">
        <f>IFERROR(VLOOKUP(A40,W27_PG_1_of_3!$B$9:$K$43,10,FALSE),0)</f>
        <v>0</v>
      </c>
      <c r="C40" s="556">
        <f>IFERROR(VLOOKUP(A40,W29_PG_1_of_2!$B$10:$D$37,3,FALSE),0)</f>
        <v>0</v>
      </c>
      <c r="D40" s="556">
        <f>IFERROR(VLOOKUP(A40,W28_PG_1_of_4!$B$9:$I$44,8,FALSE),0)</f>
        <v>0</v>
      </c>
      <c r="E40" s="557">
        <f t="shared" si="0"/>
        <v>0</v>
      </c>
      <c r="G40" s="555" t="s">
        <v>1144</v>
      </c>
      <c r="H40" s="556">
        <f>IFERROR(VLOOKUP(G40,W27_PG_1_of_3!$B$9:$L$43,11,FALSE),0)</f>
        <v>0</v>
      </c>
      <c r="I40" s="556">
        <f>IFERROR(VLOOKUP(G40,W29_PG_1_of_2!$B$10:$F$37,5,FALSE),0)</f>
        <v>0</v>
      </c>
      <c r="J40" s="556">
        <f>IFERROR(VLOOKUP(G40,W28_PG_1_of_4!$B$9:$J$44,9,FALSE),0)</f>
        <v>0</v>
      </c>
      <c r="K40" s="558">
        <f t="shared" si="1"/>
        <v>0</v>
      </c>
    </row>
    <row r="41" spans="1:11">
      <c r="A41" s="555" t="s">
        <v>1145</v>
      </c>
      <c r="B41" s="556">
        <f>IFERROR(VLOOKUP(A41,W27_PG_1_of_3!$B$9:$K$43,10,FALSE),0)</f>
        <v>-239.95948619112301</v>
      </c>
      <c r="C41" s="556">
        <f>IFERROR(VLOOKUP(A41,W29_PG_1_of_2!$B$10:$D$37,3,FALSE),0)</f>
        <v>159.73144714540766</v>
      </c>
      <c r="D41" s="556">
        <f>IFERROR(VLOOKUP(A41,W28_PG_1_of_4!$B$9:$I$44,8,FALSE),0)</f>
        <v>9157.2880338190735</v>
      </c>
      <c r="E41" s="557">
        <f t="shared" si="0"/>
        <v>9077.059994773359</v>
      </c>
      <c r="G41" s="555" t="s">
        <v>1145</v>
      </c>
      <c r="H41" s="556">
        <f>IFERROR(VLOOKUP(G41,W27_PG_1_of_3!$B$9:$L$43,11,FALSE),0)</f>
        <v>-237.79985081540289</v>
      </c>
      <c r="I41" s="556">
        <f>IFERROR(VLOOKUP(G41,W29_PG_1_of_2!$B$10:$F$37,5,FALSE),0)</f>
        <v>158.29386412109898</v>
      </c>
      <c r="J41" s="556">
        <f>IFERROR(VLOOKUP(G41,W28_PG_1_of_4!$B$9:$J$44,9,FALSE),0)</f>
        <v>9074.8724415147026</v>
      </c>
      <c r="K41" s="558">
        <f t="shared" si="1"/>
        <v>8995.3664548203978</v>
      </c>
    </row>
    <row r="42" spans="1:11">
      <c r="A42" s="555" t="s">
        <v>1146</v>
      </c>
      <c r="B42" s="556">
        <f>IFERROR(VLOOKUP(A42,W27_PG_1_of_3!$B$9:$K$43,10,FALSE),0)</f>
        <v>-2090.4003339818573</v>
      </c>
      <c r="C42" s="556">
        <f>IFERROR(VLOOKUP(A42,W29_PG_1_of_2!$B$10:$D$37,3,FALSE),0)</f>
        <v>2275.2800445892585</v>
      </c>
      <c r="D42" s="556">
        <f>IFERROR(VLOOKUP(A42,W28_PG_1_of_4!$B$9:$I$44,8,FALSE),0)</f>
        <v>74066.099098918377</v>
      </c>
      <c r="E42" s="557">
        <f t="shared" si="0"/>
        <v>74250.978809525783</v>
      </c>
      <c r="G42" s="555" t="s">
        <v>1146</v>
      </c>
      <c r="H42" s="556">
        <f>IFERROR(VLOOKUP(G42,W27_PG_1_of_3!$B$9:$L$43,11,FALSE),0)</f>
        <v>-2071.5867309760206</v>
      </c>
      <c r="I42" s="556">
        <f>IFERROR(VLOOKUP(G42,W29_PG_1_of_2!$B$10:$F$37,5,FALSE),0)</f>
        <v>2254.802524187955</v>
      </c>
      <c r="J42" s="556">
        <f>IFERROR(VLOOKUP(G42,W28_PG_1_of_4!$B$9:$J$44,9,FALSE),0)</f>
        <v>73399.504207028105</v>
      </c>
      <c r="K42" s="558">
        <f t="shared" si="1"/>
        <v>73582.720000240035</v>
      </c>
    </row>
    <row r="43" spans="1:11">
      <c r="A43" s="555" t="s">
        <v>1147</v>
      </c>
      <c r="B43" s="556">
        <f>IFERROR(VLOOKUP(A43,W27_PG_1_of_3!$B$9:$K$43,10,FALSE),0)</f>
        <v>0</v>
      </c>
      <c r="C43" s="556">
        <f>IFERROR(VLOOKUP(A43,W29_PG_1_of_2!$B$10:$D$37,3,FALSE),0)</f>
        <v>0</v>
      </c>
      <c r="D43" s="556">
        <f>IFERROR(VLOOKUP(A43,W28_PG_1_of_4!$B$9:$I$44,8,FALSE),0)</f>
        <v>0</v>
      </c>
      <c r="E43" s="557">
        <f t="shared" si="0"/>
        <v>0</v>
      </c>
      <c r="G43" s="555" t="s">
        <v>1147</v>
      </c>
      <c r="H43" s="556">
        <f>IFERROR(VLOOKUP(G43,W27_PG_1_of_3!$B$9:$L$43,11,FALSE),0)</f>
        <v>0</v>
      </c>
      <c r="I43" s="556">
        <f>IFERROR(VLOOKUP(G43,W29_PG_1_of_2!$B$10:$F$37,5,FALSE),0)</f>
        <v>0</v>
      </c>
      <c r="J43" s="556">
        <f>IFERROR(VLOOKUP(G43,W28_PG_1_of_4!$B$9:$J$44,9,FALSE),0)</f>
        <v>0</v>
      </c>
      <c r="K43" s="558">
        <f t="shared" si="1"/>
        <v>0</v>
      </c>
    </row>
    <row r="44" spans="1:11">
      <c r="A44" s="555" t="s">
        <v>1148</v>
      </c>
      <c r="B44" s="556">
        <f>IFERROR(VLOOKUP(A44,W27_PG_1_of_3!$B$9:$K$43,10,FALSE),0)</f>
        <v>-449.2004884153564</v>
      </c>
      <c r="C44" s="556">
        <f>IFERROR(VLOOKUP(A44,W29_PG_1_of_2!$B$10:$D$37,3,FALSE),0)</f>
        <v>0</v>
      </c>
      <c r="D44" s="556">
        <f>IFERROR(VLOOKUP(A44,W28_PG_1_of_4!$B$9:$I$44,8,FALSE),0)</f>
        <v>15126.789897192473</v>
      </c>
      <c r="E44" s="557">
        <f t="shared" si="0"/>
        <v>14677.589408777118</v>
      </c>
      <c r="G44" s="555" t="s">
        <v>1148</v>
      </c>
      <c r="H44" s="556">
        <f>IFERROR(VLOOKUP(G44,W27_PG_1_of_3!$B$9:$L$43,11,FALSE),0)</f>
        <v>-445.15768401961822</v>
      </c>
      <c r="I44" s="556">
        <f>IFERROR(VLOOKUP(G44,W29_PG_1_of_2!$B$10:$F$37,5,FALSE),0)</f>
        <v>0</v>
      </c>
      <c r="J44" s="556">
        <f>IFERROR(VLOOKUP(G44,W28_PG_1_of_4!$B$9:$J$44,9,FALSE),0)</f>
        <v>14990.648788117742</v>
      </c>
      <c r="K44" s="558">
        <f t="shared" si="1"/>
        <v>14545.491104098124</v>
      </c>
    </row>
    <row r="45" spans="1:11">
      <c r="A45" s="555" t="s">
        <v>1149</v>
      </c>
      <c r="B45" s="556">
        <f>IFERROR(VLOOKUP(A45,W27_PG_1_of_3!$B$9:$K$43,10,FALSE),0)</f>
        <v>0</v>
      </c>
      <c r="C45" s="556">
        <f>IFERROR(VLOOKUP(A45,W29_PG_1_of_2!$B$10:$D$37,3,FALSE),0)</f>
        <v>0</v>
      </c>
      <c r="D45" s="556">
        <f>IFERROR(VLOOKUP(A45,W28_PG_1_of_4!$B$9:$I$44,8,FALSE),0)</f>
        <v>0</v>
      </c>
      <c r="E45" s="557">
        <f t="shared" si="0"/>
        <v>0</v>
      </c>
      <c r="G45" s="555" t="s">
        <v>1149</v>
      </c>
      <c r="H45" s="556">
        <f>IFERROR(VLOOKUP(G45,W27_PG_1_of_3!$B$9:$L$43,11,FALSE),0)</f>
        <v>0</v>
      </c>
      <c r="I45" s="556">
        <f>IFERROR(VLOOKUP(G45,W29_PG_1_of_2!$B$10:$F$37,5,FALSE),0)</f>
        <v>0</v>
      </c>
      <c r="J45" s="556">
        <f>IFERROR(VLOOKUP(G45,W28_PG_1_of_4!$B$9:$J$44,9,FALSE),0)</f>
        <v>0</v>
      </c>
      <c r="K45" s="558">
        <f t="shared" si="1"/>
        <v>0</v>
      </c>
    </row>
    <row r="46" spans="1:11">
      <c r="A46" s="555" t="s">
        <v>1150</v>
      </c>
      <c r="B46" s="556">
        <f>IFERROR(VLOOKUP(A46,W27_PG_1_of_3!$B$9:$K$43,10,FALSE),0)</f>
        <v>-11057.049380488621</v>
      </c>
      <c r="C46" s="556">
        <f>IFERROR(VLOOKUP(A46,W29_PG_1_of_2!$B$10:$D$37,3,FALSE),0)</f>
        <v>254.51047143995035</v>
      </c>
      <c r="D46" s="556">
        <f>IFERROR(VLOOKUP(A46,W28_PG_1_of_4!$B$9:$I$44,8,FALSE),0)</f>
        <v>190839.83987294021</v>
      </c>
      <c r="E46" s="557">
        <f t="shared" si="0"/>
        <v>180037.30096389155</v>
      </c>
      <c r="G46" s="555" t="s">
        <v>1150</v>
      </c>
      <c r="H46" s="556">
        <f>IFERROR(VLOOKUP(G46,W27_PG_1_of_3!$B$9:$L$43,11,FALSE),0)</f>
        <v>-10957.535936064223</v>
      </c>
      <c r="I46" s="556">
        <f>IFERROR(VLOOKUP(G46,W29_PG_1_of_2!$B$10:$F$37,5,FALSE),0)</f>
        <v>252.21987719699081</v>
      </c>
      <c r="J46" s="556">
        <f>IFERROR(VLOOKUP(G46,W28_PG_1_of_4!$B$9:$J$44,9,FALSE),0)</f>
        <v>189122.28131408375</v>
      </c>
      <c r="K46" s="558">
        <f t="shared" si="1"/>
        <v>178416.96525521652</v>
      </c>
    </row>
    <row r="47" spans="1:11">
      <c r="A47" s="555" t="s">
        <v>1151</v>
      </c>
      <c r="B47" s="556">
        <f>IFERROR(VLOOKUP(A47,W27_PG_1_of_3!$B$9:$K$43,10,FALSE),0)</f>
        <v>0</v>
      </c>
      <c r="C47" s="556">
        <f>IFERROR(VLOOKUP(A47,W29_PG_1_of_2!$B$10:$D$37,3,FALSE),0)</f>
        <v>0</v>
      </c>
      <c r="D47" s="556">
        <f>IFERROR(VLOOKUP(A47,W28_PG_1_of_4!$B$9:$I$44,8,FALSE),0)</f>
        <v>-61368.928141135606</v>
      </c>
      <c r="E47" s="557">
        <f t="shared" si="0"/>
        <v>-61368.928141135606</v>
      </c>
      <c r="G47" s="555" t="s">
        <v>1151</v>
      </c>
      <c r="H47" s="556">
        <f>IFERROR(VLOOKUP(G47,W27_PG_1_of_3!$B$9:$L$43,11,FALSE),0)</f>
        <v>0</v>
      </c>
      <c r="I47" s="556">
        <f>IFERROR(VLOOKUP(G47,W29_PG_1_of_2!$B$10:$F$37,5,FALSE),0)</f>
        <v>0</v>
      </c>
      <c r="J47" s="556">
        <f>IFERROR(VLOOKUP(G47,W28_PG_1_of_4!$B$9:$J$44,9,FALSE),0)</f>
        <v>-60816.607787865389</v>
      </c>
      <c r="K47" s="558">
        <f t="shared" si="1"/>
        <v>-60816.607787865389</v>
      </c>
    </row>
    <row r="48" spans="1:11">
      <c r="A48" s="555" t="s">
        <v>1152</v>
      </c>
      <c r="B48" s="556">
        <f>IFERROR(VLOOKUP(A48,W27_PG_1_of_3!$B$9:$K$43,10,FALSE),0)</f>
        <v>-1.9249005246123994</v>
      </c>
      <c r="C48" s="556">
        <f>IFERROR(VLOOKUP(A48,W29_PG_1_of_2!$B$10:$D$37,3,FALSE),0)</f>
        <v>2.2227018070422022</v>
      </c>
      <c r="D48" s="556">
        <f>IFERROR(VLOOKUP(A48,W28_PG_1_of_4!$B$9:$I$44,8,FALSE),0)</f>
        <v>3.3331389225667585E-3</v>
      </c>
      <c r="E48" s="557">
        <f t="shared" si="0"/>
        <v>0.30113442135236962</v>
      </c>
      <c r="G48" s="555" t="s">
        <v>1152</v>
      </c>
      <c r="H48" s="556">
        <f>IFERROR(VLOOKUP(G48,W27_PG_1_of_3!$B$9:$L$43,11,FALSE),0)</f>
        <v>-1.9075764198908878</v>
      </c>
      <c r="I48" s="556">
        <f>IFERROR(VLOOKUP(G48,W29_PG_1_of_2!$B$10:$F$37,5,FALSE),0)</f>
        <v>2.2026974907788226</v>
      </c>
      <c r="J48" s="556">
        <f>IFERROR(VLOOKUP(G48,W28_PG_1_of_4!$B$9:$J$44,9,FALSE),0)</f>
        <v>3.3031406722636575E-3</v>
      </c>
      <c r="K48" s="558">
        <f t="shared" si="1"/>
        <v>0.29842421156019849</v>
      </c>
    </row>
    <row r="49" spans="1:11">
      <c r="A49" s="555" t="s">
        <v>1153</v>
      </c>
      <c r="B49" s="556">
        <f>IFERROR(VLOOKUP(A49,W27_PG_1_of_3!$B$9:$K$43,10,FALSE),0)</f>
        <v>-417.04457039556382</v>
      </c>
      <c r="C49" s="556">
        <f>IFERROR(VLOOKUP(A49,W29_PG_1_of_2!$B$10:$D$37,3,FALSE),0)</f>
        <v>0</v>
      </c>
      <c r="D49" s="556">
        <f>IFERROR(VLOOKUP(A49,W28_PG_1_of_4!$B$9:$I$44,8,FALSE),0)</f>
        <v>7536.0668467269279</v>
      </c>
      <c r="E49" s="557">
        <f t="shared" si="0"/>
        <v>7119.0222763313641</v>
      </c>
      <c r="G49" s="555" t="s">
        <v>1153</v>
      </c>
      <c r="H49" s="556">
        <f>IFERROR(VLOOKUP(G49,W27_PG_1_of_3!$B$9:$L$43,11,FALSE),0)</f>
        <v>-413.29116926200373</v>
      </c>
      <c r="I49" s="556">
        <f>IFERROR(VLOOKUP(G49,W29_PG_1_of_2!$B$10:$F$37,5,FALSE),0)</f>
        <v>0</v>
      </c>
      <c r="J49" s="556">
        <f>IFERROR(VLOOKUP(G49,W28_PG_1_of_4!$B$9:$J$44,9,FALSE),0)</f>
        <v>7468.2422451063858</v>
      </c>
      <c r="K49" s="558">
        <f t="shared" si="1"/>
        <v>7054.9510758443821</v>
      </c>
    </row>
    <row r="50" spans="1:11">
      <c r="A50" s="555" t="s">
        <v>1154</v>
      </c>
      <c r="B50" s="556">
        <f>IFERROR(VLOOKUP(A50,W27_PG_1_of_3!$B$9:$K$43,10,FALSE),0)</f>
        <v>-31.132927637604951</v>
      </c>
      <c r="C50" s="556">
        <f>IFERROR(VLOOKUP(A50,W29_PG_1_of_2!$B$10:$D$37,3,FALSE),0)</f>
        <v>122.72695869144169</v>
      </c>
      <c r="D50" s="556">
        <f>IFERROR(VLOOKUP(A50,W28_PG_1_of_4!$B$9:$I$44,8,FALSE),0)</f>
        <v>682.01271139470646</v>
      </c>
      <c r="E50" s="557">
        <f t="shared" si="0"/>
        <v>773.60674244854317</v>
      </c>
      <c r="G50" s="555" t="s">
        <v>1154</v>
      </c>
      <c r="H50" s="556">
        <f>IFERROR(VLOOKUP(G50,W27_PG_1_of_3!$B$9:$L$43,11,FALSE),0)</f>
        <v>-30.852731288866504</v>
      </c>
      <c r="I50" s="556">
        <f>IFERROR(VLOOKUP(G50,W29_PG_1_of_2!$B$10:$F$37,5,FALSE),0)</f>
        <v>121.62241606321872</v>
      </c>
      <c r="J50" s="556">
        <f>IFERROR(VLOOKUP(G50,W28_PG_1_of_4!$B$9:$J$44,9,FALSE),0)</f>
        <v>675.87459699215412</v>
      </c>
      <c r="K50" s="558">
        <f t="shared" si="1"/>
        <v>766.64428176650631</v>
      </c>
    </row>
    <row r="51" spans="1:11">
      <c r="A51" s="571" t="s">
        <v>1155</v>
      </c>
      <c r="B51" s="556">
        <f>IFERROR(VLOOKUP(A51,W27_PG_1_of_3!$B$9:$K$43,10,FALSE),0)</f>
        <v>-12489.222156719496</v>
      </c>
      <c r="C51" s="556">
        <f>IFERROR(VLOOKUP(A51,W29_PG_1_of_2!$B$10:$D$37,3,FALSE),0)</f>
        <v>625.46036896682006</v>
      </c>
      <c r="D51" s="556">
        <f>IFERROR(VLOOKUP(A51,W28_PG_1_of_4!$B$9:$I$44,8,FALSE),0)</f>
        <v>36374.485682240746</v>
      </c>
      <c r="E51" s="572">
        <f t="shared" si="0"/>
        <v>24510.72389448807</v>
      </c>
      <c r="G51" s="555" t="s">
        <v>1155</v>
      </c>
      <c r="H51" s="556">
        <f>IFERROR(VLOOKUP(G51,W27_PG_1_of_3!$B$9:$L$43,11,FALSE),0)</f>
        <v>-12376.819157309021</v>
      </c>
      <c r="I51" s="556">
        <f>IFERROR(VLOOKUP(G51,W29_PG_1_of_2!$B$10:$F$37,5,FALSE),0)</f>
        <v>619.8312256461187</v>
      </c>
      <c r="J51" s="556">
        <f>IFERROR(VLOOKUP(G51,W28_PG_1_of_4!$B$9:$J$44,9,FALSE),0)</f>
        <v>36047.115311100577</v>
      </c>
      <c r="K51" s="558">
        <f t="shared" si="1"/>
        <v>24290.127379437676</v>
      </c>
    </row>
    <row r="52" spans="1:11">
      <c r="A52" s="844" t="s">
        <v>172</v>
      </c>
      <c r="B52" s="845">
        <f>SUM(B9:B51)</f>
        <v>-517464.28175850108</v>
      </c>
      <c r="C52" s="845">
        <f t="shared" ref="C52:E52" si="2">SUM(C9:C51)</f>
        <v>193138.44134994174</v>
      </c>
      <c r="D52" s="845">
        <f t="shared" si="2"/>
        <v>1768026.3919352386</v>
      </c>
      <c r="E52" s="846">
        <f t="shared" si="2"/>
        <v>1443700.5515266797</v>
      </c>
      <c r="G52" s="847" t="s">
        <v>172</v>
      </c>
      <c r="H52" s="848">
        <f>SUM(H9:H51)</f>
        <v>-512807.10322267428</v>
      </c>
      <c r="I52" s="848">
        <f t="shared" ref="I52:K52" si="3">SUM(I9:I51)</f>
        <v>191400.19537779229</v>
      </c>
      <c r="J52" s="848">
        <f t="shared" si="3"/>
        <v>1752114.1544078218</v>
      </c>
      <c r="K52" s="849">
        <f t="shared" si="3"/>
        <v>1430707.2465629396</v>
      </c>
    </row>
    <row r="55" spans="1:11">
      <c r="A55" s="551" t="s">
        <v>2</v>
      </c>
      <c r="B55" s="551" t="s">
        <v>3</v>
      </c>
    </row>
  </sheetData>
  <mergeCells count="9">
    <mergeCell ref="M19:N19"/>
    <mergeCell ref="A1:B1"/>
    <mergeCell ref="A3:C3"/>
    <mergeCell ref="A6:E6"/>
    <mergeCell ref="G6:K6"/>
    <mergeCell ref="A7:A8"/>
    <mergeCell ref="E7:E8"/>
    <mergeCell ref="G7:G8"/>
    <mergeCell ref="K7:K8"/>
  </mergeCells>
  <pageMargins left="0.7" right="0.7" top="0.75" bottom="0.75" header="0.3" footer="0.3"/>
  <pageSetup paperSize="3" scale="86" orientation="landscape" horizontalDpi="200" verticalDpi="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7BAD1-0BA5-4881-934C-2C634925A51A}">
  <sheetPr>
    <pageSetUpPr fitToPage="1"/>
  </sheetPr>
  <dimension ref="A1:N49"/>
  <sheetViews>
    <sheetView zoomScaleNormal="100" workbookViewId="0">
      <pane ySplit="8" topLeftCell="A9" activePane="bottomLeft" state="frozen"/>
      <selection activeCell="A3" sqref="A3:C3"/>
      <selection pane="bottomLeft" activeCell="P18" sqref="P18"/>
    </sheetView>
  </sheetViews>
  <sheetFormatPr defaultColWidth="9.1796875" defaultRowHeight="12.5"/>
  <cols>
    <col min="1" max="1" width="4.54296875" style="24" customWidth="1"/>
    <col min="2" max="2" width="12.26953125" style="24" bestFit="1" customWidth="1"/>
    <col min="3" max="3" width="12.1796875" style="24" bestFit="1" customWidth="1"/>
    <col min="4" max="4" width="13.81640625" style="24" customWidth="1"/>
    <col min="5" max="5" width="13.26953125" style="24" customWidth="1"/>
    <col min="6" max="6" width="1.7265625" style="24" customWidth="1"/>
    <col min="7" max="7" width="13" style="24" customWidth="1"/>
    <col min="8" max="8" width="12.26953125" style="24" customWidth="1"/>
    <col min="9" max="9" width="12.1796875" style="24" customWidth="1"/>
    <col min="10" max="10" width="1.81640625" style="24" customWidth="1"/>
    <col min="11" max="11" width="14.1796875" style="24" customWidth="1"/>
    <col min="12" max="12" width="12.7265625" style="24" bestFit="1" customWidth="1"/>
    <col min="13" max="13" width="12.26953125" style="24" bestFit="1" customWidth="1"/>
    <col min="14" max="16384" width="9.1796875" style="24"/>
  </cols>
  <sheetData>
    <row r="1" spans="1:12" ht="12.75" customHeight="1">
      <c r="A1" s="7" t="s">
        <v>0</v>
      </c>
      <c r="B1" s="43"/>
      <c r="C1" s="43"/>
      <c r="D1" s="43"/>
    </row>
    <row r="2" spans="1:12" ht="12.75" customHeight="1">
      <c r="A2" s="43" t="s">
        <v>1156</v>
      </c>
      <c r="B2" s="43"/>
      <c r="C2" s="43"/>
      <c r="D2" s="43"/>
    </row>
    <row r="3" spans="1:12" ht="12.75" customHeight="1">
      <c r="A3" s="7" t="s">
        <v>119</v>
      </c>
      <c r="B3" s="43"/>
      <c r="C3" s="43"/>
      <c r="D3" s="43"/>
    </row>
    <row r="4" spans="1:12" ht="12.75" customHeight="1">
      <c r="A4" s="43" t="s">
        <v>1157</v>
      </c>
      <c r="B4" s="43"/>
      <c r="C4" s="43"/>
      <c r="D4" s="43"/>
    </row>
    <row r="6" spans="1:12" ht="76.5" customHeight="1">
      <c r="A6" s="779" t="s">
        <v>418</v>
      </c>
      <c r="B6" s="780" t="s">
        <v>187</v>
      </c>
      <c r="C6" s="781" t="s">
        <v>1158</v>
      </c>
      <c r="D6" s="781" t="s">
        <v>1159</v>
      </c>
      <c r="E6" s="781" t="s">
        <v>1160</v>
      </c>
      <c r="F6" s="573"/>
      <c r="G6" s="782" t="s">
        <v>1161</v>
      </c>
      <c r="H6" s="777" t="s">
        <v>1159</v>
      </c>
      <c r="I6" s="777" t="s">
        <v>1162</v>
      </c>
      <c r="J6" s="573"/>
      <c r="K6" s="777" t="s">
        <v>1163</v>
      </c>
      <c r="L6" s="553" t="s">
        <v>1164</v>
      </c>
    </row>
    <row r="7" spans="1:12">
      <c r="A7" s="779"/>
      <c r="B7" s="780"/>
      <c r="C7" s="781"/>
      <c r="D7" s="781"/>
      <c r="E7" s="781"/>
      <c r="F7" s="573"/>
      <c r="G7" s="783"/>
      <c r="H7" s="778"/>
      <c r="I7" s="778"/>
      <c r="J7" s="573"/>
      <c r="K7" s="778"/>
      <c r="L7" s="574">
        <v>0.99099999999999999</v>
      </c>
    </row>
    <row r="8" spans="1:12">
      <c r="B8" s="573" t="s">
        <v>1165</v>
      </c>
      <c r="C8" s="573" t="s">
        <v>1166</v>
      </c>
      <c r="D8" s="573" t="s">
        <v>1167</v>
      </c>
      <c r="E8" s="573" t="s">
        <v>1168</v>
      </c>
      <c r="F8" s="573"/>
      <c r="G8" s="575" t="s">
        <v>1169</v>
      </c>
      <c r="H8" s="573" t="s">
        <v>1170</v>
      </c>
      <c r="I8" s="573" t="s">
        <v>1171</v>
      </c>
      <c r="J8" s="573"/>
      <c r="K8" s="573" t="s">
        <v>1172</v>
      </c>
      <c r="L8" s="573" t="s">
        <v>1173</v>
      </c>
    </row>
    <row r="9" spans="1:12">
      <c r="A9" s="24">
        <v>1</v>
      </c>
      <c r="B9" s="576" t="s">
        <v>1108</v>
      </c>
      <c r="C9" s="577">
        <f>IFERROR(VLOOKUP(B9,W27_PG_2_of_3!A$11:F$64,6,FALSE),0)</f>
        <v>167040.49842217035</v>
      </c>
      <c r="D9" s="577">
        <f>IFERROR(VLOOKUP(B9,W27_PG_2_of_3!A$70:F$123,6,FALSE),0)</f>
        <v>106486.62162720731</v>
      </c>
      <c r="E9" s="577">
        <f>D9-C9</f>
        <v>-60553.876794963042</v>
      </c>
      <c r="F9" s="577"/>
      <c r="G9" s="577">
        <f>IFERROR(VLOOKUP(B9,W27_PG_3_of_3!A$10:B$53,2,FALSE),0)</f>
        <v>6338.7604723765016</v>
      </c>
      <c r="H9" s="577">
        <f>IFERROR(VLOOKUP(B9,W27_PG_3_of_3!A58:B101,2,FALSE),0)</f>
        <v>5132.3797690028268</v>
      </c>
      <c r="I9" s="577">
        <f>H9-G9</f>
        <v>-1206.3807033736748</v>
      </c>
      <c r="J9" s="578"/>
      <c r="K9" s="578">
        <f>E9+I9</f>
        <v>-61760.257498336716</v>
      </c>
      <c r="L9" s="579">
        <f>K9*L$7</f>
        <v>-61204.415180851684</v>
      </c>
    </row>
    <row r="10" spans="1:12">
      <c r="A10" s="24">
        <f>A9+1</f>
        <v>2</v>
      </c>
      <c r="B10" s="576" t="s">
        <v>1109</v>
      </c>
      <c r="C10" s="577">
        <f>IFERROR(VLOOKUP(B10,W27_PG_2_of_3!A$11:F$64,6,FALSE),0)</f>
        <v>226251.88792551178</v>
      </c>
      <c r="D10" s="577">
        <f>IFERROR(VLOOKUP(B10,W27_PG_2_of_3!A$70:F$123,6,FALSE),0)</f>
        <v>144257.16736949093</v>
      </c>
      <c r="E10" s="577">
        <f t="shared" ref="E10:E43" si="0">D10-C10</f>
        <v>-81994.720556020853</v>
      </c>
      <c r="F10" s="577"/>
      <c r="G10" s="577">
        <f>IFERROR(VLOOKUP(B10,W27_PG_3_of_3!A$10:B$53,2,FALSE),0)</f>
        <v>9873.3115525171852</v>
      </c>
      <c r="H10" s="577">
        <f>IFERROR(VLOOKUP(B10,W27_PG_3_of_3!A59:B102,2,FALSE),0)</f>
        <v>8058.9074153369875</v>
      </c>
      <c r="I10" s="577">
        <f t="shared" ref="I10:I43" si="1">H10-G10</f>
        <v>-1814.4041371801977</v>
      </c>
      <c r="J10" s="578"/>
      <c r="K10" s="578">
        <f t="shared" ref="K10:K43" si="2">E10+I10</f>
        <v>-83809.124693201054</v>
      </c>
      <c r="L10" s="579">
        <f t="shared" ref="L10:L43" si="3">K10*L$7</f>
        <v>-83054.842570962239</v>
      </c>
    </row>
    <row r="11" spans="1:12">
      <c r="A11" s="24">
        <f t="shared" ref="A11:A44" si="4">A10+1</f>
        <v>3</v>
      </c>
      <c r="B11" s="576" t="s">
        <v>1110</v>
      </c>
      <c r="C11" s="577">
        <f>IFERROR(VLOOKUP(B11,W27_PG_2_of_3!A$11:F$64,6,FALSE),0)</f>
        <v>150652.00586783688</v>
      </c>
      <c r="D11" s="577">
        <f>IFERROR(VLOOKUP(B11,W27_PG_2_of_3!A$70:F$123,6,FALSE),0)</f>
        <v>96047.528469428726</v>
      </c>
      <c r="E11" s="577">
        <f t="shared" si="0"/>
        <v>-54604.477398408155</v>
      </c>
      <c r="F11" s="577"/>
      <c r="G11" s="577">
        <f>IFERROR(VLOOKUP(B11,W27_PG_3_of_3!A$10:B$53,2,FALSE),0)</f>
        <v>6017.0524350008609</v>
      </c>
      <c r="H11" s="577">
        <f>IFERROR(VLOOKUP(B11,W27_PG_3_of_3!A60:B103,2,FALSE),0)</f>
        <v>4906.9750637164188</v>
      </c>
      <c r="I11" s="577">
        <f t="shared" si="1"/>
        <v>-1110.0773712844421</v>
      </c>
      <c r="J11" s="578"/>
      <c r="K11" s="578">
        <f t="shared" si="2"/>
        <v>-55714.554769692593</v>
      </c>
      <c r="L11" s="579">
        <f t="shared" si="3"/>
        <v>-55213.123776765358</v>
      </c>
    </row>
    <row r="12" spans="1:12">
      <c r="A12" s="24">
        <f t="shared" si="4"/>
        <v>4</v>
      </c>
      <c r="B12" s="576" t="s">
        <v>1111</v>
      </c>
      <c r="C12" s="577">
        <f>IFERROR(VLOOKUP(B12,W27_PG_2_of_3!A$11:F$64,6,FALSE),0)</f>
        <v>8276.8780737941779</v>
      </c>
      <c r="D12" s="577">
        <f>IFERROR(VLOOKUP(B12,W27_PG_2_of_3!A$70:F$123,6,FALSE),0)</f>
        <v>5278.608662718264</v>
      </c>
      <c r="E12" s="577">
        <f t="shared" si="0"/>
        <v>-2998.2694110759139</v>
      </c>
      <c r="F12" s="577"/>
      <c r="G12" s="577">
        <f>IFERROR(VLOOKUP(B12,W27_PG_3_of_3!A$10:B$53,2,FALSE),0)</f>
        <v>376.44592581357676</v>
      </c>
      <c r="H12" s="577">
        <f>IFERROR(VLOOKUP(B12,W27_PG_3_of_3!A61:B104,2,FALSE),0)</f>
        <v>303.43950681204251</v>
      </c>
      <c r="I12" s="577">
        <f t="shared" si="1"/>
        <v>-73.006419001534255</v>
      </c>
      <c r="J12" s="578"/>
      <c r="K12" s="578">
        <f t="shared" si="2"/>
        <v>-3071.2758300774481</v>
      </c>
      <c r="L12" s="579">
        <f t="shared" si="3"/>
        <v>-3043.6343476067509</v>
      </c>
    </row>
    <row r="13" spans="1:12">
      <c r="A13" s="24">
        <f t="shared" si="4"/>
        <v>5</v>
      </c>
      <c r="B13" s="576" t="s">
        <v>1112</v>
      </c>
      <c r="C13" s="577">
        <f>IFERROR(VLOOKUP(B13,W27_PG_2_of_3!A$11:F$64,6,FALSE),0)</f>
        <v>148442.98081160293</v>
      </c>
      <c r="D13" s="577">
        <f>IFERROR(VLOOKUP(B13,W27_PG_2_of_3!A$70:F$123,6,FALSE),0)</f>
        <v>94637.289161136243</v>
      </c>
      <c r="E13" s="577">
        <f t="shared" si="0"/>
        <v>-53805.691650466688</v>
      </c>
      <c r="F13" s="577"/>
      <c r="G13" s="577">
        <f>IFERROR(VLOOKUP(B13,W27_PG_3_of_3!A$10:B$53,2,FALSE),0)</f>
        <v>5914.9419890982672</v>
      </c>
      <c r="H13" s="577">
        <f>IFERROR(VLOOKUP(B13,W27_PG_3_of_3!A62:B105,2,FALSE),0)</f>
        <v>4806.5969156464289</v>
      </c>
      <c r="I13" s="577">
        <f t="shared" si="1"/>
        <v>-1108.3450734518383</v>
      </c>
      <c r="J13" s="578"/>
      <c r="K13" s="578">
        <f t="shared" si="2"/>
        <v>-54914.036723918529</v>
      </c>
      <c r="L13" s="579">
        <f t="shared" si="3"/>
        <v>-54419.810393403262</v>
      </c>
    </row>
    <row r="14" spans="1:12">
      <c r="A14" s="24">
        <f t="shared" si="4"/>
        <v>6</v>
      </c>
      <c r="B14" s="576" t="s">
        <v>1113</v>
      </c>
      <c r="C14" s="577">
        <f>IFERROR(VLOOKUP(B14,W27_PG_2_of_3!A$11:F$64,6,FALSE),0)</f>
        <v>124570.21212708633</v>
      </c>
      <c r="D14" s="577">
        <f>IFERROR(VLOOKUP(B14,W27_PG_2_of_3!A$70:F$123,6,FALSE),0)</f>
        <v>79421.251655094035</v>
      </c>
      <c r="E14" s="577">
        <f t="shared" si="0"/>
        <v>-45148.960471992294</v>
      </c>
      <c r="F14" s="577"/>
      <c r="G14" s="577">
        <f>IFERROR(VLOOKUP(B14,W27_PG_3_of_3!A$10:B$53,2,FALSE),0)</f>
        <v>5156.582027551769</v>
      </c>
      <c r="H14" s="577">
        <f>IFERROR(VLOOKUP(B14,W27_PG_3_of_3!A63:B106,2,FALSE),0)</f>
        <v>4196.9937256633893</v>
      </c>
      <c r="I14" s="577">
        <f t="shared" si="1"/>
        <v>-959.58830188837965</v>
      </c>
      <c r="J14" s="578"/>
      <c r="K14" s="578">
        <f t="shared" si="2"/>
        <v>-46108.54877388067</v>
      </c>
      <c r="L14" s="579">
        <f t="shared" si="3"/>
        <v>-45693.57183491574</v>
      </c>
    </row>
    <row r="15" spans="1:12">
      <c r="A15" s="24">
        <f t="shared" si="4"/>
        <v>7</v>
      </c>
      <c r="B15" s="576" t="s">
        <v>1114</v>
      </c>
      <c r="C15" s="577">
        <f>IFERROR(VLOOKUP(B15,W27_PG_2_of_3!A$11:F$64,6,FALSE),0)</f>
        <v>15915.796352410029</v>
      </c>
      <c r="D15" s="577">
        <f>IFERROR(VLOOKUP(B15,W27_PG_2_of_3!A$70:F$123,6,FALSE),0)</f>
        <v>10147.217430115525</v>
      </c>
      <c r="E15" s="577">
        <f t="shared" si="0"/>
        <v>-5768.5789222945041</v>
      </c>
      <c r="F15" s="577"/>
      <c r="G15" s="577">
        <f>IFERROR(VLOOKUP(B15,W27_PG_3_of_3!A$10:B$53,2,FALSE),0)</f>
        <v>578.72875715381531</v>
      </c>
      <c r="H15" s="577">
        <f>IFERROR(VLOOKUP(B15,W27_PG_3_of_3!A64:B107,2,FALSE),0)</f>
        <v>467.02080746845559</v>
      </c>
      <c r="I15" s="577">
        <f t="shared" si="1"/>
        <v>-111.70794968535972</v>
      </c>
      <c r="J15" s="578"/>
      <c r="K15" s="578">
        <f t="shared" si="2"/>
        <v>-5880.2868719798635</v>
      </c>
      <c r="L15" s="579">
        <f t="shared" si="3"/>
        <v>-5827.3642901320445</v>
      </c>
    </row>
    <row r="16" spans="1:12">
      <c r="A16" s="24">
        <f t="shared" si="4"/>
        <v>8</v>
      </c>
      <c r="B16" s="576" t="s">
        <v>1116</v>
      </c>
      <c r="C16" s="577">
        <f>IFERROR(VLOOKUP(B16,W27_PG_2_of_3!A$11:F$64,6,FALSE),0)</f>
        <v>175636.34621642547</v>
      </c>
      <c r="D16" s="577">
        <f>IFERROR(VLOOKUP(B16,W27_PG_2_of_3!A$70:F$123,6,FALSE),0)</f>
        <v>111976.00682553073</v>
      </c>
      <c r="E16" s="577">
        <f t="shared" si="0"/>
        <v>-63660.339390894747</v>
      </c>
      <c r="F16" s="577"/>
      <c r="G16" s="577">
        <f>IFERROR(VLOOKUP(B16,W27_PG_3_of_3!A$10:B$53,2,FALSE),0)</f>
        <v>7213.6466804833881</v>
      </c>
      <c r="H16" s="577">
        <f>IFERROR(VLOOKUP(B16,W27_PG_3_of_3!A65:B108,2,FALSE),0)</f>
        <v>5870.2846120755366</v>
      </c>
      <c r="I16" s="577">
        <f t="shared" si="1"/>
        <v>-1343.3620684078514</v>
      </c>
      <c r="J16" s="578"/>
      <c r="K16" s="578">
        <f t="shared" si="2"/>
        <v>-65003.701459302596</v>
      </c>
      <c r="L16" s="579">
        <f t="shared" si="3"/>
        <v>-64418.668146168871</v>
      </c>
    </row>
    <row r="17" spans="1:12">
      <c r="A17" s="24">
        <f t="shared" si="4"/>
        <v>9</v>
      </c>
      <c r="B17" s="576" t="s">
        <v>1118</v>
      </c>
      <c r="C17" s="577">
        <f>IFERROR(VLOOKUP(B17,W27_PG_2_of_3!A$11:F$64,6,FALSE),0)</f>
        <v>81022.944957237371</v>
      </c>
      <c r="D17" s="577">
        <f>IFERROR(VLOOKUP(B17,W27_PG_2_of_3!A$70:F$123,6,FALSE),0)</f>
        <v>51650.852738272479</v>
      </c>
      <c r="E17" s="577">
        <f t="shared" si="0"/>
        <v>-29372.092218964892</v>
      </c>
      <c r="F17" s="577"/>
      <c r="G17" s="577">
        <f>IFERROR(VLOOKUP(B17,W27_PG_3_of_3!A$10:B$53,2,FALSE),0)</f>
        <v>3174.3950976172891</v>
      </c>
      <c r="H17" s="577">
        <f>IFERROR(VLOOKUP(B17,W27_PG_3_of_3!A66:B109,2,FALSE),0)</f>
        <v>2586.6908502066149</v>
      </c>
      <c r="I17" s="577">
        <f t="shared" si="1"/>
        <v>-587.70424741067427</v>
      </c>
      <c r="J17" s="578"/>
      <c r="K17" s="578">
        <f t="shared" si="2"/>
        <v>-29959.796466375567</v>
      </c>
      <c r="L17" s="579">
        <f t="shared" si="3"/>
        <v>-29690.158298178187</v>
      </c>
    </row>
    <row r="18" spans="1:12">
      <c r="A18" s="24">
        <f t="shared" si="4"/>
        <v>10</v>
      </c>
      <c r="B18" s="576" t="s">
        <v>1120</v>
      </c>
      <c r="C18" s="577">
        <f>IFERROR(VLOOKUP(B18,W27_PG_2_of_3!A$11:F$64,6,FALSE),0)</f>
        <v>34646.305425438382</v>
      </c>
      <c r="D18" s="577">
        <f>IFERROR(VLOOKUP(B18,W27_PG_2_of_3!A$70:F$123,6,FALSE),0)</f>
        <v>22090.376207713627</v>
      </c>
      <c r="E18" s="577">
        <f t="shared" si="0"/>
        <v>-12555.929217724755</v>
      </c>
      <c r="F18" s="577"/>
      <c r="G18" s="577">
        <f>IFERROR(VLOOKUP(B18,W27_PG_3_of_3!A$10:B$53,2,FALSE),0)</f>
        <v>1550.4456678153329</v>
      </c>
      <c r="H18" s="577">
        <f>IFERROR(VLOOKUP(B18,W27_PG_3_of_3!A67:B110,2,FALSE),0)</f>
        <v>1271.4204487058316</v>
      </c>
      <c r="I18" s="577">
        <f t="shared" si="1"/>
        <v>-279.02521910950122</v>
      </c>
      <c r="J18" s="578"/>
      <c r="K18" s="578">
        <f t="shared" si="2"/>
        <v>-12834.954436834256</v>
      </c>
      <c r="L18" s="579">
        <f t="shared" si="3"/>
        <v>-12719.439846902747</v>
      </c>
    </row>
    <row r="19" spans="1:12">
      <c r="A19" s="24">
        <f t="shared" si="4"/>
        <v>11</v>
      </c>
      <c r="B19" s="576" t="s">
        <v>1125</v>
      </c>
      <c r="C19" s="577">
        <f>IFERROR(VLOOKUP(B19,W27_PG_2_of_3!A$11:F$64,6,FALSE),0)</f>
        <v>151719.32730910741</v>
      </c>
      <c r="D19" s="577">
        <f>IFERROR(VLOOKUP(B19,W27_PG_2_of_3!A$70:F$123,6,FALSE),0)</f>
        <v>105647.1076056499</v>
      </c>
      <c r="E19" s="577">
        <f t="shared" si="0"/>
        <v>-46072.219703457507</v>
      </c>
      <c r="F19" s="577"/>
      <c r="G19" s="577">
        <f>IFERROR(VLOOKUP(B19,W27_PG_3_of_3!A$10:B$53,2,FALSE),0)</f>
        <v>0</v>
      </c>
      <c r="H19" s="577">
        <f>IFERROR(VLOOKUP(B19,W27_PG_3_of_3!A68:B111,2,FALSE),0)</f>
        <v>0</v>
      </c>
      <c r="I19" s="577">
        <f t="shared" si="1"/>
        <v>0</v>
      </c>
      <c r="J19" s="578"/>
      <c r="K19" s="578">
        <f t="shared" si="2"/>
        <v>-46072.219703457507</v>
      </c>
      <c r="L19" s="579">
        <f t="shared" si="3"/>
        <v>-45657.569726126392</v>
      </c>
    </row>
    <row r="20" spans="1:12">
      <c r="A20" s="24">
        <f t="shared" si="4"/>
        <v>12</v>
      </c>
      <c r="B20" s="576" t="s">
        <v>1127</v>
      </c>
      <c r="C20" s="577">
        <f>IFERROR(VLOOKUP(B20,W27_PG_2_of_3!A$11:F$64,6,FALSE),0)</f>
        <v>0</v>
      </c>
      <c r="D20" s="577">
        <f>IFERROR(VLOOKUP(B20,W27_PG_2_of_3!A$70:F$123,6,FALSE),0)</f>
        <v>0</v>
      </c>
      <c r="E20" s="577">
        <f t="shared" si="0"/>
        <v>0</v>
      </c>
      <c r="F20" s="577"/>
      <c r="G20" s="577">
        <f>IFERROR(VLOOKUP(B20,W27_PG_3_of_3!A$10:B$53,2,FALSE),0)</f>
        <v>0</v>
      </c>
      <c r="H20" s="577">
        <f>IFERROR(VLOOKUP(B20,W27_PG_3_of_3!A69:B112,2,FALSE),0)</f>
        <v>0</v>
      </c>
      <c r="I20" s="577">
        <f t="shared" si="1"/>
        <v>0</v>
      </c>
      <c r="J20" s="578"/>
      <c r="K20" s="578">
        <f t="shared" si="2"/>
        <v>0</v>
      </c>
      <c r="L20" s="579">
        <f t="shared" si="3"/>
        <v>0</v>
      </c>
    </row>
    <row r="21" spans="1:12">
      <c r="A21" s="24">
        <f t="shared" si="4"/>
        <v>13</v>
      </c>
      <c r="B21" s="576" t="s">
        <v>1128</v>
      </c>
      <c r="C21" s="577">
        <f>IFERROR(VLOOKUP(B21,W27_PG_2_of_3!A$11:F$64,6,FALSE),0)</f>
        <v>52.722657826446003</v>
      </c>
      <c r="D21" s="577">
        <f>IFERROR(VLOOKUP(B21,W27_PG_2_of_3!A$70:F$123,6,FALSE),0)</f>
        <v>37.264058555394577</v>
      </c>
      <c r="E21" s="577">
        <f t="shared" si="0"/>
        <v>-15.458599271051426</v>
      </c>
      <c r="F21" s="577"/>
      <c r="G21" s="577">
        <f>IFERROR(VLOOKUP(B21,W27_PG_3_of_3!A$10:B$53,2,FALSE),0)</f>
        <v>0</v>
      </c>
      <c r="H21" s="577">
        <f>IFERROR(VLOOKUP(B21,W27_PG_3_of_3!A70:B113,2,FALSE),0)</f>
        <v>0</v>
      </c>
      <c r="I21" s="577">
        <f t="shared" si="1"/>
        <v>0</v>
      </c>
      <c r="J21" s="578"/>
      <c r="K21" s="578">
        <f t="shared" si="2"/>
        <v>-15.458599271051426</v>
      </c>
      <c r="L21" s="579">
        <f t="shared" si="3"/>
        <v>-15.319471877611964</v>
      </c>
    </row>
    <row r="22" spans="1:12">
      <c r="A22" s="24">
        <f t="shared" si="4"/>
        <v>14</v>
      </c>
      <c r="B22" s="576" t="s">
        <v>1129</v>
      </c>
      <c r="C22" s="577">
        <f>IFERROR(VLOOKUP(B22,W27_PG_2_of_3!A$11:F$64,6,FALSE),0)</f>
        <v>19666.208706503112</v>
      </c>
      <c r="D22" s="577">
        <f>IFERROR(VLOOKUP(B22,W27_PG_2_of_3!A$70:F$123,6,FALSE),0)</f>
        <v>19718.734382681174</v>
      </c>
      <c r="E22" s="577">
        <f t="shared" si="0"/>
        <v>52.525676178061985</v>
      </c>
      <c r="F22" s="577"/>
      <c r="G22" s="577">
        <f>IFERROR(VLOOKUP(B22,W27_PG_3_of_3!A$10:B$53,2,FALSE),0)</f>
        <v>3519.1684712111005</v>
      </c>
      <c r="H22" s="577">
        <f>IFERROR(VLOOKUP(B22,W27_PG_3_of_3!A71:B114,2,FALSE),0)</f>
        <v>2799.0285260820801</v>
      </c>
      <c r="I22" s="577">
        <f t="shared" si="1"/>
        <v>-720.13994512902036</v>
      </c>
      <c r="J22" s="578"/>
      <c r="K22" s="578">
        <f t="shared" si="2"/>
        <v>-667.61426895095838</v>
      </c>
      <c r="L22" s="579">
        <f t="shared" si="3"/>
        <v>-661.60574053039977</v>
      </c>
    </row>
    <row r="23" spans="1:12">
      <c r="A23" s="24">
        <f t="shared" si="4"/>
        <v>15</v>
      </c>
      <c r="B23" s="576" t="s">
        <v>1130</v>
      </c>
      <c r="C23" s="577">
        <f>IFERROR(VLOOKUP(B23,W27_PG_2_of_3!A$11:F$64,6,FALSE),0)</f>
        <v>49161.661684047198</v>
      </c>
      <c r="D23" s="577">
        <f>IFERROR(VLOOKUP(B23,W27_PG_2_of_3!A$70:F$123,6,FALSE),0)</f>
        <v>49297.551290338066</v>
      </c>
      <c r="E23" s="577">
        <f t="shared" si="0"/>
        <v>135.88960629086796</v>
      </c>
      <c r="F23" s="577"/>
      <c r="G23" s="577">
        <f>IFERROR(VLOOKUP(B23,W27_PG_3_of_3!A$10:B$53,2,FALSE),0)</f>
        <v>8249.1277205731549</v>
      </c>
      <c r="H23" s="577">
        <f>IFERROR(VLOOKUP(B23,W27_PG_3_of_3!A72:B115,2,FALSE),0)</f>
        <v>6472.7411146628019</v>
      </c>
      <c r="I23" s="577">
        <f t="shared" si="1"/>
        <v>-1776.386605910353</v>
      </c>
      <c r="J23" s="578"/>
      <c r="K23" s="578">
        <f t="shared" si="2"/>
        <v>-1640.496999619485</v>
      </c>
      <c r="L23" s="579">
        <f t="shared" si="3"/>
        <v>-1625.7325266229095</v>
      </c>
    </row>
    <row r="24" spans="1:12">
      <c r="A24" s="24">
        <f t="shared" si="4"/>
        <v>16</v>
      </c>
      <c r="B24" s="576" t="s">
        <v>1131</v>
      </c>
      <c r="C24" s="577">
        <f>IFERROR(VLOOKUP(B24,W27_PG_2_of_3!A$11:F$64,6,FALSE),0)</f>
        <v>232.90491648532327</v>
      </c>
      <c r="D24" s="577">
        <f>IFERROR(VLOOKUP(B24,W27_PG_2_of_3!A$70:F$123,6,FALSE),0)</f>
        <v>235.14733894592939</v>
      </c>
      <c r="E24" s="577">
        <f t="shared" si="0"/>
        <v>2.2424224606061216</v>
      </c>
      <c r="F24" s="577"/>
      <c r="G24" s="577">
        <f>IFERROR(VLOOKUP(B24,W27_PG_3_of_3!A$10:B$53,2,FALSE),0)</f>
        <v>33.473428969830351</v>
      </c>
      <c r="H24" s="577">
        <f>IFERROR(VLOOKUP(B24,W27_PG_3_of_3!A73:B116,2,FALSE),0)</f>
        <v>27.136808407488971</v>
      </c>
      <c r="I24" s="577">
        <f t="shared" si="1"/>
        <v>-6.3366205623413805</v>
      </c>
      <c r="J24" s="578"/>
      <c r="K24" s="578">
        <f t="shared" si="2"/>
        <v>-4.0941981017352589</v>
      </c>
      <c r="L24" s="579">
        <f t="shared" si="3"/>
        <v>-4.0573503188196414</v>
      </c>
    </row>
    <row r="25" spans="1:12">
      <c r="A25" s="24">
        <f t="shared" si="4"/>
        <v>17</v>
      </c>
      <c r="B25" s="576" t="s">
        <v>1132</v>
      </c>
      <c r="C25" s="577">
        <f>IFERROR(VLOOKUP(B25,W27_PG_2_of_3!A$11:F$64,6,FALSE),0)</f>
        <v>141.97100088948409</v>
      </c>
      <c r="D25" s="577">
        <f>IFERROR(VLOOKUP(B25,W27_PG_2_of_3!A$70:F$123,6,FALSE),0)</f>
        <v>143.58704347551705</v>
      </c>
      <c r="E25" s="577">
        <f t="shared" si="0"/>
        <v>1.616042586032961</v>
      </c>
      <c r="F25" s="577"/>
      <c r="G25" s="577">
        <f>IFERROR(VLOOKUP(B25,W27_PG_3_of_3!A$10:B$53,2,FALSE),0)</f>
        <v>25.366441396023735</v>
      </c>
      <c r="H25" s="577">
        <f>IFERROR(VLOOKUP(B25,W27_PG_3_of_3!A74:B117,2,FALSE),0)</f>
        <v>19.000021557002036</v>
      </c>
      <c r="I25" s="577">
        <f t="shared" si="1"/>
        <v>-6.3664198390216988</v>
      </c>
      <c r="J25" s="578"/>
      <c r="K25" s="578">
        <f t="shared" si="2"/>
        <v>-4.7503772529887378</v>
      </c>
      <c r="L25" s="579">
        <f t="shared" si="3"/>
        <v>-4.7076238577118392</v>
      </c>
    </row>
    <row r="26" spans="1:12">
      <c r="A26" s="24">
        <f t="shared" si="4"/>
        <v>18</v>
      </c>
      <c r="B26" s="576" t="s">
        <v>1133</v>
      </c>
      <c r="C26" s="577">
        <f>IFERROR(VLOOKUP(B26,W27_PG_2_of_3!A$11:F$64,6,FALSE),0)</f>
        <v>72711.007577878219</v>
      </c>
      <c r="D26" s="577">
        <f>IFERROR(VLOOKUP(B26,W27_PG_2_of_3!A$70:F$123,6,FALSE),0)</f>
        <v>72547.553172058775</v>
      </c>
      <c r="E26" s="577">
        <f t="shared" si="0"/>
        <v>-163.45440581944422</v>
      </c>
      <c r="F26" s="577"/>
      <c r="G26" s="577">
        <f>IFERROR(VLOOKUP(B26,W27_PG_3_of_3!A$10:B$53,2,FALSE),0)</f>
        <v>13574.374964748931</v>
      </c>
      <c r="H26" s="577">
        <f>IFERROR(VLOOKUP(B26,W27_PG_3_of_3!A75:B118,2,FALSE),0)</f>
        <v>10743.450417344277</v>
      </c>
      <c r="I26" s="577">
        <f t="shared" si="1"/>
        <v>-2830.9245474046547</v>
      </c>
      <c r="J26" s="578"/>
      <c r="K26" s="578">
        <f t="shared" si="2"/>
        <v>-2994.378953224099</v>
      </c>
      <c r="L26" s="579">
        <f t="shared" si="3"/>
        <v>-2967.4295426450822</v>
      </c>
    </row>
    <row r="27" spans="1:12">
      <c r="A27" s="24">
        <f t="shared" si="4"/>
        <v>19</v>
      </c>
      <c r="B27" s="576" t="s">
        <v>1134</v>
      </c>
      <c r="C27" s="577">
        <f>IFERROR(VLOOKUP(B27,W27_PG_2_of_3!A$11:F$64,6,FALSE),0)</f>
        <v>13411.654245958955</v>
      </c>
      <c r="D27" s="577">
        <f>IFERROR(VLOOKUP(B27,W27_PG_2_of_3!A$70:F$123,6,FALSE),0)</f>
        <v>13448.357743820776</v>
      </c>
      <c r="E27" s="577">
        <f t="shared" si="0"/>
        <v>36.703497861821234</v>
      </c>
      <c r="F27" s="577"/>
      <c r="G27" s="577">
        <f>IFERROR(VLOOKUP(B27,W27_PG_3_of_3!A$10:B$53,2,FALSE),0)</f>
        <v>2379.7885041019308</v>
      </c>
      <c r="H27" s="577">
        <f>IFERROR(VLOOKUP(B27,W27_PG_3_of_3!A76:B119,2,FALSE),0)</f>
        <v>1891.0707575406561</v>
      </c>
      <c r="I27" s="577">
        <f t="shared" si="1"/>
        <v>-488.71774656127468</v>
      </c>
      <c r="J27" s="578"/>
      <c r="K27" s="578">
        <f t="shared" si="2"/>
        <v>-452.01424869945345</v>
      </c>
      <c r="L27" s="579">
        <f t="shared" si="3"/>
        <v>-447.94612046115839</v>
      </c>
    </row>
    <row r="28" spans="1:12">
      <c r="A28" s="24">
        <f t="shared" si="4"/>
        <v>20</v>
      </c>
      <c r="B28" s="576" t="s">
        <v>1135</v>
      </c>
      <c r="C28" s="577">
        <f>IFERROR(VLOOKUP(B28,W27_PG_2_of_3!A$11:F$64,6,FALSE),0)</f>
        <v>157118.73871312832</v>
      </c>
      <c r="D28" s="577">
        <f>IFERROR(VLOOKUP(B28,W27_PG_2_of_3!A$70:F$123,6,FALSE),0)</f>
        <v>156389.23579170491</v>
      </c>
      <c r="E28" s="577">
        <f t="shared" si="0"/>
        <v>-729.50292142340913</v>
      </c>
      <c r="F28" s="577"/>
      <c r="G28" s="577">
        <f>IFERROR(VLOOKUP(B28,W27_PG_3_of_3!A$10:B$53,2,FALSE),0)</f>
        <v>29730.574007593008</v>
      </c>
      <c r="H28" s="577">
        <f>IFERROR(VLOOKUP(B28,W27_PG_3_of_3!A77:B120,2,FALSE),0)</f>
        <v>23861.18916507109</v>
      </c>
      <c r="I28" s="577">
        <f t="shared" si="1"/>
        <v>-5869.3848425219185</v>
      </c>
      <c r="J28" s="578"/>
      <c r="K28" s="578">
        <f t="shared" si="2"/>
        <v>-6598.8877639453276</v>
      </c>
      <c r="L28" s="579">
        <f t="shared" si="3"/>
        <v>-6539.4977740698196</v>
      </c>
    </row>
    <row r="29" spans="1:12">
      <c r="A29" s="24">
        <f t="shared" si="4"/>
        <v>21</v>
      </c>
      <c r="B29" s="576" t="s">
        <v>1136</v>
      </c>
      <c r="C29" s="577">
        <f>IFERROR(VLOOKUP(B29,W27_PG_2_of_3!A$11:F$64,6,FALSE),0)</f>
        <v>110.17100925257104</v>
      </c>
      <c r="D29" s="577">
        <f>IFERROR(VLOOKUP(B29,W27_PG_2_of_3!A$70:F$123,6,FALSE),0)</f>
        <v>104.80064597639513</v>
      </c>
      <c r="E29" s="577">
        <f t="shared" si="0"/>
        <v>-5.3703632761759081</v>
      </c>
      <c r="F29" s="577"/>
      <c r="G29" s="577">
        <f>IFERROR(VLOOKUP(B29,W27_PG_3_of_3!A$10:B$53,2,FALSE),0)</f>
        <v>42.799805975590232</v>
      </c>
      <c r="H29" s="577">
        <f>IFERROR(VLOOKUP(B29,W27_PG_3_of_3!A78:B121,2,FALSE),0)</f>
        <v>34.301756634766008</v>
      </c>
      <c r="I29" s="577">
        <f t="shared" si="1"/>
        <v>-8.4980493408242239</v>
      </c>
      <c r="J29" s="578"/>
      <c r="K29" s="578">
        <f t="shared" si="2"/>
        <v>-13.868412617000132</v>
      </c>
      <c r="L29" s="579">
        <f t="shared" si="3"/>
        <v>-13.743596903447131</v>
      </c>
    </row>
    <row r="30" spans="1:12">
      <c r="A30" s="24">
        <f t="shared" si="4"/>
        <v>22</v>
      </c>
      <c r="B30" s="576" t="s">
        <v>1138</v>
      </c>
      <c r="C30" s="577">
        <f>IFERROR(VLOOKUP(B30,W27_PG_2_of_3!A$11:F$64,6,FALSE),0)</f>
        <v>420981.58444457169</v>
      </c>
      <c r="D30" s="577">
        <f>IFERROR(VLOOKUP(B30,W27_PG_2_of_3!A$70:F$123,6,FALSE),0)</f>
        <v>423437.23136021098</v>
      </c>
      <c r="E30" s="577">
        <f t="shared" si="0"/>
        <v>2455.646915639285</v>
      </c>
      <c r="F30" s="577"/>
      <c r="G30" s="577">
        <f>IFERROR(VLOOKUP(B30,W27_PG_3_of_3!A$10:B$53,2,FALSE),0)</f>
        <v>76212.711252592781</v>
      </c>
      <c r="H30" s="577">
        <f>IFERROR(VLOOKUP(B30,W27_PG_3_of_3!A79:B122,2,FALSE),0)</f>
        <v>60776.354175566812</v>
      </c>
      <c r="I30" s="577">
        <f t="shared" si="1"/>
        <v>-15436.357077025968</v>
      </c>
      <c r="J30" s="578"/>
      <c r="K30" s="578">
        <f t="shared" si="2"/>
        <v>-12980.710161386683</v>
      </c>
      <c r="L30" s="579">
        <f t="shared" si="3"/>
        <v>-12863.883769934204</v>
      </c>
    </row>
    <row r="31" spans="1:12">
      <c r="A31" s="24">
        <f t="shared" si="4"/>
        <v>23</v>
      </c>
      <c r="B31" s="576" t="s">
        <v>1139</v>
      </c>
      <c r="C31" s="577">
        <f>IFERROR(VLOOKUP(B31,W27_PG_2_of_3!A$11:F$64,6,FALSE),0)</f>
        <v>196.51932512068646</v>
      </c>
      <c r="D31" s="577">
        <f>IFERROR(VLOOKUP(B31,W27_PG_2_of_3!A$70:F$123,6,FALSE),0)</f>
        <v>188.04581889943768</v>
      </c>
      <c r="E31" s="577">
        <f t="shared" si="0"/>
        <v>-8.4735062212487833</v>
      </c>
      <c r="F31" s="577"/>
      <c r="G31" s="577">
        <f>IFERROR(VLOOKUP(B31,W27_PG_3_of_3!A$10:B$53,2,FALSE),0)</f>
        <v>39.193318604193038</v>
      </c>
      <c r="H31" s="577">
        <f>IFERROR(VLOOKUP(B31,W27_PG_3_of_3!A80:B123,2,FALSE),0)</f>
        <v>33.037143635468937</v>
      </c>
      <c r="I31" s="577">
        <f t="shared" si="1"/>
        <v>-6.1561749687241019</v>
      </c>
      <c r="J31" s="578"/>
      <c r="K31" s="578">
        <f t="shared" si="2"/>
        <v>-14.629681189972885</v>
      </c>
      <c r="L31" s="579">
        <f t="shared" si="3"/>
        <v>-14.498014059263129</v>
      </c>
    </row>
    <row r="32" spans="1:12">
      <c r="A32" s="24">
        <f t="shared" si="4"/>
        <v>24</v>
      </c>
      <c r="B32" s="576" t="s">
        <v>1140</v>
      </c>
      <c r="C32" s="577">
        <f>IFERROR(VLOOKUP(B32,W27_PG_2_of_3!A$11:F$64,6,FALSE),0)</f>
        <v>952.58913800914729</v>
      </c>
      <c r="D32" s="577">
        <f>IFERROR(VLOOKUP(B32,W27_PG_2_of_3!A$70:F$123,6,FALSE),0)</f>
        <v>948.52177640916443</v>
      </c>
      <c r="E32" s="577">
        <f t="shared" si="0"/>
        <v>-4.0673615999828598</v>
      </c>
      <c r="F32" s="577"/>
      <c r="G32" s="577">
        <f>IFERROR(VLOOKUP(B32,W27_PG_3_of_3!A$10:B$53,2,FALSE),0)</f>
        <v>157.00880517469119</v>
      </c>
      <c r="H32" s="577">
        <f>IFERROR(VLOOKUP(B32,W27_PG_3_of_3!A81:B124,2,FALSE),0)</f>
        <v>117.60304239702643</v>
      </c>
      <c r="I32" s="577">
        <f t="shared" si="1"/>
        <v>-39.405762777664762</v>
      </c>
      <c r="J32" s="578"/>
      <c r="K32" s="578">
        <f t="shared" si="2"/>
        <v>-43.473124377647622</v>
      </c>
      <c r="L32" s="579">
        <f t="shared" si="3"/>
        <v>-43.081866258248795</v>
      </c>
    </row>
    <row r="33" spans="1:14">
      <c r="A33" s="24">
        <f t="shared" si="4"/>
        <v>25</v>
      </c>
      <c r="B33" s="576" t="s">
        <v>1141</v>
      </c>
      <c r="C33" s="577">
        <f>IFERROR(VLOOKUP(B33,W27_PG_2_of_3!A$11:F$64,6,FALSE),0)</f>
        <v>1302.147252340774</v>
      </c>
      <c r="D33" s="577">
        <f>IFERROR(VLOOKUP(B33,W27_PG_2_of_3!A$70:F$123,6,FALSE),0)</f>
        <v>1304.7538078304183</v>
      </c>
      <c r="E33" s="577">
        <f t="shared" si="0"/>
        <v>2.6065554896442791</v>
      </c>
      <c r="F33" s="577"/>
      <c r="G33" s="577">
        <f>IFERROR(VLOOKUP(B33,W27_PG_3_of_3!A$10:B$53,2,FALSE),0)</f>
        <v>194.97384677919933</v>
      </c>
      <c r="H33" s="577">
        <f>IFERROR(VLOOKUP(B33,W27_PG_3_of_3!A82:B125,2,FALSE),0)</f>
        <v>148.73104289001259</v>
      </c>
      <c r="I33" s="577">
        <f t="shared" si="1"/>
        <v>-46.242803889186746</v>
      </c>
      <c r="J33" s="578"/>
      <c r="K33" s="578">
        <f t="shared" si="2"/>
        <v>-43.636248399542467</v>
      </c>
      <c r="L33" s="579">
        <f t="shared" si="3"/>
        <v>-43.243522163946587</v>
      </c>
    </row>
    <row r="34" spans="1:14">
      <c r="A34" s="24">
        <f t="shared" si="4"/>
        <v>26</v>
      </c>
      <c r="B34" s="576" t="s">
        <v>1142</v>
      </c>
      <c r="C34" s="577">
        <f>IFERROR(VLOOKUP(B34,W27_PG_2_of_3!A$11:F$64,6,FALSE),0)</f>
        <v>1999.0520047397029</v>
      </c>
      <c r="D34" s="577">
        <f>IFERROR(VLOOKUP(B34,W27_PG_2_of_3!A$70:F$123,6,FALSE),0)</f>
        <v>2004.1091371654438</v>
      </c>
      <c r="E34" s="577">
        <f t="shared" si="0"/>
        <v>5.0571324257409742</v>
      </c>
      <c r="F34" s="577"/>
      <c r="G34" s="577">
        <f>IFERROR(VLOOKUP(B34,W27_PG_3_of_3!A$10:B$53,2,FALSE),0)</f>
        <v>320.13297401623345</v>
      </c>
      <c r="H34" s="577">
        <f>IFERROR(VLOOKUP(B34,W27_PG_3_of_3!A83:B126,2,FALSE),0)</f>
        <v>247.93485686505159</v>
      </c>
      <c r="I34" s="577">
        <f t="shared" si="1"/>
        <v>-72.198117151181862</v>
      </c>
      <c r="J34" s="578"/>
      <c r="K34" s="578">
        <f t="shared" si="2"/>
        <v>-67.140984725440887</v>
      </c>
      <c r="L34" s="579">
        <f t="shared" si="3"/>
        <v>-66.536715862911919</v>
      </c>
    </row>
    <row r="35" spans="1:14">
      <c r="A35" s="24">
        <f t="shared" si="4"/>
        <v>27</v>
      </c>
      <c r="B35" s="576" t="s">
        <v>1143</v>
      </c>
      <c r="C35" s="577">
        <f>IFERROR(VLOOKUP(B35,W27_PG_2_of_3!A$11:F$64,6,FALSE),0)</f>
        <v>691.70214243757812</v>
      </c>
      <c r="D35" s="577">
        <f>IFERROR(VLOOKUP(B35,W27_PG_2_of_3!A$70:F$123,6,FALSE),0)</f>
        <v>697.62923114227272</v>
      </c>
      <c r="E35" s="577">
        <f t="shared" si="0"/>
        <v>5.9270887046945973</v>
      </c>
      <c r="F35" s="577"/>
      <c r="G35" s="577">
        <f>IFERROR(VLOOKUP(B35,W27_PG_3_of_3!A$10:B$53,2,FALSE),0)</f>
        <v>151.01576386361637</v>
      </c>
      <c r="H35" s="577">
        <f>IFERROR(VLOOKUP(B35,W27_PG_3_of_3!A84:B127,2,FALSE),0)</f>
        <v>126.65240983038595</v>
      </c>
      <c r="I35" s="577">
        <f t="shared" si="1"/>
        <v>-24.363354033230422</v>
      </c>
      <c r="J35" s="578"/>
      <c r="K35" s="578">
        <f t="shared" si="2"/>
        <v>-18.436265328535825</v>
      </c>
      <c r="L35" s="579">
        <f t="shared" si="3"/>
        <v>-18.270338940579002</v>
      </c>
    </row>
    <row r="36" spans="1:14">
      <c r="A36" s="24">
        <f t="shared" si="4"/>
        <v>28</v>
      </c>
      <c r="B36" s="576" t="s">
        <v>1145</v>
      </c>
      <c r="C36" s="577">
        <f>IFERROR(VLOOKUP(B36,W27_PG_2_of_3!A$11:F$64,6,FALSE),0)</f>
        <v>6868.9352018696791</v>
      </c>
      <c r="D36" s="577">
        <f>IFERROR(VLOOKUP(B36,W27_PG_2_of_3!A$70:F$123,6,FALSE),0)</f>
        <v>6896.8114581313093</v>
      </c>
      <c r="E36" s="577">
        <f t="shared" si="0"/>
        <v>27.87625626163026</v>
      </c>
      <c r="F36" s="577"/>
      <c r="G36" s="577">
        <f>IFERROR(VLOOKUP(B36,W27_PG_3_of_3!A$10:B$53,2,FALSE),0)</f>
        <v>1304.2095020547772</v>
      </c>
      <c r="H36" s="577">
        <f>IFERROR(VLOOKUP(B36,W27_PG_3_of_3!A85:B128,2,FALSE),0)</f>
        <v>1036.3737596020239</v>
      </c>
      <c r="I36" s="577">
        <f t="shared" si="1"/>
        <v>-267.83574245275327</v>
      </c>
      <c r="J36" s="578"/>
      <c r="K36" s="578">
        <f t="shared" si="2"/>
        <v>-239.95948619112301</v>
      </c>
      <c r="L36" s="579">
        <f t="shared" si="3"/>
        <v>-237.79985081540289</v>
      </c>
    </row>
    <row r="37" spans="1:14">
      <c r="A37" s="24">
        <f t="shared" si="4"/>
        <v>29</v>
      </c>
      <c r="B37" s="576" t="s">
        <v>1146</v>
      </c>
      <c r="C37" s="577">
        <f>IFERROR(VLOOKUP(B37,W27_PG_2_of_3!A$11:F$64,6,FALSE),0)</f>
        <v>70203.21394609804</v>
      </c>
      <c r="D37" s="577">
        <f>IFERROR(VLOOKUP(B37,W27_PG_2_of_3!A$70:F$123,6,FALSE),0)</f>
        <v>70579.260035082872</v>
      </c>
      <c r="E37" s="577">
        <f t="shared" si="0"/>
        <v>376.04608898483275</v>
      </c>
      <c r="F37" s="577"/>
      <c r="G37" s="577">
        <f>IFERROR(VLOOKUP(B37,W27_PG_3_of_3!A$10:B$53,2,FALSE),0)</f>
        <v>12429.650980753127</v>
      </c>
      <c r="H37" s="577">
        <f>IFERROR(VLOOKUP(B37,W27_PG_3_of_3!A86:B129,2,FALSE),0)</f>
        <v>9963.2045577864374</v>
      </c>
      <c r="I37" s="577">
        <f t="shared" si="1"/>
        <v>-2466.4464229666901</v>
      </c>
      <c r="J37" s="578"/>
      <c r="K37" s="578">
        <f t="shared" si="2"/>
        <v>-2090.4003339818573</v>
      </c>
      <c r="L37" s="579">
        <f t="shared" si="3"/>
        <v>-2071.5867309760206</v>
      </c>
    </row>
    <row r="38" spans="1:14">
      <c r="A38" s="24">
        <f t="shared" si="4"/>
        <v>30</v>
      </c>
      <c r="B38" s="576" t="s">
        <v>1148</v>
      </c>
      <c r="C38" s="577">
        <f>IFERROR(VLOOKUP(B38,W27_PG_2_of_3!A$11:F$64,6,FALSE),0)</f>
        <v>12387.879815299713</v>
      </c>
      <c r="D38" s="577">
        <f>IFERROR(VLOOKUP(B38,W27_PG_2_of_3!A$70:F$123,6,FALSE),0)</f>
        <v>12419.930699373779</v>
      </c>
      <c r="E38" s="577">
        <f t="shared" si="0"/>
        <v>32.050884074065834</v>
      </c>
      <c r="F38" s="577"/>
      <c r="G38" s="577">
        <f>IFERROR(VLOOKUP(B38,W27_PG_3_of_3!A$10:B$53,2,FALSE),0)</f>
        <v>2401.871371081359</v>
      </c>
      <c r="H38" s="577">
        <f>IFERROR(VLOOKUP(B38,W27_PG_3_of_3!A87:B130,2,FALSE),0)</f>
        <v>1920.6199985919368</v>
      </c>
      <c r="I38" s="577">
        <f t="shared" si="1"/>
        <v>-481.25137248942224</v>
      </c>
      <c r="J38" s="578"/>
      <c r="K38" s="578">
        <f t="shared" si="2"/>
        <v>-449.2004884153564</v>
      </c>
      <c r="L38" s="579">
        <f t="shared" si="3"/>
        <v>-445.15768401961822</v>
      </c>
    </row>
    <row r="39" spans="1:14">
      <c r="A39" s="24">
        <f t="shared" si="4"/>
        <v>31</v>
      </c>
      <c r="B39" s="576" t="s">
        <v>1150</v>
      </c>
      <c r="C39" s="577">
        <f>IFERROR(VLOOKUP(B39,W27_PG_2_of_3!A$11:F$64,6,FALSE),0)</f>
        <v>173355.87895789612</v>
      </c>
      <c r="D39" s="577">
        <f>IFERROR(VLOOKUP(B39,W27_PG_2_of_3!A$70:F$123,6,FALSE),0)</f>
        <v>167857.94197615003</v>
      </c>
      <c r="E39" s="577">
        <f t="shared" si="0"/>
        <v>-5497.9369817460829</v>
      </c>
      <c r="F39" s="577"/>
      <c r="G39" s="577">
        <f>IFERROR(VLOOKUP(B39,W27_PG_3_of_3!A$10:B$53,2,FALSE),0)</f>
        <v>27906.256630484113</v>
      </c>
      <c r="H39" s="577">
        <f>IFERROR(VLOOKUP(B39,W27_PG_3_of_3!A88:B131,2,FALSE),0)</f>
        <v>22347.144231741575</v>
      </c>
      <c r="I39" s="577">
        <f t="shared" si="1"/>
        <v>-5559.1123987425381</v>
      </c>
      <c r="J39" s="578"/>
      <c r="K39" s="578">
        <f t="shared" si="2"/>
        <v>-11057.049380488621</v>
      </c>
      <c r="L39" s="579">
        <f t="shared" si="3"/>
        <v>-10957.535936064223</v>
      </c>
    </row>
    <row r="40" spans="1:14">
      <c r="A40" s="24">
        <f t="shared" si="4"/>
        <v>32</v>
      </c>
      <c r="B40" s="576" t="s">
        <v>1152</v>
      </c>
      <c r="C40" s="577">
        <f>IFERROR(VLOOKUP(B40,W27_PG_2_of_3!A$11:F$64,6,FALSE),0)</f>
        <v>5.1368281125123092</v>
      </c>
      <c r="D40" s="577">
        <f>IFERROR(VLOOKUP(B40,W27_PG_2_of_3!A$70:F$123,6,FALSE),0)</f>
        <v>3.2796100730785267</v>
      </c>
      <c r="E40" s="577">
        <f t="shared" si="0"/>
        <v>-1.8572180394337825</v>
      </c>
      <c r="F40" s="577"/>
      <c r="G40" s="577">
        <f>IFERROR(VLOOKUP(B40,W27_PG_3_of_3!A$10:B$53,2,FALSE),0)</f>
        <v>0.26967492519067898</v>
      </c>
      <c r="H40" s="577">
        <f>IFERROR(VLOOKUP(B40,W27_PG_3_of_3!A89:B132,2,FALSE),0)</f>
        <v>0.20199244001206207</v>
      </c>
      <c r="I40" s="577">
        <f t="shared" si="1"/>
        <v>-6.7682485178616913E-2</v>
      </c>
      <c r="J40" s="578"/>
      <c r="K40" s="578">
        <f t="shared" si="2"/>
        <v>-1.9249005246123994</v>
      </c>
      <c r="L40" s="579">
        <f t="shared" si="3"/>
        <v>-1.9075764198908878</v>
      </c>
    </row>
    <row r="41" spans="1:14">
      <c r="A41" s="24">
        <f t="shared" si="4"/>
        <v>33</v>
      </c>
      <c r="B41" s="576" t="s">
        <v>1153</v>
      </c>
      <c r="C41" s="577">
        <f>IFERROR(VLOOKUP(B41,W27_PG_2_of_3!A$11:F$64,6,FALSE),0)</f>
        <v>4915.6361399309199</v>
      </c>
      <c r="D41" s="577">
        <f>IFERROR(VLOOKUP(B41,W27_PG_2_of_3!A$70:F$123,6,FALSE),0)</f>
        <v>4704.4601640423871</v>
      </c>
      <c r="E41" s="577">
        <f t="shared" si="0"/>
        <v>-211.17597588853278</v>
      </c>
      <c r="F41" s="577"/>
      <c r="G41" s="577">
        <f>IFERROR(VLOOKUP(B41,W27_PG_3_of_3!A$10:B$53,2,FALSE),0)</f>
        <v>1017.334223017672</v>
      </c>
      <c r="H41" s="577">
        <f>IFERROR(VLOOKUP(B41,W27_PG_3_of_3!A90:B133,2,FALSE),0)</f>
        <v>811.46562851064095</v>
      </c>
      <c r="I41" s="577">
        <f t="shared" si="1"/>
        <v>-205.86859450703105</v>
      </c>
      <c r="J41" s="578"/>
      <c r="K41" s="578">
        <f t="shared" si="2"/>
        <v>-417.04457039556382</v>
      </c>
      <c r="L41" s="579">
        <f t="shared" si="3"/>
        <v>-413.29116926200373</v>
      </c>
    </row>
    <row r="42" spans="1:14">
      <c r="A42" s="24">
        <f t="shared" si="4"/>
        <v>34</v>
      </c>
      <c r="B42" s="576" t="s">
        <v>1154</v>
      </c>
      <c r="C42" s="577">
        <f>IFERROR(VLOOKUP(B42,W27_PG_2_of_3!A$11:F$64,6,FALSE),0)</f>
        <v>1376.566881117396</v>
      </c>
      <c r="D42" s="577">
        <f>IFERROR(VLOOKUP(B42,W27_PG_2_of_3!A$70:F$123,6,FALSE),0)</f>
        <v>1380.2358944337957</v>
      </c>
      <c r="E42" s="577">
        <f t="shared" si="0"/>
        <v>3.6690133163997416</v>
      </c>
      <c r="F42" s="577"/>
      <c r="G42" s="577">
        <f>IFERROR(VLOOKUP(B42,W27_PG_3_of_3!A$10:B$53,2,FALSE),0)</f>
        <v>179.26871776994483</v>
      </c>
      <c r="H42" s="577">
        <f>IFERROR(VLOOKUP(B42,W27_PG_3_of_3!A91:B134,2,FALSE),0)</f>
        <v>144.46677681594014</v>
      </c>
      <c r="I42" s="577">
        <f t="shared" si="1"/>
        <v>-34.801940954004692</v>
      </c>
      <c r="J42" s="578"/>
      <c r="K42" s="578">
        <f t="shared" si="2"/>
        <v>-31.132927637604951</v>
      </c>
      <c r="L42" s="579">
        <f t="shared" si="3"/>
        <v>-30.852731288866504</v>
      </c>
    </row>
    <row r="43" spans="1:14">
      <c r="A43" s="24">
        <f t="shared" si="4"/>
        <v>35</v>
      </c>
      <c r="B43" s="576" t="s">
        <v>1155</v>
      </c>
      <c r="C43" s="577">
        <f>IFERROR(VLOOKUP(B43,W27_PG_2_of_3!A$11:F$64,6,FALSE),0)</f>
        <v>43006.253628503015</v>
      </c>
      <c r="D43" s="577">
        <f>IFERROR(VLOOKUP(B43,W27_PG_2_of_3!A$70:F$123,6,FALSE),0)</f>
        <v>30518.092284935628</v>
      </c>
      <c r="E43" s="577">
        <f t="shared" si="0"/>
        <v>-12488.161343567386</v>
      </c>
      <c r="F43" s="577"/>
      <c r="G43" s="577">
        <f>IFERROR(VLOOKUP(B43,W27_PG_3_of_3!A$10:B$53,2,FALSE),0)</f>
        <v>3.5566760522616199</v>
      </c>
      <c r="H43" s="577">
        <f>IFERROR(VLOOKUP(B43,W27_PG_3_of_3!A92:B135,2,FALSE),0)</f>
        <v>2.4958629001524755</v>
      </c>
      <c r="I43" s="577">
        <f t="shared" si="1"/>
        <v>-1.0608131521091444</v>
      </c>
      <c r="J43" s="578"/>
      <c r="K43" s="578">
        <f t="shared" si="2"/>
        <v>-12489.222156719496</v>
      </c>
      <c r="L43" s="579">
        <f t="shared" si="3"/>
        <v>-12376.819157309021</v>
      </c>
      <c r="M43" s="580"/>
    </row>
    <row r="44" spans="1:14">
      <c r="A44" s="24">
        <f t="shared" si="4"/>
        <v>36</v>
      </c>
      <c r="B44" s="581" t="s">
        <v>172</v>
      </c>
      <c r="C44" s="582">
        <f>SUM(C9:C43)</f>
        <v>2335025.3197066369</v>
      </c>
      <c r="D44" s="582">
        <f>SUM(D9:D43)</f>
        <v>1862502.5624737951</v>
      </c>
      <c r="E44" s="582">
        <f>SUM(E9:E43)</f>
        <v>-472522.75723284262</v>
      </c>
      <c r="F44" s="582"/>
      <c r="G44" s="582">
        <f>SUM(G9:G43)</f>
        <v>226066.43768716676</v>
      </c>
      <c r="H44" s="582">
        <f>SUM(H9:H43)</f>
        <v>181124.91316150819</v>
      </c>
      <c r="I44" s="582">
        <f>SUM(I9:I43)</f>
        <v>-44941.524525658555</v>
      </c>
      <c r="J44" s="583"/>
      <c r="K44" s="583">
        <f>SUM(K9:K43)</f>
        <v>-517464.28175850108</v>
      </c>
      <c r="L44" s="583">
        <f>SUM(L9:L43)</f>
        <v>-512807.10322267428</v>
      </c>
      <c r="M44" s="581"/>
      <c r="N44" s="581"/>
    </row>
    <row r="46" spans="1:14">
      <c r="A46" s="24">
        <f>A44+1</f>
        <v>37</v>
      </c>
      <c r="B46" s="24" t="s">
        <v>1174</v>
      </c>
    </row>
    <row r="49" spans="2:3">
      <c r="B49" s="24" t="s">
        <v>2</v>
      </c>
      <c r="C49" s="24" t="s">
        <v>3</v>
      </c>
    </row>
  </sheetData>
  <mergeCells count="9">
    <mergeCell ref="H6:H7"/>
    <mergeCell ref="I6:I7"/>
    <mergeCell ref="K6:K7"/>
    <mergeCell ref="A6:A7"/>
    <mergeCell ref="B6:B7"/>
    <mergeCell ref="C6:C7"/>
    <mergeCell ref="D6:D7"/>
    <mergeCell ref="E6:E7"/>
    <mergeCell ref="G6:G7"/>
  </mergeCells>
  <pageMargins left="0.7" right="0.7" top="0.75" bottom="0.75" header="0.3" footer="0.3"/>
  <pageSetup scale="74" orientation="portrait" horizontalDpi="200" verticalDpi="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EDB5F-2437-40E5-9052-71F0ACD83CD4}">
  <dimension ref="A1:G160"/>
  <sheetViews>
    <sheetView zoomScale="90" zoomScaleNormal="90" workbookViewId="0">
      <selection activeCell="A3" sqref="A3:C3"/>
    </sheetView>
  </sheetViews>
  <sheetFormatPr defaultColWidth="9.1796875" defaultRowHeight="12.5"/>
  <cols>
    <col min="1" max="1" width="10.453125" style="24" customWidth="1"/>
    <col min="2" max="2" width="14.81640625" style="604" bestFit="1" customWidth="1"/>
    <col min="3" max="3" width="18.453125" style="604" bestFit="1" customWidth="1"/>
    <col min="4" max="4" width="14.81640625" style="604" bestFit="1" customWidth="1"/>
    <col min="5" max="5" width="15.7265625" style="604" bestFit="1" customWidth="1"/>
    <col min="6" max="6" width="15.26953125" style="584" bestFit="1" customWidth="1"/>
    <col min="7" max="7" width="13" style="24" bestFit="1" customWidth="1"/>
    <col min="8" max="16384" width="9.1796875" style="24"/>
  </cols>
  <sheetData>
    <row r="1" spans="1:6">
      <c r="B1" s="584"/>
      <c r="C1" s="584"/>
      <c r="D1" s="584"/>
      <c r="E1" s="584"/>
    </row>
    <row r="2" spans="1:6">
      <c r="A2" s="7" t="s">
        <v>0</v>
      </c>
      <c r="B2" s="584"/>
      <c r="C2" s="584"/>
      <c r="D2" s="584"/>
      <c r="E2" s="584"/>
    </row>
    <row r="3" spans="1:6">
      <c r="A3" s="43" t="s">
        <v>1156</v>
      </c>
      <c r="B3" s="584"/>
      <c r="C3" s="584"/>
      <c r="D3" s="584"/>
      <c r="E3" s="584"/>
    </row>
    <row r="4" spans="1:6">
      <c r="A4" s="7" t="s">
        <v>119</v>
      </c>
      <c r="B4" s="584"/>
      <c r="C4" s="584"/>
      <c r="D4" s="584"/>
      <c r="E4" s="584"/>
    </row>
    <row r="5" spans="1:6">
      <c r="A5" s="24" t="s">
        <v>1175</v>
      </c>
      <c r="B5" s="584"/>
      <c r="C5" s="584"/>
      <c r="D5" s="584"/>
      <c r="E5" s="584"/>
    </row>
    <row r="6" spans="1:6">
      <c r="B6" s="584"/>
      <c r="C6" s="584"/>
      <c r="D6" s="584"/>
      <c r="E6" s="584"/>
    </row>
    <row r="7" spans="1:6">
      <c r="A7" s="585" t="s">
        <v>1176</v>
      </c>
      <c r="B7" s="586" t="s">
        <v>1177</v>
      </c>
      <c r="C7" s="584"/>
      <c r="D7" s="584"/>
      <c r="E7" s="584"/>
    </row>
    <row r="8" spans="1:6">
      <c r="B8" s="584"/>
      <c r="C8" s="584"/>
      <c r="D8" s="584"/>
      <c r="E8" s="584"/>
    </row>
    <row r="9" spans="1:6">
      <c r="A9" s="587" t="s">
        <v>1178</v>
      </c>
      <c r="B9" s="588" t="s">
        <v>371</v>
      </c>
      <c r="C9" s="584"/>
      <c r="D9" s="584"/>
      <c r="E9" s="584"/>
    </row>
    <row r="10" spans="1:6">
      <c r="A10" s="585" t="s">
        <v>164</v>
      </c>
      <c r="B10" s="586" t="s">
        <v>1179</v>
      </c>
      <c r="C10" s="586" t="s">
        <v>1180</v>
      </c>
      <c r="D10" s="586" t="s">
        <v>1181</v>
      </c>
      <c r="E10" s="586" t="s">
        <v>1182</v>
      </c>
      <c r="F10" s="586" t="s">
        <v>172</v>
      </c>
    </row>
    <row r="11" spans="1:6">
      <c r="A11" s="576" t="s">
        <v>1183</v>
      </c>
      <c r="B11" s="589">
        <v>874991.21800639515</v>
      </c>
      <c r="C11" s="589">
        <v>-68667.257828435759</v>
      </c>
      <c r="D11" s="589">
        <v>22982.444844748286</v>
      </c>
      <c r="E11" s="589">
        <v>30039.212064534899</v>
      </c>
      <c r="F11" s="590">
        <f>SUM(B11:E11)</f>
        <v>859345.61708724254</v>
      </c>
    </row>
    <row r="12" spans="1:6">
      <c r="A12" s="576" t="s">
        <v>1184</v>
      </c>
      <c r="B12" s="589">
        <v>163513.07991622802</v>
      </c>
      <c r="C12" s="589">
        <v>13872.922453978837</v>
      </c>
      <c r="D12" s="589">
        <v>7687.3661873313768</v>
      </c>
      <c r="E12" s="589">
        <v>2282.6710681848117</v>
      </c>
      <c r="F12" s="590">
        <f t="shared" ref="F12:F57" si="0">SUM(B12:E12)</f>
        <v>187356.03962572303</v>
      </c>
    </row>
    <row r="13" spans="1:6">
      <c r="A13" s="576" t="s">
        <v>1185</v>
      </c>
      <c r="B13" s="589"/>
      <c r="C13" s="589">
        <v>1501.3852840007041</v>
      </c>
      <c r="D13" s="589">
        <v>93079.210649387373</v>
      </c>
      <c r="E13" s="589"/>
      <c r="F13" s="590">
        <f t="shared" si="0"/>
        <v>94580.595933388075</v>
      </c>
    </row>
    <row r="14" spans="1:6">
      <c r="A14" s="576" t="s">
        <v>1186</v>
      </c>
      <c r="B14" s="589"/>
      <c r="C14" s="589">
        <v>-718.27800000000013</v>
      </c>
      <c r="D14" s="589">
        <v>0</v>
      </c>
      <c r="E14" s="589">
        <v>-2.02</v>
      </c>
      <c r="F14" s="590">
        <f t="shared" si="0"/>
        <v>-720.29800000000012</v>
      </c>
    </row>
    <row r="15" spans="1:6">
      <c r="A15" s="576" t="s">
        <v>1187</v>
      </c>
      <c r="B15" s="589"/>
      <c r="C15" s="589"/>
      <c r="D15" s="589">
        <v>0</v>
      </c>
      <c r="E15" s="589"/>
      <c r="F15" s="590">
        <f t="shared" si="0"/>
        <v>0</v>
      </c>
    </row>
    <row r="16" spans="1:6">
      <c r="A16" s="576" t="s">
        <v>1188</v>
      </c>
      <c r="B16" s="589">
        <v>0</v>
      </c>
      <c r="C16" s="589">
        <v>0</v>
      </c>
      <c r="D16" s="589">
        <v>0</v>
      </c>
      <c r="E16" s="589">
        <v>0</v>
      </c>
      <c r="F16" s="590">
        <f t="shared" si="0"/>
        <v>0</v>
      </c>
    </row>
    <row r="17" spans="1:6">
      <c r="A17" s="576" t="s">
        <v>1189</v>
      </c>
      <c r="B17" s="589">
        <v>4517.8499999999995</v>
      </c>
      <c r="C17" s="589"/>
      <c r="D17" s="589"/>
      <c r="E17" s="589"/>
      <c r="F17" s="590">
        <f t="shared" si="0"/>
        <v>4517.8499999999995</v>
      </c>
    </row>
    <row r="18" spans="1:6">
      <c r="A18" s="576" t="s">
        <v>1190</v>
      </c>
      <c r="B18" s="589">
        <v>101.97999999999999</v>
      </c>
      <c r="C18" s="589"/>
      <c r="D18" s="589">
        <v>3205.4300000000007</v>
      </c>
      <c r="E18" s="589"/>
      <c r="F18" s="590">
        <f t="shared" si="0"/>
        <v>3307.4100000000008</v>
      </c>
    </row>
    <row r="19" spans="1:6">
      <c r="A19" s="576" t="s">
        <v>1191</v>
      </c>
      <c r="B19" s="589">
        <v>81.706802243563004</v>
      </c>
      <c r="C19" s="589">
        <v>7.2736994948308098</v>
      </c>
      <c r="D19" s="589"/>
      <c r="E19" s="589"/>
      <c r="F19" s="590">
        <f t="shared" si="0"/>
        <v>88.980501738393812</v>
      </c>
    </row>
    <row r="20" spans="1:6">
      <c r="A20" s="576" t="s">
        <v>1192</v>
      </c>
      <c r="B20" s="589">
        <v>523.76344678974363</v>
      </c>
      <c r="C20" s="589">
        <v>18.029752419264909</v>
      </c>
      <c r="D20" s="589"/>
      <c r="E20" s="589"/>
      <c r="F20" s="590">
        <f t="shared" si="0"/>
        <v>541.79319920900855</v>
      </c>
    </row>
    <row r="21" spans="1:6">
      <c r="A21" s="576" t="s">
        <v>1193</v>
      </c>
      <c r="B21" s="589">
        <v>295.3389004602754</v>
      </c>
      <c r="C21" s="589">
        <v>24.723061512400133</v>
      </c>
      <c r="D21" s="589"/>
      <c r="E21" s="589"/>
      <c r="F21" s="590">
        <f t="shared" si="0"/>
        <v>320.06196197267553</v>
      </c>
    </row>
    <row r="22" spans="1:6">
      <c r="A22" s="576" t="s">
        <v>1108</v>
      </c>
      <c r="B22" s="589">
        <v>-13.303344162876325</v>
      </c>
      <c r="C22" s="589">
        <v>1025.2086499798802</v>
      </c>
      <c r="D22" s="589">
        <v>166028.59311635335</v>
      </c>
      <c r="E22" s="589"/>
      <c r="F22" s="590">
        <f t="shared" si="0"/>
        <v>167040.49842217035</v>
      </c>
    </row>
    <row r="23" spans="1:6">
      <c r="A23" s="576" t="s">
        <v>1109</v>
      </c>
      <c r="B23" s="589"/>
      <c r="C23" s="589">
        <v>1672.5767408034715</v>
      </c>
      <c r="D23" s="589">
        <v>224579.31118470832</v>
      </c>
      <c r="E23" s="589"/>
      <c r="F23" s="590">
        <f t="shared" si="0"/>
        <v>226251.88792551178</v>
      </c>
    </row>
    <row r="24" spans="1:6">
      <c r="A24" s="576" t="s">
        <v>1110</v>
      </c>
      <c r="B24" s="589"/>
      <c r="C24" s="589">
        <v>987.06150270930084</v>
      </c>
      <c r="D24" s="589">
        <v>149664.94436512757</v>
      </c>
      <c r="E24" s="589"/>
      <c r="F24" s="590">
        <f t="shared" si="0"/>
        <v>150652.00586783688</v>
      </c>
    </row>
    <row r="25" spans="1:6">
      <c r="A25" s="576" t="s">
        <v>1111</v>
      </c>
      <c r="B25" s="589"/>
      <c r="C25" s="589">
        <v>83.290854079822893</v>
      </c>
      <c r="D25" s="589">
        <v>8193.5872197143544</v>
      </c>
      <c r="E25" s="589"/>
      <c r="F25" s="590">
        <f t="shared" si="0"/>
        <v>8276.8780737941779</v>
      </c>
    </row>
    <row r="26" spans="1:6">
      <c r="A26" s="576" t="s">
        <v>1112</v>
      </c>
      <c r="B26" s="589"/>
      <c r="C26" s="589">
        <v>940.76046195853473</v>
      </c>
      <c r="D26" s="589">
        <v>147502.2203496444</v>
      </c>
      <c r="E26" s="589"/>
      <c r="F26" s="590">
        <f t="shared" si="0"/>
        <v>148442.98081160293</v>
      </c>
    </row>
    <row r="27" spans="1:6">
      <c r="A27" s="576" t="s">
        <v>1113</v>
      </c>
      <c r="B27" s="589"/>
      <c r="C27" s="589">
        <v>850.90482108995343</v>
      </c>
      <c r="D27" s="589">
        <v>123719.30730599638</v>
      </c>
      <c r="E27" s="589"/>
      <c r="F27" s="590">
        <f t="shared" si="0"/>
        <v>124570.21212708633</v>
      </c>
    </row>
    <row r="28" spans="1:6">
      <c r="A28" s="576" t="s">
        <v>1114</v>
      </c>
      <c r="B28" s="589"/>
      <c r="C28" s="589">
        <v>107.16587879698338</v>
      </c>
      <c r="D28" s="589">
        <v>15808.630473613046</v>
      </c>
      <c r="E28" s="589"/>
      <c r="F28" s="590">
        <f t="shared" si="0"/>
        <v>15915.796352410029</v>
      </c>
    </row>
    <row r="29" spans="1:6">
      <c r="A29" s="576" t="s">
        <v>1116</v>
      </c>
      <c r="B29" s="589"/>
      <c r="C29" s="589">
        <v>1147.7394016163837</v>
      </c>
      <c r="D29" s="589">
        <v>174488.60681480909</v>
      </c>
      <c r="E29" s="589"/>
      <c r="F29" s="590">
        <f t="shared" si="0"/>
        <v>175636.34621642547</v>
      </c>
    </row>
    <row r="30" spans="1:6">
      <c r="A30" s="576" t="s">
        <v>1118</v>
      </c>
      <c r="B30" s="589"/>
      <c r="C30" s="589">
        <v>421.18256019145724</v>
      </c>
      <c r="D30" s="589">
        <v>80580.060639263073</v>
      </c>
      <c r="E30" s="589">
        <v>21.701757782839788</v>
      </c>
      <c r="F30" s="590">
        <f t="shared" si="0"/>
        <v>81022.944957237371</v>
      </c>
    </row>
    <row r="31" spans="1:6">
      <c r="A31" s="576" t="s">
        <v>1120</v>
      </c>
      <c r="B31" s="589"/>
      <c r="C31" s="589">
        <v>256.97813247606746</v>
      </c>
      <c r="D31" s="589">
        <v>34389.327292962313</v>
      </c>
      <c r="E31" s="589"/>
      <c r="F31" s="590">
        <f t="shared" si="0"/>
        <v>34646.305425438382</v>
      </c>
    </row>
    <row r="32" spans="1:6">
      <c r="A32" s="576" t="s">
        <v>1125</v>
      </c>
      <c r="B32" s="589"/>
      <c r="C32" s="589">
        <v>151498.24632884222</v>
      </c>
      <c r="D32" s="589">
        <v>145.19</v>
      </c>
      <c r="E32" s="589">
        <v>75.890980265191089</v>
      </c>
      <c r="F32" s="590">
        <f t="shared" si="0"/>
        <v>151719.32730910741</v>
      </c>
    </row>
    <row r="33" spans="1:6">
      <c r="A33" s="576" t="s">
        <v>1127</v>
      </c>
      <c r="B33" s="589"/>
      <c r="C33" s="589">
        <v>0</v>
      </c>
      <c r="D33" s="589"/>
      <c r="E33" s="589"/>
      <c r="F33" s="590">
        <f t="shared" si="0"/>
        <v>0</v>
      </c>
    </row>
    <row r="34" spans="1:6">
      <c r="A34" s="576" t="s">
        <v>1128</v>
      </c>
      <c r="B34" s="589"/>
      <c r="C34" s="589">
        <v>2.7307466822000972</v>
      </c>
      <c r="D34" s="589"/>
      <c r="E34" s="589">
        <v>49.991911144245904</v>
      </c>
      <c r="F34" s="590">
        <f t="shared" si="0"/>
        <v>52.722657826446003</v>
      </c>
    </row>
    <row r="35" spans="1:6">
      <c r="A35" s="576" t="s">
        <v>1129</v>
      </c>
      <c r="B35" s="589">
        <v>18086.116772593872</v>
      </c>
      <c r="C35" s="589">
        <v>1580.0919339092404</v>
      </c>
      <c r="D35" s="589"/>
      <c r="E35" s="589"/>
      <c r="F35" s="590">
        <f t="shared" si="0"/>
        <v>19666.208706503112</v>
      </c>
    </row>
    <row r="36" spans="1:6">
      <c r="A36" s="576" t="s">
        <v>1130</v>
      </c>
      <c r="B36" s="589">
        <v>45225.511041106416</v>
      </c>
      <c r="C36" s="589">
        <v>3936.1506429407805</v>
      </c>
      <c r="D36" s="589"/>
      <c r="E36" s="589"/>
      <c r="F36" s="590">
        <f t="shared" si="0"/>
        <v>49161.661684047198</v>
      </c>
    </row>
    <row r="37" spans="1:6">
      <c r="A37" s="576" t="s">
        <v>1131</v>
      </c>
      <c r="B37" s="589">
        <v>219.05734240223919</v>
      </c>
      <c r="C37" s="589">
        <v>13.847574083084075</v>
      </c>
      <c r="D37" s="589"/>
      <c r="E37" s="589"/>
      <c r="F37" s="590">
        <f t="shared" si="0"/>
        <v>232.90491648532327</v>
      </c>
    </row>
    <row r="38" spans="1:6">
      <c r="A38" s="576" t="s">
        <v>1132</v>
      </c>
      <c r="B38" s="589">
        <v>134.2780426824493</v>
      </c>
      <c r="C38" s="589">
        <v>7.6929582070347875</v>
      </c>
      <c r="D38" s="589"/>
      <c r="E38" s="589"/>
      <c r="F38" s="590">
        <f t="shared" si="0"/>
        <v>141.97100088948409</v>
      </c>
    </row>
    <row r="39" spans="1:6">
      <c r="A39" s="576" t="s">
        <v>1133</v>
      </c>
      <c r="B39" s="589">
        <v>65795.111263806742</v>
      </c>
      <c r="C39" s="589">
        <v>6915.8963140714795</v>
      </c>
      <c r="D39" s="589"/>
      <c r="E39" s="589"/>
      <c r="F39" s="590">
        <f t="shared" si="0"/>
        <v>72711.007577878219</v>
      </c>
    </row>
    <row r="40" spans="1:6">
      <c r="A40" s="576" t="s">
        <v>1134</v>
      </c>
      <c r="B40" s="589">
        <v>12336.73865210833</v>
      </c>
      <c r="C40" s="589">
        <v>1074.9155938506256</v>
      </c>
      <c r="D40" s="589"/>
      <c r="E40" s="589"/>
      <c r="F40" s="590">
        <f t="shared" si="0"/>
        <v>13411.654245958955</v>
      </c>
    </row>
    <row r="41" spans="1:6">
      <c r="A41" s="576" t="s">
        <v>1135</v>
      </c>
      <c r="B41" s="589">
        <v>140946.67160358251</v>
      </c>
      <c r="C41" s="589">
        <v>13203.223434159245</v>
      </c>
      <c r="D41" s="589"/>
      <c r="E41" s="589">
        <v>2968.8436753865735</v>
      </c>
      <c r="F41" s="590">
        <f t="shared" si="0"/>
        <v>157118.73871312832</v>
      </c>
    </row>
    <row r="42" spans="1:6">
      <c r="A42" s="576" t="s">
        <v>1136</v>
      </c>
      <c r="B42" s="589">
        <v>84.310749136143016</v>
      </c>
      <c r="C42" s="589">
        <v>25.860260116428027</v>
      </c>
      <c r="D42" s="589"/>
      <c r="E42" s="589"/>
      <c r="F42" s="590">
        <f t="shared" si="0"/>
        <v>110.17100925257104</v>
      </c>
    </row>
    <row r="43" spans="1:6">
      <c r="A43" s="576" t="s">
        <v>1138</v>
      </c>
      <c r="B43" s="589">
        <v>391151.55172087491</v>
      </c>
      <c r="C43" s="589">
        <v>29730.378192759861</v>
      </c>
      <c r="D43" s="589"/>
      <c r="E43" s="589">
        <v>99.654530936901978</v>
      </c>
      <c r="F43" s="590">
        <f t="shared" si="0"/>
        <v>420981.58444457169</v>
      </c>
    </row>
    <row r="44" spans="1:6">
      <c r="A44" s="576" t="s">
        <v>1139</v>
      </c>
      <c r="B44" s="589">
        <v>153.71142969054267</v>
      </c>
      <c r="C44" s="589">
        <v>42.807895430143773</v>
      </c>
      <c r="D44" s="589"/>
      <c r="E44" s="589"/>
      <c r="F44" s="590">
        <f t="shared" si="0"/>
        <v>196.51932512068646</v>
      </c>
    </row>
    <row r="45" spans="1:6">
      <c r="A45" s="576" t="s">
        <v>1140</v>
      </c>
      <c r="B45" s="589">
        <v>856.20096001960837</v>
      </c>
      <c r="C45" s="589">
        <v>96.388177989538974</v>
      </c>
      <c r="D45" s="589"/>
      <c r="E45" s="589"/>
      <c r="F45" s="590">
        <f t="shared" si="0"/>
        <v>952.58913800914729</v>
      </c>
    </row>
    <row r="46" spans="1:6">
      <c r="A46" s="576" t="s">
        <v>1141</v>
      </c>
      <c r="B46" s="589">
        <v>1194.9093970448212</v>
      </c>
      <c r="C46" s="589">
        <v>107.23785529595285</v>
      </c>
      <c r="D46" s="589"/>
      <c r="E46" s="589"/>
      <c r="F46" s="590">
        <f t="shared" si="0"/>
        <v>1302.147252340774</v>
      </c>
    </row>
    <row r="47" spans="1:6">
      <c r="A47" s="576" t="s">
        <v>1142</v>
      </c>
      <c r="B47" s="589">
        <v>1837.5902217947169</v>
      </c>
      <c r="C47" s="589">
        <v>161.46178294498594</v>
      </c>
      <c r="D47" s="589"/>
      <c r="E47" s="589"/>
      <c r="F47" s="590">
        <f t="shared" si="0"/>
        <v>1999.0520047397029</v>
      </c>
    </row>
    <row r="48" spans="1:6">
      <c r="A48" s="576" t="s">
        <v>1143</v>
      </c>
      <c r="B48" s="589">
        <v>648.3764812715815</v>
      </c>
      <c r="C48" s="589">
        <v>43.325661165996586</v>
      </c>
      <c r="D48" s="589"/>
      <c r="E48" s="589"/>
      <c r="F48" s="590">
        <f t="shared" si="0"/>
        <v>691.70214243757812</v>
      </c>
    </row>
    <row r="49" spans="1:7">
      <c r="A49" s="576" t="s">
        <v>1145</v>
      </c>
      <c r="B49" s="589">
        <v>6345.6625415713606</v>
      </c>
      <c r="C49" s="589">
        <v>523.27266029831821</v>
      </c>
      <c r="D49" s="589"/>
      <c r="E49" s="589"/>
      <c r="F49" s="590">
        <f t="shared" si="0"/>
        <v>6868.9352018696791</v>
      </c>
    </row>
    <row r="50" spans="1:7">
      <c r="A50" s="576" t="s">
        <v>1146</v>
      </c>
      <c r="B50" s="589">
        <v>65128.817394495956</v>
      </c>
      <c r="C50" s="589">
        <v>5074.3965516020799</v>
      </c>
      <c r="D50" s="589"/>
      <c r="E50" s="589"/>
      <c r="F50" s="590">
        <f t="shared" si="0"/>
        <v>70203.21394609804</v>
      </c>
    </row>
    <row r="51" spans="1:7">
      <c r="A51" s="576" t="s">
        <v>1148</v>
      </c>
      <c r="B51" s="589">
        <v>11389.460182888861</v>
      </c>
      <c r="C51" s="589">
        <v>998.41963241085193</v>
      </c>
      <c r="D51" s="589"/>
      <c r="E51" s="589"/>
      <c r="F51" s="590">
        <f t="shared" si="0"/>
        <v>12387.879815299713</v>
      </c>
    </row>
    <row r="52" spans="1:7">
      <c r="A52" s="576" t="s">
        <v>1150</v>
      </c>
      <c r="B52" s="589">
        <v>143161.42494783606</v>
      </c>
      <c r="C52" s="589">
        <v>10736.626605360001</v>
      </c>
      <c r="D52" s="589">
        <v>10785.828825348424</v>
      </c>
      <c r="E52" s="589">
        <v>8671.9985793516171</v>
      </c>
      <c r="F52" s="590">
        <f t="shared" si="0"/>
        <v>173355.87895789612</v>
      </c>
    </row>
    <row r="53" spans="1:7">
      <c r="A53" s="576" t="s">
        <v>1152</v>
      </c>
      <c r="B53" s="589"/>
      <c r="C53" s="589">
        <v>0.112130615539415</v>
      </c>
      <c r="D53" s="589">
        <v>5.0246974969728946</v>
      </c>
      <c r="E53" s="589"/>
      <c r="F53" s="590">
        <f t="shared" si="0"/>
        <v>5.1368281125123092</v>
      </c>
    </row>
    <row r="54" spans="1:7">
      <c r="A54" s="576" t="s">
        <v>1153</v>
      </c>
      <c r="B54" s="589">
        <v>3917.8061471566098</v>
      </c>
      <c r="C54" s="589">
        <v>600.74095786524981</v>
      </c>
      <c r="D54" s="589">
        <v>397.0890349090605</v>
      </c>
      <c r="E54" s="589"/>
      <c r="F54" s="590">
        <f t="shared" si="0"/>
        <v>4915.6361399309199</v>
      </c>
    </row>
    <row r="55" spans="1:7">
      <c r="A55" s="576" t="s">
        <v>1154</v>
      </c>
      <c r="B55" s="589">
        <v>1264.9258571935984</v>
      </c>
      <c r="C55" s="589">
        <v>80.7841643597217</v>
      </c>
      <c r="D55" s="589"/>
      <c r="E55" s="589">
        <v>30.856859564075904</v>
      </c>
      <c r="F55" s="590">
        <f t="shared" si="0"/>
        <v>1376.566881117396</v>
      </c>
      <c r="G55" s="24" t="s">
        <v>376</v>
      </c>
    </row>
    <row r="56" spans="1:7">
      <c r="A56" s="576" t="s">
        <v>1155</v>
      </c>
      <c r="B56" s="589">
        <v>10.473522788025933</v>
      </c>
      <c r="C56" s="589">
        <v>-8534.6734816327244</v>
      </c>
      <c r="D56" s="589"/>
      <c r="E56" s="589">
        <v>51530.453587347714</v>
      </c>
      <c r="F56" s="590">
        <f t="shared" si="0"/>
        <v>43006.253628503015</v>
      </c>
      <c r="G56" s="580">
        <f>SUM(F22:F56)</f>
        <v>2335025.3197066369</v>
      </c>
    </row>
    <row r="57" spans="1:7">
      <c r="A57" s="576" t="s">
        <v>172</v>
      </c>
      <c r="B57" s="589">
        <v>1953900.3399999987</v>
      </c>
      <c r="C57" s="589">
        <v>171451.60200000007</v>
      </c>
      <c r="D57" s="589">
        <v>1263242.1730014135</v>
      </c>
      <c r="E57" s="589">
        <v>95769.255014498864</v>
      </c>
      <c r="F57" s="590">
        <f t="shared" si="0"/>
        <v>3484363.3700159108</v>
      </c>
    </row>
    <row r="58" spans="1:7">
      <c r="A58" s="576"/>
      <c r="B58" s="589"/>
      <c r="C58" s="589"/>
      <c r="D58" s="589"/>
      <c r="E58" s="591"/>
      <c r="F58" s="590"/>
    </row>
    <row r="59" spans="1:7">
      <c r="A59" s="576"/>
      <c r="B59" s="589"/>
      <c r="C59" s="589"/>
      <c r="D59" s="589"/>
      <c r="E59" s="591"/>
      <c r="F59" s="590"/>
    </row>
    <row r="60" spans="1:7">
      <c r="A60" s="592" t="s">
        <v>1194</v>
      </c>
      <c r="B60" s="593">
        <v>2011402.8549940386</v>
      </c>
      <c r="C60" s="593">
        <v>119396.10881249998</v>
      </c>
      <c r="D60" s="593">
        <v>804884.33536009502</v>
      </c>
      <c r="E60" s="594">
        <v>67743.594411442304</v>
      </c>
      <c r="F60" s="595">
        <v>3003426.8935780758</v>
      </c>
    </row>
    <row r="61" spans="1:7">
      <c r="A61" s="576" t="s">
        <v>1183</v>
      </c>
      <c r="B61" s="589">
        <v>900741.86383158911</v>
      </c>
      <c r="C61" s="589">
        <v>-47818.762215706236</v>
      </c>
      <c r="D61" s="589">
        <v>14643.439111808824</v>
      </c>
      <c r="E61" s="591">
        <v>21248.616774047954</v>
      </c>
      <c r="F61" s="590">
        <v>888815.15750173957</v>
      </c>
    </row>
    <row r="62" spans="1:7">
      <c r="A62" s="576" t="s">
        <v>1184</v>
      </c>
      <c r="B62" s="589">
        <v>168325.20525195755</v>
      </c>
      <c r="C62" s="589">
        <v>9660.8777027503693</v>
      </c>
      <c r="D62" s="589">
        <v>4898.0636940411578</v>
      </c>
      <c r="E62" s="591">
        <v>1614.6762653049213</v>
      </c>
      <c r="F62" s="590">
        <v>184498.82291405401</v>
      </c>
    </row>
    <row r="63" spans="1:7">
      <c r="A63" s="576" t="s">
        <v>1185</v>
      </c>
      <c r="B63" s="589">
        <v>0</v>
      </c>
      <c r="C63" s="589">
        <v>1045.5403078592067</v>
      </c>
      <c r="D63" s="589">
        <v>59306.125302460598</v>
      </c>
      <c r="E63" s="591">
        <v>0</v>
      </c>
      <c r="F63" s="590">
        <v>60351.665610319804</v>
      </c>
    </row>
    <row r="64" spans="1:7">
      <c r="A64" s="576" t="s">
        <v>1186</v>
      </c>
      <c r="B64" s="589">
        <v>0</v>
      </c>
      <c r="C64" s="589">
        <v>-500.19712411683872</v>
      </c>
      <c r="D64" s="589">
        <v>0</v>
      </c>
      <c r="E64" s="591">
        <v>-1.4288725613496358</v>
      </c>
      <c r="F64" s="590">
        <v>-501.62599667818836</v>
      </c>
    </row>
    <row r="65" spans="1:6">
      <c r="A65" s="576" t="s">
        <v>1187</v>
      </c>
      <c r="B65" s="596">
        <v>0</v>
      </c>
      <c r="C65" s="596">
        <v>0</v>
      </c>
      <c r="D65" s="596">
        <v>0</v>
      </c>
      <c r="E65" s="597">
        <v>0</v>
      </c>
      <c r="F65" s="598">
        <v>0</v>
      </c>
    </row>
    <row r="66" spans="1:6">
      <c r="A66" s="576" t="s">
        <v>1188</v>
      </c>
      <c r="B66" s="589">
        <v>0</v>
      </c>
      <c r="C66" s="589">
        <v>0</v>
      </c>
      <c r="D66" s="589">
        <v>0</v>
      </c>
      <c r="E66" s="589">
        <v>0</v>
      </c>
      <c r="F66" s="590">
        <v>0</v>
      </c>
    </row>
    <row r="67" spans="1:6">
      <c r="A67" s="576" t="s">
        <v>1189</v>
      </c>
      <c r="B67" s="589">
        <v>4650.8085404370322</v>
      </c>
      <c r="C67" s="589">
        <v>0</v>
      </c>
      <c r="D67" s="589">
        <v>0</v>
      </c>
      <c r="E67" s="589">
        <v>0</v>
      </c>
      <c r="F67" s="590">
        <v>4650.8085404370322</v>
      </c>
    </row>
    <row r="68" spans="1:6">
      <c r="A68" s="599" t="s">
        <v>1190</v>
      </c>
      <c r="B68" s="596">
        <v>104.98123110633789</v>
      </c>
      <c r="C68" s="596">
        <v>0</v>
      </c>
      <c r="D68" s="596">
        <v>2042.3640456551025</v>
      </c>
      <c r="E68" s="597">
        <v>0</v>
      </c>
      <c r="F68" s="596">
        <v>2147.3452767614403</v>
      </c>
    </row>
    <row r="69" spans="1:6">
      <c r="A69" s="576" t="s">
        <v>1191</v>
      </c>
      <c r="B69" s="598">
        <v>84.111401150140566</v>
      </c>
      <c r="C69" s="598">
        <v>5.0652860995387208</v>
      </c>
      <c r="D69" s="598">
        <v>0</v>
      </c>
      <c r="E69" s="600">
        <v>0</v>
      </c>
      <c r="F69" s="596">
        <v>89.17668724967929</v>
      </c>
    </row>
    <row r="70" spans="1:6">
      <c r="A70" s="601" t="s">
        <v>1192</v>
      </c>
      <c r="B70" s="589">
        <v>539.17759808282199</v>
      </c>
      <c r="C70" s="589">
        <v>12.55562652434701</v>
      </c>
      <c r="D70" s="589">
        <v>0</v>
      </c>
      <c r="E70" s="591">
        <v>0</v>
      </c>
      <c r="F70" s="590">
        <v>551.73322460716895</v>
      </c>
    </row>
    <row r="71" spans="1:6">
      <c r="A71" s="576" t="s">
        <v>1193</v>
      </c>
      <c r="B71" s="589">
        <v>304.0306076084712</v>
      </c>
      <c r="C71" s="589">
        <v>17.2167381819661</v>
      </c>
      <c r="D71" s="589">
        <v>0</v>
      </c>
      <c r="E71" s="591">
        <v>0</v>
      </c>
      <c r="F71" s="590">
        <v>321.24734579043729</v>
      </c>
    </row>
    <row r="72" spans="1:6">
      <c r="A72" s="576" t="s">
        <v>1108</v>
      </c>
      <c r="B72" s="589">
        <v>-13.694856325260549</v>
      </c>
      <c r="C72" s="589">
        <v>713.93863982976336</v>
      </c>
      <c r="D72" s="589">
        <v>105786.37784370281</v>
      </c>
      <c r="E72" s="591">
        <v>0</v>
      </c>
      <c r="F72" s="590">
        <v>106486.62162720731</v>
      </c>
    </row>
    <row r="73" spans="1:6">
      <c r="A73" s="576" t="s">
        <v>1109</v>
      </c>
      <c r="B73" s="589">
        <v>0</v>
      </c>
      <c r="C73" s="589">
        <v>1164.7552557848235</v>
      </c>
      <c r="D73" s="589">
        <v>143092.41211370612</v>
      </c>
      <c r="E73" s="591">
        <v>0</v>
      </c>
      <c r="F73" s="590">
        <v>144257.16736949093</v>
      </c>
    </row>
    <row r="74" spans="1:6">
      <c r="A74" s="576" t="s">
        <v>1110</v>
      </c>
      <c r="B74" s="589">
        <v>0</v>
      </c>
      <c r="C74" s="589">
        <v>687.37358652448972</v>
      </c>
      <c r="D74" s="589">
        <v>95360.154882904229</v>
      </c>
      <c r="E74" s="591">
        <v>0</v>
      </c>
      <c r="F74" s="590">
        <v>96047.528469428726</v>
      </c>
    </row>
    <row r="75" spans="1:6">
      <c r="A75" s="576" t="s">
        <v>1111</v>
      </c>
      <c r="B75" s="589">
        <v>0</v>
      </c>
      <c r="C75" s="589">
        <v>58.002396949318609</v>
      </c>
      <c r="D75" s="589">
        <v>5220.6062657689454</v>
      </c>
      <c r="E75" s="591">
        <v>0</v>
      </c>
      <c r="F75" s="590">
        <v>5278.608662718264</v>
      </c>
    </row>
    <row r="76" spans="1:6">
      <c r="A76" s="576" t="s">
        <v>1112</v>
      </c>
      <c r="B76" s="589">
        <v>0</v>
      </c>
      <c r="C76" s="589">
        <v>655.13029433518454</v>
      </c>
      <c r="D76" s="589">
        <v>93982.158866801052</v>
      </c>
      <c r="E76" s="591">
        <v>0</v>
      </c>
      <c r="F76" s="590">
        <v>94637.289161136243</v>
      </c>
    </row>
    <row r="77" spans="1:6">
      <c r="A77" s="576" t="s">
        <v>1113</v>
      </c>
      <c r="B77" s="589">
        <v>0</v>
      </c>
      <c r="C77" s="589">
        <v>592.55628657197883</v>
      </c>
      <c r="D77" s="589">
        <v>78828.695368522051</v>
      </c>
      <c r="E77" s="591">
        <v>0</v>
      </c>
      <c r="F77" s="590">
        <v>79421.251655094035</v>
      </c>
    </row>
    <row r="78" spans="1:6">
      <c r="A78" s="576" t="s">
        <v>1114</v>
      </c>
      <c r="B78" s="589">
        <v>0</v>
      </c>
      <c r="C78" s="589">
        <v>74.628576091297219</v>
      </c>
      <c r="D78" s="589">
        <v>10072.588854024227</v>
      </c>
      <c r="E78" s="591">
        <v>0</v>
      </c>
      <c r="F78" s="590">
        <v>10147.217430115525</v>
      </c>
    </row>
    <row r="79" spans="1:6">
      <c r="A79" s="576" t="s">
        <v>1116</v>
      </c>
      <c r="B79" s="589">
        <v>0</v>
      </c>
      <c r="C79" s="589">
        <v>799.26706362174036</v>
      </c>
      <c r="D79" s="589">
        <v>111176.73976190899</v>
      </c>
      <c r="E79" s="591">
        <v>0</v>
      </c>
      <c r="F79" s="590">
        <v>111976.00682553073</v>
      </c>
    </row>
    <row r="80" spans="1:6">
      <c r="A80" s="576" t="s">
        <v>1118</v>
      </c>
      <c r="B80" s="589">
        <v>0</v>
      </c>
      <c r="C80" s="589">
        <v>293.30468890309078</v>
      </c>
      <c r="D80" s="589">
        <v>51342.197036384758</v>
      </c>
      <c r="E80" s="591">
        <v>15.351012984631527</v>
      </c>
      <c r="F80" s="590">
        <v>51650.852738272479</v>
      </c>
    </row>
    <row r="81" spans="1:6">
      <c r="A81" s="576" t="s">
        <v>1120</v>
      </c>
      <c r="B81" s="589">
        <v>0</v>
      </c>
      <c r="C81" s="589">
        <v>178.95539446487979</v>
      </c>
      <c r="D81" s="589">
        <v>21911.420813248747</v>
      </c>
      <c r="E81" s="591">
        <v>0</v>
      </c>
      <c r="F81" s="590">
        <v>22090.376207713627</v>
      </c>
    </row>
    <row r="82" spans="1:6">
      <c r="A82" s="576" t="s">
        <v>1125</v>
      </c>
      <c r="B82" s="589">
        <v>0</v>
      </c>
      <c r="C82" s="589">
        <v>105500.91625029764</v>
      </c>
      <c r="D82" s="589">
        <v>92.508910127085699</v>
      </c>
      <c r="E82" s="591">
        <v>53.682445225177354</v>
      </c>
      <c r="F82" s="590">
        <v>105647.1076056499</v>
      </c>
    </row>
    <row r="83" spans="1:6">
      <c r="A83" s="576" t="s">
        <v>1127</v>
      </c>
      <c r="B83" s="589">
        <v>0</v>
      </c>
      <c r="C83" s="589">
        <v>0</v>
      </c>
      <c r="D83" s="589">
        <v>0</v>
      </c>
      <c r="E83" s="591">
        <v>0</v>
      </c>
      <c r="F83" s="590">
        <v>0</v>
      </c>
    </row>
    <row r="84" spans="1:6">
      <c r="A84" s="576" t="s">
        <v>1128</v>
      </c>
      <c r="B84" s="589">
        <v>0</v>
      </c>
      <c r="C84" s="589">
        <v>1.9016476031955418</v>
      </c>
      <c r="D84" s="589">
        <v>0</v>
      </c>
      <c r="E84" s="591">
        <v>35.362410952199035</v>
      </c>
      <c r="F84" s="590">
        <v>37.264058555394577</v>
      </c>
    </row>
    <row r="85" spans="1:6">
      <c r="A85" s="576" t="s">
        <v>1129</v>
      </c>
      <c r="B85" s="589">
        <v>18618.384043144648</v>
      </c>
      <c r="C85" s="589">
        <v>1100.3503395365249</v>
      </c>
      <c r="D85" s="589">
        <v>0</v>
      </c>
      <c r="E85" s="591">
        <v>0</v>
      </c>
      <c r="F85" s="590">
        <v>19718.734382681174</v>
      </c>
    </row>
    <row r="86" spans="1:6">
      <c r="A86" s="576" t="s">
        <v>1130</v>
      </c>
      <c r="B86" s="589">
        <v>46556.479961841826</v>
      </c>
      <c r="C86" s="589">
        <v>2741.0713284962421</v>
      </c>
      <c r="D86" s="589">
        <v>0</v>
      </c>
      <c r="E86" s="591">
        <v>0</v>
      </c>
      <c r="F86" s="590">
        <v>49297.551290338066</v>
      </c>
    </row>
    <row r="87" spans="1:6">
      <c r="A87" s="576" t="s">
        <v>1131</v>
      </c>
      <c r="B87" s="589">
        <v>225.50411343665093</v>
      </c>
      <c r="C87" s="589">
        <v>9.6432255092784729</v>
      </c>
      <c r="D87" s="589">
        <v>0</v>
      </c>
      <c r="E87" s="591">
        <v>0</v>
      </c>
      <c r="F87" s="590">
        <v>235.14733894592939</v>
      </c>
    </row>
    <row r="88" spans="1:6">
      <c r="A88" s="576" t="s">
        <v>1132</v>
      </c>
      <c r="B88" s="589">
        <v>138.22979242354299</v>
      </c>
      <c r="C88" s="589">
        <v>5.3572510519740719</v>
      </c>
      <c r="D88" s="589">
        <v>0</v>
      </c>
      <c r="E88" s="591">
        <v>0</v>
      </c>
      <c r="F88" s="590">
        <v>143.58704347551705</v>
      </c>
    </row>
    <row r="89" spans="1:6">
      <c r="A89" s="576" t="s">
        <v>1133</v>
      </c>
      <c r="B89" s="589">
        <v>67731.435391772029</v>
      </c>
      <c r="C89" s="589">
        <v>4816.1177802867396</v>
      </c>
      <c r="D89" s="589">
        <v>0</v>
      </c>
      <c r="E89" s="591">
        <v>0</v>
      </c>
      <c r="F89" s="590">
        <v>72547.553172058775</v>
      </c>
    </row>
    <row r="90" spans="1:6">
      <c r="A90" s="576" t="s">
        <v>1134</v>
      </c>
      <c r="B90" s="589">
        <v>12699.803996229417</v>
      </c>
      <c r="C90" s="589">
        <v>748.55374759135975</v>
      </c>
      <c r="D90" s="589">
        <v>0</v>
      </c>
      <c r="E90" s="591">
        <v>0</v>
      </c>
      <c r="F90" s="590">
        <v>13448.357743820776</v>
      </c>
    </row>
    <row r="91" spans="1:6">
      <c r="A91" s="576" t="s">
        <v>1135</v>
      </c>
      <c r="B91" s="589">
        <v>145094.67645896066</v>
      </c>
      <c r="C91" s="589">
        <v>9194.5101908154011</v>
      </c>
      <c r="D91" s="589">
        <v>0</v>
      </c>
      <c r="E91" s="591">
        <v>2100.0491419288519</v>
      </c>
      <c r="F91" s="590">
        <v>156389.23579170491</v>
      </c>
    </row>
    <row r="92" spans="1:6">
      <c r="A92" s="576" t="s">
        <v>1136</v>
      </c>
      <c r="B92" s="589">
        <v>86.791981170914966</v>
      </c>
      <c r="C92" s="589">
        <v>18.008664805480166</v>
      </c>
      <c r="D92" s="589">
        <v>0</v>
      </c>
      <c r="E92" s="591">
        <v>0</v>
      </c>
      <c r="F92" s="590">
        <v>104.80064597639513</v>
      </c>
    </row>
    <row r="93" spans="1:6">
      <c r="A93" s="576" t="s">
        <v>1138</v>
      </c>
      <c r="B93" s="589">
        <v>402662.98733881005</v>
      </c>
      <c r="C93" s="589">
        <v>20703.752127900978</v>
      </c>
      <c r="D93" s="589">
        <v>0</v>
      </c>
      <c r="E93" s="591">
        <v>70.491893499954287</v>
      </c>
      <c r="F93" s="590">
        <v>423437.23136021098</v>
      </c>
    </row>
    <row r="94" spans="1:6">
      <c r="A94" s="576" t="s">
        <v>1139</v>
      </c>
      <c r="B94" s="589">
        <v>158.23509633289342</v>
      </c>
      <c r="C94" s="589">
        <v>29.810722566544261</v>
      </c>
      <c r="D94" s="589">
        <v>0</v>
      </c>
      <c r="E94" s="591">
        <v>0</v>
      </c>
      <c r="F94" s="590">
        <v>188.04581889943768</v>
      </c>
    </row>
    <row r="95" spans="1:6">
      <c r="A95" s="576" t="s">
        <v>1140</v>
      </c>
      <c r="B95" s="589">
        <v>881.39861597653339</v>
      </c>
      <c r="C95" s="589">
        <v>67.123160432631039</v>
      </c>
      <c r="D95" s="589">
        <v>0</v>
      </c>
      <c r="E95" s="591">
        <v>0</v>
      </c>
      <c r="F95" s="590">
        <v>948.52177640916443</v>
      </c>
    </row>
    <row r="96" spans="1:6">
      <c r="A96" s="576" t="s">
        <v>1141</v>
      </c>
      <c r="B96" s="589">
        <v>1230.0751084751641</v>
      </c>
      <c r="C96" s="589">
        <v>74.678699355254253</v>
      </c>
      <c r="D96" s="589">
        <v>0</v>
      </c>
      <c r="E96" s="591">
        <v>0</v>
      </c>
      <c r="F96" s="590">
        <v>1304.7538078304183</v>
      </c>
    </row>
    <row r="97" spans="1:7">
      <c r="A97" s="576" t="s">
        <v>1142</v>
      </c>
      <c r="B97" s="589">
        <v>1891.6697759656588</v>
      </c>
      <c r="C97" s="589">
        <v>112.43936119978504</v>
      </c>
      <c r="D97" s="589">
        <v>0</v>
      </c>
      <c r="E97" s="591">
        <v>0</v>
      </c>
      <c r="F97" s="590">
        <v>2004.1091371654438</v>
      </c>
    </row>
    <row r="98" spans="1:7">
      <c r="A98" s="576" t="s">
        <v>1143</v>
      </c>
      <c r="B98" s="589">
        <v>667.45794493318363</v>
      </c>
      <c r="C98" s="589">
        <v>30.171286209089086</v>
      </c>
      <c r="D98" s="589">
        <v>0</v>
      </c>
      <c r="E98" s="591">
        <v>0</v>
      </c>
      <c r="F98" s="590">
        <v>697.62923114227272</v>
      </c>
    </row>
    <row r="99" spans="1:7">
      <c r="A99" s="576" t="s">
        <v>1145</v>
      </c>
      <c r="B99" s="589">
        <v>6532.4128829136553</v>
      </c>
      <c r="C99" s="589">
        <v>364.39857521765418</v>
      </c>
      <c r="D99" s="589">
        <v>0</v>
      </c>
      <c r="E99" s="591">
        <v>0</v>
      </c>
      <c r="F99" s="590">
        <v>6896.8114581313093</v>
      </c>
    </row>
    <row r="100" spans="1:7">
      <c r="A100" s="576" t="s">
        <v>1146</v>
      </c>
      <c r="B100" s="589">
        <v>67045.532757149034</v>
      </c>
      <c r="C100" s="589">
        <v>3533.7272779338414</v>
      </c>
      <c r="D100" s="589">
        <v>0</v>
      </c>
      <c r="E100" s="591">
        <v>0</v>
      </c>
      <c r="F100" s="590">
        <v>70579.260035082872</v>
      </c>
    </row>
    <row r="101" spans="1:7">
      <c r="A101" s="576" t="s">
        <v>1148</v>
      </c>
      <c r="B101" s="589">
        <v>11724.647495943214</v>
      </c>
      <c r="C101" s="589">
        <v>695.28320343056487</v>
      </c>
      <c r="D101" s="589">
        <v>0</v>
      </c>
      <c r="E101" s="591">
        <v>0</v>
      </c>
      <c r="F101" s="590">
        <v>12419.930699373779</v>
      </c>
    </row>
    <row r="102" spans="1:7">
      <c r="A102" s="576" t="s">
        <v>1150</v>
      </c>
      <c r="B102" s="589">
        <v>147374.60911905693</v>
      </c>
      <c r="C102" s="589">
        <v>7476.8122519656863</v>
      </c>
      <c r="D102" s="589">
        <v>6872.2726733954651</v>
      </c>
      <c r="E102" s="591">
        <v>6134.2479317319548</v>
      </c>
      <c r="F102" s="590">
        <v>167857.94197615003</v>
      </c>
    </row>
    <row r="103" spans="1:7">
      <c r="A103" s="576" t="s">
        <v>1152</v>
      </c>
      <c r="B103" s="589">
        <v>0</v>
      </c>
      <c r="C103" s="589">
        <v>7.8085938060564686E-2</v>
      </c>
      <c r="D103" s="589">
        <v>3.2015241350179622</v>
      </c>
      <c r="E103" s="591">
        <v>0</v>
      </c>
      <c r="F103" s="590">
        <v>3.2796100730785267</v>
      </c>
    </row>
    <row r="104" spans="1:7">
      <c r="A104" s="576" t="s">
        <v>1153</v>
      </c>
      <c r="B104" s="589">
        <v>4033.1056340898149</v>
      </c>
      <c r="C104" s="589">
        <v>418.34623845278975</v>
      </c>
      <c r="D104" s="589">
        <v>253.00829149978287</v>
      </c>
      <c r="E104" s="591">
        <v>0</v>
      </c>
      <c r="F104" s="590">
        <v>4704.4601640423871</v>
      </c>
    </row>
    <row r="105" spans="1:7">
      <c r="A105" s="576" t="s">
        <v>1154</v>
      </c>
      <c r="B105" s="589">
        <v>1302.15212538168</v>
      </c>
      <c r="C105" s="589">
        <v>56.256778972646813</v>
      </c>
      <c r="D105" s="589">
        <v>0</v>
      </c>
      <c r="E105" s="591">
        <v>21.826990079468885</v>
      </c>
      <c r="F105" s="590">
        <v>1380.2358944337957</v>
      </c>
      <c r="G105" s="24" t="s">
        <v>376</v>
      </c>
    </row>
    <row r="106" spans="1:7">
      <c r="A106" s="576" t="s">
        <v>1155</v>
      </c>
      <c r="B106" s="589">
        <v>10.781754425448588</v>
      </c>
      <c r="C106" s="589">
        <v>-5943.4078877383618</v>
      </c>
      <c r="D106" s="589">
        <v>0</v>
      </c>
      <c r="E106" s="591">
        <v>36450.718418248543</v>
      </c>
      <c r="F106" s="590">
        <v>30518.092284935628</v>
      </c>
      <c r="G106" s="580">
        <f>SUM(F72:F106)</f>
        <v>1862502.5624737951</v>
      </c>
    </row>
    <row r="107" spans="1:7">
      <c r="A107" s="576" t="s">
        <v>1195</v>
      </c>
      <c r="B107" s="589">
        <v>2011402.8549940393</v>
      </c>
      <c r="C107" s="589">
        <v>119396.10881249994</v>
      </c>
      <c r="D107" s="589">
        <v>804884.3353600949</v>
      </c>
      <c r="E107" s="591">
        <v>67743.594411442318</v>
      </c>
      <c r="F107" s="590">
        <v>3003426.8935780758</v>
      </c>
    </row>
    <row r="108" spans="1:7">
      <c r="A108" s="576"/>
      <c r="B108" s="589"/>
      <c r="C108" s="589"/>
      <c r="D108" s="589"/>
      <c r="E108" s="591"/>
      <c r="F108" s="590"/>
    </row>
    <row r="109" spans="1:7">
      <c r="A109" s="576"/>
      <c r="B109" s="589"/>
      <c r="C109" s="589"/>
      <c r="D109" s="589"/>
      <c r="E109" s="591"/>
      <c r="F109" s="590"/>
    </row>
    <row r="110" spans="1:7">
      <c r="A110" s="592" t="s">
        <v>1196</v>
      </c>
      <c r="B110" s="593"/>
      <c r="C110" s="593"/>
      <c r="D110" s="593"/>
      <c r="E110" s="594"/>
      <c r="F110" s="595"/>
    </row>
    <row r="111" spans="1:7">
      <c r="A111" s="576" t="s">
        <v>1183</v>
      </c>
      <c r="B111" s="589">
        <v>25750.645825193962</v>
      </c>
      <c r="C111" s="589">
        <v>20848.495612729523</v>
      </c>
      <c r="D111" s="589">
        <v>-8339.0057329394622</v>
      </c>
      <c r="E111" s="591">
        <v>-8790.5952904869446</v>
      </c>
      <c r="F111" s="590">
        <v>29469.540414497078</v>
      </c>
    </row>
    <row r="112" spans="1:7">
      <c r="A112" s="576" t="s">
        <v>1184</v>
      </c>
      <c r="B112" s="589">
        <v>4812.1253357295354</v>
      </c>
      <c r="C112" s="589">
        <v>-4212.0447512284682</v>
      </c>
      <c r="D112" s="589">
        <v>-2789.302493290219</v>
      </c>
      <c r="E112" s="591">
        <v>-667.99480287989036</v>
      </c>
      <c r="F112" s="590">
        <v>-2857.2167116690421</v>
      </c>
    </row>
    <row r="113" spans="1:6">
      <c r="A113" s="576" t="s">
        <v>1185</v>
      </c>
      <c r="B113" s="589">
        <v>0</v>
      </c>
      <c r="C113" s="589">
        <v>-455.84497614149745</v>
      </c>
      <c r="D113" s="589">
        <v>-33773.085346926775</v>
      </c>
      <c r="E113" s="591">
        <v>0</v>
      </c>
      <c r="F113" s="590">
        <v>-34228.930323068271</v>
      </c>
    </row>
    <row r="114" spans="1:6">
      <c r="A114" s="576" t="s">
        <v>1186</v>
      </c>
      <c r="B114" s="589">
        <v>0</v>
      </c>
      <c r="C114" s="589">
        <v>218.08087588316141</v>
      </c>
      <c r="D114" s="589">
        <v>0</v>
      </c>
      <c r="E114" s="591">
        <v>0.59112743865036421</v>
      </c>
      <c r="F114" s="590">
        <v>218.67200332181179</v>
      </c>
    </row>
    <row r="115" spans="1:6">
      <c r="A115" s="576" t="s">
        <v>1187</v>
      </c>
      <c r="B115" s="589">
        <v>0</v>
      </c>
      <c r="C115" s="589">
        <v>0</v>
      </c>
      <c r="D115" s="589">
        <v>0</v>
      </c>
      <c r="E115" s="591">
        <v>0</v>
      </c>
      <c r="F115" s="590">
        <v>0</v>
      </c>
    </row>
    <row r="116" spans="1:6">
      <c r="A116" s="576" t="s">
        <v>1188</v>
      </c>
      <c r="B116" s="589">
        <v>0</v>
      </c>
      <c r="C116" s="589">
        <v>0</v>
      </c>
      <c r="D116" s="589">
        <v>0</v>
      </c>
      <c r="E116" s="591">
        <v>0</v>
      </c>
      <c r="F116" s="590">
        <v>0</v>
      </c>
    </row>
    <row r="117" spans="1:6">
      <c r="A117" s="576" t="s">
        <v>1189</v>
      </c>
      <c r="B117" s="589">
        <v>132.95854043703275</v>
      </c>
      <c r="C117" s="589">
        <v>0</v>
      </c>
      <c r="D117" s="589">
        <v>0</v>
      </c>
      <c r="E117" s="591">
        <v>0</v>
      </c>
      <c r="F117" s="590">
        <v>132.95854043703275</v>
      </c>
    </row>
    <row r="118" spans="1:6">
      <c r="A118" s="576" t="s">
        <v>1190</v>
      </c>
      <c r="B118" s="589">
        <v>3.0012311063378974</v>
      </c>
      <c r="C118" s="589">
        <v>0</v>
      </c>
      <c r="D118" s="589">
        <v>-1163.0659543448983</v>
      </c>
      <c r="E118" s="591">
        <v>0</v>
      </c>
      <c r="F118" s="590">
        <v>-1160.0647232385604</v>
      </c>
    </row>
    <row r="119" spans="1:6">
      <c r="A119" s="576" t="s">
        <v>1191</v>
      </c>
      <c r="B119" s="589">
        <v>2.4045989065775615</v>
      </c>
      <c r="C119" s="589">
        <v>-2.208413395292089</v>
      </c>
      <c r="D119" s="589">
        <v>0</v>
      </c>
      <c r="E119" s="591">
        <v>0</v>
      </c>
      <c r="F119" s="590">
        <v>0.19618551128547246</v>
      </c>
    </row>
    <row r="120" spans="1:6">
      <c r="A120" s="576" t="s">
        <v>1192</v>
      </c>
      <c r="B120" s="589">
        <v>15.414151293078362</v>
      </c>
      <c r="C120" s="589">
        <v>-5.4741258949178988</v>
      </c>
      <c r="D120" s="589">
        <v>0</v>
      </c>
      <c r="E120" s="591">
        <v>0</v>
      </c>
      <c r="F120" s="590">
        <v>9.9400253981604632</v>
      </c>
    </row>
    <row r="121" spans="1:6">
      <c r="A121" s="576" t="s">
        <v>1193</v>
      </c>
      <c r="B121" s="589">
        <v>8.6917071481958033</v>
      </c>
      <c r="C121" s="589">
        <v>-7.5063233304340322</v>
      </c>
      <c r="D121" s="589">
        <v>0</v>
      </c>
      <c r="E121" s="591">
        <v>0</v>
      </c>
      <c r="F121" s="590">
        <v>1.185383817761771</v>
      </c>
    </row>
    <row r="122" spans="1:6">
      <c r="A122" s="576" t="s">
        <v>1108</v>
      </c>
      <c r="B122" s="589">
        <v>-0.39151216238422393</v>
      </c>
      <c r="C122" s="589">
        <v>-311.27001015011683</v>
      </c>
      <c r="D122" s="589">
        <v>-60242.215272650545</v>
      </c>
      <c r="E122" s="591">
        <v>0</v>
      </c>
      <c r="F122" s="590">
        <v>-60553.876794963049</v>
      </c>
    </row>
    <row r="123" spans="1:6">
      <c r="A123" s="576" t="s">
        <v>1109</v>
      </c>
      <c r="B123" s="589">
        <v>0</v>
      </c>
      <c r="C123" s="589">
        <v>-507.82148501864799</v>
      </c>
      <c r="D123" s="589">
        <v>-81486.899071002204</v>
      </c>
      <c r="E123" s="591">
        <v>0</v>
      </c>
      <c r="F123" s="590">
        <v>-81994.720556020853</v>
      </c>
    </row>
    <row r="124" spans="1:6">
      <c r="A124" s="576" t="s">
        <v>1110</v>
      </c>
      <c r="B124" s="596">
        <v>0</v>
      </c>
      <c r="C124" s="596">
        <v>-299.68791618481112</v>
      </c>
      <c r="D124" s="596">
        <v>-54304.789482223336</v>
      </c>
      <c r="E124" s="597">
        <v>0</v>
      </c>
      <c r="F124" s="596">
        <v>-54604.477398408148</v>
      </c>
    </row>
    <row r="125" spans="1:6">
      <c r="A125" s="24" t="s">
        <v>1111</v>
      </c>
      <c r="B125" s="602">
        <v>0</v>
      </c>
      <c r="C125" s="602">
        <v>-25.288457130504284</v>
      </c>
      <c r="D125" s="602">
        <v>-2972.9809539454091</v>
      </c>
      <c r="E125" s="602">
        <v>0</v>
      </c>
      <c r="F125" s="596">
        <v>-2998.2694110759135</v>
      </c>
    </row>
    <row r="126" spans="1:6">
      <c r="A126" s="24" t="s">
        <v>1112</v>
      </c>
      <c r="B126" s="602">
        <v>0</v>
      </c>
      <c r="C126" s="602">
        <v>-285.63016762335019</v>
      </c>
      <c r="D126" s="602">
        <v>-53520.061482843346</v>
      </c>
      <c r="E126" s="602">
        <v>0</v>
      </c>
      <c r="F126" s="596">
        <v>-53805.691650466695</v>
      </c>
    </row>
    <row r="127" spans="1:6">
      <c r="A127" s="576" t="s">
        <v>1113</v>
      </c>
      <c r="B127" s="596">
        <v>0</v>
      </c>
      <c r="C127" s="596">
        <v>-258.3485345179746</v>
      </c>
      <c r="D127" s="596">
        <v>-44890.611937474328</v>
      </c>
      <c r="E127" s="597">
        <v>0</v>
      </c>
      <c r="F127" s="596">
        <v>-45148.960471992301</v>
      </c>
    </row>
    <row r="128" spans="1:6">
      <c r="A128" s="576" t="s">
        <v>1114</v>
      </c>
      <c r="B128" s="598">
        <v>0</v>
      </c>
      <c r="C128" s="598">
        <v>-32.537302705686159</v>
      </c>
      <c r="D128" s="598">
        <v>-5736.0416195888192</v>
      </c>
      <c r="E128" s="600">
        <v>0</v>
      </c>
      <c r="F128" s="596">
        <v>-5768.578922294505</v>
      </c>
    </row>
    <row r="129" spans="1:6">
      <c r="A129" s="576" t="s">
        <v>1116</v>
      </c>
      <c r="B129" s="598">
        <v>0</v>
      </c>
      <c r="C129" s="598">
        <v>-348.47233799464334</v>
      </c>
      <c r="D129" s="598">
        <v>-63311.867052900096</v>
      </c>
      <c r="E129" s="600">
        <v>0</v>
      </c>
      <c r="F129" s="596">
        <v>-63660.33939089474</v>
      </c>
    </row>
    <row r="130" spans="1:6">
      <c r="A130" s="576" t="s">
        <v>1118</v>
      </c>
      <c r="B130" s="589">
        <v>0</v>
      </c>
      <c r="C130" s="589">
        <v>-127.87787128836646</v>
      </c>
      <c r="D130" s="589">
        <v>-29237.863602878315</v>
      </c>
      <c r="E130" s="591">
        <v>-6.350744798208261</v>
      </c>
      <c r="F130" s="590">
        <v>-29372.092218964888</v>
      </c>
    </row>
    <row r="131" spans="1:6">
      <c r="A131" s="576" t="s">
        <v>1120</v>
      </c>
      <c r="B131" s="589">
        <v>0</v>
      </c>
      <c r="C131" s="589">
        <v>-78.02273801118767</v>
      </c>
      <c r="D131" s="589">
        <v>-12477.906479713565</v>
      </c>
      <c r="E131" s="591">
        <v>0</v>
      </c>
      <c r="F131" s="590">
        <v>-12555.929217724753</v>
      </c>
    </row>
    <row r="132" spans="1:6">
      <c r="A132" s="576" t="s">
        <v>1125</v>
      </c>
      <c r="B132" s="589">
        <v>0</v>
      </c>
      <c r="C132" s="589">
        <v>-45997.330078544575</v>
      </c>
      <c r="D132" s="589">
        <v>-52.681089872914299</v>
      </c>
      <c r="E132" s="591">
        <v>-22.208535040013736</v>
      </c>
      <c r="F132" s="590">
        <v>-46072.219703457507</v>
      </c>
    </row>
    <row r="133" spans="1:6">
      <c r="A133" s="576" t="s">
        <v>1127</v>
      </c>
      <c r="B133" s="589">
        <v>0</v>
      </c>
      <c r="C133" s="589">
        <v>0</v>
      </c>
      <c r="D133" s="589">
        <v>0</v>
      </c>
      <c r="E133" s="591">
        <v>0</v>
      </c>
      <c r="F133" s="590">
        <v>0</v>
      </c>
    </row>
    <row r="134" spans="1:6">
      <c r="A134" s="576" t="s">
        <v>1128</v>
      </c>
      <c r="B134" s="589">
        <v>0</v>
      </c>
      <c r="C134" s="589">
        <v>-0.82909907900455537</v>
      </c>
      <c r="D134" s="589">
        <v>0</v>
      </c>
      <c r="E134" s="591">
        <v>-14.629500192046869</v>
      </c>
      <c r="F134" s="590">
        <v>-15.458599271051424</v>
      </c>
    </row>
    <row r="135" spans="1:6">
      <c r="A135" s="576" t="s">
        <v>1129</v>
      </c>
      <c r="B135" s="589">
        <v>532.26727055077572</v>
      </c>
      <c r="C135" s="589">
        <v>-479.74159437271555</v>
      </c>
      <c r="D135" s="589">
        <v>0</v>
      </c>
      <c r="E135" s="591">
        <v>0</v>
      </c>
      <c r="F135" s="590">
        <v>52.525676178060166</v>
      </c>
    </row>
    <row r="136" spans="1:6">
      <c r="A136" s="576" t="s">
        <v>1130</v>
      </c>
      <c r="B136" s="589">
        <v>1330.9689207354095</v>
      </c>
      <c r="C136" s="589">
        <v>-1195.0793144445383</v>
      </c>
      <c r="D136" s="589">
        <v>0</v>
      </c>
      <c r="E136" s="591">
        <v>0</v>
      </c>
      <c r="F136" s="590">
        <v>135.88960629087114</v>
      </c>
    </row>
    <row r="137" spans="1:6">
      <c r="A137" s="576" t="s">
        <v>1131</v>
      </c>
      <c r="B137" s="589">
        <v>6.4467710344117393</v>
      </c>
      <c r="C137" s="589">
        <v>-4.2043485738056017</v>
      </c>
      <c r="D137" s="589">
        <v>0</v>
      </c>
      <c r="E137" s="591">
        <v>0</v>
      </c>
      <c r="F137" s="590">
        <v>2.2424224606061376</v>
      </c>
    </row>
    <row r="138" spans="1:6">
      <c r="A138" s="576" t="s">
        <v>1132</v>
      </c>
      <c r="B138" s="589">
        <v>3.9517497410936926</v>
      </c>
      <c r="C138" s="589">
        <v>-2.3357071550607156</v>
      </c>
      <c r="D138" s="589">
        <v>0</v>
      </c>
      <c r="E138" s="591">
        <v>0</v>
      </c>
      <c r="F138" s="590">
        <v>1.616042586032977</v>
      </c>
    </row>
    <row r="139" spans="1:6">
      <c r="A139" s="576" t="s">
        <v>1133</v>
      </c>
      <c r="B139" s="589">
        <v>1936.3241279652866</v>
      </c>
      <c r="C139" s="589">
        <v>-2099.7785337847399</v>
      </c>
      <c r="D139" s="589">
        <v>0</v>
      </c>
      <c r="E139" s="591">
        <v>0</v>
      </c>
      <c r="F139" s="590">
        <v>-163.45440581945331</v>
      </c>
    </row>
    <row r="140" spans="1:6">
      <c r="A140" s="576" t="s">
        <v>1134</v>
      </c>
      <c r="B140" s="589">
        <v>363.06534412108704</v>
      </c>
      <c r="C140" s="589">
        <v>-326.3618462592658</v>
      </c>
      <c r="D140" s="589">
        <v>0</v>
      </c>
      <c r="E140" s="591">
        <v>0</v>
      </c>
      <c r="F140" s="590">
        <v>36.703497861821234</v>
      </c>
    </row>
    <row r="141" spans="1:6">
      <c r="A141" s="576" t="s">
        <v>1135</v>
      </c>
      <c r="B141" s="589">
        <v>4148.0048553781526</v>
      </c>
      <c r="C141" s="589">
        <v>-4008.7132433438437</v>
      </c>
      <c r="D141" s="589">
        <v>0</v>
      </c>
      <c r="E141" s="591">
        <v>-868.79453345772163</v>
      </c>
      <c r="F141" s="590">
        <v>-729.50292142341277</v>
      </c>
    </row>
    <row r="142" spans="1:6">
      <c r="A142" s="576" t="s">
        <v>1136</v>
      </c>
      <c r="B142" s="589">
        <v>2.4812320347719492</v>
      </c>
      <c r="C142" s="589">
        <v>-7.8515953109478609</v>
      </c>
      <c r="D142" s="589">
        <v>0</v>
      </c>
      <c r="E142" s="591">
        <v>0</v>
      </c>
      <c r="F142" s="590">
        <v>-5.3703632761759117</v>
      </c>
    </row>
    <row r="143" spans="1:6">
      <c r="A143" s="576" t="s">
        <v>1138</v>
      </c>
      <c r="B143" s="589">
        <v>11511.435617935145</v>
      </c>
      <c r="C143" s="589">
        <v>-9026.6260648588832</v>
      </c>
      <c r="D143" s="589">
        <v>0</v>
      </c>
      <c r="E143" s="591">
        <v>-29.162637436947691</v>
      </c>
      <c r="F143" s="590">
        <v>2455.6469156393146</v>
      </c>
    </row>
    <row r="144" spans="1:6">
      <c r="A144" s="576" t="s">
        <v>1139</v>
      </c>
      <c r="B144" s="589">
        <v>4.5236666423507472</v>
      </c>
      <c r="C144" s="589">
        <v>-12.997172863599513</v>
      </c>
      <c r="D144" s="589">
        <v>0</v>
      </c>
      <c r="E144" s="591">
        <v>0</v>
      </c>
      <c r="F144" s="590">
        <v>-8.4735062212487655</v>
      </c>
    </row>
    <row r="145" spans="1:7">
      <c r="A145" s="576" t="s">
        <v>1140</v>
      </c>
      <c r="B145" s="589">
        <v>25.197655956925018</v>
      </c>
      <c r="C145" s="589">
        <v>-29.265017556907935</v>
      </c>
      <c r="D145" s="589">
        <v>0</v>
      </c>
      <c r="E145" s="591">
        <v>0</v>
      </c>
      <c r="F145" s="590">
        <v>-4.0673615999829167</v>
      </c>
    </row>
    <row r="146" spans="1:7">
      <c r="A146" s="576" t="s">
        <v>1141</v>
      </c>
      <c r="B146" s="589">
        <v>35.165711430342981</v>
      </c>
      <c r="C146" s="589">
        <v>-32.559155940698602</v>
      </c>
      <c r="D146" s="589">
        <v>0</v>
      </c>
      <c r="E146" s="591">
        <v>0</v>
      </c>
      <c r="F146" s="590">
        <v>2.6065554896443786</v>
      </c>
    </row>
    <row r="147" spans="1:7">
      <c r="A147" s="576" t="s">
        <v>1142</v>
      </c>
      <c r="B147" s="589">
        <v>54.079554170941947</v>
      </c>
      <c r="C147" s="589">
        <v>-49.022421745200901</v>
      </c>
      <c r="D147" s="589">
        <v>0</v>
      </c>
      <c r="E147" s="591">
        <v>0</v>
      </c>
      <c r="F147" s="590">
        <v>5.0571324257410453</v>
      </c>
    </row>
    <row r="148" spans="1:7">
      <c r="A148" s="576" t="s">
        <v>1143</v>
      </c>
      <c r="B148" s="589">
        <v>19.081463661602129</v>
      </c>
      <c r="C148" s="589">
        <v>-13.1543749569075</v>
      </c>
      <c r="D148" s="589">
        <v>0</v>
      </c>
      <c r="E148" s="591">
        <v>0</v>
      </c>
      <c r="F148" s="590">
        <v>5.9270887046946292</v>
      </c>
    </row>
    <row r="149" spans="1:7">
      <c r="A149" s="576" t="s">
        <v>1145</v>
      </c>
      <c r="B149" s="589">
        <v>186.75034134229463</v>
      </c>
      <c r="C149" s="589">
        <v>-158.87408508066403</v>
      </c>
      <c r="D149" s="589">
        <v>0</v>
      </c>
      <c r="E149" s="591">
        <v>0</v>
      </c>
      <c r="F149" s="590">
        <v>27.876256261630601</v>
      </c>
    </row>
    <row r="150" spans="1:7">
      <c r="A150" s="576" t="s">
        <v>1146</v>
      </c>
      <c r="B150" s="589">
        <v>1916.715362653078</v>
      </c>
      <c r="C150" s="589">
        <v>-1540.6692736682385</v>
      </c>
      <c r="D150" s="589">
        <v>0</v>
      </c>
      <c r="E150" s="591">
        <v>0</v>
      </c>
      <c r="F150" s="590">
        <v>376.04608898483957</v>
      </c>
    </row>
    <row r="151" spans="1:7">
      <c r="A151" s="576" t="s">
        <v>1148</v>
      </c>
      <c r="B151" s="589">
        <v>335.18731305435358</v>
      </c>
      <c r="C151" s="589">
        <v>-303.13642898028706</v>
      </c>
      <c r="D151" s="589">
        <v>0</v>
      </c>
      <c r="E151" s="591">
        <v>0</v>
      </c>
      <c r="F151" s="590">
        <v>32.050884074066516</v>
      </c>
    </row>
    <row r="152" spans="1:7">
      <c r="A152" s="576" t="s">
        <v>1150</v>
      </c>
      <c r="B152" s="589">
        <v>4213.1841712208698</v>
      </c>
      <c r="C152" s="589">
        <v>-3259.8143533943148</v>
      </c>
      <c r="D152" s="589">
        <v>-3913.5561519529592</v>
      </c>
      <c r="E152" s="591">
        <v>-2537.7506476196622</v>
      </c>
      <c r="F152" s="590">
        <v>-5497.9369817460665</v>
      </c>
    </row>
    <row r="153" spans="1:7">
      <c r="A153" s="576" t="s">
        <v>1152</v>
      </c>
      <c r="B153" s="589">
        <v>0</v>
      </c>
      <c r="C153" s="589">
        <v>-3.4044677478850316E-2</v>
      </c>
      <c r="D153" s="589">
        <v>-1.8231733619549324</v>
      </c>
      <c r="E153" s="591">
        <v>0</v>
      </c>
      <c r="F153" s="590">
        <v>-1.8572180394337827</v>
      </c>
    </row>
    <row r="154" spans="1:7">
      <c r="A154" s="576" t="s">
        <v>1153</v>
      </c>
      <c r="B154" s="589">
        <v>115.29948693320512</v>
      </c>
      <c r="C154" s="589">
        <v>-182.39471941246006</v>
      </c>
      <c r="D154" s="589">
        <v>-144.08074340927763</v>
      </c>
      <c r="E154" s="591">
        <v>0</v>
      </c>
      <c r="F154" s="590">
        <v>-211.17597588853258</v>
      </c>
    </row>
    <row r="155" spans="1:7">
      <c r="A155" s="576" t="s">
        <v>1154</v>
      </c>
      <c r="B155" s="589">
        <v>37.226268188081576</v>
      </c>
      <c r="C155" s="589">
        <v>-24.527385387074887</v>
      </c>
      <c r="D155" s="589">
        <v>0</v>
      </c>
      <c r="E155" s="591">
        <v>-9.0298694846070191</v>
      </c>
      <c r="F155" s="590">
        <v>3.6690133163996705</v>
      </c>
      <c r="G155" s="24" t="s">
        <v>376</v>
      </c>
    </row>
    <row r="156" spans="1:7">
      <c r="A156" s="576" t="s">
        <v>1155</v>
      </c>
      <c r="B156" s="589">
        <v>0.30823163742265436</v>
      </c>
      <c r="C156" s="589">
        <v>2591.2655938943626</v>
      </c>
      <c r="D156" s="589">
        <v>0</v>
      </c>
      <c r="E156" s="591">
        <v>-15079.735169099171</v>
      </c>
      <c r="F156" s="590">
        <v>-12488.161343567386</v>
      </c>
      <c r="G156" s="580">
        <f>SUM(F122:F156)</f>
        <v>-472522.75723284256</v>
      </c>
    </row>
    <row r="157" spans="1:7">
      <c r="A157" s="576" t="s">
        <v>158</v>
      </c>
      <c r="B157" s="589">
        <v>57502.514994039942</v>
      </c>
      <c r="C157" s="589">
        <v>-52055.493187500069</v>
      </c>
      <c r="D157" s="589">
        <v>-458357.83764131833</v>
      </c>
      <c r="E157" s="591">
        <v>-28025.66060305656</v>
      </c>
      <c r="F157" s="603">
        <v>-480936.47643783526</v>
      </c>
    </row>
    <row r="160" spans="1:7">
      <c r="A160" s="23" t="s">
        <v>2</v>
      </c>
      <c r="B160" s="584" t="s">
        <v>3</v>
      </c>
    </row>
  </sheetData>
  <pageMargins left="0.7" right="0.7" top="0.75" bottom="0.75" header="0.3" footer="0.3"/>
  <pageSetup scale="83" fitToHeight="100" orientation="portrait" horizontalDpi="1200" verticalDpi="1200" r:id="rId1"/>
  <rowBreaks count="1" manualBreakCount="1">
    <brk id="126"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0B0F6-8D04-48BB-860B-BBA66418F149}">
  <dimension ref="A1:C153"/>
  <sheetViews>
    <sheetView zoomScale="90" zoomScaleNormal="90" workbookViewId="0">
      <selection activeCell="A3" sqref="A3:C3"/>
    </sheetView>
  </sheetViews>
  <sheetFormatPr defaultColWidth="9.1796875" defaultRowHeight="12.5"/>
  <cols>
    <col min="1" max="1" width="30.54296875" style="24" bestFit="1" customWidth="1"/>
    <col min="2" max="2" width="14.81640625" style="612" bestFit="1" customWidth="1"/>
    <col min="3" max="3" width="13.26953125" style="24" bestFit="1" customWidth="1"/>
    <col min="4" max="16384" width="9.1796875" style="24"/>
  </cols>
  <sheetData>
    <row r="1" spans="1:2">
      <c r="B1" s="24"/>
    </row>
    <row r="2" spans="1:2">
      <c r="A2" s="7" t="s">
        <v>0</v>
      </c>
      <c r="B2" s="24"/>
    </row>
    <row r="3" spans="1:2">
      <c r="A3" s="43" t="s">
        <v>1156</v>
      </c>
      <c r="B3" s="24"/>
    </row>
    <row r="4" spans="1:2">
      <c r="A4" s="7" t="s">
        <v>119</v>
      </c>
      <c r="B4" s="24"/>
    </row>
    <row r="5" spans="1:2">
      <c r="A5" s="24" t="s">
        <v>1197</v>
      </c>
      <c r="B5" s="24"/>
    </row>
    <row r="6" spans="1:2">
      <c r="B6" s="24"/>
    </row>
    <row r="7" spans="1:2">
      <c r="A7" s="585" t="s">
        <v>1176</v>
      </c>
      <c r="B7" s="585" t="s">
        <v>1198</v>
      </c>
    </row>
    <row r="8" spans="1:2">
      <c r="B8" s="24"/>
    </row>
    <row r="9" spans="1:2" ht="37.5">
      <c r="A9" s="585" t="s">
        <v>164</v>
      </c>
      <c r="B9" s="605" t="s">
        <v>1178</v>
      </c>
    </row>
    <row r="10" spans="1:2">
      <c r="A10" s="576" t="s">
        <v>1183</v>
      </c>
      <c r="B10" s="606">
        <v>175561.77982037325</v>
      </c>
    </row>
    <row r="11" spans="1:2">
      <c r="A11" s="576" t="s">
        <v>1184</v>
      </c>
      <c r="B11" s="606">
        <v>30978.479914531159</v>
      </c>
    </row>
    <row r="12" spans="1:2">
      <c r="A12" s="576" t="s">
        <v>1185</v>
      </c>
      <c r="B12" s="606">
        <v>4910.5473065409569</v>
      </c>
    </row>
    <row r="13" spans="1:2">
      <c r="A13" s="576" t="s">
        <v>1186</v>
      </c>
      <c r="B13" s="606">
        <v>-0.01</v>
      </c>
    </row>
    <row r="14" spans="1:2">
      <c r="A14" s="576" t="s">
        <v>1187</v>
      </c>
      <c r="B14" s="606">
        <v>-2.5</v>
      </c>
    </row>
    <row r="15" spans="1:2">
      <c r="A15" s="576" t="s">
        <v>1188</v>
      </c>
      <c r="B15" s="606">
        <v>0</v>
      </c>
    </row>
    <row r="16" spans="1:2">
      <c r="A16" s="576" t="s">
        <v>1189</v>
      </c>
      <c r="B16" s="606">
        <v>860.81000000000006</v>
      </c>
    </row>
    <row r="17" spans="1:2">
      <c r="A17" s="576" t="s">
        <v>1190</v>
      </c>
      <c r="B17" s="606">
        <v>154.32</v>
      </c>
    </row>
    <row r="18" spans="1:2">
      <c r="A18" s="576" t="s">
        <v>1191</v>
      </c>
      <c r="B18" s="606">
        <v>12.102473606605372</v>
      </c>
    </row>
    <row r="19" spans="1:2">
      <c r="A19" s="576" t="s">
        <v>1192</v>
      </c>
      <c r="B19" s="606">
        <v>141.20991515851051</v>
      </c>
    </row>
    <row r="20" spans="1:2">
      <c r="A20" s="576" t="s">
        <v>1193</v>
      </c>
      <c r="B20" s="606">
        <v>38.932882622603934</v>
      </c>
    </row>
    <row r="21" spans="1:2">
      <c r="A21" s="576" t="s">
        <v>1108</v>
      </c>
      <c r="B21" s="606">
        <v>6338.7604723765016</v>
      </c>
    </row>
    <row r="22" spans="1:2">
      <c r="A22" s="576" t="s">
        <v>1109</v>
      </c>
      <c r="B22" s="606">
        <v>9873.3115525171852</v>
      </c>
    </row>
    <row r="23" spans="1:2">
      <c r="A23" s="576" t="s">
        <v>1110</v>
      </c>
      <c r="B23" s="606">
        <v>6017.0524350008609</v>
      </c>
    </row>
    <row r="24" spans="1:2">
      <c r="A24" s="576" t="s">
        <v>1111</v>
      </c>
      <c r="B24" s="606">
        <v>376.44592581357676</v>
      </c>
    </row>
    <row r="25" spans="1:2">
      <c r="A25" s="576" t="s">
        <v>1112</v>
      </c>
      <c r="B25" s="606">
        <v>5914.9419890982672</v>
      </c>
    </row>
    <row r="26" spans="1:2">
      <c r="A26" s="576" t="s">
        <v>1113</v>
      </c>
      <c r="B26" s="606">
        <v>5156.582027551769</v>
      </c>
    </row>
    <row r="27" spans="1:2">
      <c r="A27" s="576" t="s">
        <v>1114</v>
      </c>
      <c r="B27" s="606">
        <v>578.72875715381531</v>
      </c>
    </row>
    <row r="28" spans="1:2">
      <c r="A28" s="576" t="s">
        <v>1116</v>
      </c>
      <c r="B28" s="606">
        <v>7213.6466804833881</v>
      </c>
    </row>
    <row r="29" spans="1:2">
      <c r="A29" s="576" t="s">
        <v>1118</v>
      </c>
      <c r="B29" s="606">
        <v>3174.3950976172891</v>
      </c>
    </row>
    <row r="30" spans="1:2">
      <c r="A30" s="576" t="s">
        <v>1120</v>
      </c>
      <c r="B30" s="606">
        <v>1550.4456678153329</v>
      </c>
    </row>
    <row r="31" spans="1:2">
      <c r="A31" s="576" t="s">
        <v>1128</v>
      </c>
      <c r="B31" s="606">
        <v>0</v>
      </c>
    </row>
    <row r="32" spans="1:2">
      <c r="A32" s="576" t="s">
        <v>1129</v>
      </c>
      <c r="B32" s="606">
        <v>3519.1684712111005</v>
      </c>
    </row>
    <row r="33" spans="1:2">
      <c r="A33" s="576" t="s">
        <v>1130</v>
      </c>
      <c r="B33" s="606">
        <v>8249.1277205731549</v>
      </c>
    </row>
    <row r="34" spans="1:2">
      <c r="A34" s="576" t="s">
        <v>1131</v>
      </c>
      <c r="B34" s="606">
        <v>33.473428969830351</v>
      </c>
    </row>
    <row r="35" spans="1:2">
      <c r="A35" s="576" t="s">
        <v>1132</v>
      </c>
      <c r="B35" s="606">
        <v>25.366441396023735</v>
      </c>
    </row>
    <row r="36" spans="1:2">
      <c r="A36" s="576" t="s">
        <v>1133</v>
      </c>
      <c r="B36" s="606">
        <v>13574.374964748931</v>
      </c>
    </row>
    <row r="37" spans="1:2">
      <c r="A37" s="576" t="s">
        <v>1134</v>
      </c>
      <c r="B37" s="606">
        <v>2379.7885041019308</v>
      </c>
    </row>
    <row r="38" spans="1:2">
      <c r="A38" s="576" t="s">
        <v>1135</v>
      </c>
      <c r="B38" s="606">
        <v>29730.574007593008</v>
      </c>
    </row>
    <row r="39" spans="1:2">
      <c r="A39" s="576" t="s">
        <v>1136</v>
      </c>
      <c r="B39" s="606">
        <v>42.799805975590232</v>
      </c>
    </row>
    <row r="40" spans="1:2">
      <c r="A40" s="576" t="s">
        <v>1138</v>
      </c>
      <c r="B40" s="606">
        <v>76212.711252592781</v>
      </c>
    </row>
    <row r="41" spans="1:2">
      <c r="A41" s="576" t="s">
        <v>1139</v>
      </c>
      <c r="B41" s="606">
        <v>39.193318604193038</v>
      </c>
    </row>
    <row r="42" spans="1:2">
      <c r="A42" s="576" t="s">
        <v>1140</v>
      </c>
      <c r="B42" s="606">
        <v>157.00880517469119</v>
      </c>
    </row>
    <row r="43" spans="1:2">
      <c r="A43" s="576" t="s">
        <v>1141</v>
      </c>
      <c r="B43" s="606">
        <v>194.97384677919933</v>
      </c>
    </row>
    <row r="44" spans="1:2">
      <c r="A44" s="576" t="s">
        <v>1142</v>
      </c>
      <c r="B44" s="606">
        <v>320.13297401623345</v>
      </c>
    </row>
    <row r="45" spans="1:2">
      <c r="A45" s="576" t="s">
        <v>1143</v>
      </c>
      <c r="B45" s="606">
        <v>151.01576386361637</v>
      </c>
    </row>
    <row r="46" spans="1:2">
      <c r="A46" s="576" t="s">
        <v>1145</v>
      </c>
      <c r="B46" s="606">
        <v>1304.2095020547772</v>
      </c>
    </row>
    <row r="47" spans="1:2">
      <c r="A47" s="576" t="s">
        <v>1146</v>
      </c>
      <c r="B47" s="606">
        <v>12429.650980753127</v>
      </c>
    </row>
    <row r="48" spans="1:2">
      <c r="A48" s="576" t="s">
        <v>1148</v>
      </c>
      <c r="B48" s="606">
        <v>2401.871371081359</v>
      </c>
    </row>
    <row r="49" spans="1:3">
      <c r="A49" s="576" t="s">
        <v>1150</v>
      </c>
      <c r="B49" s="606">
        <v>27906.256630484113</v>
      </c>
    </row>
    <row r="50" spans="1:3">
      <c r="A50" s="576" t="s">
        <v>1152</v>
      </c>
      <c r="B50" s="606">
        <v>0.26967492519067898</v>
      </c>
    </row>
    <row r="51" spans="1:3">
      <c r="A51" s="576" t="s">
        <v>1153</v>
      </c>
      <c r="B51" s="606">
        <v>1017.334223017672</v>
      </c>
    </row>
    <row r="52" spans="1:3">
      <c r="A52" s="576" t="s">
        <v>1154</v>
      </c>
      <c r="B52" s="606">
        <v>179.26871776994483</v>
      </c>
      <c r="C52" s="24" t="s">
        <v>376</v>
      </c>
    </row>
    <row r="53" spans="1:3">
      <c r="A53" s="576" t="s">
        <v>1155</v>
      </c>
      <c r="B53" s="606">
        <v>3.5566760522616199</v>
      </c>
      <c r="C53" s="580">
        <f>SUM(B21:B53)</f>
        <v>226066.43768716676</v>
      </c>
    </row>
    <row r="54" spans="1:3">
      <c r="A54" s="607" t="s">
        <v>172</v>
      </c>
      <c r="B54" s="608">
        <f>SUM(B10:B53)</f>
        <v>438722.10999999987</v>
      </c>
      <c r="C54" s="579"/>
    </row>
    <row r="57" spans="1:3" ht="25">
      <c r="A57" s="609" t="s">
        <v>1199</v>
      </c>
      <c r="B57" s="610">
        <v>350859.24465439824</v>
      </c>
    </row>
    <row r="58" spans="1:3">
      <c r="A58" s="576" t="s">
        <v>1183</v>
      </c>
      <c r="B58" s="606">
        <v>140309.06795646827</v>
      </c>
    </row>
    <row r="59" spans="1:3">
      <c r="A59" s="576" t="s">
        <v>1184</v>
      </c>
      <c r="B59" s="606">
        <v>24471.868831082735</v>
      </c>
    </row>
    <row r="60" spans="1:3">
      <c r="A60" s="576" t="s">
        <v>1185</v>
      </c>
      <c r="B60" s="606">
        <v>3995.7231081446816</v>
      </c>
    </row>
    <row r="61" spans="1:3">
      <c r="A61" s="576" t="s">
        <v>1186</v>
      </c>
      <c r="B61" s="606">
        <v>-7.4902195622837137E-3</v>
      </c>
    </row>
    <row r="62" spans="1:3">
      <c r="A62" s="576" t="s">
        <v>1187</v>
      </c>
      <c r="B62" s="606">
        <v>0</v>
      </c>
    </row>
    <row r="63" spans="1:3">
      <c r="A63" s="576" t="s">
        <v>1188</v>
      </c>
      <c r="B63" s="606">
        <v>0</v>
      </c>
    </row>
    <row r="64" spans="1:3">
      <c r="A64" s="576" t="s">
        <v>1189</v>
      </c>
      <c r="B64" s="606">
        <v>679.5486372272544</v>
      </c>
    </row>
    <row r="65" spans="1:2">
      <c r="A65" s="576" t="s">
        <v>1190</v>
      </c>
      <c r="B65" s="606">
        <v>125.19901758117791</v>
      </c>
    </row>
    <row r="66" spans="1:2">
      <c r="A66" s="576" t="s">
        <v>1191</v>
      </c>
      <c r="B66" s="606">
        <v>9.0650184560217877</v>
      </c>
    </row>
    <row r="67" spans="1:2">
      <c r="A67" s="576" t="s">
        <v>1192</v>
      </c>
      <c r="B67" s="606">
        <v>112.79417400163889</v>
      </c>
    </row>
    <row r="68" spans="1:2">
      <c r="A68" s="576" t="s">
        <v>1193</v>
      </c>
      <c r="B68" s="606">
        <v>31.072240147805161</v>
      </c>
    </row>
    <row r="69" spans="1:2">
      <c r="A69" s="576" t="s">
        <v>1108</v>
      </c>
      <c r="B69" s="606">
        <v>5132.3797690028268</v>
      </c>
    </row>
    <row r="70" spans="1:2">
      <c r="A70" s="576" t="s">
        <v>1109</v>
      </c>
      <c r="B70" s="606">
        <v>8058.9074153369875</v>
      </c>
    </row>
    <row r="71" spans="1:2">
      <c r="A71" s="576" t="s">
        <v>1110</v>
      </c>
      <c r="B71" s="606">
        <v>4906.9750637164188</v>
      </c>
    </row>
    <row r="72" spans="1:2">
      <c r="A72" s="576" t="s">
        <v>1111</v>
      </c>
      <c r="B72" s="606">
        <v>303.43950681204251</v>
      </c>
    </row>
    <row r="73" spans="1:2">
      <c r="A73" s="576" t="s">
        <v>1112</v>
      </c>
      <c r="B73" s="606">
        <v>4806.5969156464289</v>
      </c>
    </row>
    <row r="74" spans="1:2">
      <c r="A74" s="576" t="s">
        <v>1113</v>
      </c>
      <c r="B74" s="606">
        <v>4196.9937256633893</v>
      </c>
    </row>
    <row r="75" spans="1:2">
      <c r="A75" s="576" t="s">
        <v>1114</v>
      </c>
      <c r="B75" s="606">
        <v>467.02080746845559</v>
      </c>
    </row>
    <row r="76" spans="1:2">
      <c r="A76" s="576" t="s">
        <v>1116</v>
      </c>
      <c r="B76" s="606">
        <v>5870.2846120755366</v>
      </c>
    </row>
    <row r="77" spans="1:2">
      <c r="A77" s="576" t="s">
        <v>1118</v>
      </c>
      <c r="B77" s="606">
        <v>2586.6908502066149</v>
      </c>
    </row>
    <row r="78" spans="1:2">
      <c r="A78" s="576" t="s">
        <v>1120</v>
      </c>
      <c r="B78" s="606">
        <v>1271.4204487058316</v>
      </c>
    </row>
    <row r="79" spans="1:2">
      <c r="A79" s="576" t="s">
        <v>1128</v>
      </c>
      <c r="B79" s="606">
        <v>0</v>
      </c>
    </row>
    <row r="80" spans="1:2">
      <c r="A80" s="576" t="s">
        <v>1129</v>
      </c>
      <c r="B80" s="606">
        <v>2799.0285260820801</v>
      </c>
    </row>
    <row r="81" spans="1:2">
      <c r="A81" s="576" t="s">
        <v>1130</v>
      </c>
      <c r="B81" s="606">
        <v>6472.7411146628019</v>
      </c>
    </row>
    <row r="82" spans="1:2">
      <c r="A82" s="576" t="s">
        <v>1131</v>
      </c>
      <c r="B82" s="606">
        <v>27.136808407488971</v>
      </c>
    </row>
    <row r="83" spans="1:2">
      <c r="A83" s="576" t="s">
        <v>1132</v>
      </c>
      <c r="B83" s="606">
        <v>19.000021557002036</v>
      </c>
    </row>
    <row r="84" spans="1:2">
      <c r="A84" s="576" t="s">
        <v>1133</v>
      </c>
      <c r="B84" s="606">
        <v>10743.450417344277</v>
      </c>
    </row>
    <row r="85" spans="1:2">
      <c r="A85" s="576" t="s">
        <v>1134</v>
      </c>
      <c r="B85" s="606">
        <v>1891.0707575406561</v>
      </c>
    </row>
    <row r="86" spans="1:2">
      <c r="A86" s="576" t="s">
        <v>1135</v>
      </c>
      <c r="B86" s="606">
        <v>23861.18916507109</v>
      </c>
    </row>
    <row r="87" spans="1:2">
      <c r="A87" s="576" t="s">
        <v>1136</v>
      </c>
      <c r="B87" s="606">
        <v>34.301756634766008</v>
      </c>
    </row>
    <row r="88" spans="1:2">
      <c r="A88" s="576" t="s">
        <v>1138</v>
      </c>
      <c r="B88" s="606">
        <v>60776.354175566812</v>
      </c>
    </row>
    <row r="89" spans="1:2">
      <c r="A89" s="576" t="s">
        <v>1139</v>
      </c>
      <c r="B89" s="606">
        <v>33.037143635468937</v>
      </c>
    </row>
    <row r="90" spans="1:2">
      <c r="A90" s="576" t="s">
        <v>1140</v>
      </c>
      <c r="B90" s="606">
        <v>117.60304239702643</v>
      </c>
    </row>
    <row r="91" spans="1:2">
      <c r="A91" s="576" t="s">
        <v>1141</v>
      </c>
      <c r="B91" s="606">
        <v>148.73104289001259</v>
      </c>
    </row>
    <row r="92" spans="1:2">
      <c r="A92" s="576" t="s">
        <v>1142</v>
      </c>
      <c r="B92" s="606">
        <v>247.93485686505159</v>
      </c>
    </row>
    <row r="93" spans="1:2">
      <c r="A93" s="576" t="s">
        <v>1143</v>
      </c>
      <c r="B93" s="606">
        <v>126.65240983038595</v>
      </c>
    </row>
    <row r="94" spans="1:2">
      <c r="A94" s="576" t="s">
        <v>1145</v>
      </c>
      <c r="B94" s="606">
        <v>1036.3737596020239</v>
      </c>
    </row>
    <row r="95" spans="1:2">
      <c r="A95" s="576" t="s">
        <v>1146</v>
      </c>
      <c r="B95" s="606">
        <v>9963.2045577864374</v>
      </c>
    </row>
    <row r="96" spans="1:2">
      <c r="A96" s="576" t="s">
        <v>1148</v>
      </c>
      <c r="B96" s="606">
        <v>1920.6199985919368</v>
      </c>
    </row>
    <row r="97" spans="1:3">
      <c r="A97" s="576" t="s">
        <v>1150</v>
      </c>
      <c r="B97" s="606">
        <v>22347.144231741575</v>
      </c>
    </row>
    <row r="98" spans="1:3">
      <c r="A98" s="576" t="s">
        <v>1152</v>
      </c>
      <c r="B98" s="606">
        <v>0.20199244001206207</v>
      </c>
    </row>
    <row r="99" spans="1:3">
      <c r="A99" s="576" t="s">
        <v>1153</v>
      </c>
      <c r="B99" s="606">
        <v>811.46562851064095</v>
      </c>
    </row>
    <row r="100" spans="1:3">
      <c r="A100" s="576" t="s">
        <v>1154</v>
      </c>
      <c r="B100" s="606">
        <v>144.46677681594014</v>
      </c>
      <c r="C100" s="579" t="s">
        <v>376</v>
      </c>
    </row>
    <row r="101" spans="1:3">
      <c r="A101" s="576" t="s">
        <v>1155</v>
      </c>
      <c r="B101" s="606">
        <v>2.4958629001524755</v>
      </c>
      <c r="C101" s="580">
        <f>SUM(B69:B101)</f>
        <v>181124.91316150819</v>
      </c>
    </row>
    <row r="102" spans="1:3">
      <c r="A102" s="607" t="s">
        <v>172</v>
      </c>
      <c r="B102" s="608">
        <f>SUM(B58:B101)</f>
        <v>350859.24465439818</v>
      </c>
    </row>
    <row r="105" spans="1:3" ht="25">
      <c r="A105" s="609" t="s">
        <v>1200</v>
      </c>
      <c r="B105" s="611"/>
    </row>
    <row r="106" spans="1:3">
      <c r="A106" s="576" t="s">
        <v>1183</v>
      </c>
      <c r="B106" s="606">
        <f t="shared" ref="B106:B150" si="0">B58-B10</f>
        <v>-35252.711863904988</v>
      </c>
    </row>
    <row r="107" spans="1:3">
      <c r="A107" s="576" t="s">
        <v>1184</v>
      </c>
      <c r="B107" s="606">
        <f t="shared" si="0"/>
        <v>-6506.6110834484243</v>
      </c>
    </row>
    <row r="108" spans="1:3">
      <c r="A108" s="576" t="s">
        <v>1185</v>
      </c>
      <c r="B108" s="606">
        <f t="shared" si="0"/>
        <v>-914.82419839627528</v>
      </c>
    </row>
    <row r="109" spans="1:3">
      <c r="A109" s="576" t="s">
        <v>1186</v>
      </c>
      <c r="B109" s="606">
        <f t="shared" si="0"/>
        <v>2.5097804377162865E-3</v>
      </c>
    </row>
    <row r="110" spans="1:3">
      <c r="A110" s="576" t="s">
        <v>1187</v>
      </c>
      <c r="B110" s="606">
        <f t="shared" si="0"/>
        <v>2.5</v>
      </c>
    </row>
    <row r="111" spans="1:3">
      <c r="A111" s="576" t="s">
        <v>1188</v>
      </c>
      <c r="B111" s="606">
        <f t="shared" si="0"/>
        <v>0</v>
      </c>
    </row>
    <row r="112" spans="1:3">
      <c r="A112" s="576" t="s">
        <v>1189</v>
      </c>
      <c r="B112" s="606">
        <f t="shared" si="0"/>
        <v>-181.26136277274566</v>
      </c>
    </row>
    <row r="113" spans="1:2">
      <c r="A113" s="576" t="s">
        <v>1190</v>
      </c>
      <c r="B113" s="606">
        <f t="shared" si="0"/>
        <v>-29.120982418822081</v>
      </c>
    </row>
    <row r="114" spans="1:2">
      <c r="A114" s="576" t="s">
        <v>1191</v>
      </c>
      <c r="B114" s="606">
        <f t="shared" si="0"/>
        <v>-3.0374551505835843</v>
      </c>
    </row>
    <row r="115" spans="1:2">
      <c r="A115" s="576" t="s">
        <v>1192</v>
      </c>
      <c r="B115" s="606">
        <f t="shared" si="0"/>
        <v>-28.415741156871619</v>
      </c>
    </row>
    <row r="116" spans="1:2">
      <c r="A116" s="576" t="s">
        <v>1193</v>
      </c>
      <c r="B116" s="606">
        <f t="shared" si="0"/>
        <v>-7.8606424747987731</v>
      </c>
    </row>
    <row r="117" spans="1:2">
      <c r="A117" s="576" t="s">
        <v>1108</v>
      </c>
      <c r="B117" s="606">
        <f t="shared" si="0"/>
        <v>-1206.3807033736748</v>
      </c>
    </row>
    <row r="118" spans="1:2">
      <c r="A118" s="576" t="s">
        <v>1109</v>
      </c>
      <c r="B118" s="606">
        <f t="shared" si="0"/>
        <v>-1814.4041371801977</v>
      </c>
    </row>
    <row r="119" spans="1:2">
      <c r="A119" s="576" t="s">
        <v>1110</v>
      </c>
      <c r="B119" s="606">
        <f t="shared" si="0"/>
        <v>-1110.0773712844421</v>
      </c>
    </row>
    <row r="120" spans="1:2">
      <c r="A120" s="576" t="s">
        <v>1111</v>
      </c>
      <c r="B120" s="606">
        <f t="shared" si="0"/>
        <v>-73.006419001534255</v>
      </c>
    </row>
    <row r="121" spans="1:2">
      <c r="A121" s="576" t="s">
        <v>1112</v>
      </c>
      <c r="B121" s="606">
        <f t="shared" si="0"/>
        <v>-1108.3450734518383</v>
      </c>
    </row>
    <row r="122" spans="1:2">
      <c r="A122" s="576" t="s">
        <v>1113</v>
      </c>
      <c r="B122" s="606">
        <f t="shared" si="0"/>
        <v>-959.58830188837965</v>
      </c>
    </row>
    <row r="123" spans="1:2">
      <c r="A123" s="576" t="s">
        <v>1114</v>
      </c>
      <c r="B123" s="606">
        <f t="shared" si="0"/>
        <v>-111.70794968535972</v>
      </c>
    </row>
    <row r="124" spans="1:2">
      <c r="A124" s="576" t="s">
        <v>1116</v>
      </c>
      <c r="B124" s="606">
        <f t="shared" si="0"/>
        <v>-1343.3620684078514</v>
      </c>
    </row>
    <row r="125" spans="1:2">
      <c r="A125" s="576" t="s">
        <v>1118</v>
      </c>
      <c r="B125" s="606">
        <f t="shared" si="0"/>
        <v>-587.70424741067427</v>
      </c>
    </row>
    <row r="126" spans="1:2">
      <c r="A126" s="576" t="s">
        <v>1120</v>
      </c>
      <c r="B126" s="606">
        <f t="shared" si="0"/>
        <v>-279.02521910950122</v>
      </c>
    </row>
    <row r="127" spans="1:2">
      <c r="A127" s="576" t="s">
        <v>1128</v>
      </c>
      <c r="B127" s="606">
        <f t="shared" si="0"/>
        <v>0</v>
      </c>
    </row>
    <row r="128" spans="1:2">
      <c r="A128" s="576" t="s">
        <v>1129</v>
      </c>
      <c r="B128" s="606">
        <f t="shared" si="0"/>
        <v>-720.13994512902036</v>
      </c>
    </row>
    <row r="129" spans="1:2">
      <c r="A129" s="576" t="s">
        <v>1130</v>
      </c>
      <c r="B129" s="606">
        <f t="shared" si="0"/>
        <v>-1776.386605910353</v>
      </c>
    </row>
    <row r="130" spans="1:2">
      <c r="A130" s="576" t="s">
        <v>1131</v>
      </c>
      <c r="B130" s="606">
        <f t="shared" si="0"/>
        <v>-6.3366205623413805</v>
      </c>
    </row>
    <row r="131" spans="1:2">
      <c r="A131" s="576" t="s">
        <v>1132</v>
      </c>
      <c r="B131" s="606">
        <f t="shared" si="0"/>
        <v>-6.3664198390216988</v>
      </c>
    </row>
    <row r="132" spans="1:2">
      <c r="A132" s="576" t="s">
        <v>1133</v>
      </c>
      <c r="B132" s="606">
        <f t="shared" si="0"/>
        <v>-2830.9245474046547</v>
      </c>
    </row>
    <row r="133" spans="1:2">
      <c r="A133" s="576" t="s">
        <v>1134</v>
      </c>
      <c r="B133" s="606">
        <f t="shared" si="0"/>
        <v>-488.71774656127468</v>
      </c>
    </row>
    <row r="134" spans="1:2">
      <c r="A134" s="576" t="s">
        <v>1135</v>
      </c>
      <c r="B134" s="606">
        <f t="shared" si="0"/>
        <v>-5869.3848425219185</v>
      </c>
    </row>
    <row r="135" spans="1:2">
      <c r="A135" s="576" t="s">
        <v>1136</v>
      </c>
      <c r="B135" s="606">
        <f t="shared" si="0"/>
        <v>-8.4980493408242239</v>
      </c>
    </row>
    <row r="136" spans="1:2">
      <c r="A136" s="576" t="s">
        <v>1138</v>
      </c>
      <c r="B136" s="606">
        <f t="shared" si="0"/>
        <v>-15436.357077025968</v>
      </c>
    </row>
    <row r="137" spans="1:2">
      <c r="A137" s="576" t="s">
        <v>1139</v>
      </c>
      <c r="B137" s="606">
        <f t="shared" si="0"/>
        <v>-6.1561749687241019</v>
      </c>
    </row>
    <row r="138" spans="1:2">
      <c r="A138" s="576" t="s">
        <v>1140</v>
      </c>
      <c r="B138" s="606">
        <f t="shared" si="0"/>
        <v>-39.405762777664762</v>
      </c>
    </row>
    <row r="139" spans="1:2">
      <c r="A139" s="576" t="s">
        <v>1141</v>
      </c>
      <c r="B139" s="606">
        <f t="shared" si="0"/>
        <v>-46.242803889186746</v>
      </c>
    </row>
    <row r="140" spans="1:2">
      <c r="A140" s="576" t="s">
        <v>1142</v>
      </c>
      <c r="B140" s="606">
        <f t="shared" si="0"/>
        <v>-72.198117151181862</v>
      </c>
    </row>
    <row r="141" spans="1:2">
      <c r="A141" s="576" t="s">
        <v>1143</v>
      </c>
      <c r="B141" s="606">
        <f t="shared" si="0"/>
        <v>-24.363354033230422</v>
      </c>
    </row>
    <row r="142" spans="1:2">
      <c r="A142" s="576" t="s">
        <v>1145</v>
      </c>
      <c r="B142" s="606">
        <f t="shared" si="0"/>
        <v>-267.83574245275327</v>
      </c>
    </row>
    <row r="143" spans="1:2">
      <c r="A143" s="576" t="s">
        <v>1146</v>
      </c>
      <c r="B143" s="606">
        <f t="shared" si="0"/>
        <v>-2466.4464229666901</v>
      </c>
    </row>
    <row r="144" spans="1:2">
      <c r="A144" s="576" t="s">
        <v>1148</v>
      </c>
      <c r="B144" s="606">
        <f t="shared" si="0"/>
        <v>-481.25137248942224</v>
      </c>
    </row>
    <row r="145" spans="1:3">
      <c r="A145" s="576" t="s">
        <v>1150</v>
      </c>
      <c r="B145" s="606">
        <f t="shared" si="0"/>
        <v>-5559.1123987425381</v>
      </c>
    </row>
    <row r="146" spans="1:3">
      <c r="A146" s="576" t="s">
        <v>1152</v>
      </c>
      <c r="B146" s="606">
        <f t="shared" si="0"/>
        <v>-6.7682485178616913E-2</v>
      </c>
    </row>
    <row r="147" spans="1:3">
      <c r="A147" s="576" t="s">
        <v>1153</v>
      </c>
      <c r="B147" s="606">
        <f t="shared" si="0"/>
        <v>-205.86859450703105</v>
      </c>
    </row>
    <row r="148" spans="1:3">
      <c r="A148" s="576" t="s">
        <v>1154</v>
      </c>
      <c r="B148" s="606">
        <f t="shared" si="0"/>
        <v>-34.801940954004692</v>
      </c>
      <c r="C148" s="579" t="s">
        <v>376</v>
      </c>
    </row>
    <row r="149" spans="1:3">
      <c r="A149" s="576" t="s">
        <v>1155</v>
      </c>
      <c r="B149" s="606">
        <f t="shared" si="0"/>
        <v>-1.0608131521091444</v>
      </c>
      <c r="C149" s="580">
        <f>SUM(B117:B149)</f>
        <v>-44941.524525658555</v>
      </c>
    </row>
    <row r="150" spans="1:3">
      <c r="A150" s="607" t="s">
        <v>172</v>
      </c>
      <c r="B150" s="608">
        <f t="shared" si="0"/>
        <v>-87862.865345601691</v>
      </c>
    </row>
    <row r="153" spans="1:3">
      <c r="A153" s="23" t="s">
        <v>2</v>
      </c>
      <c r="B153" s="24" t="s">
        <v>3</v>
      </c>
    </row>
  </sheetData>
  <pageMargins left="0.7" right="0.7" top="0.75" bottom="0.75" header="0.3" footer="0.3"/>
  <pageSetup scale="79" fitToHeight="100" orientation="portrait" horizontalDpi="1200" verticalDpi="1200" r:id="rId1"/>
  <rowBreaks count="2" manualBreakCount="2">
    <brk id="54" max="16383" man="1"/>
    <brk id="104"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817EB-2263-49FB-AAF3-28F1E0148B50}">
  <sheetPr>
    <pageSetUpPr fitToPage="1"/>
  </sheetPr>
  <dimension ref="A1:L49"/>
  <sheetViews>
    <sheetView workbookViewId="0">
      <pane ySplit="8" topLeftCell="A9" activePane="bottomLeft" state="frozen"/>
      <selection activeCell="A3" sqref="A3:C3"/>
      <selection pane="bottomLeft" activeCell="A3" sqref="A3:C3"/>
    </sheetView>
  </sheetViews>
  <sheetFormatPr defaultColWidth="9.1796875" defaultRowHeight="12.5"/>
  <cols>
    <col min="1" max="1" width="4.54296875" style="24" customWidth="1"/>
    <col min="2" max="2" width="12.26953125" style="24" bestFit="1" customWidth="1"/>
    <col min="3" max="4" width="17.26953125" style="24" bestFit="1" customWidth="1"/>
    <col min="5" max="5" width="16.81640625" style="24" bestFit="1" customWidth="1"/>
    <col min="6" max="6" width="2.7265625" style="24" customWidth="1"/>
    <col min="7" max="7" width="17.453125" style="24" customWidth="1"/>
    <col min="8" max="8" width="17.1796875" style="24" customWidth="1"/>
    <col min="9" max="9" width="12.7265625" style="24" customWidth="1"/>
    <col min="10" max="10" width="12" style="24" bestFit="1" customWidth="1"/>
    <col min="11" max="16384" width="9.1796875" style="24"/>
  </cols>
  <sheetData>
    <row r="1" spans="1:12">
      <c r="A1" s="7" t="s">
        <v>0</v>
      </c>
    </row>
    <row r="2" spans="1:12">
      <c r="A2" s="43" t="s">
        <v>1201</v>
      </c>
    </row>
    <row r="3" spans="1:12">
      <c r="A3" s="7" t="s">
        <v>119</v>
      </c>
    </row>
    <row r="4" spans="1:12">
      <c r="A4" s="43" t="s">
        <v>1157</v>
      </c>
    </row>
    <row r="6" spans="1:12" ht="51" customHeight="1">
      <c r="A6" s="784" t="s">
        <v>418</v>
      </c>
      <c r="B6" s="780" t="s">
        <v>187</v>
      </c>
      <c r="C6" s="781" t="s">
        <v>1202</v>
      </c>
      <c r="D6" s="781" t="s">
        <v>1203</v>
      </c>
      <c r="E6" s="781" t="s">
        <v>1204</v>
      </c>
      <c r="F6" s="573"/>
      <c r="G6" s="781" t="s">
        <v>1205</v>
      </c>
      <c r="H6" s="781" t="s">
        <v>1206</v>
      </c>
      <c r="I6" s="781" t="s">
        <v>1207</v>
      </c>
      <c r="J6" s="553" t="s">
        <v>1164</v>
      </c>
    </row>
    <row r="7" spans="1:12">
      <c r="A7" s="784"/>
      <c r="B7" s="780"/>
      <c r="C7" s="781"/>
      <c r="D7" s="781"/>
      <c r="E7" s="781"/>
      <c r="F7" s="573"/>
      <c r="G7" s="781"/>
      <c r="H7" s="781"/>
      <c r="I7" s="781"/>
      <c r="J7" s="574">
        <v>0.99099999999999999</v>
      </c>
    </row>
    <row r="8" spans="1:12">
      <c r="B8" s="573" t="s">
        <v>1165</v>
      </c>
      <c r="C8" s="573" t="s">
        <v>1166</v>
      </c>
      <c r="D8" s="573" t="s">
        <v>1167</v>
      </c>
      <c r="E8" s="573" t="s">
        <v>1168</v>
      </c>
      <c r="F8" s="573"/>
      <c r="G8" s="573" t="s">
        <v>1169</v>
      </c>
      <c r="H8" s="573" t="s">
        <v>1170</v>
      </c>
      <c r="I8" s="573" t="s">
        <v>1171</v>
      </c>
      <c r="J8" s="573" t="s">
        <v>1172</v>
      </c>
    </row>
    <row r="9" spans="1:12">
      <c r="A9" s="24">
        <v>1</v>
      </c>
      <c r="B9" s="24" t="s">
        <v>1108</v>
      </c>
      <c r="C9" s="579">
        <f>W28_PG_2_of_4!B20</f>
        <v>1373984.7238660667</v>
      </c>
      <c r="D9" s="579">
        <f>W28_PG_2_of_4!E20</f>
        <v>1463085.5843293238</v>
      </c>
      <c r="E9" s="579">
        <f>D9-C9</f>
        <v>89100.860463257181</v>
      </c>
      <c r="F9" s="579"/>
      <c r="G9" s="579">
        <f>W28_PG_2_of_4!I20</f>
        <v>1514293.5797808501</v>
      </c>
      <c r="H9" s="579">
        <f>G9-D9</f>
        <v>51207.995451526251</v>
      </c>
      <c r="I9" s="579">
        <f>E9+H9</f>
        <v>140308.85591478343</v>
      </c>
      <c r="J9" s="579">
        <f>I9*J$7</f>
        <v>139046.07621155039</v>
      </c>
      <c r="L9" s="579"/>
    </row>
    <row r="10" spans="1:12">
      <c r="A10" s="24">
        <f>A9+1</f>
        <v>2</v>
      </c>
      <c r="B10" s="24" t="s">
        <v>1109</v>
      </c>
      <c r="C10" s="579">
        <f>W28_PG_2_of_4!B21</f>
        <v>1733331.7852750956</v>
      </c>
      <c r="D10" s="579">
        <f>W28_PG_2_of_4!E21</f>
        <v>1845735.7668141068</v>
      </c>
      <c r="E10" s="579">
        <f t="shared" ref="E10:E44" si="0">D10-C10</f>
        <v>112403.98153901123</v>
      </c>
      <c r="F10" s="579"/>
      <c r="G10" s="579">
        <f>W28_PG_2_of_4!I21</f>
        <v>1910336.5186526002</v>
      </c>
      <c r="H10" s="579">
        <f t="shared" ref="H10:H44" si="1">G10-D10</f>
        <v>64600.751838493394</v>
      </c>
      <c r="I10" s="579">
        <f t="shared" ref="I10:I44" si="2">E10+H10</f>
        <v>177004.73337750463</v>
      </c>
      <c r="J10" s="579">
        <f t="shared" ref="J10:J44" si="3">I10*J$7</f>
        <v>175411.69077710708</v>
      </c>
      <c r="L10" s="579"/>
    </row>
    <row r="11" spans="1:12">
      <c r="A11" s="24">
        <f t="shared" ref="A11:A45" si="4">A10+1</f>
        <v>3</v>
      </c>
      <c r="B11" s="24" t="s">
        <v>1110</v>
      </c>
      <c r="C11" s="579">
        <f>W28_PG_2_of_4!B22</f>
        <v>1059951.298564014</v>
      </c>
      <c r="D11" s="579">
        <f>W28_PG_2_of_4!E22</f>
        <v>1128687.5596815769</v>
      </c>
      <c r="E11" s="579">
        <f t="shared" si="0"/>
        <v>68736.261117562884</v>
      </c>
      <c r="F11" s="579"/>
      <c r="G11" s="579">
        <f>W28_PG_2_of_4!I22</f>
        <v>1168191.6242704322</v>
      </c>
      <c r="H11" s="579">
        <f t="shared" si="1"/>
        <v>39504.064588855254</v>
      </c>
      <c r="I11" s="579">
        <f t="shared" si="2"/>
        <v>108240.32570641814</v>
      </c>
      <c r="J11" s="579">
        <f t="shared" si="3"/>
        <v>107266.16277506038</v>
      </c>
      <c r="L11" s="579"/>
    </row>
    <row r="12" spans="1:12">
      <c r="A12" s="24">
        <f t="shared" si="4"/>
        <v>4</v>
      </c>
      <c r="B12" s="24" t="s">
        <v>1111</v>
      </c>
      <c r="C12" s="579">
        <f>W28_PG_2_of_4!B23</f>
        <v>79289.830839874063</v>
      </c>
      <c r="D12" s="579">
        <f>W28_PG_2_of_4!E23</f>
        <v>84431.658133222882</v>
      </c>
      <c r="E12" s="579">
        <f t="shared" si="0"/>
        <v>5141.8272933488188</v>
      </c>
      <c r="F12" s="579"/>
      <c r="G12" s="579">
        <f>W28_PG_2_of_4!I23</f>
        <v>87386.766167885682</v>
      </c>
      <c r="H12" s="579">
        <f t="shared" si="1"/>
        <v>2955.1080346628005</v>
      </c>
      <c r="I12" s="579">
        <f t="shared" si="2"/>
        <v>8096.9353280116193</v>
      </c>
      <c r="J12" s="579">
        <f t="shared" si="3"/>
        <v>8024.0629100595143</v>
      </c>
      <c r="L12" s="579"/>
    </row>
    <row r="13" spans="1:12">
      <c r="A13" s="24">
        <f t="shared" si="4"/>
        <v>5</v>
      </c>
      <c r="B13" s="24" t="s">
        <v>1112</v>
      </c>
      <c r="C13" s="579">
        <f>W28_PG_2_of_4!B24</f>
        <v>1199769.747290879</v>
      </c>
      <c r="D13" s="579">
        <f>W28_PG_2_of_4!E24</f>
        <v>1277573.0263117761</v>
      </c>
      <c r="E13" s="579">
        <f>D13-C13</f>
        <v>77803.279020897113</v>
      </c>
      <c r="F13" s="579"/>
      <c r="G13" s="579">
        <f>W28_PG_2_of_4!I24</f>
        <v>1322288.0822326883</v>
      </c>
      <c r="H13" s="579">
        <f t="shared" si="1"/>
        <v>44715.055920912186</v>
      </c>
      <c r="I13" s="579">
        <f t="shared" si="2"/>
        <v>122518.3349418093</v>
      </c>
      <c r="J13" s="579">
        <f t="shared" si="3"/>
        <v>121415.66992733302</v>
      </c>
      <c r="L13" s="579"/>
    </row>
    <row r="14" spans="1:12">
      <c r="A14" s="24">
        <f t="shared" si="4"/>
        <v>6</v>
      </c>
      <c r="B14" s="24" t="s">
        <v>1113</v>
      </c>
      <c r="C14" s="579">
        <f>W28_PG_2_of_4!B25</f>
        <v>1121280.0635272923</v>
      </c>
      <c r="D14" s="579">
        <f>W28_PG_2_of_4!E25</f>
        <v>1193993.4035995621</v>
      </c>
      <c r="E14" s="579">
        <f t="shared" si="0"/>
        <v>72713.340072269784</v>
      </c>
      <c r="F14" s="579"/>
      <c r="G14" s="579">
        <f>W28_PG_2_of_4!I25</f>
        <v>1235783.1727255471</v>
      </c>
      <c r="H14" s="579">
        <f t="shared" si="1"/>
        <v>41789.769125984982</v>
      </c>
      <c r="I14" s="579">
        <f t="shared" si="2"/>
        <v>114503.10919825477</v>
      </c>
      <c r="J14" s="579">
        <f t="shared" si="3"/>
        <v>113472.58121547048</v>
      </c>
      <c r="L14" s="579"/>
    </row>
    <row r="15" spans="1:12">
      <c r="A15" s="24">
        <f t="shared" si="4"/>
        <v>7</v>
      </c>
      <c r="B15" s="24" t="s">
        <v>1114</v>
      </c>
      <c r="C15" s="579">
        <f>W28_PG_2_of_4!B26</f>
        <v>140591.34500340928</v>
      </c>
      <c r="D15" s="579">
        <f>W28_PG_2_of_4!E26</f>
        <v>149708.48407773825</v>
      </c>
      <c r="E15" s="579">
        <f t="shared" si="0"/>
        <v>9117.1390743289667</v>
      </c>
      <c r="F15" s="579"/>
      <c r="G15" s="579">
        <f>W28_PG_2_of_4!I26</f>
        <v>154948.28102045908</v>
      </c>
      <c r="H15" s="579">
        <f t="shared" si="1"/>
        <v>5239.79694272083</v>
      </c>
      <c r="I15" s="579">
        <f t="shared" si="2"/>
        <v>14356.936017049797</v>
      </c>
      <c r="J15" s="579">
        <f t="shared" si="3"/>
        <v>14227.723592896349</v>
      </c>
      <c r="L15" s="579"/>
    </row>
    <row r="16" spans="1:12">
      <c r="A16" s="24">
        <f t="shared" si="4"/>
        <v>8</v>
      </c>
      <c r="B16" s="24" t="s">
        <v>1116</v>
      </c>
      <c r="C16" s="579">
        <f>W28_PG_2_of_4!B27</f>
        <v>1502711.1881276635</v>
      </c>
      <c r="D16" s="579">
        <f>W28_PG_2_of_4!E27</f>
        <v>1600159.7678419966</v>
      </c>
      <c r="E16" s="579">
        <f t="shared" si="0"/>
        <v>97448.579714333173</v>
      </c>
      <c r="F16" s="579"/>
      <c r="G16" s="579">
        <f>W28_PG_2_of_4!I27</f>
        <v>1656165.3597164664</v>
      </c>
      <c r="H16" s="579">
        <f t="shared" si="1"/>
        <v>56005.59187446977</v>
      </c>
      <c r="I16" s="579">
        <f t="shared" si="2"/>
        <v>153454.17158880294</v>
      </c>
      <c r="J16" s="579">
        <f t="shared" si="3"/>
        <v>152073.08404450372</v>
      </c>
      <c r="L16" s="579"/>
    </row>
    <row r="17" spans="1:12">
      <c r="A17" s="24">
        <f t="shared" si="4"/>
        <v>9</v>
      </c>
      <c r="B17" s="24" t="s">
        <v>1118</v>
      </c>
      <c r="C17" s="579">
        <f>W28_PG_2_of_4!B28</f>
        <v>595645.2000386368</v>
      </c>
      <c r="D17" s="579">
        <f>W28_PG_2_of_4!E28</f>
        <v>634271.90303786518</v>
      </c>
      <c r="E17" s="579">
        <f t="shared" si="0"/>
        <v>38626.702999228379</v>
      </c>
      <c r="F17" s="579"/>
      <c r="G17" s="579">
        <f>W28_PG_2_of_4!I28</f>
        <v>656471.41964419046</v>
      </c>
      <c r="H17" s="579">
        <f t="shared" si="1"/>
        <v>22199.516606325284</v>
      </c>
      <c r="I17" s="579">
        <f t="shared" si="2"/>
        <v>60826.219605553662</v>
      </c>
      <c r="J17" s="579">
        <f t="shared" si="3"/>
        <v>60278.78362910368</v>
      </c>
      <c r="L17" s="579"/>
    </row>
    <row r="18" spans="1:12">
      <c r="A18" s="24">
        <f t="shared" si="4"/>
        <v>10</v>
      </c>
      <c r="B18" s="24" t="s">
        <v>1120</v>
      </c>
      <c r="C18" s="579">
        <f>W28_PG_2_of_4!B29</f>
        <v>324410.69348271529</v>
      </c>
      <c r="D18" s="579">
        <f>W28_PG_2_of_4!E29</f>
        <v>345448.24319539283</v>
      </c>
      <c r="E18" s="579">
        <f t="shared" si="0"/>
        <v>21037.549712677544</v>
      </c>
      <c r="F18" s="579"/>
      <c r="G18" s="579">
        <f>W28_PG_2_of_4!I29</f>
        <v>357538.93170723156</v>
      </c>
      <c r="H18" s="579">
        <f t="shared" si="1"/>
        <v>12090.688511838729</v>
      </c>
      <c r="I18" s="579">
        <f t="shared" si="2"/>
        <v>33128.238224516273</v>
      </c>
      <c r="J18" s="579">
        <f t="shared" si="3"/>
        <v>32830.084080495624</v>
      </c>
      <c r="L18" s="579"/>
    </row>
    <row r="19" spans="1:12">
      <c r="A19" s="24">
        <f t="shared" si="4"/>
        <v>11</v>
      </c>
      <c r="B19" s="24" t="s">
        <v>1125</v>
      </c>
      <c r="C19" s="579">
        <f>W28_PG_2_of_4!B30</f>
        <v>-4527.2801246902509</v>
      </c>
      <c r="D19" s="579">
        <f>W28_PG_2_of_4!E30</f>
        <v>-4820.8674897179162</v>
      </c>
      <c r="E19" s="579">
        <f t="shared" si="0"/>
        <v>-293.58736502766533</v>
      </c>
      <c r="F19" s="579"/>
      <c r="G19" s="579">
        <f>W28_PG_2_of_4!I30</f>
        <v>-4989.5978518580432</v>
      </c>
      <c r="H19" s="579">
        <f t="shared" si="1"/>
        <v>-168.730362140127</v>
      </c>
      <c r="I19" s="579">
        <f t="shared" si="2"/>
        <v>-462.31772716779233</v>
      </c>
      <c r="J19" s="579">
        <f t="shared" si="3"/>
        <v>-458.15686762328221</v>
      </c>
      <c r="L19" s="579"/>
    </row>
    <row r="20" spans="1:12">
      <c r="A20" s="24">
        <f t="shared" si="4"/>
        <v>12</v>
      </c>
      <c r="B20" s="24" t="s">
        <v>1127</v>
      </c>
      <c r="C20" s="579">
        <f>W28_PG_2_of_4!B31</f>
        <v>0</v>
      </c>
      <c r="D20" s="579">
        <f>W28_PG_2_of_4!E31</f>
        <v>0</v>
      </c>
      <c r="E20" s="579">
        <f t="shared" si="0"/>
        <v>0</v>
      </c>
      <c r="F20" s="579"/>
      <c r="G20" s="579">
        <f>W28_PG_2_of_4!I31</f>
        <v>0</v>
      </c>
      <c r="H20" s="579">
        <f t="shared" si="1"/>
        <v>0</v>
      </c>
      <c r="I20" s="579">
        <f t="shared" si="2"/>
        <v>0</v>
      </c>
      <c r="J20" s="579">
        <f t="shared" si="3"/>
        <v>0</v>
      </c>
      <c r="L20" s="579"/>
    </row>
    <row r="21" spans="1:12">
      <c r="A21" s="24">
        <f t="shared" si="4"/>
        <v>13</v>
      </c>
      <c r="B21" s="24" t="s">
        <v>1128</v>
      </c>
      <c r="C21" s="579">
        <f>W28_PG_2_of_4!B32</f>
        <v>46.967784435959153</v>
      </c>
      <c r="D21" s="579">
        <f>W28_PG_2_of_4!E32</f>
        <v>50.013575218495305</v>
      </c>
      <c r="E21" s="579">
        <f t="shared" si="0"/>
        <v>3.0457907825361517</v>
      </c>
      <c r="F21" s="579"/>
      <c r="G21" s="579">
        <f>W28_PG_2_of_4!I32</f>
        <v>51.764050351142636</v>
      </c>
      <c r="H21" s="579">
        <f t="shared" si="1"/>
        <v>1.7504751326473311</v>
      </c>
      <c r="I21" s="579">
        <f t="shared" si="2"/>
        <v>4.7962659151834828</v>
      </c>
      <c r="J21" s="579">
        <f t="shared" si="3"/>
        <v>4.7530995219468313</v>
      </c>
      <c r="L21" s="579"/>
    </row>
    <row r="22" spans="1:12">
      <c r="A22" s="24">
        <f t="shared" si="4"/>
        <v>14</v>
      </c>
      <c r="B22" s="24" t="s">
        <v>1129</v>
      </c>
      <c r="C22" s="579">
        <f>W28_PG_2_of_4!B33</f>
        <v>231292.42194741854</v>
      </c>
      <c r="D22" s="579">
        <f>W28_PG_2_of_4!E33</f>
        <v>246291.3906085538</v>
      </c>
      <c r="E22" s="579">
        <f t="shared" si="0"/>
        <v>14998.968661135266</v>
      </c>
      <c r="F22" s="579"/>
      <c r="G22" s="579">
        <f>W28_PG_2_of_4!I33</f>
        <v>254911.58927985316</v>
      </c>
      <c r="H22" s="579">
        <f t="shared" si="1"/>
        <v>8620.198671299353</v>
      </c>
      <c r="I22" s="579">
        <f t="shared" si="2"/>
        <v>23619.167332434619</v>
      </c>
      <c r="J22" s="579">
        <f t="shared" si="3"/>
        <v>23406.594826442706</v>
      </c>
      <c r="L22" s="579"/>
    </row>
    <row r="23" spans="1:12">
      <c r="A23" s="24">
        <f t="shared" si="4"/>
        <v>15</v>
      </c>
      <c r="B23" s="24" t="s">
        <v>1130</v>
      </c>
      <c r="C23" s="579">
        <f>W28_PG_2_of_4!B34</f>
        <v>-79142.000448352526</v>
      </c>
      <c r="D23" s="579">
        <f>W28_PG_2_of_4!E34</f>
        <v>-84274.241161255137</v>
      </c>
      <c r="E23" s="579">
        <f t="shared" si="0"/>
        <v>-5132.2407129026105</v>
      </c>
      <c r="F23" s="579"/>
      <c r="G23" s="579">
        <f>W28_PG_2_of_4!I34</f>
        <v>-87223.839601899061</v>
      </c>
      <c r="H23" s="579">
        <f t="shared" si="1"/>
        <v>-2949.5984406439238</v>
      </c>
      <c r="I23" s="579">
        <f t="shared" si="2"/>
        <v>-8081.8391535465344</v>
      </c>
      <c r="J23" s="579">
        <f t="shared" si="3"/>
        <v>-8009.1026011646154</v>
      </c>
      <c r="L23" s="579"/>
    </row>
    <row r="24" spans="1:12">
      <c r="A24" s="24">
        <f t="shared" si="4"/>
        <v>16</v>
      </c>
      <c r="B24" s="24" t="s">
        <v>1131</v>
      </c>
      <c r="C24" s="579">
        <f>W28_PG_2_of_4!B35</f>
        <v>1893.5446983320194</v>
      </c>
      <c r="D24" s="579">
        <f>W28_PG_2_of_4!E35</f>
        <v>2016.3382483740415</v>
      </c>
      <c r="E24" s="579">
        <f>D24-C24</f>
        <v>122.79355004202216</v>
      </c>
      <c r="F24" s="579"/>
      <c r="G24" s="579">
        <f>W28_PG_2_of_4!I35</f>
        <v>2086.9100870671327</v>
      </c>
      <c r="H24" s="579">
        <f>G24-D24</f>
        <v>70.571838693091195</v>
      </c>
      <c r="I24" s="579">
        <f t="shared" si="2"/>
        <v>193.36538873511336</v>
      </c>
      <c r="J24" s="579">
        <f t="shared" si="3"/>
        <v>191.62510023649733</v>
      </c>
      <c r="L24" s="579"/>
    </row>
    <row r="25" spans="1:12">
      <c r="A25" s="24">
        <f t="shared" si="4"/>
        <v>17</v>
      </c>
      <c r="B25" s="24" t="s">
        <v>1132</v>
      </c>
      <c r="C25" s="579">
        <f>W28_PG_2_of_4!B36</f>
        <v>2466.8303464134683</v>
      </c>
      <c r="D25" s="579">
        <f>W28_PG_2_of_4!E36</f>
        <v>2626.8006158527519</v>
      </c>
      <c r="E25" s="579">
        <f t="shared" si="0"/>
        <v>159.97026943928358</v>
      </c>
      <c r="F25" s="579"/>
      <c r="G25" s="579">
        <f>W28_PG_2_of_4!I36</f>
        <v>2718.7386374075982</v>
      </c>
      <c r="H25" s="579">
        <f t="shared" si="1"/>
        <v>91.938021554846273</v>
      </c>
      <c r="I25" s="579">
        <f t="shared" si="2"/>
        <v>251.90829099412986</v>
      </c>
      <c r="J25" s="579">
        <f t="shared" si="3"/>
        <v>249.64111637518269</v>
      </c>
      <c r="L25" s="579"/>
    </row>
    <row r="26" spans="1:12">
      <c r="A26" s="24">
        <f t="shared" si="4"/>
        <v>18</v>
      </c>
      <c r="B26" s="24" t="s">
        <v>1133</v>
      </c>
      <c r="C26" s="579">
        <f>W28_PG_2_of_4!B37</f>
        <v>641713.21087466367</v>
      </c>
      <c r="D26" s="579">
        <f>W28_PG_2_of_4!E37</f>
        <v>683327.35568021075</v>
      </c>
      <c r="E26" s="579">
        <f t="shared" si="0"/>
        <v>41614.144805547083</v>
      </c>
      <c r="F26" s="579"/>
      <c r="G26" s="579">
        <f>W28_PG_2_of_4!I37</f>
        <v>707243.81312901806</v>
      </c>
      <c r="H26" s="579">
        <f t="shared" si="1"/>
        <v>23916.457448807312</v>
      </c>
      <c r="I26" s="579">
        <f t="shared" si="2"/>
        <v>65530.602254354395</v>
      </c>
      <c r="J26" s="579">
        <f t="shared" si="3"/>
        <v>64940.826834065207</v>
      </c>
      <c r="L26" s="579"/>
    </row>
    <row r="27" spans="1:12">
      <c r="A27" s="24">
        <f t="shared" si="4"/>
        <v>19</v>
      </c>
      <c r="B27" s="24" t="s">
        <v>1134</v>
      </c>
      <c r="C27" s="579">
        <f>W28_PG_2_of_4!B38</f>
        <v>154609.01306314455</v>
      </c>
      <c r="D27" s="579">
        <f>W28_PG_2_of_4!E38</f>
        <v>164635.17700806772</v>
      </c>
      <c r="E27" s="579">
        <f t="shared" si="0"/>
        <v>10026.163944923173</v>
      </c>
      <c r="F27" s="579"/>
      <c r="G27" s="579">
        <f>W28_PG_2_of_4!I38</f>
        <v>170397.40820335009</v>
      </c>
      <c r="H27" s="579">
        <f t="shared" si="1"/>
        <v>5762.2311952823657</v>
      </c>
      <c r="I27" s="579">
        <f t="shared" si="2"/>
        <v>15788.395140205539</v>
      </c>
      <c r="J27" s="579">
        <f t="shared" si="3"/>
        <v>15646.29958394369</v>
      </c>
      <c r="L27" s="579"/>
    </row>
    <row r="28" spans="1:12">
      <c r="A28" s="24">
        <f t="shared" si="4"/>
        <v>20</v>
      </c>
      <c r="B28" s="24" t="s">
        <v>1135</v>
      </c>
      <c r="C28" s="579">
        <f>W28_PG_2_of_4!B39</f>
        <v>1988485.9296893857</v>
      </c>
      <c r="D28" s="579">
        <f>W28_PG_2_of_4!E39</f>
        <v>2117436.2770090224</v>
      </c>
      <c r="E28" s="579">
        <f t="shared" si="0"/>
        <v>128950.34731963673</v>
      </c>
      <c r="F28" s="579"/>
      <c r="G28" s="579">
        <f>W28_PG_2_of_4!I39</f>
        <v>2191546.5467043379</v>
      </c>
      <c r="H28" s="579">
        <f t="shared" si="1"/>
        <v>74110.26969531551</v>
      </c>
      <c r="I28" s="579">
        <f t="shared" si="2"/>
        <v>203060.61701495224</v>
      </c>
      <c r="J28" s="579">
        <f t="shared" si="3"/>
        <v>201233.07146181766</v>
      </c>
      <c r="L28" s="579"/>
    </row>
    <row r="29" spans="1:12">
      <c r="A29" s="24">
        <f t="shared" si="4"/>
        <v>21</v>
      </c>
      <c r="B29" s="24" t="s">
        <v>1136</v>
      </c>
      <c r="C29" s="579">
        <f>W28_PG_2_of_4!B40</f>
        <v>3306.1509597031027</v>
      </c>
      <c r="D29" s="579">
        <f>W28_PG_2_of_4!E40</f>
        <v>3520.54991932333</v>
      </c>
      <c r="E29" s="579">
        <f t="shared" si="0"/>
        <v>214.39895962022729</v>
      </c>
      <c r="F29" s="579"/>
      <c r="G29" s="579">
        <f>W28_PG_2_of_4!I40</f>
        <v>3643.769166499646</v>
      </c>
      <c r="H29" s="579">
        <f t="shared" si="1"/>
        <v>123.219247176316</v>
      </c>
      <c r="I29" s="579">
        <f t="shared" si="2"/>
        <v>337.61820679654329</v>
      </c>
      <c r="J29" s="579">
        <f t="shared" si="3"/>
        <v>334.57964293537441</v>
      </c>
      <c r="L29" s="579"/>
    </row>
    <row r="30" spans="1:12">
      <c r="A30" s="24">
        <f t="shared" si="4"/>
        <v>22</v>
      </c>
      <c r="B30" s="24" t="s">
        <v>1138</v>
      </c>
      <c r="C30" s="579">
        <f>W28_PG_2_of_4!B41</f>
        <v>2518009.995755346</v>
      </c>
      <c r="D30" s="579">
        <f>W28_PG_2_of_4!E41</f>
        <v>2681299.1891356022</v>
      </c>
      <c r="E30" s="579">
        <f t="shared" si="0"/>
        <v>163289.19338025618</v>
      </c>
      <c r="F30" s="579"/>
      <c r="G30" s="579">
        <f>W28_PG_2_of_4!I41</f>
        <v>2775144.6607553479</v>
      </c>
      <c r="H30" s="579">
        <f t="shared" si="1"/>
        <v>93845.471619745716</v>
      </c>
      <c r="I30" s="579">
        <f t="shared" si="2"/>
        <v>257134.6650000019</v>
      </c>
      <c r="J30" s="579">
        <f t="shared" si="3"/>
        <v>254820.45301500187</v>
      </c>
      <c r="L30" s="579"/>
    </row>
    <row r="31" spans="1:12">
      <c r="A31" s="24">
        <f t="shared" si="4"/>
        <v>23</v>
      </c>
      <c r="B31" s="24" t="s">
        <v>1139</v>
      </c>
      <c r="C31" s="579">
        <f>W28_PG_2_of_4!B42</f>
        <v>1130.464607405047</v>
      </c>
      <c r="D31" s="579">
        <f>W28_PG_2_of_4!E42</f>
        <v>1203.7735514518413</v>
      </c>
      <c r="E31" s="579">
        <f t="shared" si="0"/>
        <v>73.308944046794295</v>
      </c>
      <c r="F31" s="579"/>
      <c r="G31" s="579">
        <f>W28_PG_2_of_4!I42</f>
        <v>1245.9056257526559</v>
      </c>
      <c r="H31" s="579">
        <f t="shared" si="1"/>
        <v>42.132074300814566</v>
      </c>
      <c r="I31" s="579">
        <f t="shared" si="2"/>
        <v>115.44101834760886</v>
      </c>
      <c r="J31" s="579">
        <f t="shared" si="3"/>
        <v>114.40204918248038</v>
      </c>
      <c r="L31" s="579"/>
    </row>
    <row r="32" spans="1:12">
      <c r="A32" s="24">
        <f t="shared" si="4"/>
        <v>24</v>
      </c>
      <c r="B32" s="24" t="s">
        <v>1140</v>
      </c>
      <c r="C32" s="579">
        <f>W28_PG_2_of_4!B43</f>
        <v>6788.390581304142</v>
      </c>
      <c r="D32" s="579">
        <f>W28_PG_2_of_4!E43</f>
        <v>7228.6075876861059</v>
      </c>
      <c r="E32" s="579">
        <f t="shared" si="0"/>
        <v>440.21700638196398</v>
      </c>
      <c r="F32" s="579"/>
      <c r="G32" s="579">
        <f>W28_PG_2_of_4!I43</f>
        <v>7481.6088532551194</v>
      </c>
      <c r="H32" s="579">
        <f t="shared" si="1"/>
        <v>253.00126556901341</v>
      </c>
      <c r="I32" s="579">
        <f t="shared" si="2"/>
        <v>693.2182719509774</v>
      </c>
      <c r="J32" s="579">
        <f t="shared" si="3"/>
        <v>686.97930750341857</v>
      </c>
      <c r="L32" s="579"/>
    </row>
    <row r="33" spans="1:12">
      <c r="A33" s="24">
        <f t="shared" si="4"/>
        <v>25</v>
      </c>
      <c r="B33" s="24" t="s">
        <v>1141</v>
      </c>
      <c r="C33" s="579">
        <f>W28_PG_2_of_4!B44</f>
        <v>16312.416795799094</v>
      </c>
      <c r="D33" s="579">
        <f>W28_PG_2_of_4!E44</f>
        <v>17370.252700008656</v>
      </c>
      <c r="E33" s="579">
        <f t="shared" si="0"/>
        <v>1057.8359042095617</v>
      </c>
      <c r="F33" s="579"/>
      <c r="G33" s="579">
        <f>W28_PG_2_of_4!I44</f>
        <v>17978.211544508958</v>
      </c>
      <c r="H33" s="579">
        <f t="shared" si="1"/>
        <v>607.9588445003028</v>
      </c>
      <c r="I33" s="579">
        <f t="shared" si="2"/>
        <v>1665.7947487098645</v>
      </c>
      <c r="J33" s="579">
        <f t="shared" si="3"/>
        <v>1650.8025959714757</v>
      </c>
      <c r="L33" s="579"/>
    </row>
    <row r="34" spans="1:12">
      <c r="A34" s="24">
        <f t="shared" si="4"/>
        <v>26</v>
      </c>
      <c r="B34" s="24" t="s">
        <v>1142</v>
      </c>
      <c r="C34" s="579">
        <f>W28_PG_2_of_4!B45</f>
        <v>23946.704297071999</v>
      </c>
      <c r="D34" s="579">
        <f>W28_PG_2_of_4!E45</f>
        <v>25499.612361526051</v>
      </c>
      <c r="E34" s="579">
        <f t="shared" si="0"/>
        <v>1552.9080644540518</v>
      </c>
      <c r="F34" s="579"/>
      <c r="G34" s="579">
        <f>W28_PG_2_of_4!I45</f>
        <v>26392.098794179466</v>
      </c>
      <c r="H34" s="579">
        <f t="shared" si="1"/>
        <v>892.48643265341525</v>
      </c>
      <c r="I34" s="579">
        <f t="shared" si="2"/>
        <v>2445.394497107467</v>
      </c>
      <c r="J34" s="579">
        <f t="shared" si="3"/>
        <v>2423.3859466334998</v>
      </c>
      <c r="L34" s="579"/>
    </row>
    <row r="35" spans="1:12">
      <c r="A35" s="24">
        <f t="shared" si="4"/>
        <v>27</v>
      </c>
      <c r="B35" s="24" t="s">
        <v>1143</v>
      </c>
      <c r="C35" s="579">
        <f>W28_PG_2_of_4!B46</f>
        <v>8598.3506431450478</v>
      </c>
      <c r="D35" s="579">
        <f>W28_PG_2_of_4!E46</f>
        <v>9155.9408605335957</v>
      </c>
      <c r="E35" s="579">
        <f t="shared" si="0"/>
        <v>557.5902173885479</v>
      </c>
      <c r="F35" s="579"/>
      <c r="G35" s="579">
        <f>W28_PG_2_of_4!I46</f>
        <v>9476.3987906522725</v>
      </c>
      <c r="H35" s="579">
        <f t="shared" si="1"/>
        <v>320.45793011867681</v>
      </c>
      <c r="I35" s="579">
        <f t="shared" si="2"/>
        <v>878.04814750722471</v>
      </c>
      <c r="J35" s="579">
        <f t="shared" si="3"/>
        <v>870.14571417965965</v>
      </c>
      <c r="L35" s="579"/>
    </row>
    <row r="36" spans="1:12">
      <c r="A36" s="24">
        <f t="shared" si="4"/>
        <v>28</v>
      </c>
      <c r="B36" s="24" t="s">
        <v>1145</v>
      </c>
      <c r="C36" s="579">
        <f>W28_PG_2_of_4!B47</f>
        <v>89673.412191106385</v>
      </c>
      <c r="D36" s="579">
        <f>W28_PG_2_of_4!E47</f>
        <v>95488.599251135704</v>
      </c>
      <c r="E36" s="579">
        <f t="shared" si="0"/>
        <v>5815.1870600293187</v>
      </c>
      <c r="F36" s="579"/>
      <c r="G36" s="579">
        <f>W28_PG_2_of_4!I47</f>
        <v>98830.700224925458</v>
      </c>
      <c r="H36" s="579">
        <f t="shared" si="1"/>
        <v>3342.1009737897548</v>
      </c>
      <c r="I36" s="579">
        <f t="shared" si="2"/>
        <v>9157.2880338190735</v>
      </c>
      <c r="J36" s="579">
        <f t="shared" si="3"/>
        <v>9074.8724415147026</v>
      </c>
      <c r="L36" s="579"/>
    </row>
    <row r="37" spans="1:12">
      <c r="A37" s="24">
        <f t="shared" si="4"/>
        <v>29</v>
      </c>
      <c r="B37" s="24" t="s">
        <v>1146</v>
      </c>
      <c r="C37" s="579">
        <f>W28_PG_2_of_4!B48</f>
        <v>725297.68741091795</v>
      </c>
      <c r="D37" s="579">
        <f>W28_PG_2_of_4!E48</f>
        <v>772332.16087906901</v>
      </c>
      <c r="E37" s="579">
        <f t="shared" si="0"/>
        <v>47034.47346815106</v>
      </c>
      <c r="F37" s="579"/>
      <c r="G37" s="579">
        <f>W28_PG_2_of_4!I48</f>
        <v>799363.78650983633</v>
      </c>
      <c r="H37" s="579">
        <f t="shared" si="1"/>
        <v>27031.625630767317</v>
      </c>
      <c r="I37" s="579">
        <f t="shared" si="2"/>
        <v>74066.099098918377</v>
      </c>
      <c r="J37" s="579">
        <f t="shared" si="3"/>
        <v>73399.504207028105</v>
      </c>
      <c r="L37" s="579"/>
    </row>
    <row r="38" spans="1:12">
      <c r="A38" s="24">
        <f t="shared" si="4"/>
        <v>30</v>
      </c>
      <c r="B38" s="24" t="s">
        <v>1148</v>
      </c>
      <c r="C38" s="579">
        <f>W28_PG_2_of_4!B49</f>
        <v>148130.19537766837</v>
      </c>
      <c r="D38" s="579">
        <f>W28_PG_2_of_4!E49</f>
        <v>157736.21765687037</v>
      </c>
      <c r="E38" s="579">
        <f t="shared" si="0"/>
        <v>9606.0222792020068</v>
      </c>
      <c r="F38" s="579"/>
      <c r="G38" s="579">
        <f>W28_PG_2_of_4!I49</f>
        <v>163256.98527486084</v>
      </c>
      <c r="H38" s="579">
        <f t="shared" si="1"/>
        <v>5520.7676179904665</v>
      </c>
      <c r="I38" s="579">
        <f t="shared" si="2"/>
        <v>15126.789897192473</v>
      </c>
      <c r="J38" s="579">
        <f t="shared" si="3"/>
        <v>14990.648788117742</v>
      </c>
      <c r="L38" s="579"/>
    </row>
    <row r="39" spans="1:12">
      <c r="A39" s="24">
        <f t="shared" si="4"/>
        <v>31</v>
      </c>
      <c r="B39" s="24" t="s">
        <v>1150</v>
      </c>
      <c r="C39" s="579">
        <f>W28_PG_2_of_4!B50</f>
        <v>1868813.0765581918</v>
      </c>
      <c r="D39" s="579">
        <f>W28_PG_2_of_4!E50</f>
        <v>1990002.8178078572</v>
      </c>
      <c r="E39" s="579">
        <f t="shared" si="0"/>
        <v>121189.74124966539</v>
      </c>
      <c r="F39" s="579"/>
      <c r="G39" s="579">
        <f>W28_PG_2_of_4!I50</f>
        <v>2059652.916431132</v>
      </c>
      <c r="H39" s="579">
        <f t="shared" si="1"/>
        <v>69650.098623274826</v>
      </c>
      <c r="I39" s="579">
        <f t="shared" si="2"/>
        <v>190839.83987294021</v>
      </c>
      <c r="J39" s="579">
        <f t="shared" si="3"/>
        <v>189122.28131408375</v>
      </c>
      <c r="L39" s="579"/>
    </row>
    <row r="40" spans="1:12">
      <c r="A40" s="24">
        <f t="shared" si="4"/>
        <v>32</v>
      </c>
      <c r="B40" s="24" t="s">
        <v>1151</v>
      </c>
      <c r="C40" s="579">
        <f>W28_PG_2_of_4!B51</f>
        <v>-600959.71302885155</v>
      </c>
      <c r="D40" s="579">
        <f>W28_PG_2_of_4!E51</f>
        <v>-639931.05427051906</v>
      </c>
      <c r="E40" s="579">
        <f t="shared" si="0"/>
        <v>-38971.341241667513</v>
      </c>
      <c r="F40" s="579"/>
      <c r="G40" s="579">
        <f>W28_PG_2_of_4!I51</f>
        <v>-662328.64116998715</v>
      </c>
      <c r="H40" s="579">
        <f t="shared" si="1"/>
        <v>-22397.586899468093</v>
      </c>
      <c r="I40" s="579">
        <f t="shared" si="2"/>
        <v>-61368.928141135606</v>
      </c>
      <c r="J40" s="579">
        <f t="shared" si="3"/>
        <v>-60816.607787865389</v>
      </c>
      <c r="L40" s="579"/>
    </row>
    <row r="41" spans="1:12">
      <c r="A41" s="24">
        <f t="shared" si="4"/>
        <v>33</v>
      </c>
      <c r="B41" s="24" t="s">
        <v>1152</v>
      </c>
      <c r="C41" s="579">
        <f>W28_PG_2_of_4!B52</f>
        <v>3.2640006450566375E-2</v>
      </c>
      <c r="D41" s="579">
        <f>W28_PG_2_of_4!E52</f>
        <v>3.4756662196263895E-2</v>
      </c>
      <c r="E41" s="579">
        <f t="shared" si="0"/>
        <v>2.1166557456975196E-3</v>
      </c>
      <c r="F41" s="579"/>
      <c r="G41" s="579">
        <f>W28_PG_2_of_4!I52</f>
        <v>3.5973145373133134E-2</v>
      </c>
      <c r="H41" s="579">
        <f t="shared" si="1"/>
        <v>1.2164831768692388E-3</v>
      </c>
      <c r="I41" s="579">
        <f t="shared" si="2"/>
        <v>3.3331389225667585E-3</v>
      </c>
      <c r="J41" s="579">
        <f t="shared" si="3"/>
        <v>3.3031406722636575E-3</v>
      </c>
      <c r="L41" s="579"/>
    </row>
    <row r="42" spans="1:12">
      <c r="A42" s="24">
        <f t="shared" si="4"/>
        <v>34</v>
      </c>
      <c r="B42" s="24" t="s">
        <v>1153</v>
      </c>
      <c r="C42" s="579">
        <f>W28_PG_2_of_4!B53</f>
        <v>73797.485254423911</v>
      </c>
      <c r="D42" s="579">
        <f>W28_PG_2_of_4!E53</f>
        <v>78583.1421267158</v>
      </c>
      <c r="E42" s="579">
        <f t="shared" si="0"/>
        <v>4785.6568722918892</v>
      </c>
      <c r="F42" s="579"/>
      <c r="G42" s="579">
        <f>W28_PG_2_of_4!I53</f>
        <v>81333.552101150839</v>
      </c>
      <c r="H42" s="579">
        <f t="shared" si="1"/>
        <v>2750.4099744350387</v>
      </c>
      <c r="I42" s="579">
        <f t="shared" si="2"/>
        <v>7536.0668467269279</v>
      </c>
      <c r="J42" s="579">
        <f t="shared" si="3"/>
        <v>7468.2422451063858</v>
      </c>
      <c r="L42" s="579"/>
    </row>
    <row r="43" spans="1:12">
      <c r="A43" s="24">
        <f t="shared" si="4"/>
        <v>35</v>
      </c>
      <c r="B43" s="24" t="s">
        <v>1154</v>
      </c>
      <c r="C43" s="579">
        <f>W28_PG_2_of_4!B54</f>
        <v>6678.6593107703457</v>
      </c>
      <c r="D43" s="579">
        <f>W28_PG_2_of_4!E54</f>
        <v>7111.760407888939</v>
      </c>
      <c r="E43" s="579">
        <f t="shared" si="0"/>
        <v>433.10109711859332</v>
      </c>
      <c r="F43" s="579"/>
      <c r="G43" s="579">
        <f>W28_PG_2_of_4!I54</f>
        <v>7360.6720221650521</v>
      </c>
      <c r="H43" s="579">
        <f t="shared" si="1"/>
        <v>248.91161427611314</v>
      </c>
      <c r="I43" s="579">
        <f t="shared" si="2"/>
        <v>682.01271139470646</v>
      </c>
      <c r="J43" s="579">
        <f t="shared" si="3"/>
        <v>675.87459699215412</v>
      </c>
      <c r="L43" s="579"/>
    </row>
    <row r="44" spans="1:12">
      <c r="A44" s="24">
        <f t="shared" si="4"/>
        <v>36</v>
      </c>
      <c r="B44" s="24" t="s">
        <v>1155</v>
      </c>
      <c r="C44" s="579">
        <f>W28_PG_2_of_4!B55</f>
        <v>356199.80891468382</v>
      </c>
      <c r="D44" s="579">
        <f>W28_PG_2_of_4!E55</f>
        <v>379298.8353593474</v>
      </c>
      <c r="E44" s="579">
        <f t="shared" si="0"/>
        <v>23099.026444663585</v>
      </c>
      <c r="F44" s="579"/>
      <c r="G44" s="579">
        <f>W28_PG_2_of_4!I55</f>
        <v>392574.29459692456</v>
      </c>
      <c r="H44" s="579">
        <f t="shared" si="1"/>
        <v>13275.459237577161</v>
      </c>
      <c r="I44" s="579">
        <f t="shared" si="2"/>
        <v>36374.485682240746</v>
      </c>
      <c r="J44" s="579">
        <f t="shared" si="3"/>
        <v>36047.115311100577</v>
      </c>
      <c r="L44" s="579"/>
    </row>
    <row r="45" spans="1:12">
      <c r="A45" s="24">
        <f t="shared" si="4"/>
        <v>37</v>
      </c>
      <c r="B45" s="581" t="s">
        <v>172</v>
      </c>
      <c r="C45" s="613">
        <f>SUM(C9:C44)</f>
        <v>17313527.632115085</v>
      </c>
      <c r="D45" s="613">
        <f>SUM(D9:D44)</f>
        <v>18436284.081208039</v>
      </c>
      <c r="E45" s="613">
        <f>SUM(E9:E44)</f>
        <v>1122756.4490929584</v>
      </c>
      <c r="F45" s="613"/>
      <c r="G45" s="613">
        <f>SUM(G9:G44)</f>
        <v>19081554.024050329</v>
      </c>
      <c r="H45" s="613">
        <f>SUM(H9:H44)</f>
        <v>645269.94284228049</v>
      </c>
      <c r="I45" s="613">
        <f>SUM(I9:I44)</f>
        <v>1768026.3919352386</v>
      </c>
      <c r="J45" s="613">
        <f>SUM(J9:J44)</f>
        <v>1752114.1544078218</v>
      </c>
      <c r="L45" s="579"/>
    </row>
    <row r="46" spans="1:12">
      <c r="L46" s="579"/>
    </row>
    <row r="47" spans="1:12">
      <c r="A47" s="24">
        <f>A45+1</f>
        <v>38</v>
      </c>
      <c r="B47" s="614" t="s">
        <v>1208</v>
      </c>
      <c r="L47" s="579"/>
    </row>
    <row r="48" spans="1:12">
      <c r="A48" s="24">
        <f>A47+1</f>
        <v>39</v>
      </c>
      <c r="B48" s="24" t="s">
        <v>1209</v>
      </c>
      <c r="L48" s="579"/>
    </row>
    <row r="49" spans="12:12">
      <c r="L49" s="579"/>
    </row>
  </sheetData>
  <mergeCells count="8">
    <mergeCell ref="H6:H7"/>
    <mergeCell ref="I6:I7"/>
    <mergeCell ref="A6:A7"/>
    <mergeCell ref="B6:B7"/>
    <mergeCell ref="C6:C7"/>
    <mergeCell ref="D6:D7"/>
    <mergeCell ref="E6:E7"/>
    <mergeCell ref="G6:G7"/>
  </mergeCells>
  <pageMargins left="0.7" right="0.7" top="0.75" bottom="0.75" header="0.3" footer="0.3"/>
  <pageSetup scale="70" orientation="portrait" horizontalDpi="200" verticalDpi="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E3D30-BB31-439A-832C-F9061469BCC6}">
  <sheetPr>
    <pageSetUpPr fitToPage="1"/>
  </sheetPr>
  <dimension ref="A1:K59"/>
  <sheetViews>
    <sheetView topLeftCell="D1" workbookViewId="0">
      <selection activeCell="A3" sqref="A3:C3"/>
    </sheetView>
  </sheetViews>
  <sheetFormatPr defaultColWidth="9.1796875" defaultRowHeight="12.75" customHeight="1"/>
  <cols>
    <col min="1" max="1" width="12.7265625" style="24" bestFit="1" customWidth="1"/>
    <col min="2" max="2" width="16" style="24" bestFit="1" customWidth="1"/>
    <col min="3" max="3" width="16.81640625" style="24" customWidth="1"/>
    <col min="4" max="4" width="19.1796875" style="24" customWidth="1"/>
    <col min="5" max="5" width="16" style="24" bestFit="1" customWidth="1"/>
    <col min="6" max="6" width="15.7265625" style="24" bestFit="1" customWidth="1"/>
    <col min="7" max="7" width="18.453125" style="24" customWidth="1"/>
    <col min="8" max="8" width="18" style="24" customWidth="1"/>
    <col min="9" max="9" width="17.1796875" style="24" customWidth="1"/>
    <col min="10" max="10" width="16" style="24" customWidth="1"/>
    <col min="11" max="11" width="15.7265625" style="24" bestFit="1" customWidth="1"/>
    <col min="12" max="16384" width="9.1796875" style="24"/>
  </cols>
  <sheetData>
    <row r="1" spans="1:11" ht="12.75" customHeight="1">
      <c r="A1" s="7" t="s">
        <v>0</v>
      </c>
    </row>
    <row r="2" spans="1:11" ht="12.75" customHeight="1">
      <c r="A2" s="43" t="s">
        <v>1201</v>
      </c>
    </row>
    <row r="3" spans="1:11" ht="12.75" customHeight="1">
      <c r="A3" s="7" t="s">
        <v>119</v>
      </c>
    </row>
    <row r="4" spans="1:11" ht="12.75" customHeight="1">
      <c r="A4" s="24" t="s">
        <v>1210</v>
      </c>
    </row>
    <row r="6" spans="1:11" ht="62.5">
      <c r="A6" s="553" t="s">
        <v>187</v>
      </c>
      <c r="B6" s="553" t="s">
        <v>1202</v>
      </c>
      <c r="C6" s="615" t="s">
        <v>1211</v>
      </c>
      <c r="D6" s="616" t="s">
        <v>1212</v>
      </c>
      <c r="E6" s="616" t="s">
        <v>1213</v>
      </c>
      <c r="F6" s="617" t="s">
        <v>1214</v>
      </c>
      <c r="G6" s="615" t="s">
        <v>1215</v>
      </c>
      <c r="H6" s="616" t="s">
        <v>1216</v>
      </c>
      <c r="I6" s="616" t="s">
        <v>1217</v>
      </c>
      <c r="J6" s="617" t="s">
        <v>1218</v>
      </c>
      <c r="K6" s="553" t="s">
        <v>1219</v>
      </c>
    </row>
    <row r="7" spans="1:11" ht="12.75" customHeight="1">
      <c r="A7" s="618"/>
      <c r="B7" s="574" t="s">
        <v>1165</v>
      </c>
      <c r="C7" s="619" t="s">
        <v>1166</v>
      </c>
      <c r="D7" s="620" t="s">
        <v>1167</v>
      </c>
      <c r="E7" s="620" t="s">
        <v>1168</v>
      </c>
      <c r="F7" s="621" t="s">
        <v>1169</v>
      </c>
      <c r="G7" s="619" t="s">
        <v>1170</v>
      </c>
      <c r="H7" s="620" t="s">
        <v>1171</v>
      </c>
      <c r="I7" s="620" t="s">
        <v>1172</v>
      </c>
      <c r="J7" s="621" t="s">
        <v>1173</v>
      </c>
      <c r="K7" s="601"/>
    </row>
    <row r="8" spans="1:11" ht="12.75" customHeight="1">
      <c r="A8" s="622" t="s">
        <v>1183</v>
      </c>
      <c r="B8" s="623">
        <f>W28_PG_3_of_4!B11</f>
        <v>10960398.129449982</v>
      </c>
      <c r="C8" s="624">
        <f>W28_PG_4_of_4!$B$18*(B8/B$56)</f>
        <v>8719571.3619797044</v>
      </c>
      <c r="D8" s="625">
        <f>(W28_PG_4_of_4!$B$32*0.5)*(B8/B$56)</f>
        <v>2951592.242071772</v>
      </c>
      <c r="E8" s="580">
        <f>C8+D8</f>
        <v>11671163.604051476</v>
      </c>
      <c r="F8" s="626">
        <f>E8-B8</f>
        <v>710765.47460149415</v>
      </c>
      <c r="G8" s="624">
        <f>W28_PG_4_of_4!$E$18*(B8/B$56)</f>
        <v>9024756.3596489932</v>
      </c>
      <c r="H8" s="625">
        <f>(W28_PG_4_of_4!$E$32*0.5)*(B8/B$56)</f>
        <v>3054897.9705442842</v>
      </c>
      <c r="I8" s="580">
        <f>G8+H8</f>
        <v>12079654.330193277</v>
      </c>
      <c r="J8" s="626">
        <f>I8-E8</f>
        <v>408490.7261418011</v>
      </c>
      <c r="K8" s="627">
        <f>I8-B8</f>
        <v>1119256.2007432953</v>
      </c>
    </row>
    <row r="9" spans="1:11" ht="12.75" customHeight="1">
      <c r="A9" s="622" t="s">
        <v>1184</v>
      </c>
      <c r="B9" s="623">
        <f>W28_PG_3_of_4!B12</f>
        <v>2443569.7215462914</v>
      </c>
      <c r="C9" s="624">
        <f>W28_PG_4_of_4!$B$18*(B9/B$56)</f>
        <v>1943987.8290319904</v>
      </c>
      <c r="D9" s="625">
        <f>(W28_PG_4_of_4!$B$32*0.5)*(B9/B$56)</f>
        <v>658043.74511708086</v>
      </c>
      <c r="E9" s="580">
        <f t="shared" ref="E9:E55" si="0">C9+D9</f>
        <v>2602031.5741490712</v>
      </c>
      <c r="F9" s="626">
        <f t="shared" ref="F9:F55" si="1">E9-B9</f>
        <v>158461.85260277987</v>
      </c>
      <c r="G9" s="624">
        <f>W28_PG_4_of_4!$E$18*(B9/B$56)</f>
        <v>2012027.40304811</v>
      </c>
      <c r="H9" s="625">
        <f>(W28_PG_4_of_4!$E$32*0.5)*(B9/B$56)</f>
        <v>681075.27619617875</v>
      </c>
      <c r="I9" s="580">
        <f t="shared" ref="I9:I55" si="2">G9+H9</f>
        <v>2693102.6792442887</v>
      </c>
      <c r="J9" s="626">
        <f t="shared" ref="J9:J55" si="3">I9-E9</f>
        <v>91071.10509521747</v>
      </c>
      <c r="K9" s="627">
        <f t="shared" ref="K9:K55" si="4">I9-B9</f>
        <v>249532.95769799734</v>
      </c>
    </row>
    <row r="10" spans="1:11" ht="12.75" customHeight="1">
      <c r="A10" s="622" t="s">
        <v>1185</v>
      </c>
      <c r="B10" s="623">
        <f>W28_PG_3_of_4!B13</f>
        <v>953787.26598190481</v>
      </c>
      <c r="C10" s="624">
        <f>W28_PG_4_of_4!$B$18*(B10/B$56)</f>
        <v>758787.77683544625</v>
      </c>
      <c r="D10" s="625">
        <f>(W28_PG_4_of_4!$B$32*0.5)*(B10/B$56)</f>
        <v>256851.17106236989</v>
      </c>
      <c r="E10" s="580">
        <f t="shared" si="0"/>
        <v>1015638.9478978161</v>
      </c>
      <c r="F10" s="626">
        <f t="shared" si="1"/>
        <v>61851.681915911264</v>
      </c>
      <c r="G10" s="624">
        <f>W28_PG_4_of_4!$E$18*(B10/B$56)</f>
        <v>785345.34902468685</v>
      </c>
      <c r="H10" s="625">
        <f>(W28_PG_4_of_4!$E$32*0.5)*(B10/B$56)</f>
        <v>265840.96204955282</v>
      </c>
      <c r="I10" s="580">
        <f t="shared" si="2"/>
        <v>1051186.3110742397</v>
      </c>
      <c r="J10" s="626">
        <f t="shared" si="3"/>
        <v>35547.363176423591</v>
      </c>
      <c r="K10" s="627">
        <f t="shared" si="4"/>
        <v>97399.045092334854</v>
      </c>
    </row>
    <row r="11" spans="1:11" ht="12.75" customHeight="1">
      <c r="A11" s="622" t="s">
        <v>1186</v>
      </c>
      <c r="B11" s="623">
        <f>W28_PG_3_of_4!B14</f>
        <v>0</v>
      </c>
      <c r="C11" s="624">
        <f>W28_PG_4_of_4!$B$18*(B11/B$56)</f>
        <v>0</v>
      </c>
      <c r="D11" s="625">
        <f>(W28_PG_4_of_4!$B$32*0.5)*(B11/B$56)</f>
        <v>0</v>
      </c>
      <c r="E11" s="580">
        <f t="shared" si="0"/>
        <v>0</v>
      </c>
      <c r="F11" s="626">
        <f t="shared" si="1"/>
        <v>0</v>
      </c>
      <c r="G11" s="624">
        <f>W28_PG_4_of_4!$E$18*(B11/B$56)</f>
        <v>0</v>
      </c>
      <c r="H11" s="625">
        <f>(W28_PG_4_of_4!$E$32*0.5)*(B11/B$56)</f>
        <v>0</v>
      </c>
      <c r="I11" s="580">
        <f t="shared" si="2"/>
        <v>0</v>
      </c>
      <c r="J11" s="626">
        <f t="shared" si="3"/>
        <v>0</v>
      </c>
      <c r="K11" s="627">
        <f>I11-B11</f>
        <v>0</v>
      </c>
    </row>
    <row r="12" spans="1:11" ht="12.75" customHeight="1">
      <c r="A12" s="622" t="s">
        <v>1187</v>
      </c>
      <c r="B12" s="623">
        <f>W28_PG_3_of_4!B15</f>
        <v>0</v>
      </c>
      <c r="C12" s="624">
        <f>W28_PG_4_of_4!$B$18*(B12/B$56)</f>
        <v>0</v>
      </c>
      <c r="D12" s="625">
        <f>(W28_PG_4_of_4!$B$32*0.5)*(B12/B$56)</f>
        <v>0</v>
      </c>
      <c r="E12" s="580">
        <f t="shared" si="0"/>
        <v>0</v>
      </c>
      <c r="F12" s="626">
        <f t="shared" si="1"/>
        <v>0</v>
      </c>
      <c r="G12" s="624">
        <f>W28_PG_4_of_4!$E$18*(B12/B$56)</f>
        <v>0</v>
      </c>
      <c r="H12" s="625">
        <f>(W28_PG_4_of_4!$E$32*0.5)*(B12/B$56)</f>
        <v>0</v>
      </c>
      <c r="I12" s="580">
        <f t="shared" si="2"/>
        <v>0</v>
      </c>
      <c r="J12" s="626">
        <f t="shared" si="3"/>
        <v>0</v>
      </c>
      <c r="K12" s="627">
        <f t="shared" si="4"/>
        <v>0</v>
      </c>
    </row>
    <row r="13" spans="1:11" ht="12.75" customHeight="1">
      <c r="A13" s="622" t="s">
        <v>1188</v>
      </c>
      <c r="B13" s="623">
        <f>W28_PG_3_of_4!B16</f>
        <v>0</v>
      </c>
      <c r="C13" s="624">
        <f>W28_PG_4_of_4!$B$18*(B13/B$56)</f>
        <v>0</v>
      </c>
      <c r="D13" s="625">
        <f>(W28_PG_4_of_4!$B$32*0.5)*(B13/B$56)</f>
        <v>0</v>
      </c>
      <c r="E13" s="580">
        <f t="shared" si="0"/>
        <v>0</v>
      </c>
      <c r="F13" s="626">
        <f t="shared" si="1"/>
        <v>0</v>
      </c>
      <c r="G13" s="624">
        <f>W28_PG_4_of_4!$E$18*(B13/B$56)</f>
        <v>0</v>
      </c>
      <c r="H13" s="625">
        <f>(W28_PG_4_of_4!$E$32*0.5)*(B13/B$56)</f>
        <v>0</v>
      </c>
      <c r="I13" s="580">
        <f t="shared" si="2"/>
        <v>0</v>
      </c>
      <c r="J13" s="626">
        <f t="shared" si="3"/>
        <v>0</v>
      </c>
      <c r="K13" s="627">
        <f t="shared" si="4"/>
        <v>0</v>
      </c>
    </row>
    <row r="14" spans="1:11" ht="12.75" customHeight="1">
      <c r="A14" s="622" t="s">
        <v>1189</v>
      </c>
      <c r="B14" s="623">
        <f>W28_PG_3_of_4!B17</f>
        <v>44218.55618270945</v>
      </c>
      <c r="C14" s="624">
        <f>W28_PG_4_of_4!$B$18*(B14/B$56)</f>
        <v>35178.179807433007</v>
      </c>
      <c r="D14" s="625">
        <f>(W28_PG_4_of_4!$B$32*0.5)*(B14/B$56)</f>
        <v>11907.883805225381</v>
      </c>
      <c r="E14" s="580">
        <f t="shared" si="0"/>
        <v>47086.063612658385</v>
      </c>
      <c r="F14" s="626">
        <f t="shared" si="1"/>
        <v>2867.5074299489352</v>
      </c>
      <c r="G14" s="624">
        <f>W28_PG_4_of_4!$E$18*(B14/B$56)</f>
        <v>36409.416100693161</v>
      </c>
      <c r="H14" s="625">
        <f>(W28_PG_4_of_4!$E$32*0.5)*(B14/B$56)</f>
        <v>12324.659738408271</v>
      </c>
      <c r="I14" s="580">
        <f t="shared" si="2"/>
        <v>48734.075839101431</v>
      </c>
      <c r="J14" s="626">
        <f t="shared" si="3"/>
        <v>1648.0122264430465</v>
      </c>
      <c r="K14" s="627">
        <f t="shared" si="4"/>
        <v>4515.5196563919817</v>
      </c>
    </row>
    <row r="15" spans="1:11" ht="12.75" customHeight="1">
      <c r="A15" s="622" t="s">
        <v>1190</v>
      </c>
      <c r="B15" s="623">
        <f>W28_PG_3_of_4!B18</f>
        <v>12577.791387530959</v>
      </c>
      <c r="C15" s="624">
        <f>W28_PG_4_of_4!$B$18*(B15/B$56)</f>
        <v>10006.292498169822</v>
      </c>
      <c r="D15" s="625">
        <f>(W28_PG_4_of_4!$B$32*0.5)*(B15/B$56)</f>
        <v>3387.1499049000809</v>
      </c>
      <c r="E15" s="580">
        <f t="shared" si="0"/>
        <v>13393.442403069903</v>
      </c>
      <c r="F15" s="626">
        <f t="shared" si="1"/>
        <v>815.65101553894419</v>
      </c>
      <c r="G15" s="624">
        <f>W28_PG_4_of_4!$E$18*(B15/B$56)</f>
        <v>10356.512735605766</v>
      </c>
      <c r="H15" s="625">
        <f>(W28_PG_4_of_4!$E$32*0.5)*(B15/B$56)</f>
        <v>3505.7001515715838</v>
      </c>
      <c r="I15" s="580">
        <f t="shared" si="2"/>
        <v>13862.212887177349</v>
      </c>
      <c r="J15" s="626">
        <f t="shared" si="3"/>
        <v>468.77048410744646</v>
      </c>
      <c r="K15" s="627">
        <f t="shared" si="4"/>
        <v>1284.4214996463907</v>
      </c>
    </row>
    <row r="16" spans="1:11" ht="12.75" customHeight="1">
      <c r="A16" s="622" t="s">
        <v>1220</v>
      </c>
      <c r="B16" s="623">
        <f>W28_PG_3_of_4!B19</f>
        <v>0</v>
      </c>
      <c r="C16" s="624">
        <f>W28_PG_4_of_4!$B$18*(B16/B$56)</f>
        <v>0</v>
      </c>
      <c r="D16" s="625">
        <f>(W28_PG_4_of_4!$B$32*0.5)*(B16/B$56)</f>
        <v>0</v>
      </c>
      <c r="E16" s="580">
        <f t="shared" si="0"/>
        <v>0</v>
      </c>
      <c r="F16" s="626">
        <f t="shared" si="1"/>
        <v>0</v>
      </c>
      <c r="G16" s="624">
        <f>W28_PG_4_of_4!$E$18*(B16/B$56)</f>
        <v>0</v>
      </c>
      <c r="H16" s="625">
        <f>(W28_PG_4_of_4!$E$32*0.5)*(B16/B$56)</f>
        <v>0</v>
      </c>
      <c r="I16" s="580">
        <f t="shared" si="2"/>
        <v>0</v>
      </c>
      <c r="J16" s="626">
        <f t="shared" si="3"/>
        <v>0</v>
      </c>
      <c r="K16" s="627">
        <f t="shared" si="4"/>
        <v>0</v>
      </c>
    </row>
    <row r="17" spans="1:11" ht="12.75" customHeight="1">
      <c r="A17" s="622" t="s">
        <v>1191</v>
      </c>
      <c r="B17" s="623">
        <f>W28_PG_3_of_4!B20</f>
        <v>975.92313317691389</v>
      </c>
      <c r="C17" s="624">
        <f>W28_PG_4_of_4!$B$18*(B17/B$56)</f>
        <v>776.39801976517765</v>
      </c>
      <c r="D17" s="625">
        <f>(W28_PG_4_of_4!$B$32*0.5)*(B17/B$56)</f>
        <v>262.81227330634454</v>
      </c>
      <c r="E17" s="580">
        <f t="shared" si="0"/>
        <v>1039.2102930715223</v>
      </c>
      <c r="F17" s="626">
        <f t="shared" si="1"/>
        <v>63.287159894608408</v>
      </c>
      <c r="G17" s="624">
        <f>W28_PG_4_of_4!$E$18*(B17/B$56)</f>
        <v>803.5719504569588</v>
      </c>
      <c r="H17" s="625">
        <f>(W28_PG_4_of_4!$E$32*0.5)*(B17/B$56)</f>
        <v>272.01070287206664</v>
      </c>
      <c r="I17" s="580">
        <f t="shared" si="2"/>
        <v>1075.5826533290256</v>
      </c>
      <c r="J17" s="626">
        <f t="shared" si="3"/>
        <v>36.37236025750326</v>
      </c>
      <c r="K17" s="627">
        <f t="shared" si="4"/>
        <v>99.659520152111668</v>
      </c>
    </row>
    <row r="18" spans="1:11" ht="12.75" customHeight="1">
      <c r="A18" s="622" t="s">
        <v>1192</v>
      </c>
      <c r="B18" s="623">
        <f>W28_PG_3_of_4!B21</f>
        <v>8908.7672014415657</v>
      </c>
      <c r="C18" s="624">
        <f>W28_PG_4_of_4!$B$18*(B18/B$56)</f>
        <v>7087.3913924267408</v>
      </c>
      <c r="D18" s="625">
        <f>(W28_PG_4_of_4!$B$32*0.5)*(B18/B$56)</f>
        <v>2399.0960773172142</v>
      </c>
      <c r="E18" s="580">
        <f t="shared" si="0"/>
        <v>9486.4874697439554</v>
      </c>
      <c r="F18" s="626">
        <f t="shared" si="1"/>
        <v>577.72026830238974</v>
      </c>
      <c r="G18" s="624">
        <f>W28_PG_4_of_4!$E$18*(B18/B$56)</f>
        <v>7335.450091161676</v>
      </c>
      <c r="H18" s="625">
        <f>(W28_PG_4_of_4!$E$32*0.5)*(B18/B$56)</f>
        <v>2483.0644400233164</v>
      </c>
      <c r="I18" s="580">
        <f t="shared" si="2"/>
        <v>9818.5145311849919</v>
      </c>
      <c r="J18" s="626">
        <f t="shared" si="3"/>
        <v>332.02706144103649</v>
      </c>
      <c r="K18" s="627">
        <f t="shared" si="4"/>
        <v>909.74732974342623</v>
      </c>
    </row>
    <row r="19" spans="1:11" ht="12.75" customHeight="1">
      <c r="A19" s="622" t="s">
        <v>1193</v>
      </c>
      <c r="B19" s="623">
        <f>W28_PG_3_of_4!B22</f>
        <v>2672.6430018273627</v>
      </c>
      <c r="C19" s="624">
        <f>W28_PG_4_of_4!$B$18*(B19/B$56)</f>
        <v>2126.2276337309295</v>
      </c>
      <c r="D19" s="625">
        <f>(W28_PG_4_of_4!$B$32*0.5)*(B19/B$56)</f>
        <v>719.73228133245948</v>
      </c>
      <c r="E19" s="580">
        <f t="shared" si="0"/>
        <v>2845.959915063389</v>
      </c>
      <c r="F19" s="626">
        <f t="shared" si="1"/>
        <v>173.31691323602627</v>
      </c>
      <c r="G19" s="624">
        <f>W28_PG_4_of_4!$E$18*(B19/B$56)</f>
        <v>2200.6456009115118</v>
      </c>
      <c r="H19" s="625">
        <f>(W28_PG_4_of_4!$E$32*0.5)*(B19/B$56)</f>
        <v>744.92291117909565</v>
      </c>
      <c r="I19" s="580">
        <f t="shared" si="2"/>
        <v>2945.5685120906073</v>
      </c>
      <c r="J19" s="626">
        <f t="shared" si="3"/>
        <v>99.608597027218366</v>
      </c>
      <c r="K19" s="627">
        <f t="shared" si="4"/>
        <v>272.92551026324463</v>
      </c>
    </row>
    <row r="20" spans="1:11" ht="12.75" customHeight="1">
      <c r="A20" s="622" t="s">
        <v>1108</v>
      </c>
      <c r="B20" s="623">
        <f>W28_PG_3_of_4!B23</f>
        <v>1373984.7238660667</v>
      </c>
      <c r="C20" s="624">
        <f>W28_PG_4_of_4!$B$18*(B20/B$56)</f>
        <v>1093076.8853942496</v>
      </c>
      <c r="D20" s="625">
        <f>(W28_PG_4_of_4!$B$32*0.5)*(B20/B$56)</f>
        <v>370008.69893507421</v>
      </c>
      <c r="E20" s="580">
        <f t="shared" si="0"/>
        <v>1463085.5843293238</v>
      </c>
      <c r="F20" s="626">
        <f t="shared" si="1"/>
        <v>89100.860463257181</v>
      </c>
      <c r="G20" s="624">
        <f>W28_PG_4_of_4!$E$18*(B20/B$56)</f>
        <v>1131334.5763830482</v>
      </c>
      <c r="H20" s="625">
        <f>(W28_PG_4_of_4!$E$32*0.5)*(B20/B$56)</f>
        <v>382959.00339780183</v>
      </c>
      <c r="I20" s="580">
        <f t="shared" si="2"/>
        <v>1514293.5797808501</v>
      </c>
      <c r="J20" s="626">
        <f t="shared" si="3"/>
        <v>51207.995451526251</v>
      </c>
      <c r="K20" s="627">
        <f t="shared" si="4"/>
        <v>140308.85591478343</v>
      </c>
    </row>
    <row r="21" spans="1:11" ht="12.75" customHeight="1">
      <c r="A21" s="622" t="s">
        <v>1109</v>
      </c>
      <c r="B21" s="623">
        <f>W28_PG_3_of_4!B24</f>
        <v>1733331.7852750956</v>
      </c>
      <c r="C21" s="624">
        <f>W28_PG_4_of_4!$B$18*(B21/B$56)</f>
        <v>1378956.3131911822</v>
      </c>
      <c r="D21" s="625">
        <f>(W28_PG_4_of_4!$B$32*0.5)*(B21/B$56)</f>
        <v>466779.45362292457</v>
      </c>
      <c r="E21" s="580">
        <f t="shared" si="0"/>
        <v>1845735.7668141068</v>
      </c>
      <c r="F21" s="626">
        <f t="shared" si="1"/>
        <v>112403.98153901123</v>
      </c>
      <c r="G21" s="624">
        <f>W28_PG_4_of_4!$E$18*(B21/B$56)</f>
        <v>1427219.7841528733</v>
      </c>
      <c r="H21" s="625">
        <f>(W28_PG_4_of_4!$E$32*0.5)*(B21/B$56)</f>
        <v>483116.73449972697</v>
      </c>
      <c r="I21" s="580">
        <f t="shared" si="2"/>
        <v>1910336.5186526002</v>
      </c>
      <c r="J21" s="626">
        <f t="shared" si="3"/>
        <v>64600.751838493394</v>
      </c>
      <c r="K21" s="627">
        <f t="shared" si="4"/>
        <v>177004.73337750463</v>
      </c>
    </row>
    <row r="22" spans="1:11" ht="12.75" customHeight="1">
      <c r="A22" s="622" t="s">
        <v>1110</v>
      </c>
      <c r="B22" s="623">
        <f>W28_PG_3_of_4!B25</f>
        <v>1059951.298564014</v>
      </c>
      <c r="C22" s="624">
        <f>W28_PG_4_of_4!$B$18*(B22/B$56)</f>
        <v>843246.83089917793</v>
      </c>
      <c r="D22" s="625">
        <f>(W28_PG_4_of_4!$B$32*0.5)*(B22/B$56)</f>
        <v>285440.72878239892</v>
      </c>
      <c r="E22" s="580">
        <f t="shared" si="0"/>
        <v>1128687.5596815769</v>
      </c>
      <c r="F22" s="626">
        <f t="shared" si="1"/>
        <v>68736.261117562884</v>
      </c>
      <c r="G22" s="624">
        <f>W28_PG_4_of_4!$E$18*(B22/B$56)</f>
        <v>872760.46998064918</v>
      </c>
      <c r="H22" s="625">
        <f>(W28_PG_4_of_4!$E$32*0.5)*(B22/B$56)</f>
        <v>295431.15428978286</v>
      </c>
      <c r="I22" s="580">
        <f t="shared" si="2"/>
        <v>1168191.6242704322</v>
      </c>
      <c r="J22" s="626">
        <f t="shared" si="3"/>
        <v>39504.064588855254</v>
      </c>
      <c r="K22" s="627">
        <f t="shared" si="4"/>
        <v>108240.32570641814</v>
      </c>
    </row>
    <row r="23" spans="1:11" ht="12.75" customHeight="1">
      <c r="A23" s="622" t="s">
        <v>1111</v>
      </c>
      <c r="B23" s="623">
        <f>W28_PG_3_of_4!B26</f>
        <v>79289.830839874063</v>
      </c>
      <c r="C23" s="624">
        <f>W28_PG_4_of_4!$B$18*(B23/B$56)</f>
        <v>63079.217572389018</v>
      </c>
      <c r="D23" s="625">
        <f>(W28_PG_4_of_4!$B$32*0.5)*(B23/B$56)</f>
        <v>21352.440560833867</v>
      </c>
      <c r="E23" s="580">
        <f t="shared" si="0"/>
        <v>84431.658133222882</v>
      </c>
      <c r="F23" s="626">
        <f t="shared" si="1"/>
        <v>5141.8272933488188</v>
      </c>
      <c r="G23" s="624">
        <f>W28_PG_4_of_4!$E$18*(B23/B$56)</f>
        <v>65286.990187422627</v>
      </c>
      <c r="H23" s="625">
        <f>(W28_PG_4_of_4!$E$32*0.5)*(B23/B$56)</f>
        <v>22099.775980463055</v>
      </c>
      <c r="I23" s="580">
        <f t="shared" si="2"/>
        <v>87386.766167885682</v>
      </c>
      <c r="J23" s="626">
        <f t="shared" si="3"/>
        <v>2955.1080346628005</v>
      </c>
      <c r="K23" s="627">
        <f t="shared" si="4"/>
        <v>8096.9353280116193</v>
      </c>
    </row>
    <row r="24" spans="1:11" ht="12.75" customHeight="1">
      <c r="A24" s="622" t="s">
        <v>1112</v>
      </c>
      <c r="B24" s="623">
        <f>W28_PG_3_of_4!B27</f>
        <v>1199769.747290879</v>
      </c>
      <c r="C24" s="624">
        <f>W28_PG_4_of_4!$B$18*(B24/B$56)</f>
        <v>954479.73749582726</v>
      </c>
      <c r="D24" s="625">
        <f>(W28_PG_4_of_4!$B$32*0.5)*(B24/B$56)</f>
        <v>323093.28881594894</v>
      </c>
      <c r="E24" s="580">
        <f t="shared" si="0"/>
        <v>1277573.0263117761</v>
      </c>
      <c r="F24" s="626">
        <f t="shared" si="1"/>
        <v>77803.279020897113</v>
      </c>
      <c r="G24" s="624">
        <f>W28_PG_4_of_4!$E$18*(B24/B$56)</f>
        <v>987886.52830818121</v>
      </c>
      <c r="H24" s="625">
        <f>(W28_PG_4_of_4!$E$32*0.5)*(B24/B$56)</f>
        <v>334401.55392450717</v>
      </c>
      <c r="I24" s="580">
        <f t="shared" si="2"/>
        <v>1322288.0822326883</v>
      </c>
      <c r="J24" s="626">
        <f t="shared" si="3"/>
        <v>44715.055920912186</v>
      </c>
      <c r="K24" s="627">
        <f t="shared" si="4"/>
        <v>122518.3349418093</v>
      </c>
    </row>
    <row r="25" spans="1:11" ht="12.75" customHeight="1">
      <c r="A25" s="622" t="s">
        <v>1113</v>
      </c>
      <c r="B25" s="623">
        <f>W28_PG_3_of_4!B28</f>
        <v>1121280.0635272923</v>
      </c>
      <c r="C25" s="624">
        <f>W28_PG_4_of_4!$B$18*(B25/B$56)</f>
        <v>892037.07887406787</v>
      </c>
      <c r="D25" s="625">
        <f>(W28_PG_4_of_4!$B$32*0.5)*(B25/B$56)</f>
        <v>301956.32472549437</v>
      </c>
      <c r="E25" s="580">
        <f t="shared" si="0"/>
        <v>1193993.4035995621</v>
      </c>
      <c r="F25" s="626">
        <f t="shared" si="1"/>
        <v>72713.340072269784</v>
      </c>
      <c r="G25" s="624">
        <f>W28_PG_4_of_4!$E$18*(B25/B$56)</f>
        <v>923258.37663466029</v>
      </c>
      <c r="H25" s="625">
        <f>(W28_PG_4_of_4!$E$32*0.5)*(B25/B$56)</f>
        <v>312524.7960908867</v>
      </c>
      <c r="I25" s="580">
        <f t="shared" si="2"/>
        <v>1235783.1727255471</v>
      </c>
      <c r="J25" s="626">
        <f t="shared" si="3"/>
        <v>41789.769125984982</v>
      </c>
      <c r="K25" s="627">
        <f t="shared" si="4"/>
        <v>114503.10919825477</v>
      </c>
    </row>
    <row r="26" spans="1:11" ht="12.75" customHeight="1">
      <c r="A26" s="622" t="s">
        <v>1114</v>
      </c>
      <c r="B26" s="623">
        <f>W28_PG_3_of_4!B29</f>
        <v>140591.34500340928</v>
      </c>
      <c r="C26" s="624">
        <f>W28_PG_4_of_4!$B$18*(B26/B$56)</f>
        <v>111847.78610733314</v>
      </c>
      <c r="D26" s="625">
        <f>(W28_PG_4_of_4!$B$32*0.5)*(B26/B$56)</f>
        <v>37860.697970405105</v>
      </c>
      <c r="E26" s="580">
        <f t="shared" si="0"/>
        <v>149708.48407773825</v>
      </c>
      <c r="F26" s="626">
        <f t="shared" si="1"/>
        <v>9117.1390743289667</v>
      </c>
      <c r="G26" s="624">
        <f>W28_PG_4_of_4!$E$18*(B26/B$56)</f>
        <v>115762.4586210898</v>
      </c>
      <c r="H26" s="625">
        <f>(W28_PG_4_of_4!$E$32*0.5)*(B26/B$56)</f>
        <v>39185.822399369288</v>
      </c>
      <c r="I26" s="580">
        <f t="shared" si="2"/>
        <v>154948.28102045908</v>
      </c>
      <c r="J26" s="626">
        <f t="shared" si="3"/>
        <v>5239.79694272083</v>
      </c>
      <c r="K26" s="627">
        <f t="shared" si="4"/>
        <v>14356.936017049797</v>
      </c>
    </row>
    <row r="27" spans="1:11" ht="12.75" customHeight="1">
      <c r="A27" s="622" t="s">
        <v>1116</v>
      </c>
      <c r="B27" s="623">
        <f>W28_PG_3_of_4!B30</f>
        <v>1502711.1881276635</v>
      </c>
      <c r="C27" s="624">
        <f>W28_PG_4_of_4!$B$18*(B27/B$56)</f>
        <v>1195485.5367997484</v>
      </c>
      <c r="D27" s="625">
        <f>(W28_PG_4_of_4!$B$32*0.5)*(B27/B$56)</f>
        <v>404674.2310422482</v>
      </c>
      <c r="E27" s="580">
        <f t="shared" si="0"/>
        <v>1600159.7678419966</v>
      </c>
      <c r="F27" s="626">
        <f t="shared" si="1"/>
        <v>97448.579714333173</v>
      </c>
      <c r="G27" s="624">
        <f>W28_PG_4_of_4!$E$18*(B27/B$56)</f>
        <v>1237327.5305877395</v>
      </c>
      <c r="H27" s="625">
        <f>(W28_PG_4_of_4!$E$32*0.5)*(B27/B$56)</f>
        <v>418837.82912872691</v>
      </c>
      <c r="I27" s="580">
        <f t="shared" si="2"/>
        <v>1656165.3597164664</v>
      </c>
      <c r="J27" s="626">
        <f t="shared" si="3"/>
        <v>56005.59187446977</v>
      </c>
      <c r="K27" s="627">
        <f t="shared" si="4"/>
        <v>153454.17158880294</v>
      </c>
    </row>
    <row r="28" spans="1:11" ht="12.75" customHeight="1">
      <c r="A28" s="622" t="s">
        <v>1118</v>
      </c>
      <c r="B28" s="623">
        <f>W28_PG_3_of_4!B31</f>
        <v>595645.2000386368</v>
      </c>
      <c r="C28" s="624">
        <f>W28_PG_4_of_4!$B$18*(B28/B$56)</f>
        <v>473866.98610903509</v>
      </c>
      <c r="D28" s="625">
        <f>(W28_PG_4_of_4!$B$32*0.5)*(B28/B$56)</f>
        <v>160404.91692883009</v>
      </c>
      <c r="E28" s="580">
        <f t="shared" si="0"/>
        <v>634271.90303786518</v>
      </c>
      <c r="F28" s="626">
        <f t="shared" si="1"/>
        <v>38626.702999228379</v>
      </c>
      <c r="G28" s="624">
        <f>W28_PG_4_of_4!$E$18*(B28/B$56)</f>
        <v>490452.33062285132</v>
      </c>
      <c r="H28" s="625">
        <f>(W28_PG_4_of_4!$E$32*0.5)*(B28/B$56)</f>
        <v>166019.08902133917</v>
      </c>
      <c r="I28" s="580">
        <f t="shared" si="2"/>
        <v>656471.41964419046</v>
      </c>
      <c r="J28" s="626">
        <f>I28-E28</f>
        <v>22199.516606325284</v>
      </c>
      <c r="K28" s="627">
        <f t="shared" si="4"/>
        <v>60826.219605553662</v>
      </c>
    </row>
    <row r="29" spans="1:11" ht="12.75" customHeight="1">
      <c r="A29" s="622" t="s">
        <v>1120</v>
      </c>
      <c r="B29" s="623">
        <f>W28_PG_3_of_4!B32</f>
        <v>324410.69348271529</v>
      </c>
      <c r="C29" s="624">
        <f>W28_PG_4_of_4!$B$18*(B29/B$56)</f>
        <v>258085.71540948321</v>
      </c>
      <c r="D29" s="625">
        <f>(W28_PG_4_of_4!$B$32*0.5)*(B29/B$56)</f>
        <v>87362.527785909639</v>
      </c>
      <c r="E29" s="580">
        <f t="shared" si="0"/>
        <v>345448.24319539283</v>
      </c>
      <c r="F29" s="626">
        <f t="shared" si="1"/>
        <v>21037.549712677544</v>
      </c>
      <c r="G29" s="624">
        <f>W28_PG_4_of_4!$E$18*(B29/B$56)</f>
        <v>267118.71544881508</v>
      </c>
      <c r="H29" s="625">
        <f>(W28_PG_4_of_4!$E$32*0.5)*(B29/B$56)</f>
        <v>90420.216258416491</v>
      </c>
      <c r="I29" s="580">
        <f t="shared" si="2"/>
        <v>357538.93170723156</v>
      </c>
      <c r="J29" s="626">
        <f t="shared" si="3"/>
        <v>12090.688511838729</v>
      </c>
      <c r="K29" s="627">
        <f t="shared" si="4"/>
        <v>33128.238224516273</v>
      </c>
    </row>
    <row r="30" spans="1:11" ht="12.75" customHeight="1">
      <c r="A30" s="622" t="s">
        <v>1125</v>
      </c>
      <c r="B30" s="623">
        <f>W28_PG_3_of_4!B33</f>
        <v>-4527.2801246902509</v>
      </c>
      <c r="C30" s="624">
        <f>W28_PG_4_of_4!$B$18*(B30/B$56)</f>
        <v>-3601.6887029714135</v>
      </c>
      <c r="D30" s="625">
        <f>(W28_PG_4_of_4!$B$32*0.5)*(B30/B$56)</f>
        <v>-1219.178786746503</v>
      </c>
      <c r="E30" s="580">
        <f t="shared" si="0"/>
        <v>-4820.8674897179162</v>
      </c>
      <c r="F30" s="626">
        <f t="shared" si="1"/>
        <v>-293.58736502766533</v>
      </c>
      <c r="G30" s="624">
        <f>W28_PG_4_of_4!$E$18*(B30/B$56)</f>
        <v>-3727.7478075754129</v>
      </c>
      <c r="H30" s="625">
        <f>(W28_PG_4_of_4!$E$32*0.5)*(B30/B$56)</f>
        <v>-1261.8500442826307</v>
      </c>
      <c r="I30" s="580">
        <f t="shared" si="2"/>
        <v>-4989.5978518580432</v>
      </c>
      <c r="J30" s="626">
        <f t="shared" si="3"/>
        <v>-168.730362140127</v>
      </c>
      <c r="K30" s="627">
        <f t="shared" si="4"/>
        <v>-462.31772716779233</v>
      </c>
    </row>
    <row r="31" spans="1:11" ht="12.75" customHeight="1">
      <c r="A31" s="622" t="s">
        <v>1127</v>
      </c>
      <c r="B31" s="623">
        <f>W28_PG_3_of_4!B34</f>
        <v>0</v>
      </c>
      <c r="C31" s="624">
        <f>W28_PG_4_of_4!$B$18*(B31/B$56)</f>
        <v>0</v>
      </c>
      <c r="D31" s="625">
        <f>(W28_PG_4_of_4!$B$32*0.5)*(B31/B$56)</f>
        <v>0</v>
      </c>
      <c r="E31" s="580">
        <f t="shared" si="0"/>
        <v>0</v>
      </c>
      <c r="F31" s="626">
        <f t="shared" si="1"/>
        <v>0</v>
      </c>
      <c r="G31" s="624">
        <f>W28_PG_4_of_4!$E$18*(B31/B$56)</f>
        <v>0</v>
      </c>
      <c r="H31" s="625">
        <f>(W28_PG_4_of_4!$E$32*0.5)*(B31/B$56)</f>
        <v>0</v>
      </c>
      <c r="I31" s="580">
        <f t="shared" si="2"/>
        <v>0</v>
      </c>
      <c r="J31" s="626">
        <f t="shared" si="3"/>
        <v>0</v>
      </c>
      <c r="K31" s="627">
        <f t="shared" si="4"/>
        <v>0</v>
      </c>
    </row>
    <row r="32" spans="1:11" ht="12.75" customHeight="1">
      <c r="A32" s="622" t="s">
        <v>1128</v>
      </c>
      <c r="B32" s="623">
        <f>W28_PG_3_of_4!B35</f>
        <v>46.967784435959153</v>
      </c>
      <c r="C32" s="624">
        <f>W28_PG_4_of_4!$B$18*(B32/B$56)</f>
        <v>37.365335024009489</v>
      </c>
      <c r="D32" s="625">
        <f>(W28_PG_4_of_4!$B$32*0.5)*(B32/B$56)</f>
        <v>12.648240194485812</v>
      </c>
      <c r="E32" s="580">
        <f t="shared" si="0"/>
        <v>50.013575218495305</v>
      </c>
      <c r="F32" s="626">
        <f t="shared" si="1"/>
        <v>3.0457907825361517</v>
      </c>
      <c r="G32" s="624">
        <f>W28_PG_4_of_4!$E$18*(B32/B$56)</f>
        <v>38.67312174984982</v>
      </c>
      <c r="H32" s="625">
        <f>(W28_PG_4_of_4!$E$32*0.5)*(B32/B$56)</f>
        <v>13.090928601292816</v>
      </c>
      <c r="I32" s="580">
        <f t="shared" si="2"/>
        <v>51.764050351142636</v>
      </c>
      <c r="J32" s="626">
        <f t="shared" si="3"/>
        <v>1.7504751326473311</v>
      </c>
      <c r="K32" s="627">
        <f t="shared" si="4"/>
        <v>4.7962659151834828</v>
      </c>
    </row>
    <row r="33" spans="1:11" ht="12.75" customHeight="1">
      <c r="A33" s="622" t="s">
        <v>1129</v>
      </c>
      <c r="B33" s="623">
        <f>W28_PG_3_of_4!B36</f>
        <v>231292.42194741854</v>
      </c>
      <c r="C33" s="624">
        <f>W28_PG_4_of_4!$B$18*(B33/B$56)</f>
        <v>184005.24824337222</v>
      </c>
      <c r="D33" s="625">
        <f>(W28_PG_4_of_4!$B$32*0.5)*(B33/B$56)</f>
        <v>62286.142365181578</v>
      </c>
      <c r="E33" s="580">
        <f t="shared" si="0"/>
        <v>246291.3906085538</v>
      </c>
      <c r="F33" s="626">
        <f t="shared" si="1"/>
        <v>14998.968661135266</v>
      </c>
      <c r="G33" s="624">
        <f>W28_PG_4_of_4!$E$18*(B33/B$56)</f>
        <v>190445.43193189023</v>
      </c>
      <c r="H33" s="625">
        <f>(W28_PG_4_of_4!$E$32*0.5)*(B33/B$56)</f>
        <v>64466.157347962937</v>
      </c>
      <c r="I33" s="580">
        <f t="shared" si="2"/>
        <v>254911.58927985316</v>
      </c>
      <c r="J33" s="626">
        <f t="shared" si="3"/>
        <v>8620.198671299353</v>
      </c>
      <c r="K33" s="627">
        <f t="shared" si="4"/>
        <v>23619.167332434619</v>
      </c>
    </row>
    <row r="34" spans="1:11" ht="12.75" customHeight="1">
      <c r="A34" s="622" t="s">
        <v>1130</v>
      </c>
      <c r="B34" s="623">
        <f>W28_PG_3_of_4!B37</f>
        <v>-79142.000448352526</v>
      </c>
      <c r="C34" s="624">
        <f>W28_PG_4_of_4!$B$18*(B34/B$56)</f>
        <v>-62961.610745235725</v>
      </c>
      <c r="D34" s="625">
        <f>(W28_PG_4_of_4!$B$32*0.5)*(B34/B$56)</f>
        <v>-21312.630416019419</v>
      </c>
      <c r="E34" s="580">
        <f t="shared" si="0"/>
        <v>-84274.241161255137</v>
      </c>
      <c r="F34" s="626">
        <f t="shared" si="1"/>
        <v>-5132.2407129026105</v>
      </c>
      <c r="G34" s="624">
        <f>W28_PG_4_of_4!$E$18*(B34/B$56)</f>
        <v>-65165.267121318968</v>
      </c>
      <c r="H34" s="625">
        <f>(W28_PG_4_of_4!$E$32*0.5)*(B34/B$56)</f>
        <v>-22058.5724805801</v>
      </c>
      <c r="I34" s="580">
        <f t="shared" si="2"/>
        <v>-87223.839601899061</v>
      </c>
      <c r="J34" s="626">
        <f t="shared" si="3"/>
        <v>-2949.5984406439238</v>
      </c>
      <c r="K34" s="627">
        <f t="shared" si="4"/>
        <v>-8081.8391535465344</v>
      </c>
    </row>
    <row r="35" spans="1:11" ht="12.75" customHeight="1">
      <c r="A35" s="622" t="s">
        <v>1131</v>
      </c>
      <c r="B35" s="623">
        <f>W28_PG_3_of_4!B38</f>
        <v>1893.5446983320194</v>
      </c>
      <c r="C35" s="624">
        <f>W28_PG_4_of_4!$B$18*(B35/B$56)</f>
        <v>1506.4140854373261</v>
      </c>
      <c r="D35" s="625">
        <f>(W28_PG_4_of_4!$B$32*0.5)*(B35/B$56)</f>
        <v>509.92416293671533</v>
      </c>
      <c r="E35" s="580">
        <f t="shared" si="0"/>
        <v>2016.3382483740415</v>
      </c>
      <c r="F35" s="626">
        <f t="shared" si="1"/>
        <v>122.79355004202216</v>
      </c>
      <c r="G35" s="624">
        <f>W28_PG_4_of_4!$E$18*(B35/B$56)</f>
        <v>1559.1385784276324</v>
      </c>
      <c r="H35" s="625">
        <f>(W28_PG_4_of_4!$E$32*0.5)*(B35/B$56)</f>
        <v>527.77150863950044</v>
      </c>
      <c r="I35" s="580">
        <f t="shared" si="2"/>
        <v>2086.9100870671327</v>
      </c>
      <c r="J35" s="626">
        <f t="shared" si="3"/>
        <v>70.571838693091195</v>
      </c>
      <c r="K35" s="627">
        <f t="shared" si="4"/>
        <v>193.36538873511336</v>
      </c>
    </row>
    <row r="36" spans="1:11" ht="12.75" customHeight="1">
      <c r="A36" s="622" t="s">
        <v>1132</v>
      </c>
      <c r="B36" s="623">
        <f>W28_PG_3_of_4!B39</f>
        <v>2466.8303464134683</v>
      </c>
      <c r="C36" s="624">
        <f>W28_PG_4_of_4!$B$18*(B36/B$56)</f>
        <v>1962.4928756605993</v>
      </c>
      <c r="D36" s="625">
        <f>(W28_PG_4_of_4!$B$32*0.5)*(B36/B$56)</f>
        <v>664.30774019215266</v>
      </c>
      <c r="E36" s="580">
        <f t="shared" si="0"/>
        <v>2626.8006158527519</v>
      </c>
      <c r="F36" s="626">
        <f t="shared" si="1"/>
        <v>159.97026943928358</v>
      </c>
      <c r="G36" s="624">
        <f>W28_PG_4_of_4!$E$18*(B36/B$56)</f>
        <v>2031.1801263087202</v>
      </c>
      <c r="H36" s="625">
        <f>(W28_PG_4_of_4!$E$32*0.5)*(B36/B$56)</f>
        <v>687.55851109887806</v>
      </c>
      <c r="I36" s="580">
        <f t="shared" si="2"/>
        <v>2718.7386374075982</v>
      </c>
      <c r="J36" s="626">
        <f>I36-E36</f>
        <v>91.938021554846273</v>
      </c>
      <c r="K36" s="627">
        <f t="shared" si="4"/>
        <v>251.90829099412986</v>
      </c>
    </row>
    <row r="37" spans="1:11" ht="12.75" customHeight="1">
      <c r="A37" s="622" t="s">
        <v>1133</v>
      </c>
      <c r="B37" s="623">
        <f>W28_PG_3_of_4!B40</f>
        <v>641713.21087466367</v>
      </c>
      <c r="C37" s="624">
        <f>W28_PG_4_of_4!$B$18*(B37/B$56)</f>
        <v>510516.50405947003</v>
      </c>
      <c r="D37" s="625">
        <f>(W28_PG_4_of_4!$B$32*0.5)*(B37/B$56)</f>
        <v>172810.85162074066</v>
      </c>
      <c r="E37" s="580">
        <f t="shared" si="0"/>
        <v>683327.35568021075</v>
      </c>
      <c r="F37" s="626">
        <f t="shared" si="1"/>
        <v>41614.144805547083</v>
      </c>
      <c r="G37" s="624">
        <f>W28_PG_4_of_4!$E$18*(B37/B$56)</f>
        <v>528384.58170155145</v>
      </c>
      <c r="H37" s="625">
        <f>(W28_PG_4_of_4!$E$32*0.5)*(B37/B$56)</f>
        <v>178859.23142746661</v>
      </c>
      <c r="I37" s="580">
        <f t="shared" si="2"/>
        <v>707243.81312901806</v>
      </c>
      <c r="J37" s="626">
        <f t="shared" si="3"/>
        <v>23916.457448807312</v>
      </c>
      <c r="K37" s="627">
        <f t="shared" si="4"/>
        <v>65530.602254354395</v>
      </c>
    </row>
    <row r="38" spans="1:11" ht="12.75" customHeight="1">
      <c r="A38" s="622" t="s">
        <v>1134</v>
      </c>
      <c r="B38" s="623">
        <f>W28_PG_3_of_4!B41</f>
        <v>154609.01306314455</v>
      </c>
      <c r="C38" s="624">
        <f>W28_PG_4_of_4!$B$18*(B38/B$56)</f>
        <v>122999.57599049307</v>
      </c>
      <c r="D38" s="625">
        <f>(W28_PG_4_of_4!$B$32*0.5)*(B38/B$56)</f>
        <v>41635.601017574634</v>
      </c>
      <c r="E38" s="580">
        <f t="shared" si="0"/>
        <v>164635.17700806772</v>
      </c>
      <c r="F38" s="626">
        <f t="shared" si="1"/>
        <v>10026.163944923173</v>
      </c>
      <c r="G38" s="624">
        <f>W28_PG_4_of_4!$E$18*(B38/B$56)</f>
        <v>127304.56115016033</v>
      </c>
      <c r="H38" s="625">
        <f>(W28_PG_4_of_4!$E$32*0.5)*(B38/B$56)</f>
        <v>43092.847053189747</v>
      </c>
      <c r="I38" s="580">
        <f t="shared" si="2"/>
        <v>170397.40820335009</v>
      </c>
      <c r="J38" s="626">
        <f t="shared" si="3"/>
        <v>5762.2311952823657</v>
      </c>
      <c r="K38" s="627">
        <f t="shared" si="4"/>
        <v>15788.395140205539</v>
      </c>
    </row>
    <row r="39" spans="1:11" ht="12.75" customHeight="1">
      <c r="A39" s="622" t="s">
        <v>1135</v>
      </c>
      <c r="B39" s="623">
        <f>W28_PG_3_of_4!B42</f>
        <v>1988485.9296893857</v>
      </c>
      <c r="C39" s="624">
        <f>W28_PG_4_of_4!$B$18*(B39/B$56)</f>
        <v>1581944.8127190662</v>
      </c>
      <c r="D39" s="625">
        <f>(W28_PG_4_of_4!$B$32*0.5)*(B39/B$56)</f>
        <v>535491.46428995614</v>
      </c>
      <c r="E39" s="580">
        <f t="shared" si="0"/>
        <v>2117436.2770090224</v>
      </c>
      <c r="F39" s="626">
        <f t="shared" si="1"/>
        <v>128950.34731963673</v>
      </c>
      <c r="G39" s="624">
        <f>W28_PG_4_of_4!$E$18*(B39/B$56)</f>
        <v>1637312.8811642334</v>
      </c>
      <c r="H39" s="625">
        <f>(W28_PG_4_of_4!$E$32*0.5)*(B39/B$56)</f>
        <v>554233.66554010462</v>
      </c>
      <c r="I39" s="580">
        <f t="shared" si="2"/>
        <v>2191546.5467043379</v>
      </c>
      <c r="J39" s="626">
        <f>I39-E39</f>
        <v>74110.26969531551</v>
      </c>
      <c r="K39" s="627">
        <f>I39-B39</f>
        <v>203060.61701495224</v>
      </c>
    </row>
    <row r="40" spans="1:11" ht="12.75" customHeight="1">
      <c r="A40" s="622" t="s">
        <v>1136</v>
      </c>
      <c r="B40" s="623">
        <f>W28_PG_3_of_4!B43</f>
        <v>3306.1509597031027</v>
      </c>
      <c r="C40" s="624">
        <f>W28_PG_4_of_4!$B$18*(B40/B$56)</f>
        <v>2630.2164288310896</v>
      </c>
      <c r="D40" s="625">
        <f>(W28_PG_4_of_4!$B$32*0.5)*(B40/B$56)</f>
        <v>890.33349049224012</v>
      </c>
      <c r="E40" s="580">
        <f t="shared" si="0"/>
        <v>3520.54991932333</v>
      </c>
      <c r="F40" s="626">
        <f t="shared" si="1"/>
        <v>214.39895962022729</v>
      </c>
      <c r="G40" s="624">
        <f>W28_PG_4_of_4!$E$18*(B40/B$56)</f>
        <v>2722.2740038401776</v>
      </c>
      <c r="H40" s="625">
        <f>(W28_PG_4_of_4!$E$32*0.5)*(B40/B$56)</f>
        <v>921.49516265946852</v>
      </c>
      <c r="I40" s="580">
        <f t="shared" si="2"/>
        <v>3643.769166499646</v>
      </c>
      <c r="J40" s="626">
        <f t="shared" si="3"/>
        <v>123.219247176316</v>
      </c>
      <c r="K40" s="627">
        <f t="shared" si="4"/>
        <v>337.61820679654329</v>
      </c>
    </row>
    <row r="41" spans="1:11" ht="12.75" customHeight="1">
      <c r="A41" s="622" t="s">
        <v>1138</v>
      </c>
      <c r="B41" s="623">
        <f>W28_PG_3_of_4!B44</f>
        <v>2518009.995755346</v>
      </c>
      <c r="C41" s="624">
        <f>W28_PG_4_of_4!$B$18*(B41/B$56)</f>
        <v>2003208.9700439333</v>
      </c>
      <c r="D41" s="625">
        <f>(W28_PG_4_of_4!$B$32*0.5)*(B41/B$56)</f>
        <v>678090.21909166884</v>
      </c>
      <c r="E41" s="580">
        <f t="shared" si="0"/>
        <v>2681299.1891356022</v>
      </c>
      <c r="F41" s="626">
        <f t="shared" si="1"/>
        <v>163289.19338025618</v>
      </c>
      <c r="G41" s="624">
        <f>W28_PG_4_of_4!$E$18*(B41/B$56)</f>
        <v>2073321.2839954707</v>
      </c>
      <c r="H41" s="625">
        <f>(W28_PG_4_of_4!$E$32*0.5)*(B41/B$56)</f>
        <v>701823.37675987731</v>
      </c>
      <c r="I41" s="580">
        <f t="shared" si="2"/>
        <v>2775144.6607553479</v>
      </c>
      <c r="J41" s="626">
        <f t="shared" si="3"/>
        <v>93845.471619745716</v>
      </c>
      <c r="K41" s="627">
        <f t="shared" si="4"/>
        <v>257134.6650000019</v>
      </c>
    </row>
    <row r="42" spans="1:11" ht="12.75" customHeight="1">
      <c r="A42" s="622" t="s">
        <v>1139</v>
      </c>
      <c r="B42" s="623">
        <f>W28_PG_3_of_4!B45</f>
        <v>1130.464607405047</v>
      </c>
      <c r="C42" s="624">
        <f>W28_PG_4_of_4!$B$18*(B42/B$56)</f>
        <v>899.34386507138049</v>
      </c>
      <c r="D42" s="625">
        <f>(W28_PG_4_of_4!$B$32*0.5)*(B42/B$56)</f>
        <v>304.42968638046091</v>
      </c>
      <c r="E42" s="580">
        <f t="shared" si="0"/>
        <v>1203.7735514518413</v>
      </c>
      <c r="F42" s="626">
        <f t="shared" si="1"/>
        <v>73.308944046794295</v>
      </c>
      <c r="G42" s="624">
        <f>W28_PG_4_of_4!$E$18*(B42/B$56)</f>
        <v>930.82090034887881</v>
      </c>
      <c r="H42" s="625">
        <f>(W28_PG_4_of_4!$E$32*0.5)*(B42/B$56)</f>
        <v>315.08472540377704</v>
      </c>
      <c r="I42" s="580">
        <f t="shared" si="2"/>
        <v>1245.9056257526559</v>
      </c>
      <c r="J42" s="626">
        <f t="shared" si="3"/>
        <v>42.132074300814566</v>
      </c>
      <c r="K42" s="627">
        <f t="shared" si="4"/>
        <v>115.44101834760886</v>
      </c>
    </row>
    <row r="43" spans="1:11" ht="12.75" customHeight="1">
      <c r="A43" s="622" t="s">
        <v>1140</v>
      </c>
      <c r="B43" s="623">
        <f>W28_PG_3_of_4!B46</f>
        <v>6788.390581304142</v>
      </c>
      <c r="C43" s="624">
        <f>W28_PG_4_of_4!$B$18*(B43/B$56)</f>
        <v>5400.5206204715423</v>
      </c>
      <c r="D43" s="625">
        <f>(W28_PG_4_of_4!$B$32*0.5)*(B43/B$56)</f>
        <v>1828.0869672145636</v>
      </c>
      <c r="E43" s="580">
        <f t="shared" si="0"/>
        <v>7228.6075876861059</v>
      </c>
      <c r="F43" s="626">
        <f t="shared" si="1"/>
        <v>440.21700638196398</v>
      </c>
      <c r="G43" s="624">
        <f>W28_PG_4_of_4!$E$18*(B43/B$56)</f>
        <v>5589.5388421880461</v>
      </c>
      <c r="H43" s="625">
        <f>(W28_PG_4_of_4!$E$32*0.5)*(B43/B$56)</f>
        <v>1892.0700110670734</v>
      </c>
      <c r="I43" s="580">
        <f t="shared" si="2"/>
        <v>7481.6088532551194</v>
      </c>
      <c r="J43" s="626">
        <f>I43-E43</f>
        <v>253.00126556901341</v>
      </c>
      <c r="K43" s="627">
        <f t="shared" si="4"/>
        <v>693.2182719509774</v>
      </c>
    </row>
    <row r="44" spans="1:11" ht="12.75" customHeight="1">
      <c r="A44" s="622" t="s">
        <v>1141</v>
      </c>
      <c r="B44" s="623">
        <f>W28_PG_3_of_4!B47</f>
        <v>16312.416795799094</v>
      </c>
      <c r="C44" s="624">
        <f>W28_PG_4_of_4!$B$18*(B44/B$56)</f>
        <v>12977.382815606197</v>
      </c>
      <c r="D44" s="625">
        <f>(W28_PG_4_of_4!$B$32*0.5)*(B44/B$56)</f>
        <v>4392.8698844024602</v>
      </c>
      <c r="E44" s="580">
        <f t="shared" si="0"/>
        <v>17370.252700008656</v>
      </c>
      <c r="F44" s="626">
        <f t="shared" si="1"/>
        <v>1057.8359042095617</v>
      </c>
      <c r="G44" s="624">
        <f>W28_PG_4_of_4!$E$18*(B44/B$56)</f>
        <v>13431.591214152413</v>
      </c>
      <c r="H44" s="625">
        <f>(W28_PG_4_of_4!$E$32*0.5)*(B44/B$56)</f>
        <v>4546.6203303565462</v>
      </c>
      <c r="I44" s="580">
        <f t="shared" si="2"/>
        <v>17978.211544508958</v>
      </c>
      <c r="J44" s="626">
        <f t="shared" si="3"/>
        <v>607.9588445003028</v>
      </c>
      <c r="K44" s="627">
        <f>I44-B44</f>
        <v>1665.7947487098645</v>
      </c>
    </row>
    <row r="45" spans="1:11" ht="12.75" customHeight="1">
      <c r="A45" s="622" t="s">
        <v>1142</v>
      </c>
      <c r="B45" s="623">
        <f>W28_PG_3_of_4!B48</f>
        <v>23946.704297071999</v>
      </c>
      <c r="C45" s="624">
        <f>W28_PG_4_of_4!$B$18*(B45/B$56)</f>
        <v>19050.858786005032</v>
      </c>
      <c r="D45" s="625">
        <f>(W28_PG_4_of_4!$B$32*0.5)*(B45/B$56)</f>
        <v>6448.753575521021</v>
      </c>
      <c r="E45" s="580">
        <f t="shared" si="0"/>
        <v>25499.612361526051</v>
      </c>
      <c r="F45" s="626">
        <f t="shared" si="1"/>
        <v>1552.9080644540518</v>
      </c>
      <c r="G45" s="624">
        <f>W28_PG_4_of_4!$E$18*(B45/B$56)</f>
        <v>19717.638843515208</v>
      </c>
      <c r="H45" s="625">
        <f>(W28_PG_4_of_4!$E$32*0.5)*(B45/B$56)</f>
        <v>6674.4599506642571</v>
      </c>
      <c r="I45" s="580">
        <f t="shared" si="2"/>
        <v>26392.098794179466</v>
      </c>
      <c r="J45" s="626">
        <f t="shared" si="3"/>
        <v>892.48643265341525</v>
      </c>
      <c r="K45" s="627">
        <f t="shared" si="4"/>
        <v>2445.394497107467</v>
      </c>
    </row>
    <row r="46" spans="1:11" ht="12.75" customHeight="1">
      <c r="A46" s="622" t="s">
        <v>1143</v>
      </c>
      <c r="B46" s="623">
        <f>W28_PG_3_of_4!B49</f>
        <v>8598.3506431450478</v>
      </c>
      <c r="C46" s="624">
        <f>W28_PG_4_of_4!$B$18*(B46/B$56)</f>
        <v>6840.4387452656965</v>
      </c>
      <c r="D46" s="625">
        <f>(W28_PG_4_of_4!$B$32*0.5)*(B46/B$56)</f>
        <v>2315.5021152678992</v>
      </c>
      <c r="E46" s="580">
        <f t="shared" si="0"/>
        <v>9155.9408605335957</v>
      </c>
      <c r="F46" s="626">
        <f t="shared" si="1"/>
        <v>557.5902173885479</v>
      </c>
      <c r="G46" s="624">
        <f>W28_PG_4_of_4!$E$18*(B46/B$56)</f>
        <v>7079.8541013499962</v>
      </c>
      <c r="H46" s="625">
        <f>(W28_PG_4_of_4!$E$32*0.5)*(B46/B$56)</f>
        <v>2396.5446893022759</v>
      </c>
      <c r="I46" s="580">
        <f t="shared" si="2"/>
        <v>9476.3987906522725</v>
      </c>
      <c r="J46" s="626">
        <f t="shared" si="3"/>
        <v>320.45793011867681</v>
      </c>
      <c r="K46" s="627">
        <f t="shared" si="4"/>
        <v>878.04814750722471</v>
      </c>
    </row>
    <row r="47" spans="1:11" ht="12.75" customHeight="1">
      <c r="A47" s="622" t="s">
        <v>1145</v>
      </c>
      <c r="B47" s="623">
        <f>W28_PG_3_of_4!B50</f>
        <v>89673.412191106385</v>
      </c>
      <c r="C47" s="624">
        <f>W28_PG_4_of_4!$B$18*(B47/B$56)</f>
        <v>71339.900944986119</v>
      </c>
      <c r="D47" s="625">
        <f>(W28_PG_4_of_4!$B$32*0.5)*(B47/B$56)</f>
        <v>24148.698306149588</v>
      </c>
      <c r="E47" s="580">
        <f t="shared" si="0"/>
        <v>95488.599251135704</v>
      </c>
      <c r="F47" s="626">
        <f t="shared" si="1"/>
        <v>5815.1870600293187</v>
      </c>
      <c r="G47" s="624">
        <f>W28_PG_4_of_4!$E$18*(B47/B$56)</f>
        <v>73836.797478060631</v>
      </c>
      <c r="H47" s="625">
        <f>(W28_PG_4_of_4!$E$32*0.5)*(B47/B$56)</f>
        <v>24993.902746864824</v>
      </c>
      <c r="I47" s="580">
        <f t="shared" si="2"/>
        <v>98830.700224925458</v>
      </c>
      <c r="J47" s="626">
        <f t="shared" si="3"/>
        <v>3342.1009737897548</v>
      </c>
      <c r="K47" s="627">
        <f t="shared" si="4"/>
        <v>9157.2880338190735</v>
      </c>
    </row>
    <row r="48" spans="1:11" ht="12.75" customHeight="1">
      <c r="A48" s="622" t="s">
        <v>1146</v>
      </c>
      <c r="B48" s="623">
        <f>W28_PG_3_of_4!B51</f>
        <v>725297.68741091795</v>
      </c>
      <c r="C48" s="624">
        <f>W28_PG_4_of_4!$B$18*(B48/B$56)</f>
        <v>577012.33745016472</v>
      </c>
      <c r="D48" s="625">
        <f>(W28_PG_4_of_4!$B$32*0.5)*(B48/B$56)</f>
        <v>195319.82342890423</v>
      </c>
      <c r="E48" s="580">
        <f t="shared" si="0"/>
        <v>772332.16087906901</v>
      </c>
      <c r="F48" s="626">
        <f t="shared" si="1"/>
        <v>47034.47346815106</v>
      </c>
      <c r="G48" s="624">
        <f>W28_PG_4_of_4!$E$18*(B48/B$56)</f>
        <v>597207.76926092047</v>
      </c>
      <c r="H48" s="625">
        <f>(W28_PG_4_of_4!$E$32*0.5)*(B48/B$56)</f>
        <v>202156.01724891589</v>
      </c>
      <c r="I48" s="580">
        <f t="shared" si="2"/>
        <v>799363.78650983633</v>
      </c>
      <c r="J48" s="626">
        <f t="shared" si="3"/>
        <v>27031.625630767317</v>
      </c>
      <c r="K48" s="627">
        <f t="shared" si="4"/>
        <v>74066.099098918377</v>
      </c>
    </row>
    <row r="49" spans="1:11" ht="12.75" customHeight="1">
      <c r="A49" s="622" t="s">
        <v>1148</v>
      </c>
      <c r="B49" s="623">
        <f>W28_PG_3_of_4!B52</f>
        <v>148130.19537766837</v>
      </c>
      <c r="C49" s="624">
        <f>W28_PG_4_of_4!$B$18*(B49/B$56)</f>
        <v>117845.33683945589</v>
      </c>
      <c r="D49" s="625">
        <f>(W28_PG_4_of_4!$B$32*0.5)*(B49/B$56)</f>
        <v>39890.880817414487</v>
      </c>
      <c r="E49" s="580">
        <f t="shared" si="0"/>
        <v>157736.21765687037</v>
      </c>
      <c r="F49" s="626">
        <f t="shared" si="1"/>
        <v>9606.0222792020068</v>
      </c>
      <c r="G49" s="624">
        <f>W28_PG_4_of_4!$E$18*(B49/B$56)</f>
        <v>121969.92362883684</v>
      </c>
      <c r="H49" s="625">
        <f>(W28_PG_4_of_4!$E$32*0.5)*(B49/B$56)</f>
        <v>41287.061646023991</v>
      </c>
      <c r="I49" s="580">
        <f t="shared" si="2"/>
        <v>163256.98527486084</v>
      </c>
      <c r="J49" s="626">
        <f t="shared" si="3"/>
        <v>5520.7676179904665</v>
      </c>
      <c r="K49" s="627">
        <f t="shared" si="4"/>
        <v>15126.789897192473</v>
      </c>
    </row>
    <row r="50" spans="1:11" ht="12.75" customHeight="1">
      <c r="A50" s="622" t="s">
        <v>1150</v>
      </c>
      <c r="B50" s="623">
        <f>W28_PG_3_of_4!B53</f>
        <v>1868813.0765581918</v>
      </c>
      <c r="C50" s="624">
        <f>W28_PG_4_of_4!$B$18*(B50/B$56)</f>
        <v>1486738.7836456015</v>
      </c>
      <c r="D50" s="625">
        <f>(W28_PG_4_of_4!$B$32*0.5)*(B50/B$56)</f>
        <v>503264.03416225576</v>
      </c>
      <c r="E50" s="580">
        <f t="shared" si="0"/>
        <v>1990002.8178078572</v>
      </c>
      <c r="F50" s="626">
        <f t="shared" si="1"/>
        <v>121189.74124966539</v>
      </c>
      <c r="G50" s="624">
        <f>W28_PG_4_of_4!$E$18*(B50/B$56)</f>
        <v>1538774.6410731974</v>
      </c>
      <c r="H50" s="625">
        <f>(W28_PG_4_of_4!$E$32*0.5)*(B50/B$56)</f>
        <v>520878.2753579347</v>
      </c>
      <c r="I50" s="580">
        <f t="shared" si="2"/>
        <v>2059652.916431132</v>
      </c>
      <c r="J50" s="626">
        <f t="shared" si="3"/>
        <v>69650.098623274826</v>
      </c>
      <c r="K50" s="627">
        <f t="shared" si="4"/>
        <v>190839.83987294021</v>
      </c>
    </row>
    <row r="51" spans="1:11" ht="12.75" customHeight="1">
      <c r="A51" s="622" t="s">
        <v>1151</v>
      </c>
      <c r="B51" s="623">
        <f>W28_PG_3_of_4!B54</f>
        <v>-600959.71302885155</v>
      </c>
      <c r="C51" s="624">
        <f>W28_PG_4_of_4!$B$18*(B51/B$56)</f>
        <v>-478094.95983088674</v>
      </c>
      <c r="D51" s="625">
        <f>(W28_PG_4_of_4!$B$32*0.5)*(B51/B$56)</f>
        <v>-161836.09443963232</v>
      </c>
      <c r="E51" s="580">
        <f t="shared" si="0"/>
        <v>-639931.05427051906</v>
      </c>
      <c r="F51" s="626">
        <f t="shared" si="1"/>
        <v>-38971.341241667513</v>
      </c>
      <c r="G51" s="624">
        <f>W28_PG_4_of_4!$E$18*(B51/B$56)</f>
        <v>-494828.28342496773</v>
      </c>
      <c r="H51" s="625">
        <f>(W28_PG_4_of_4!$E$32*0.5)*(B51/B$56)</f>
        <v>-167500.35774501949</v>
      </c>
      <c r="I51" s="580">
        <f t="shared" si="2"/>
        <v>-662328.64116998715</v>
      </c>
      <c r="J51" s="626">
        <f t="shared" si="3"/>
        <v>-22397.586899468093</v>
      </c>
      <c r="K51" s="627">
        <f t="shared" si="4"/>
        <v>-61368.928141135606</v>
      </c>
    </row>
    <row r="52" spans="1:11" ht="12.75" customHeight="1">
      <c r="A52" s="622" t="s">
        <v>1152</v>
      </c>
      <c r="B52" s="623">
        <f>W28_PG_3_of_4!B55</f>
        <v>3.2640006450566375E-2</v>
      </c>
      <c r="C52" s="624">
        <f>W28_PG_4_of_4!$B$18*(B52/B$56)</f>
        <v>2.5966836436029501E-2</v>
      </c>
      <c r="D52" s="625">
        <f>(W28_PG_4_of_4!$B$32*0.5)*(B52/B$56)</f>
        <v>8.7898257602343939E-3</v>
      </c>
      <c r="E52" s="580">
        <f t="shared" si="0"/>
        <v>3.4756662196263895E-2</v>
      </c>
      <c r="F52" s="626">
        <f t="shared" si="1"/>
        <v>2.1166557456975196E-3</v>
      </c>
      <c r="G52" s="624">
        <f>W28_PG_4_of_4!$E$18*(B52/B$56)</f>
        <v>2.6875675711290532E-2</v>
      </c>
      <c r="H52" s="625">
        <f>(W28_PG_4_of_4!$E$32*0.5)*(B52/B$56)</f>
        <v>9.0974696618425985E-3</v>
      </c>
      <c r="I52" s="580">
        <f t="shared" si="2"/>
        <v>3.5973145373133134E-2</v>
      </c>
      <c r="J52" s="626">
        <f t="shared" si="3"/>
        <v>1.2164831768692388E-3</v>
      </c>
      <c r="K52" s="627">
        <f>I52-B52</f>
        <v>3.3331389225667585E-3</v>
      </c>
    </row>
    <row r="53" spans="1:11" ht="12.75" customHeight="1">
      <c r="A53" s="622" t="s">
        <v>1153</v>
      </c>
      <c r="B53" s="623">
        <f>W28_PG_3_of_4!B56</f>
        <v>73797.485254423911</v>
      </c>
      <c r="C53" s="624">
        <f>W28_PG_4_of_4!$B$18*(B53/B$56)</f>
        <v>58709.768697324289</v>
      </c>
      <c r="D53" s="625">
        <f>(W28_PG_4_of_4!$B$32*0.5)*(B53/B$56)</f>
        <v>19873.373429391504</v>
      </c>
      <c r="E53" s="580">
        <f t="shared" si="0"/>
        <v>78583.1421267158</v>
      </c>
      <c r="F53" s="626">
        <f t="shared" si="1"/>
        <v>4785.6568722918892</v>
      </c>
      <c r="G53" s="624">
        <f>W28_PG_4_of_4!$E$18*(B53/B$56)</f>
        <v>60764.61060173063</v>
      </c>
      <c r="H53" s="625">
        <f>(W28_PG_4_of_4!$E$32*0.5)*(B53/B$56)</f>
        <v>20568.941499420209</v>
      </c>
      <c r="I53" s="580">
        <f t="shared" si="2"/>
        <v>81333.552101150839</v>
      </c>
      <c r="J53" s="626">
        <f t="shared" si="3"/>
        <v>2750.4099744350387</v>
      </c>
      <c r="K53" s="627">
        <f t="shared" si="4"/>
        <v>7536.0668467269279</v>
      </c>
    </row>
    <row r="54" spans="1:11" ht="12.75" customHeight="1">
      <c r="A54" s="622" t="s">
        <v>1154</v>
      </c>
      <c r="B54" s="623">
        <f>W28_PG_3_of_4!B57</f>
        <v>6678.6593107703457</v>
      </c>
      <c r="C54" s="624">
        <f>W28_PG_4_of_4!$B$18*(B54/B$56)</f>
        <v>5313.2236415881525</v>
      </c>
      <c r="D54" s="625">
        <f>(W28_PG_4_of_4!$B$32*0.5)*(B54/B$56)</f>
        <v>1798.5367663007867</v>
      </c>
      <c r="E54" s="580">
        <f t="shared" si="0"/>
        <v>7111.760407888939</v>
      </c>
      <c r="F54" s="626">
        <f t="shared" si="1"/>
        <v>433.10109711859332</v>
      </c>
      <c r="G54" s="624">
        <f>W28_PG_4_of_4!$E$18*(B54/B$56)</f>
        <v>5499.1864690437378</v>
      </c>
      <c r="H54" s="625">
        <f>(W28_PG_4_of_4!$E$32*0.5)*(B54/B$56)</f>
        <v>1861.4855531213143</v>
      </c>
      <c r="I54" s="580">
        <f t="shared" si="2"/>
        <v>7360.6720221650521</v>
      </c>
      <c r="J54" s="626">
        <f t="shared" si="3"/>
        <v>248.91161427611314</v>
      </c>
      <c r="K54" s="627">
        <f t="shared" si="4"/>
        <v>682.01271139470646</v>
      </c>
    </row>
    <row r="55" spans="1:11" ht="12.75" customHeight="1">
      <c r="A55" s="622" t="s">
        <v>1155</v>
      </c>
      <c r="B55" s="623">
        <f>W28_PG_3_of_4!B58</f>
        <v>356199.80891468382</v>
      </c>
      <c r="C55" s="624">
        <f>W28_PG_4_of_4!$B$18*(B55/B$56)</f>
        <v>283375.62342828704</v>
      </c>
      <c r="D55" s="625">
        <f>(W28_PG_4_of_4!$B$32*0.5)*(B55/B$56)</f>
        <v>95923.211931060388</v>
      </c>
      <c r="E55" s="580">
        <f t="shared" si="0"/>
        <v>379298.8353593474</v>
      </c>
      <c r="F55" s="626">
        <f t="shared" si="1"/>
        <v>23099.026444663585</v>
      </c>
      <c r="G55" s="624">
        <f>W28_PG_4_of_4!$E$18*(B55/B$56)</f>
        <v>293293.77024827705</v>
      </c>
      <c r="H55" s="625">
        <f>(W28_PG_4_of_4!$E$32*0.5)*(B55/B$56)</f>
        <v>99280.524348647508</v>
      </c>
      <c r="I55" s="580">
        <f t="shared" si="2"/>
        <v>392574.29459692456</v>
      </c>
      <c r="J55" s="626">
        <f t="shared" si="3"/>
        <v>13275.459237577161</v>
      </c>
      <c r="K55" s="627">
        <f t="shared" si="4"/>
        <v>36374.485682240746</v>
      </c>
    </row>
    <row r="56" spans="1:11" ht="12.75" customHeight="1">
      <c r="A56" s="628" t="s">
        <v>172</v>
      </c>
      <c r="B56" s="629">
        <f t="shared" ref="B56:K56" si="5">SUM(B8:B55)</f>
        <v>31740636.429999944</v>
      </c>
      <c r="C56" s="630">
        <f t="shared" si="5"/>
        <v>25251340.431000028</v>
      </c>
      <c r="D56" s="631">
        <f t="shared" si="5"/>
        <v>8547628.9399999976</v>
      </c>
      <c r="E56" s="631">
        <f t="shared" si="5"/>
        <v>33798969.371000014</v>
      </c>
      <c r="F56" s="632">
        <f t="shared" si="5"/>
        <v>2058332.9410000639</v>
      </c>
      <c r="G56" s="630">
        <f t="shared" si="5"/>
        <v>26135137.346085012</v>
      </c>
      <c r="H56" s="631">
        <f t="shared" si="5"/>
        <v>8846795.9529000036</v>
      </c>
      <c r="I56" s="631">
        <f t="shared" si="5"/>
        <v>34981933.298985019</v>
      </c>
      <c r="J56" s="632">
        <f t="shared" si="5"/>
        <v>1182963.9279849993</v>
      </c>
      <c r="K56" s="629">
        <f t="shared" si="5"/>
        <v>3241296.8689850634</v>
      </c>
    </row>
    <row r="57" spans="1:11" ht="12.75" customHeight="1">
      <c r="F57" s="633"/>
    </row>
    <row r="58" spans="1:11" ht="12.75" customHeight="1">
      <c r="A58" s="581" t="s">
        <v>1221</v>
      </c>
      <c r="B58" s="634">
        <f t="shared" ref="B58:K58" si="6">SUM(B22:B55)</f>
        <v>14206211.122973926</v>
      </c>
      <c r="C58" s="634">
        <f t="shared" si="6"/>
        <v>11301785.77521592</v>
      </c>
      <c r="D58" s="634">
        <f t="shared" si="6"/>
        <v>3825676.9548486974</v>
      </c>
      <c r="E58" s="634">
        <f t="shared" si="6"/>
        <v>15127462.730064616</v>
      </c>
      <c r="F58" s="634">
        <f t="shared" si="6"/>
        <v>921251.60709068994</v>
      </c>
      <c r="G58" s="634">
        <f t="shared" si="6"/>
        <v>11697348.277348479</v>
      </c>
      <c r="H58" s="634">
        <f t="shared" si="6"/>
        <v>3959575.6482684007</v>
      </c>
      <c r="I58" s="634">
        <f t="shared" si="6"/>
        <v>15656923.925616873</v>
      </c>
      <c r="J58" s="634">
        <f t="shared" si="6"/>
        <v>529461.19555226085</v>
      </c>
      <c r="K58" s="634">
        <f t="shared" si="6"/>
        <v>1450712.8026429508</v>
      </c>
    </row>
    <row r="59" spans="1:11" ht="12.75" customHeight="1">
      <c r="F59" s="633"/>
      <c r="J59" s="633"/>
    </row>
  </sheetData>
  <pageMargins left="0.7" right="0.7" top="0.75" bottom="0.75" header="0.3" footer="0.3"/>
  <pageSetup scale="57" orientation="landscape" horizontalDpi="200" verticalDpi="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FEAF1-221C-4CF9-8CA9-9E56EF07FF83}">
  <sheetPr>
    <pageSetUpPr fitToPage="1"/>
  </sheetPr>
  <dimension ref="A2:B59"/>
  <sheetViews>
    <sheetView workbookViewId="0">
      <selection activeCell="A3" sqref="A3:C3"/>
    </sheetView>
  </sheetViews>
  <sheetFormatPr defaultColWidth="9.1796875" defaultRowHeight="12.5"/>
  <cols>
    <col min="1" max="1" width="15.54296875" style="24" customWidth="1"/>
    <col min="2" max="2" width="21.453125" style="612" customWidth="1"/>
    <col min="3" max="16384" width="9.1796875" style="24"/>
  </cols>
  <sheetData>
    <row r="2" spans="1:2">
      <c r="A2" s="7" t="s">
        <v>0</v>
      </c>
    </row>
    <row r="3" spans="1:2">
      <c r="A3" s="43" t="s">
        <v>1201</v>
      </c>
    </row>
    <row r="4" spans="1:2">
      <c r="A4" s="7" t="s">
        <v>119</v>
      </c>
    </row>
    <row r="5" spans="1:2">
      <c r="A5" s="24" t="s">
        <v>1222</v>
      </c>
    </row>
    <row r="8" spans="1:2">
      <c r="A8" s="635" t="s">
        <v>1176</v>
      </c>
      <c r="B8" s="636" t="s">
        <v>1223</v>
      </c>
    </row>
    <row r="10" spans="1:2" ht="25">
      <c r="A10" s="635" t="s">
        <v>164</v>
      </c>
      <c r="B10" s="637" t="s">
        <v>1178</v>
      </c>
    </row>
    <row r="11" spans="1:2">
      <c r="A11" s="576" t="s">
        <v>1183</v>
      </c>
      <c r="B11" s="606">
        <v>10960398.129449982</v>
      </c>
    </row>
    <row r="12" spans="1:2">
      <c r="A12" s="576" t="s">
        <v>1184</v>
      </c>
      <c r="B12" s="606">
        <v>2443569.7215462914</v>
      </c>
    </row>
    <row r="13" spans="1:2">
      <c r="A13" s="576" t="s">
        <v>1185</v>
      </c>
      <c r="B13" s="606">
        <v>953787.26598190481</v>
      </c>
    </row>
    <row r="14" spans="1:2">
      <c r="A14" s="576" t="s">
        <v>1186</v>
      </c>
      <c r="B14" s="606">
        <v>0</v>
      </c>
    </row>
    <row r="15" spans="1:2">
      <c r="A15" s="576" t="s">
        <v>1187</v>
      </c>
      <c r="B15" s="606">
        <v>0</v>
      </c>
    </row>
    <row r="16" spans="1:2">
      <c r="A16" s="576" t="s">
        <v>1188</v>
      </c>
      <c r="B16" s="606">
        <v>0</v>
      </c>
    </row>
    <row r="17" spans="1:2">
      <c r="A17" s="576" t="s">
        <v>1189</v>
      </c>
      <c r="B17" s="606">
        <v>44218.55618270945</v>
      </c>
    </row>
    <row r="18" spans="1:2">
      <c r="A18" s="576" t="s">
        <v>1190</v>
      </c>
      <c r="B18" s="606">
        <v>12577.791387530959</v>
      </c>
    </row>
    <row r="19" spans="1:2">
      <c r="A19" s="576" t="s">
        <v>1220</v>
      </c>
      <c r="B19" s="606">
        <v>0</v>
      </c>
    </row>
    <row r="20" spans="1:2">
      <c r="A20" s="576" t="s">
        <v>1191</v>
      </c>
      <c r="B20" s="606">
        <v>975.92313317691389</v>
      </c>
    </row>
    <row r="21" spans="1:2">
      <c r="A21" s="576" t="s">
        <v>1192</v>
      </c>
      <c r="B21" s="606">
        <v>8908.7672014415657</v>
      </c>
    </row>
    <row r="22" spans="1:2">
      <c r="A22" s="576" t="s">
        <v>1193</v>
      </c>
      <c r="B22" s="606">
        <v>2672.6430018273627</v>
      </c>
    </row>
    <row r="23" spans="1:2">
      <c r="A23" s="576" t="s">
        <v>1108</v>
      </c>
      <c r="B23" s="606">
        <v>1373984.7238660667</v>
      </c>
    </row>
    <row r="24" spans="1:2">
      <c r="A24" s="576" t="s">
        <v>1109</v>
      </c>
      <c r="B24" s="606">
        <v>1733331.7852750956</v>
      </c>
    </row>
    <row r="25" spans="1:2">
      <c r="A25" s="576" t="s">
        <v>1110</v>
      </c>
      <c r="B25" s="606">
        <v>1059951.298564014</v>
      </c>
    </row>
    <row r="26" spans="1:2">
      <c r="A26" s="576" t="s">
        <v>1111</v>
      </c>
      <c r="B26" s="606">
        <v>79289.830839874063</v>
      </c>
    </row>
    <row r="27" spans="1:2">
      <c r="A27" s="576" t="s">
        <v>1112</v>
      </c>
      <c r="B27" s="606">
        <v>1199769.747290879</v>
      </c>
    </row>
    <row r="28" spans="1:2">
      <c r="A28" s="576" t="s">
        <v>1113</v>
      </c>
      <c r="B28" s="606">
        <v>1121280.0635272923</v>
      </c>
    </row>
    <row r="29" spans="1:2">
      <c r="A29" s="576" t="s">
        <v>1114</v>
      </c>
      <c r="B29" s="606">
        <v>140591.34500340928</v>
      </c>
    </row>
    <row r="30" spans="1:2">
      <c r="A30" s="576" t="s">
        <v>1116</v>
      </c>
      <c r="B30" s="606">
        <v>1502711.1881276635</v>
      </c>
    </row>
    <row r="31" spans="1:2">
      <c r="A31" s="576" t="s">
        <v>1118</v>
      </c>
      <c r="B31" s="606">
        <v>595645.2000386368</v>
      </c>
    </row>
    <row r="32" spans="1:2">
      <c r="A32" s="576" t="s">
        <v>1120</v>
      </c>
      <c r="B32" s="606">
        <v>324410.69348271529</v>
      </c>
    </row>
    <row r="33" spans="1:2">
      <c r="A33" s="576" t="s">
        <v>1125</v>
      </c>
      <c r="B33" s="606">
        <v>-4527.2801246902509</v>
      </c>
    </row>
    <row r="34" spans="1:2">
      <c r="A34" s="576" t="s">
        <v>1127</v>
      </c>
      <c r="B34" s="606">
        <v>0</v>
      </c>
    </row>
    <row r="35" spans="1:2">
      <c r="A35" s="576" t="s">
        <v>1128</v>
      </c>
      <c r="B35" s="606">
        <v>46.967784435959153</v>
      </c>
    </row>
    <row r="36" spans="1:2">
      <c r="A36" s="576" t="s">
        <v>1129</v>
      </c>
      <c r="B36" s="606">
        <v>231292.42194741854</v>
      </c>
    </row>
    <row r="37" spans="1:2">
      <c r="A37" s="576" t="s">
        <v>1130</v>
      </c>
      <c r="B37" s="606">
        <v>-79142.000448352526</v>
      </c>
    </row>
    <row r="38" spans="1:2">
      <c r="A38" s="576" t="s">
        <v>1131</v>
      </c>
      <c r="B38" s="606">
        <v>1893.5446983320194</v>
      </c>
    </row>
    <row r="39" spans="1:2">
      <c r="A39" s="576" t="s">
        <v>1132</v>
      </c>
      <c r="B39" s="606">
        <v>2466.8303464134683</v>
      </c>
    </row>
    <row r="40" spans="1:2">
      <c r="A40" s="576" t="s">
        <v>1133</v>
      </c>
      <c r="B40" s="606">
        <v>641713.21087466367</v>
      </c>
    </row>
    <row r="41" spans="1:2">
      <c r="A41" s="576" t="s">
        <v>1134</v>
      </c>
      <c r="B41" s="606">
        <v>154609.01306314455</v>
      </c>
    </row>
    <row r="42" spans="1:2">
      <c r="A42" s="576" t="s">
        <v>1135</v>
      </c>
      <c r="B42" s="606">
        <v>1988485.9296893857</v>
      </c>
    </row>
    <row r="43" spans="1:2">
      <c r="A43" s="576" t="s">
        <v>1136</v>
      </c>
      <c r="B43" s="606">
        <v>3306.1509597031027</v>
      </c>
    </row>
    <row r="44" spans="1:2">
      <c r="A44" s="576" t="s">
        <v>1138</v>
      </c>
      <c r="B44" s="606">
        <v>2518009.995755346</v>
      </c>
    </row>
    <row r="45" spans="1:2">
      <c r="A45" s="576" t="s">
        <v>1139</v>
      </c>
      <c r="B45" s="606">
        <v>1130.464607405047</v>
      </c>
    </row>
    <row r="46" spans="1:2">
      <c r="A46" s="576" t="s">
        <v>1140</v>
      </c>
      <c r="B46" s="606">
        <v>6788.390581304142</v>
      </c>
    </row>
    <row r="47" spans="1:2">
      <c r="A47" s="576" t="s">
        <v>1141</v>
      </c>
      <c r="B47" s="606">
        <v>16312.416795799094</v>
      </c>
    </row>
    <row r="48" spans="1:2">
      <c r="A48" s="576" t="s">
        <v>1142</v>
      </c>
      <c r="B48" s="606">
        <v>23946.704297071999</v>
      </c>
    </row>
    <row r="49" spans="1:2">
      <c r="A49" s="576" t="s">
        <v>1143</v>
      </c>
      <c r="B49" s="606">
        <v>8598.3506431450478</v>
      </c>
    </row>
    <row r="50" spans="1:2">
      <c r="A50" s="576" t="s">
        <v>1145</v>
      </c>
      <c r="B50" s="606">
        <v>89673.412191106385</v>
      </c>
    </row>
    <row r="51" spans="1:2">
      <c r="A51" s="576" t="s">
        <v>1146</v>
      </c>
      <c r="B51" s="606">
        <v>725297.68741091795</v>
      </c>
    </row>
    <row r="52" spans="1:2">
      <c r="A52" s="576" t="s">
        <v>1148</v>
      </c>
      <c r="B52" s="606">
        <v>148130.19537766837</v>
      </c>
    </row>
    <row r="53" spans="1:2">
      <c r="A53" s="576" t="s">
        <v>1150</v>
      </c>
      <c r="B53" s="606">
        <v>1868813.0765581918</v>
      </c>
    </row>
    <row r="54" spans="1:2">
      <c r="A54" s="576" t="s">
        <v>1151</v>
      </c>
      <c r="B54" s="606">
        <v>-600959.71302885155</v>
      </c>
    </row>
    <row r="55" spans="1:2">
      <c r="A55" s="576" t="s">
        <v>1152</v>
      </c>
      <c r="B55" s="606">
        <v>3.2640006450566375E-2</v>
      </c>
    </row>
    <row r="56" spans="1:2">
      <c r="A56" s="576" t="s">
        <v>1153</v>
      </c>
      <c r="B56" s="606">
        <v>73797.485254423911</v>
      </c>
    </row>
    <row r="57" spans="1:2">
      <c r="A57" s="576" t="s">
        <v>1154</v>
      </c>
      <c r="B57" s="606">
        <v>6678.6593107703457</v>
      </c>
    </row>
    <row r="58" spans="1:2">
      <c r="A58" s="576" t="s">
        <v>1155</v>
      </c>
      <c r="B58" s="606">
        <v>356199.80891468382</v>
      </c>
    </row>
    <row r="59" spans="1:2">
      <c r="A59" s="607" t="s">
        <v>172</v>
      </c>
      <c r="B59" s="608">
        <f>SUM(B11:B58)</f>
        <v>31740636.429999944</v>
      </c>
    </row>
  </sheetData>
  <pageMargins left="0.7" right="0.7" top="0.75" bottom="0.75" header="0.3" footer="0.3"/>
  <pageSetup scale="81"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AA55F-8CBD-431A-B431-C8E3960C9ED1}">
  <sheetPr>
    <pageSetUpPr fitToPage="1"/>
  </sheetPr>
  <dimension ref="A1:G41"/>
  <sheetViews>
    <sheetView workbookViewId="0">
      <selection activeCell="A3" sqref="A3:C3"/>
    </sheetView>
  </sheetViews>
  <sheetFormatPr defaultColWidth="9.1796875" defaultRowHeight="12.5"/>
  <cols>
    <col min="1" max="1" width="17.7265625" style="24" customWidth="1"/>
    <col min="2" max="2" width="23.453125" style="24" customWidth="1"/>
    <col min="3" max="3" width="17.453125" style="24" customWidth="1"/>
    <col min="4" max="4" width="9.1796875" style="24" customWidth="1"/>
    <col min="5" max="5" width="19.1796875" style="638" bestFit="1" customWidth="1"/>
    <col min="6" max="6" width="10.26953125" style="24" bestFit="1" customWidth="1"/>
    <col min="7" max="7" width="19.26953125" style="24" customWidth="1"/>
    <col min="8" max="8" width="4.453125" style="24" customWidth="1"/>
    <col min="9" max="16384" width="9.1796875" style="24"/>
  </cols>
  <sheetData>
    <row r="1" spans="1:5">
      <c r="A1" s="24" t="s">
        <v>0</v>
      </c>
    </row>
    <row r="2" spans="1:5">
      <c r="A2" s="24" t="s">
        <v>1224</v>
      </c>
    </row>
    <row r="3" spans="1:5">
      <c r="A3" s="24" t="s">
        <v>1225</v>
      </c>
    </row>
    <row r="4" spans="1:5">
      <c r="A4" s="24" t="s">
        <v>1226</v>
      </c>
    </row>
    <row r="6" spans="1:5">
      <c r="A6" s="635" t="s">
        <v>1227</v>
      </c>
      <c r="B6" s="639">
        <v>45016</v>
      </c>
    </row>
    <row r="8" spans="1:5" ht="37.5">
      <c r="A8" s="635" t="s">
        <v>1228</v>
      </c>
      <c r="B8" s="635" t="s">
        <v>1229</v>
      </c>
      <c r="C8" s="640" t="s">
        <v>1230</v>
      </c>
      <c r="D8" s="641" t="s">
        <v>1231</v>
      </c>
      <c r="E8" s="642" t="s">
        <v>1232</v>
      </c>
    </row>
    <row r="9" spans="1:5">
      <c r="A9" s="643" t="s">
        <v>1233</v>
      </c>
      <c r="B9" s="644">
        <v>398486.4</v>
      </c>
      <c r="C9" s="638">
        <v>43922</v>
      </c>
      <c r="D9" s="641">
        <v>3.5000000000000003E-2</v>
      </c>
      <c r="E9" s="612">
        <f t="shared" ref="E9:E17" si="0">B9*(1+D9)</f>
        <v>412433.424</v>
      </c>
    </row>
    <row r="10" spans="1:5">
      <c r="A10" s="643" t="s">
        <v>1234</v>
      </c>
      <c r="B10" s="644">
        <v>3371139.2</v>
      </c>
      <c r="C10" s="638">
        <v>43952</v>
      </c>
      <c r="D10" s="641">
        <v>3.5000000000000003E-2</v>
      </c>
      <c r="E10" s="612">
        <f t="shared" si="0"/>
        <v>3489129.0719999997</v>
      </c>
    </row>
    <row r="11" spans="1:5">
      <c r="A11" s="643" t="s">
        <v>1235</v>
      </c>
      <c r="B11" s="644">
        <v>14355281.231000006</v>
      </c>
      <c r="C11" s="638">
        <v>43922</v>
      </c>
      <c r="D11" s="641">
        <v>3.5000000000000003E-2</v>
      </c>
      <c r="E11" s="612">
        <f t="shared" si="0"/>
        <v>14857716.074085005</v>
      </c>
    </row>
    <row r="12" spans="1:5">
      <c r="A12" s="643" t="s">
        <v>1236</v>
      </c>
      <c r="B12" s="644">
        <v>1305678.3999999999</v>
      </c>
      <c r="C12" s="638">
        <v>43952</v>
      </c>
      <c r="D12" s="641">
        <v>3.5000000000000003E-2</v>
      </c>
      <c r="E12" s="612">
        <f t="shared" si="0"/>
        <v>1351377.1439999999</v>
      </c>
    </row>
    <row r="13" spans="1:5">
      <c r="A13" s="643" t="s">
        <v>1237</v>
      </c>
      <c r="B13" s="644">
        <v>47195.199999999997</v>
      </c>
      <c r="C13" s="638">
        <v>43952</v>
      </c>
      <c r="D13" s="641">
        <v>3.5000000000000003E-2</v>
      </c>
      <c r="E13" s="612">
        <f t="shared" si="0"/>
        <v>48847.031999999992</v>
      </c>
    </row>
    <row r="14" spans="1:5">
      <c r="A14" s="643" t="s">
        <v>1238</v>
      </c>
      <c r="B14" s="644">
        <v>2361507.2000000007</v>
      </c>
      <c r="C14" s="638">
        <v>43952</v>
      </c>
      <c r="D14" s="641">
        <v>3.5000000000000003E-2</v>
      </c>
      <c r="E14" s="612">
        <f t="shared" si="0"/>
        <v>2444159.9520000005</v>
      </c>
    </row>
    <row r="15" spans="1:5">
      <c r="A15" s="643" t="s">
        <v>1239</v>
      </c>
      <c r="B15" s="644">
        <v>131268.79999999999</v>
      </c>
      <c r="C15" s="638">
        <v>43952</v>
      </c>
      <c r="D15" s="641">
        <v>3.5000000000000003E-2</v>
      </c>
      <c r="E15" s="612">
        <f t="shared" si="0"/>
        <v>135863.20799999998</v>
      </c>
    </row>
    <row r="16" spans="1:5">
      <c r="A16" s="643" t="s">
        <v>1240</v>
      </c>
      <c r="B16" s="644">
        <v>255881.59999999998</v>
      </c>
      <c r="C16" s="638">
        <v>43952</v>
      </c>
      <c r="D16" s="641">
        <v>3.5000000000000003E-2</v>
      </c>
      <c r="E16" s="612">
        <f t="shared" si="0"/>
        <v>264837.45599999995</v>
      </c>
    </row>
    <row r="17" spans="1:7">
      <c r="A17" s="643" t="s">
        <v>1241</v>
      </c>
      <c r="B17" s="644">
        <v>3024902.4000000004</v>
      </c>
      <c r="C17" s="638">
        <v>43952</v>
      </c>
      <c r="D17" s="641">
        <v>3.5000000000000003E-2</v>
      </c>
      <c r="E17" s="612">
        <f t="shared" si="0"/>
        <v>3130773.9840000002</v>
      </c>
    </row>
    <row r="18" spans="1:7" ht="15" thickBot="1">
      <c r="A18" s="645" t="s">
        <v>172</v>
      </c>
      <c r="B18" s="646">
        <v>25251340.431000009</v>
      </c>
      <c r="C18" s="638"/>
      <c r="D18" s="641"/>
      <c r="E18" s="647">
        <f>SUM(E9:E17)</f>
        <v>26135137.346085008</v>
      </c>
    </row>
    <row r="19" spans="1:7">
      <c r="B19" s="648"/>
      <c r="D19" s="649">
        <f>(E18-B18)/B18</f>
        <v>3.4999999999999948E-2</v>
      </c>
      <c r="E19" s="24"/>
    </row>
    <row r="20" spans="1:7">
      <c r="C20" s="612"/>
      <c r="D20" s="650"/>
    </row>
    <row r="23" spans="1:7">
      <c r="E23" s="24"/>
      <c r="G23" s="638"/>
    </row>
    <row r="24" spans="1:7">
      <c r="A24" s="24" t="s">
        <v>1242</v>
      </c>
    </row>
    <row r="25" spans="1:7">
      <c r="A25" s="635" t="s">
        <v>1227</v>
      </c>
      <c r="B25" s="639">
        <v>45016</v>
      </c>
      <c r="D25" s="638"/>
      <c r="E25" s="24"/>
    </row>
    <row r="26" spans="1:7">
      <c r="A26" s="635" t="s">
        <v>1070</v>
      </c>
      <c r="B26" s="635" t="s">
        <v>1243</v>
      </c>
      <c r="D26" s="638"/>
      <c r="E26" s="24"/>
    </row>
    <row r="27" spans="1:7">
      <c r="D27" s="638"/>
      <c r="E27" s="24"/>
    </row>
    <row r="28" spans="1:7">
      <c r="A28" s="635" t="s">
        <v>1228</v>
      </c>
      <c r="B28" s="635" t="s">
        <v>1229</v>
      </c>
      <c r="C28" s="638"/>
      <c r="E28" s="24"/>
    </row>
    <row r="29" spans="1:7">
      <c r="A29" s="643" t="s">
        <v>1235</v>
      </c>
      <c r="B29" s="43">
        <v>6953801.879999998</v>
      </c>
      <c r="C29" s="638">
        <v>43922</v>
      </c>
      <c r="D29" s="641">
        <v>3.5000000000000003E-2</v>
      </c>
      <c r="E29" s="612">
        <f>B29*(1+D29)</f>
        <v>7197184.9457999971</v>
      </c>
    </row>
    <row r="30" spans="1:7">
      <c r="A30" s="643" t="s">
        <v>1244</v>
      </c>
      <c r="B30" s="43">
        <v>69908.800000000003</v>
      </c>
      <c r="C30" s="638">
        <v>43952</v>
      </c>
      <c r="D30" s="641">
        <v>3.5000000000000003E-2</v>
      </c>
      <c r="E30" s="612">
        <f>B30*(1+D30)</f>
        <v>72355.607999999993</v>
      </c>
    </row>
    <row r="31" spans="1:7">
      <c r="A31" s="643" t="s">
        <v>1237</v>
      </c>
      <c r="B31" s="43">
        <v>10071547.199999999</v>
      </c>
      <c r="C31" s="638">
        <v>43952</v>
      </c>
      <c r="D31" s="641">
        <v>3.5000000000000003E-2</v>
      </c>
      <c r="E31" s="612">
        <f>B31*(1+D31)</f>
        <v>10424051.351999998</v>
      </c>
    </row>
    <row r="32" spans="1:7" ht="13" thickBot="1">
      <c r="A32" s="635" t="s">
        <v>172</v>
      </c>
      <c r="B32" s="636">
        <f>SUM(B29:B31)</f>
        <v>17095257.879999995</v>
      </c>
      <c r="C32" s="638"/>
      <c r="E32" s="651">
        <f>SUM(E29:E31)</f>
        <v>17693591.905799996</v>
      </c>
    </row>
    <row r="33" spans="1:6">
      <c r="C33" s="638"/>
      <c r="E33" s="24"/>
    </row>
    <row r="34" spans="1:6">
      <c r="C34" s="638"/>
      <c r="E34" s="24"/>
    </row>
    <row r="35" spans="1:6">
      <c r="A35" s="785" t="s">
        <v>1245</v>
      </c>
      <c r="B35" s="785"/>
      <c r="D35" s="638"/>
      <c r="E35" s="24"/>
    </row>
    <row r="36" spans="1:6" ht="24.75" customHeight="1" thickBot="1">
      <c r="B36" s="652">
        <f>B18+(B32*0.5)</f>
        <v>33798969.371000007</v>
      </c>
      <c r="C36" s="786" t="s">
        <v>1246</v>
      </c>
      <c r="D36" s="786"/>
      <c r="E36" s="653">
        <f>E18+(E32*0.5)</f>
        <v>34981933.298985004</v>
      </c>
    </row>
    <row r="37" spans="1:6" ht="13" thickTop="1"/>
    <row r="38" spans="1:6">
      <c r="E38" s="24"/>
      <c r="F38" s="638"/>
    </row>
    <row r="39" spans="1:6">
      <c r="E39" s="24"/>
      <c r="F39" s="638"/>
    </row>
    <row r="40" spans="1:6">
      <c r="E40" s="24"/>
      <c r="F40" s="638"/>
    </row>
    <row r="41" spans="1:6">
      <c r="E41" s="24"/>
      <c r="F41" s="638"/>
    </row>
  </sheetData>
  <mergeCells count="2">
    <mergeCell ref="A35:B35"/>
    <mergeCell ref="C36:D36"/>
  </mergeCells>
  <pageMargins left="0.7" right="0.7" top="0.75" bottom="0.75" header="0.3" footer="0.3"/>
  <pageSetup scale="76" orientation="portrait" horizontalDpi="200" verticalDpi="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024E0-31D8-472A-87E7-742949C04951}">
  <sheetPr>
    <pageSetUpPr fitToPage="1"/>
  </sheetPr>
  <dimension ref="A1:H42"/>
  <sheetViews>
    <sheetView workbookViewId="0">
      <pane ySplit="9" topLeftCell="A10" activePane="bottomLeft" state="frozen"/>
      <selection activeCell="A3" sqref="A3:C3"/>
      <selection pane="bottomLeft" activeCell="A3" sqref="A3:C3"/>
    </sheetView>
  </sheetViews>
  <sheetFormatPr defaultColWidth="9.1796875" defaultRowHeight="12.5"/>
  <cols>
    <col min="1" max="1" width="4.54296875" style="24" customWidth="1"/>
    <col min="2" max="2" width="12.26953125" style="24" bestFit="1" customWidth="1"/>
    <col min="3" max="4" width="17.26953125" style="24" bestFit="1" customWidth="1"/>
    <col min="5" max="5" width="16.81640625" style="24" bestFit="1" customWidth="1"/>
    <col min="6" max="6" width="11.54296875" style="24" customWidth="1"/>
    <col min="7" max="16384" width="9.1796875" style="24"/>
  </cols>
  <sheetData>
    <row r="1" spans="1:6">
      <c r="A1" s="7" t="s">
        <v>0</v>
      </c>
    </row>
    <row r="2" spans="1:6">
      <c r="A2" s="43" t="s">
        <v>1247</v>
      </c>
    </row>
    <row r="3" spans="1:6">
      <c r="A3" s="7" t="s">
        <v>119</v>
      </c>
    </row>
    <row r="4" spans="1:6">
      <c r="A4" s="43" t="s">
        <v>1157</v>
      </c>
    </row>
    <row r="7" spans="1:6" ht="51" customHeight="1">
      <c r="A7" s="784" t="s">
        <v>418</v>
      </c>
      <c r="B7" s="787" t="s">
        <v>187</v>
      </c>
      <c r="C7" s="777" t="s">
        <v>1248</v>
      </c>
      <c r="D7" s="777" t="s">
        <v>1249</v>
      </c>
      <c r="E7" s="777" t="s">
        <v>1250</v>
      </c>
      <c r="F7" s="553" t="s">
        <v>1164</v>
      </c>
    </row>
    <row r="8" spans="1:6">
      <c r="A8" s="784"/>
      <c r="B8" s="788"/>
      <c r="C8" s="778"/>
      <c r="D8" s="778"/>
      <c r="E8" s="778"/>
      <c r="F8" s="574">
        <v>0.99099999999999999</v>
      </c>
    </row>
    <row r="9" spans="1:6">
      <c r="B9" s="573" t="s">
        <v>1165</v>
      </c>
      <c r="C9" s="573" t="s">
        <v>1166</v>
      </c>
      <c r="D9" s="573" t="s">
        <v>1167</v>
      </c>
      <c r="E9" s="573" t="s">
        <v>1168</v>
      </c>
      <c r="F9" s="573" t="s">
        <v>1169</v>
      </c>
    </row>
    <row r="10" spans="1:6">
      <c r="A10" s="24">
        <v>1</v>
      </c>
      <c r="B10" s="24" t="s">
        <v>1108</v>
      </c>
      <c r="C10" s="579">
        <f>W29_PG_2_of_2!B16</f>
        <v>166993.14703538627</v>
      </c>
      <c r="D10" s="579">
        <f>W29_PG_2_of_2!C16</f>
        <v>5844.760146238511</v>
      </c>
      <c r="E10" s="579">
        <f>C10+D10</f>
        <v>172837.90718162479</v>
      </c>
      <c r="F10" s="580">
        <f>D10*F$8</f>
        <v>5792.1573049223643</v>
      </c>
    </row>
    <row r="11" spans="1:6">
      <c r="A11" s="24">
        <f>A10+1</f>
        <v>2</v>
      </c>
      <c r="B11" s="24" t="s">
        <v>1109</v>
      </c>
      <c r="C11" s="579">
        <f>W29_PG_2_of_2!B17</f>
        <v>582732.75487880572</v>
      </c>
      <c r="D11" s="579">
        <f>W29_PG_2_of_2!C17</f>
        <v>20395.64642075817</v>
      </c>
      <c r="E11" s="579">
        <f t="shared" ref="E11:E37" si="0">C11+D11</f>
        <v>603128.40129956394</v>
      </c>
      <c r="F11" s="580">
        <f t="shared" ref="F11:F37" si="1">D11*F$8</f>
        <v>20212.085602971347</v>
      </c>
    </row>
    <row r="12" spans="1:6">
      <c r="A12" s="24">
        <f t="shared" ref="A12:A37" si="2">A11+1</f>
        <v>3</v>
      </c>
      <c r="B12" s="24" t="s">
        <v>1110</v>
      </c>
      <c r="C12" s="579">
        <f>W29_PG_2_of_2!B18</f>
        <v>380069.98367190664</v>
      </c>
      <c r="D12" s="579">
        <f>W29_PG_2_of_2!C18</f>
        <v>13302.449428516713</v>
      </c>
      <c r="E12" s="579">
        <f t="shared" si="0"/>
        <v>393372.43310042337</v>
      </c>
      <c r="F12" s="580">
        <f t="shared" si="1"/>
        <v>13182.727383660062</v>
      </c>
    </row>
    <row r="13" spans="1:6">
      <c r="A13" s="24">
        <f t="shared" si="2"/>
        <v>4</v>
      </c>
      <c r="B13" s="24" t="s">
        <v>1111</v>
      </c>
      <c r="C13" s="579">
        <f>W29_PG_2_of_2!B19</f>
        <v>21748.317601494342</v>
      </c>
      <c r="D13" s="579">
        <f>W29_PG_2_of_2!C19</f>
        <v>761.1911160523008</v>
      </c>
      <c r="E13" s="579">
        <f t="shared" si="0"/>
        <v>22509.508717546643</v>
      </c>
      <c r="F13" s="580">
        <f t="shared" si="1"/>
        <v>754.34039600783012</v>
      </c>
    </row>
    <row r="14" spans="1:6">
      <c r="A14" s="24">
        <f t="shared" si="2"/>
        <v>5</v>
      </c>
      <c r="B14" s="24" t="s">
        <v>1112</v>
      </c>
      <c r="C14" s="579">
        <f>W29_PG_2_of_2!B20</f>
        <v>284423.01182027702</v>
      </c>
      <c r="D14" s="579">
        <f>W29_PG_2_of_2!C20</f>
        <v>9954.8054137096806</v>
      </c>
      <c r="E14" s="579">
        <f t="shared" si="0"/>
        <v>294377.81723398669</v>
      </c>
      <c r="F14" s="580">
        <f t="shared" si="1"/>
        <v>9865.2121649862929</v>
      </c>
    </row>
    <row r="15" spans="1:6">
      <c r="A15" s="24">
        <f t="shared" si="2"/>
        <v>6</v>
      </c>
      <c r="B15" s="24" t="s">
        <v>1113</v>
      </c>
      <c r="C15" s="579">
        <f>W29_PG_2_of_2!B21</f>
        <v>126003.28745334913</v>
      </c>
      <c r="D15" s="579">
        <f>W29_PG_2_of_2!C21</f>
        <v>4410.1150608672133</v>
      </c>
      <c r="E15" s="579">
        <f t="shared" si="0"/>
        <v>130413.40251421634</v>
      </c>
      <c r="F15" s="580">
        <f t="shared" si="1"/>
        <v>4370.4240253194084</v>
      </c>
    </row>
    <row r="16" spans="1:6">
      <c r="A16" s="24">
        <f t="shared" si="2"/>
        <v>7</v>
      </c>
      <c r="B16" s="24" t="s">
        <v>1114</v>
      </c>
      <c r="C16" s="579">
        <f>W29_PG_2_of_2!B22</f>
        <v>14065.978469186961</v>
      </c>
      <c r="D16" s="579">
        <f>W29_PG_2_of_2!C22</f>
        <v>492.30924642154292</v>
      </c>
      <c r="E16" s="579">
        <f t="shared" si="0"/>
        <v>14558.287715608503</v>
      </c>
      <c r="F16" s="580">
        <f t="shared" si="1"/>
        <v>487.87846320374905</v>
      </c>
    </row>
    <row r="17" spans="1:6">
      <c r="A17" s="24">
        <f t="shared" si="2"/>
        <v>8</v>
      </c>
      <c r="B17" s="24" t="s">
        <v>1116</v>
      </c>
      <c r="C17" s="579">
        <f>W29_PG_2_of_2!B23</f>
        <v>317090.81390076602</v>
      </c>
      <c r="D17" s="579">
        <f>W29_PG_2_of_2!C23</f>
        <v>11098.178486526795</v>
      </c>
      <c r="E17" s="579">
        <f t="shared" si="0"/>
        <v>328188.99238729279</v>
      </c>
      <c r="F17" s="580">
        <f t="shared" si="1"/>
        <v>10998.294880148052</v>
      </c>
    </row>
    <row r="18" spans="1:6">
      <c r="A18" s="24">
        <f t="shared" si="2"/>
        <v>9</v>
      </c>
      <c r="B18" s="24" t="s">
        <v>1118</v>
      </c>
      <c r="C18" s="579">
        <f>W29_PG_2_of_2!B24</f>
        <v>155619.93162516109</v>
      </c>
      <c r="D18" s="579">
        <f>W29_PG_2_of_2!C24</f>
        <v>5446.6976068806298</v>
      </c>
      <c r="E18" s="579">
        <f t="shared" si="0"/>
        <v>161066.62923204171</v>
      </c>
      <c r="F18" s="580">
        <f t="shared" si="1"/>
        <v>5397.6773284187038</v>
      </c>
    </row>
    <row r="19" spans="1:6">
      <c r="A19" s="24">
        <f t="shared" si="2"/>
        <v>10</v>
      </c>
      <c r="B19" s="24" t="s">
        <v>1120</v>
      </c>
      <c r="C19" s="579">
        <f>W29_PG_2_of_2!B25</f>
        <v>44154.631303466595</v>
      </c>
      <c r="D19" s="579">
        <f>W29_PG_2_of_2!C25</f>
        <v>1545.4120956213285</v>
      </c>
      <c r="E19" s="579">
        <f t="shared" si="0"/>
        <v>45700.043399087925</v>
      </c>
      <c r="F19" s="580">
        <f t="shared" si="1"/>
        <v>1531.5033867607365</v>
      </c>
    </row>
    <row r="20" spans="1:6">
      <c r="A20" s="24">
        <f t="shared" si="2"/>
        <v>11</v>
      </c>
      <c r="B20" s="24" t="s">
        <v>1128</v>
      </c>
      <c r="C20" s="579">
        <f>W29_PG_2_of_2!B26</f>
        <v>480.81713337843217</v>
      </c>
      <c r="D20" s="579">
        <f>W29_PG_2_of_2!C26</f>
        <v>16.828599668245101</v>
      </c>
      <c r="E20" s="579">
        <f t="shared" si="0"/>
        <v>497.64573304667726</v>
      </c>
      <c r="F20" s="580">
        <f t="shared" si="1"/>
        <v>16.677142271230895</v>
      </c>
    </row>
    <row r="21" spans="1:6">
      <c r="A21" s="24">
        <f t="shared" si="2"/>
        <v>12</v>
      </c>
      <c r="B21" s="24" t="s">
        <v>1129</v>
      </c>
      <c r="C21" s="579">
        <f>W29_PG_2_of_2!B27</f>
        <v>2562.1190073599896</v>
      </c>
      <c r="D21" s="579">
        <f>W29_PG_2_of_2!C27</f>
        <v>89.674165257599498</v>
      </c>
      <c r="E21" s="579">
        <f t="shared" si="0"/>
        <v>2651.7931726175893</v>
      </c>
      <c r="F21" s="580">
        <f t="shared" si="1"/>
        <v>88.867097770281106</v>
      </c>
    </row>
    <row r="22" spans="1:6">
      <c r="A22" s="24">
        <f t="shared" si="2"/>
        <v>13</v>
      </c>
      <c r="B22" s="24" t="s">
        <v>1130</v>
      </c>
      <c r="C22" s="579">
        <f>W29_PG_2_of_2!B28</f>
        <v>43555.185211588221</v>
      </c>
      <c r="D22" s="579">
        <f>W29_PG_2_of_2!C28</f>
        <v>1524.4314824055855</v>
      </c>
      <c r="E22" s="579">
        <f t="shared" si="0"/>
        <v>45079.616693993805</v>
      </c>
      <c r="F22" s="580">
        <f t="shared" si="1"/>
        <v>1510.7115990639352</v>
      </c>
    </row>
    <row r="23" spans="1:6">
      <c r="A23" s="24">
        <f t="shared" si="2"/>
        <v>14</v>
      </c>
      <c r="B23" s="24" t="s">
        <v>1133</v>
      </c>
      <c r="C23" s="579">
        <f>W29_PG_2_of_2!B29</f>
        <v>104643.48873312816</v>
      </c>
      <c r="D23" s="579">
        <f>W29_PG_2_of_2!C29</f>
        <v>3662.5221056594801</v>
      </c>
      <c r="E23" s="579">
        <f t="shared" si="0"/>
        <v>108306.01083878764</v>
      </c>
      <c r="F23" s="580">
        <f t="shared" si="1"/>
        <v>3629.5594067085449</v>
      </c>
    </row>
    <row r="24" spans="1:6">
      <c r="A24" s="24">
        <f t="shared" si="2"/>
        <v>15</v>
      </c>
      <c r="B24" s="24" t="s">
        <v>1134</v>
      </c>
      <c r="C24" s="579">
        <f>W29_PG_2_of_2!B30</f>
        <v>1305.4548415869929</v>
      </c>
      <c r="D24" s="579">
        <f>W29_PG_2_of_2!C30</f>
        <v>45.69091945554468</v>
      </c>
      <c r="E24" s="579">
        <f t="shared" si="0"/>
        <v>1351.1457610425375</v>
      </c>
      <c r="F24" s="580">
        <f t="shared" si="1"/>
        <v>45.279701180444775</v>
      </c>
    </row>
    <row r="25" spans="1:6">
      <c r="A25" s="24">
        <f t="shared" si="2"/>
        <v>16</v>
      </c>
      <c r="B25" s="24" t="s">
        <v>1135</v>
      </c>
      <c r="C25" s="579">
        <f>W29_PG_2_of_2!B31</f>
        <v>70851.99151322557</v>
      </c>
      <c r="D25" s="579">
        <f>W29_PG_2_of_2!C31</f>
        <v>2479.8197029628914</v>
      </c>
      <c r="E25" s="579">
        <f t="shared" si="0"/>
        <v>73331.811216188464</v>
      </c>
      <c r="F25" s="580">
        <f t="shared" si="1"/>
        <v>2457.5013256362254</v>
      </c>
    </row>
    <row r="26" spans="1:6">
      <c r="A26" s="24">
        <f t="shared" si="2"/>
        <v>17</v>
      </c>
      <c r="B26" s="24" t="s">
        <v>1138</v>
      </c>
      <c r="C26" s="579">
        <f>W29_PG_2_of_2!B32</f>
        <v>3093872.0847604605</v>
      </c>
      <c r="D26" s="579">
        <f>W29_PG_2_of_2!C32</f>
        <v>108285.52296661596</v>
      </c>
      <c r="E26" s="579">
        <f t="shared" si="0"/>
        <v>3202157.6077270764</v>
      </c>
      <c r="F26" s="580">
        <f t="shared" si="1"/>
        <v>107310.95325991641</v>
      </c>
    </row>
    <row r="27" spans="1:6">
      <c r="A27" s="24">
        <f t="shared" si="2"/>
        <v>18</v>
      </c>
      <c r="B27" s="24" t="s">
        <v>1139</v>
      </c>
      <c r="C27" s="579">
        <f>W29_PG_2_of_2!B33</f>
        <v>-1461.0782059125095</v>
      </c>
      <c r="D27" s="579">
        <f>W29_PG_2_of_2!C33</f>
        <v>-51.137737206937757</v>
      </c>
      <c r="E27" s="579">
        <f t="shared" si="0"/>
        <v>-1512.2159431194473</v>
      </c>
      <c r="F27" s="580">
        <f t="shared" si="1"/>
        <v>-50.677497572075318</v>
      </c>
    </row>
    <row r="28" spans="1:6">
      <c r="A28" s="24">
        <f t="shared" si="2"/>
        <v>19</v>
      </c>
      <c r="B28" s="24" t="s">
        <v>1140</v>
      </c>
      <c r="C28" s="579">
        <f>W29_PG_2_of_2!B34</f>
        <v>6740.224074942088</v>
      </c>
      <c r="D28" s="579">
        <f>W29_PG_2_of_2!C34</f>
        <v>235.90784262297274</v>
      </c>
      <c r="E28" s="579">
        <f t="shared" si="0"/>
        <v>6976.1319175650606</v>
      </c>
      <c r="F28" s="580">
        <f t="shared" si="1"/>
        <v>233.78467203936597</v>
      </c>
    </row>
    <row r="29" spans="1:6">
      <c r="A29" s="24">
        <f t="shared" si="2"/>
        <v>20</v>
      </c>
      <c r="B29" s="24" t="s">
        <v>1141</v>
      </c>
      <c r="C29" s="579">
        <f>W29_PG_2_of_2!B35</f>
        <v>961.94914320770704</v>
      </c>
      <c r="D29" s="579">
        <f>W29_PG_2_of_2!C35</f>
        <v>33.668220012269693</v>
      </c>
      <c r="E29" s="579">
        <f t="shared" si="0"/>
        <v>995.61736321997671</v>
      </c>
      <c r="F29" s="580">
        <f t="shared" si="1"/>
        <v>33.365206032159264</v>
      </c>
    </row>
    <row r="30" spans="1:6">
      <c r="A30" s="24">
        <f t="shared" si="2"/>
        <v>21</v>
      </c>
      <c r="B30" s="24" t="s">
        <v>1142</v>
      </c>
      <c r="C30" s="579">
        <f>W29_PG_2_of_2!B36</f>
        <v>2875.5828251814942</v>
      </c>
      <c r="D30" s="579">
        <f>W29_PG_2_of_2!C36</f>
        <v>100.64539888135215</v>
      </c>
      <c r="E30" s="579">
        <f t="shared" si="0"/>
        <v>2976.2282240628465</v>
      </c>
      <c r="F30" s="580">
        <f t="shared" si="1"/>
        <v>99.739590291419987</v>
      </c>
    </row>
    <row r="31" spans="1:6">
      <c r="A31" s="24">
        <f t="shared" si="2"/>
        <v>22</v>
      </c>
      <c r="B31" s="24" t="s">
        <v>1143</v>
      </c>
      <c r="C31" s="579">
        <f>W29_PG_2_of_2!B37</f>
        <v>667.73341068593265</v>
      </c>
      <c r="D31" s="579">
        <f>W29_PG_2_of_2!C37</f>
        <v>23.370669374007608</v>
      </c>
      <c r="E31" s="579">
        <f t="shared" si="0"/>
        <v>691.10408005994032</v>
      </c>
      <c r="F31" s="580">
        <f t="shared" si="1"/>
        <v>23.16033334964154</v>
      </c>
    </row>
    <row r="32" spans="1:6">
      <c r="A32" s="24">
        <f t="shared" si="2"/>
        <v>23</v>
      </c>
      <c r="B32" s="24" t="s">
        <v>1145</v>
      </c>
      <c r="C32" s="579">
        <f>W29_PG_2_of_2!B38</f>
        <v>4563.7556327259399</v>
      </c>
      <c r="D32" s="579">
        <f>W29_PG_2_of_2!C38</f>
        <v>159.73144714540766</v>
      </c>
      <c r="E32" s="579">
        <f t="shared" si="0"/>
        <v>4723.4870798713473</v>
      </c>
      <c r="F32" s="580">
        <f t="shared" si="1"/>
        <v>158.29386412109898</v>
      </c>
    </row>
    <row r="33" spans="1:8">
      <c r="A33" s="24">
        <f t="shared" si="2"/>
        <v>24</v>
      </c>
      <c r="B33" s="24" t="s">
        <v>1146</v>
      </c>
      <c r="C33" s="579">
        <f>W29_PG_2_of_2!B39</f>
        <v>65008.001273978916</v>
      </c>
      <c r="D33" s="579">
        <f>W29_PG_2_of_2!C39</f>
        <v>2275.2800445892585</v>
      </c>
      <c r="E33" s="579">
        <f t="shared" si="0"/>
        <v>67283.281318568173</v>
      </c>
      <c r="F33" s="580">
        <f t="shared" si="1"/>
        <v>2254.802524187955</v>
      </c>
    </row>
    <row r="34" spans="1:8">
      <c r="A34" s="24">
        <f t="shared" si="2"/>
        <v>25</v>
      </c>
      <c r="B34" s="24" t="s">
        <v>1150</v>
      </c>
      <c r="C34" s="579">
        <f>W29_PG_2_of_2!B40</f>
        <v>7271.7277554271641</v>
      </c>
      <c r="D34" s="579">
        <f>W29_PG_2_of_2!C40</f>
        <v>254.51047143995035</v>
      </c>
      <c r="E34" s="579">
        <f t="shared" si="0"/>
        <v>7526.2382268671145</v>
      </c>
      <c r="F34" s="580">
        <f t="shared" si="1"/>
        <v>252.21987719699081</v>
      </c>
    </row>
    <row r="35" spans="1:8">
      <c r="A35" s="24">
        <f t="shared" si="2"/>
        <v>26</v>
      </c>
      <c r="B35" s="24" t="s">
        <v>1152</v>
      </c>
      <c r="C35" s="579">
        <f>W29_PG_2_of_2!B41</f>
        <v>63.505765915491587</v>
      </c>
      <c r="D35" s="579">
        <f>W29_PG_2_of_2!C41</f>
        <v>2.2227018070422022</v>
      </c>
      <c r="E35" s="579">
        <f t="shared" si="0"/>
        <v>65.728467722533793</v>
      </c>
      <c r="F35" s="580">
        <f t="shared" si="1"/>
        <v>2.2026974907788226</v>
      </c>
    </row>
    <row r="36" spans="1:8">
      <c r="A36" s="24">
        <f t="shared" si="2"/>
        <v>27</v>
      </c>
      <c r="B36" s="24" t="s">
        <v>1154</v>
      </c>
      <c r="C36" s="579">
        <f>W29_PG_2_of_2!B42</f>
        <v>3506.4845340411966</v>
      </c>
      <c r="D36" s="579">
        <f>W29_PG_2_of_2!C42</f>
        <v>122.72695869144169</v>
      </c>
      <c r="E36" s="579">
        <f t="shared" si="0"/>
        <v>3629.2114927326384</v>
      </c>
      <c r="F36" s="580">
        <f t="shared" si="1"/>
        <v>121.62241606321872</v>
      </c>
    </row>
    <row r="37" spans="1:8">
      <c r="A37" s="24">
        <f t="shared" si="2"/>
        <v>28</v>
      </c>
      <c r="B37" s="24" t="s">
        <v>1155</v>
      </c>
      <c r="C37" s="579">
        <f>W29_PG_2_of_2!B43</f>
        <v>17870.296256194884</v>
      </c>
      <c r="D37" s="579">
        <f>W29_PG_2_of_2!C43</f>
        <v>625.46036896682006</v>
      </c>
      <c r="E37" s="579">
        <f t="shared" si="0"/>
        <v>18495.756625161703</v>
      </c>
      <c r="F37" s="580">
        <f t="shared" si="1"/>
        <v>619.8312256461187</v>
      </c>
    </row>
    <row r="38" spans="1:8">
      <c r="B38" s="581" t="s">
        <v>172</v>
      </c>
      <c r="C38" s="613">
        <f>SUM(C10:C37)</f>
        <v>5518241.1814269153</v>
      </c>
      <c r="D38" s="613">
        <f>SUM(D10:D37)</f>
        <v>193138.44134994174</v>
      </c>
      <c r="E38" s="613">
        <f>SUM(E10:E37)</f>
        <v>5711379.6227768576</v>
      </c>
      <c r="F38" s="613">
        <f>SUM(F10:F37)</f>
        <v>191400.19537779229</v>
      </c>
      <c r="G38" s="581"/>
      <c r="H38" s="581"/>
    </row>
    <row r="40" spans="1:8">
      <c r="B40" s="614" t="s">
        <v>1251</v>
      </c>
    </row>
    <row r="42" spans="1:8">
      <c r="B42" s="23" t="s">
        <v>2</v>
      </c>
      <c r="C42" s="24" t="s">
        <v>3</v>
      </c>
    </row>
  </sheetData>
  <mergeCells count="5">
    <mergeCell ref="A7:A8"/>
    <mergeCell ref="B7:B8"/>
    <mergeCell ref="C7:C8"/>
    <mergeCell ref="D7:D8"/>
    <mergeCell ref="E7:E8"/>
  </mergeCells>
  <pageMargins left="0.7" right="0.7" top="0.75" bottom="0.75" header="0.3" footer="0.3"/>
  <pageSetup orientation="portrait" horizontalDpi="200" verticalDpi="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894A0-3463-4521-AD9E-E999E7592A9B}">
  <sheetPr>
    <pageSetUpPr fitToPage="1"/>
  </sheetPr>
  <dimension ref="A1:D49"/>
  <sheetViews>
    <sheetView workbookViewId="0">
      <selection activeCell="A3" sqref="A3:C3"/>
    </sheetView>
  </sheetViews>
  <sheetFormatPr defaultColWidth="9.1796875" defaultRowHeight="12.5"/>
  <cols>
    <col min="1" max="1" width="12.7265625" style="24" bestFit="1" customWidth="1"/>
    <col min="2" max="2" width="19.26953125" style="612" customWidth="1"/>
    <col min="3" max="3" width="15.81640625" style="24" customWidth="1"/>
    <col min="4" max="16384" width="9.1796875" style="24"/>
  </cols>
  <sheetData>
    <row r="1" spans="1:4">
      <c r="A1" s="7" t="s">
        <v>0</v>
      </c>
    </row>
    <row r="2" spans="1:4">
      <c r="A2" s="43" t="s">
        <v>1247</v>
      </c>
    </row>
    <row r="3" spans="1:4">
      <c r="A3" s="7" t="s">
        <v>119</v>
      </c>
    </row>
    <row r="4" spans="1:4">
      <c r="A4" s="24" t="s">
        <v>1252</v>
      </c>
    </row>
    <row r="6" spans="1:4">
      <c r="A6" s="585" t="s">
        <v>1176</v>
      </c>
      <c r="B6" s="654" t="s">
        <v>1253</v>
      </c>
    </row>
    <row r="8" spans="1:4" ht="37.5">
      <c r="A8" s="585" t="s">
        <v>164</v>
      </c>
      <c r="B8" s="655" t="s">
        <v>1178</v>
      </c>
      <c r="C8" s="642" t="s">
        <v>1254</v>
      </c>
      <c r="D8" s="649">
        <f>W28_PG_4_of_4!D19</f>
        <v>3.4999999999999948E-2</v>
      </c>
    </row>
    <row r="9" spans="1:4">
      <c r="A9" s="576" t="s">
        <v>1183</v>
      </c>
      <c r="B9" s="606">
        <v>2460609.2124385401</v>
      </c>
      <c r="C9" s="580">
        <f>B9*D$8</f>
        <v>86121.322435348775</v>
      </c>
    </row>
    <row r="10" spans="1:4">
      <c r="A10" s="576" t="s">
        <v>1184</v>
      </c>
      <c r="B10" s="606">
        <v>385849.87919087708</v>
      </c>
      <c r="C10" s="580">
        <f t="shared" ref="C10:C43" si="0">B10*D$8</f>
        <v>13504.745771680678</v>
      </c>
    </row>
    <row r="11" spans="1:4">
      <c r="A11" s="576" t="s">
        <v>1185</v>
      </c>
      <c r="B11" s="606">
        <v>256339.6869436597</v>
      </c>
      <c r="C11" s="580">
        <f t="shared" si="0"/>
        <v>8971.8890430280771</v>
      </c>
    </row>
    <row r="12" spans="1:4">
      <c r="A12" s="576" t="s">
        <v>1186</v>
      </c>
      <c r="B12" s="606">
        <v>14051.299999999997</v>
      </c>
      <c r="C12" s="580">
        <f t="shared" si="0"/>
        <v>491.79549999999915</v>
      </c>
    </row>
    <row r="13" spans="1:4">
      <c r="A13" s="576" t="s">
        <v>1188</v>
      </c>
      <c r="B13" s="606">
        <v>14433.74</v>
      </c>
      <c r="C13" s="580">
        <f t="shared" si="0"/>
        <v>505.18089999999921</v>
      </c>
    </row>
    <row r="14" spans="1:4">
      <c r="A14" s="576" t="s">
        <v>1189</v>
      </c>
      <c r="B14" s="606">
        <v>1000.27</v>
      </c>
      <c r="C14" s="580">
        <f t="shared" si="0"/>
        <v>35.009449999999944</v>
      </c>
    </row>
    <row r="15" spans="1:4">
      <c r="A15" s="576" t="s">
        <v>1190</v>
      </c>
      <c r="B15" s="606">
        <v>4760.7400000001089</v>
      </c>
      <c r="C15" s="580">
        <f t="shared" si="0"/>
        <v>166.62590000000355</v>
      </c>
    </row>
    <row r="16" spans="1:4">
      <c r="A16" s="576" t="s">
        <v>1108</v>
      </c>
      <c r="B16" s="606">
        <v>166993.14703538627</v>
      </c>
      <c r="C16" s="580">
        <f t="shared" si="0"/>
        <v>5844.760146238511</v>
      </c>
    </row>
    <row r="17" spans="1:3">
      <c r="A17" s="576" t="s">
        <v>1109</v>
      </c>
      <c r="B17" s="606">
        <v>582732.75487880572</v>
      </c>
      <c r="C17" s="580">
        <f t="shared" si="0"/>
        <v>20395.64642075817</v>
      </c>
    </row>
    <row r="18" spans="1:3">
      <c r="A18" s="576" t="s">
        <v>1110</v>
      </c>
      <c r="B18" s="606">
        <v>380069.98367190664</v>
      </c>
      <c r="C18" s="580">
        <f t="shared" si="0"/>
        <v>13302.449428516713</v>
      </c>
    </row>
    <row r="19" spans="1:3">
      <c r="A19" s="576" t="s">
        <v>1111</v>
      </c>
      <c r="B19" s="606">
        <v>21748.317601494342</v>
      </c>
      <c r="C19" s="580">
        <f t="shared" si="0"/>
        <v>761.1911160523008</v>
      </c>
    </row>
    <row r="20" spans="1:3">
      <c r="A20" s="576" t="s">
        <v>1112</v>
      </c>
      <c r="B20" s="606">
        <v>284423.01182027702</v>
      </c>
      <c r="C20" s="580">
        <f t="shared" si="0"/>
        <v>9954.8054137096806</v>
      </c>
    </row>
    <row r="21" spans="1:3">
      <c r="A21" s="576" t="s">
        <v>1113</v>
      </c>
      <c r="B21" s="606">
        <v>126003.28745334913</v>
      </c>
      <c r="C21" s="580">
        <f>B21*D$8</f>
        <v>4410.1150608672133</v>
      </c>
    </row>
    <row r="22" spans="1:3">
      <c r="A22" s="576" t="s">
        <v>1114</v>
      </c>
      <c r="B22" s="606">
        <v>14065.978469186961</v>
      </c>
      <c r="C22" s="580">
        <f t="shared" si="0"/>
        <v>492.30924642154292</v>
      </c>
    </row>
    <row r="23" spans="1:3">
      <c r="A23" s="576" t="s">
        <v>1116</v>
      </c>
      <c r="B23" s="606">
        <v>317090.81390076602</v>
      </c>
      <c r="C23" s="580">
        <f t="shared" si="0"/>
        <v>11098.178486526795</v>
      </c>
    </row>
    <row r="24" spans="1:3">
      <c r="A24" s="576" t="s">
        <v>1118</v>
      </c>
      <c r="B24" s="606">
        <v>155619.93162516109</v>
      </c>
      <c r="C24" s="580">
        <f t="shared" si="0"/>
        <v>5446.6976068806298</v>
      </c>
    </row>
    <row r="25" spans="1:3">
      <c r="A25" s="576" t="s">
        <v>1120</v>
      </c>
      <c r="B25" s="606">
        <v>44154.631303466595</v>
      </c>
      <c r="C25" s="580">
        <f t="shared" si="0"/>
        <v>1545.4120956213285</v>
      </c>
    </row>
    <row r="26" spans="1:3">
      <c r="A26" s="576" t="s">
        <v>1128</v>
      </c>
      <c r="B26" s="606">
        <v>480.81713337843217</v>
      </c>
      <c r="C26" s="580">
        <f t="shared" si="0"/>
        <v>16.828599668245101</v>
      </c>
    </row>
    <row r="27" spans="1:3">
      <c r="A27" s="576" t="s">
        <v>1129</v>
      </c>
      <c r="B27" s="606">
        <v>2562.1190073599896</v>
      </c>
      <c r="C27" s="580">
        <f t="shared" si="0"/>
        <v>89.674165257599498</v>
      </c>
    </row>
    <row r="28" spans="1:3">
      <c r="A28" s="576" t="s">
        <v>1130</v>
      </c>
      <c r="B28" s="606">
        <v>43555.185211588221</v>
      </c>
      <c r="C28" s="580">
        <f t="shared" si="0"/>
        <v>1524.4314824055855</v>
      </c>
    </row>
    <row r="29" spans="1:3">
      <c r="A29" s="576" t="s">
        <v>1133</v>
      </c>
      <c r="B29" s="606">
        <v>104643.48873312816</v>
      </c>
      <c r="C29" s="580">
        <f t="shared" si="0"/>
        <v>3662.5221056594801</v>
      </c>
    </row>
    <row r="30" spans="1:3">
      <c r="A30" s="576" t="s">
        <v>1134</v>
      </c>
      <c r="B30" s="606">
        <v>1305.4548415869929</v>
      </c>
      <c r="C30" s="580">
        <f t="shared" si="0"/>
        <v>45.69091945554468</v>
      </c>
    </row>
    <row r="31" spans="1:3">
      <c r="A31" s="576" t="s">
        <v>1135</v>
      </c>
      <c r="B31" s="606">
        <v>70851.99151322557</v>
      </c>
      <c r="C31" s="580">
        <f t="shared" si="0"/>
        <v>2479.8197029628914</v>
      </c>
    </row>
    <row r="32" spans="1:3">
      <c r="A32" s="576" t="s">
        <v>1138</v>
      </c>
      <c r="B32" s="606">
        <v>3093872.0847604605</v>
      </c>
      <c r="C32" s="580">
        <f t="shared" si="0"/>
        <v>108285.52296661596</v>
      </c>
    </row>
    <row r="33" spans="1:3">
      <c r="A33" s="576" t="s">
        <v>1139</v>
      </c>
      <c r="B33" s="606">
        <v>-1461.0782059125095</v>
      </c>
      <c r="C33" s="580">
        <f t="shared" si="0"/>
        <v>-51.137737206937757</v>
      </c>
    </row>
    <row r="34" spans="1:3">
      <c r="A34" s="576" t="s">
        <v>1140</v>
      </c>
      <c r="B34" s="606">
        <v>6740.224074942088</v>
      </c>
      <c r="C34" s="580">
        <f t="shared" si="0"/>
        <v>235.90784262297274</v>
      </c>
    </row>
    <row r="35" spans="1:3">
      <c r="A35" s="576" t="s">
        <v>1141</v>
      </c>
      <c r="B35" s="606">
        <v>961.94914320770704</v>
      </c>
      <c r="C35" s="580">
        <f t="shared" si="0"/>
        <v>33.668220012269693</v>
      </c>
    </row>
    <row r="36" spans="1:3">
      <c r="A36" s="576" t="s">
        <v>1142</v>
      </c>
      <c r="B36" s="606">
        <v>2875.5828251814942</v>
      </c>
      <c r="C36" s="580">
        <f>B36*D$8</f>
        <v>100.64539888135215</v>
      </c>
    </row>
    <row r="37" spans="1:3">
      <c r="A37" s="576" t="s">
        <v>1143</v>
      </c>
      <c r="B37" s="606">
        <v>667.73341068593265</v>
      </c>
      <c r="C37" s="580">
        <f t="shared" si="0"/>
        <v>23.370669374007608</v>
      </c>
    </row>
    <row r="38" spans="1:3">
      <c r="A38" s="576" t="s">
        <v>1145</v>
      </c>
      <c r="B38" s="606">
        <v>4563.7556327259399</v>
      </c>
      <c r="C38" s="580">
        <f t="shared" si="0"/>
        <v>159.73144714540766</v>
      </c>
    </row>
    <row r="39" spans="1:3">
      <c r="A39" s="576" t="s">
        <v>1146</v>
      </c>
      <c r="B39" s="606">
        <v>65008.001273978916</v>
      </c>
      <c r="C39" s="580">
        <f t="shared" si="0"/>
        <v>2275.2800445892585</v>
      </c>
    </row>
    <row r="40" spans="1:3">
      <c r="A40" s="576" t="s">
        <v>1150</v>
      </c>
      <c r="B40" s="606">
        <v>7271.7277554271641</v>
      </c>
      <c r="C40" s="580">
        <f t="shared" si="0"/>
        <v>254.51047143995035</v>
      </c>
    </row>
    <row r="41" spans="1:3">
      <c r="A41" s="576" t="s">
        <v>1152</v>
      </c>
      <c r="B41" s="606">
        <v>63.505765915491587</v>
      </c>
      <c r="C41" s="580">
        <f>B41*D$8</f>
        <v>2.2227018070422022</v>
      </c>
    </row>
    <row r="42" spans="1:3">
      <c r="A42" s="576" t="s">
        <v>1154</v>
      </c>
      <c r="B42" s="606">
        <v>3506.4845340411966</v>
      </c>
      <c r="C42" s="580">
        <f t="shared" si="0"/>
        <v>122.72695869144169</v>
      </c>
    </row>
    <row r="43" spans="1:3">
      <c r="A43" s="576" t="s">
        <v>1155</v>
      </c>
      <c r="B43" s="606">
        <v>17870.296256194884</v>
      </c>
      <c r="C43" s="580">
        <f t="shared" si="0"/>
        <v>625.46036896682006</v>
      </c>
    </row>
    <row r="44" spans="1:3">
      <c r="A44" s="585" t="s">
        <v>172</v>
      </c>
      <c r="B44" s="654">
        <f>SUM(B9:B43)</f>
        <v>8655286.0099999961</v>
      </c>
      <c r="C44" s="634">
        <f>SUM(C9:C43)</f>
        <v>302935.01034999918</v>
      </c>
    </row>
    <row r="46" spans="1:3">
      <c r="A46" s="581" t="s">
        <v>1221</v>
      </c>
      <c r="B46" s="656">
        <f>SUM(B16:B43)</f>
        <v>5518241.1814269153</v>
      </c>
      <c r="C46" s="656">
        <f>SUM(C16:C43)</f>
        <v>193138.44134994174</v>
      </c>
    </row>
    <row r="49" spans="1:2">
      <c r="A49" s="23" t="s">
        <v>2</v>
      </c>
      <c r="B49" s="24" t="s">
        <v>3</v>
      </c>
    </row>
  </sheetData>
  <pageMargins left="0.7" right="0.7" top="0.75" bottom="0.75" header="0.3" footer="0.3"/>
  <pageSetup scale="98"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B5879-4AF1-44EA-ABCA-270722994863}">
  <dimension ref="A1:E26"/>
  <sheetViews>
    <sheetView showRuler="0" workbookViewId="0">
      <selection activeCell="A25" sqref="A25:B25"/>
    </sheetView>
  </sheetViews>
  <sheetFormatPr defaultColWidth="13.7265625" defaultRowHeight="12.5"/>
  <cols>
    <col min="1" max="1" width="19.81640625" style="41" customWidth="1"/>
    <col min="2" max="2" width="21.26953125" style="41" customWidth="1"/>
    <col min="3" max="16384" width="13.7265625" style="41"/>
  </cols>
  <sheetData>
    <row r="1" spans="1:5" ht="15" customHeight="1">
      <c r="A1" s="711" t="s">
        <v>0</v>
      </c>
      <c r="B1" s="709"/>
      <c r="C1" s="709"/>
    </row>
    <row r="2" spans="1:5" ht="15" customHeight="1">
      <c r="A2" s="712" t="s">
        <v>215</v>
      </c>
      <c r="B2" s="709"/>
      <c r="C2" s="709"/>
      <c r="D2" s="709"/>
    </row>
    <row r="3" spans="1:5" ht="15" customHeight="1">
      <c r="A3" s="712" t="s">
        <v>234</v>
      </c>
      <c r="B3" s="709"/>
      <c r="C3" s="709"/>
    </row>
    <row r="4" spans="1:5" ht="15" customHeight="1">
      <c r="A4" s="711" t="s">
        <v>119</v>
      </c>
      <c r="B4" s="709"/>
      <c r="C4" s="709"/>
      <c r="D4" s="709"/>
      <c r="E4" s="709"/>
    </row>
    <row r="5" spans="1:5" ht="15" customHeight="1"/>
    <row r="6" spans="1:5" ht="10.9" customHeight="1">
      <c r="A6" s="714" t="s">
        <v>233</v>
      </c>
      <c r="B6" s="713" t="s">
        <v>232</v>
      </c>
      <c r="C6" s="59"/>
    </row>
    <row r="7" spans="1:5" ht="16.75" customHeight="1">
      <c r="A7" s="715"/>
      <c r="B7" s="713"/>
      <c r="C7" s="59"/>
    </row>
    <row r="8" spans="1:5" ht="15" customHeight="1">
      <c r="A8" s="58" t="s">
        <v>201</v>
      </c>
      <c r="B8" s="55">
        <v>1017179.67</v>
      </c>
    </row>
    <row r="9" spans="1:5" ht="15" customHeight="1">
      <c r="A9" s="54" t="s">
        <v>200</v>
      </c>
      <c r="B9" s="51">
        <v>2227953.9500000002</v>
      </c>
    </row>
    <row r="10" spans="1:5" ht="15" customHeight="1">
      <c r="A10" s="54" t="s">
        <v>199</v>
      </c>
      <c r="B10" s="51">
        <v>447367.08</v>
      </c>
    </row>
    <row r="11" spans="1:5" ht="15" customHeight="1">
      <c r="A11" s="54" t="s">
        <v>198</v>
      </c>
      <c r="B11" s="51">
        <v>1608401.1</v>
      </c>
    </row>
    <row r="12" spans="1:5" ht="15" customHeight="1">
      <c r="A12" s="54" t="s">
        <v>197</v>
      </c>
      <c r="B12" s="51">
        <v>1543484.15</v>
      </c>
    </row>
    <row r="13" spans="1:5" ht="15" customHeight="1">
      <c r="A13" s="54" t="s">
        <v>196</v>
      </c>
      <c r="B13" s="51">
        <v>655478</v>
      </c>
    </row>
    <row r="14" spans="1:5" ht="15" customHeight="1">
      <c r="A14" s="54" t="s">
        <v>195</v>
      </c>
      <c r="B14" s="51">
        <v>1000719.61</v>
      </c>
    </row>
    <row r="15" spans="1:5" ht="15" customHeight="1">
      <c r="A15" s="54" t="s">
        <v>194</v>
      </c>
      <c r="B15" s="51">
        <v>1018020.06</v>
      </c>
    </row>
    <row r="16" spans="1:5" ht="15" customHeight="1">
      <c r="A16" s="54" t="s">
        <v>193</v>
      </c>
      <c r="B16" s="51">
        <v>1449216.44</v>
      </c>
    </row>
    <row r="17" spans="1:2" ht="15" customHeight="1">
      <c r="A17" s="54" t="s">
        <v>192</v>
      </c>
      <c r="B17" s="51">
        <v>707775.36</v>
      </c>
    </row>
    <row r="18" spans="1:2" ht="15" customHeight="1">
      <c r="A18" s="54" t="s">
        <v>191</v>
      </c>
      <c r="B18" s="51">
        <v>1193513.1000000001</v>
      </c>
    </row>
    <row r="19" spans="1:2" ht="15" customHeight="1">
      <c r="A19" s="65" t="s">
        <v>190</v>
      </c>
      <c r="B19" s="50">
        <v>163098.06</v>
      </c>
    </row>
    <row r="20" spans="1:2" ht="27.65" customHeight="1">
      <c r="A20" s="58" t="s">
        <v>231</v>
      </c>
      <c r="B20" s="55">
        <f>SUM(B8:B19)</f>
        <v>13032206.58</v>
      </c>
    </row>
    <row r="21" spans="1:2" ht="15" customHeight="1"/>
    <row r="22" spans="1:2" ht="50.15" customHeight="1">
      <c r="A22" s="54" t="s">
        <v>230</v>
      </c>
      <c r="B22" s="62">
        <f>-B20</f>
        <v>-13032206.58</v>
      </c>
    </row>
    <row r="23" spans="1:2" ht="15" customHeight="1">
      <c r="A23" s="54" t="s">
        <v>187</v>
      </c>
      <c r="B23" s="68">
        <v>407.3</v>
      </c>
    </row>
    <row r="24" spans="1:2" ht="15" customHeight="1"/>
    <row r="25" spans="1:2" ht="15" customHeight="1">
      <c r="A25" s="44" t="s">
        <v>2</v>
      </c>
      <c r="B25" s="44" t="s">
        <v>3</v>
      </c>
    </row>
    <row r="26" spans="1:2" ht="15" customHeight="1"/>
  </sheetData>
  <mergeCells count="6">
    <mergeCell ref="A2:D2"/>
    <mergeCell ref="A1:C1"/>
    <mergeCell ref="A4:E4"/>
    <mergeCell ref="A3:C3"/>
    <mergeCell ref="B6:B7"/>
    <mergeCell ref="A6:A7"/>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C15B4-3EAD-4041-857C-6DB1FE2BF08E}">
  <dimension ref="A1:J28"/>
  <sheetViews>
    <sheetView workbookViewId="0">
      <pane ySplit="7" topLeftCell="A8" activePane="bottomLeft" state="frozen"/>
      <selection activeCell="A3" sqref="A3:C3"/>
      <selection pane="bottomLeft" activeCell="H8" sqref="H8"/>
    </sheetView>
  </sheetViews>
  <sheetFormatPr defaultColWidth="10.7265625" defaultRowHeight="12.5"/>
  <cols>
    <col min="1" max="1" width="7.81640625" style="659" bestFit="1" customWidth="1"/>
    <col min="2" max="2" width="1.1796875" style="657" customWidth="1"/>
    <col min="3" max="3" width="6.26953125" style="657" customWidth="1"/>
    <col min="4" max="4" width="13.7265625" style="657" customWidth="1"/>
    <col min="5" max="5" width="29.7265625" style="657" customWidth="1"/>
    <col min="6" max="6" width="38.7265625" style="657" customWidth="1"/>
    <col min="7" max="7" width="1.1796875" style="657" customWidth="1"/>
    <col min="8" max="8" width="15.453125" style="657" customWidth="1"/>
    <col min="9" max="9" width="4.1796875" style="657" customWidth="1"/>
    <col min="10" max="10" width="11.81640625" style="657" bestFit="1" customWidth="1"/>
    <col min="11" max="16384" width="10.7265625" style="657"/>
  </cols>
  <sheetData>
    <row r="1" spans="1:9">
      <c r="A1" s="7" t="s">
        <v>0</v>
      </c>
    </row>
    <row r="2" spans="1:9">
      <c r="A2" s="43" t="s">
        <v>1255</v>
      </c>
    </row>
    <row r="3" spans="1:9">
      <c r="A3" s="7" t="s">
        <v>119</v>
      </c>
    </row>
    <row r="4" spans="1:9">
      <c r="A4" s="43" t="s">
        <v>1157</v>
      </c>
      <c r="G4" s="789"/>
      <c r="H4" s="789"/>
    </row>
    <row r="5" spans="1:9" ht="15.5">
      <c r="A5" s="658"/>
      <c r="C5" s="659"/>
      <c r="D5" s="659"/>
      <c r="E5" s="659"/>
      <c r="F5" s="659"/>
      <c r="G5" s="659"/>
      <c r="H5" s="659"/>
    </row>
    <row r="6" spans="1:9" s="661" customFormat="1" ht="13">
      <c r="A6" s="660" t="s">
        <v>929</v>
      </c>
      <c r="C6" s="790" t="s">
        <v>417</v>
      </c>
      <c r="D6" s="790"/>
      <c r="E6" s="790"/>
      <c r="F6" s="790"/>
      <c r="G6" s="657"/>
      <c r="H6" s="662" t="s">
        <v>225</v>
      </c>
      <c r="I6" s="657"/>
    </row>
    <row r="7" spans="1:9" s="666" customFormat="1" ht="11.5">
      <c r="A7" s="663" t="s">
        <v>1256</v>
      </c>
      <c r="B7" s="664"/>
      <c r="C7" s="791" t="s">
        <v>1165</v>
      </c>
      <c r="D7" s="791"/>
      <c r="E7" s="791"/>
      <c r="F7" s="791"/>
      <c r="G7" s="665"/>
      <c r="H7" s="665" t="s">
        <v>1166</v>
      </c>
    </row>
    <row r="8" spans="1:9" ht="15.5">
      <c r="A8" s="660">
        <v>1</v>
      </c>
      <c r="B8" s="667"/>
      <c r="C8" s="657" t="s">
        <v>1257</v>
      </c>
      <c r="G8" s="668"/>
      <c r="H8" s="668">
        <f>W27_PG_1_of_3!E44</f>
        <v>-472522.75723284262</v>
      </c>
    </row>
    <row r="9" spans="1:9" ht="15.5">
      <c r="A9" s="660">
        <f>1+A8</f>
        <v>2</v>
      </c>
      <c r="B9" s="667"/>
      <c r="C9" s="657" t="s">
        <v>1258</v>
      </c>
      <c r="G9" s="668"/>
      <c r="H9" s="668">
        <f>W27_PG_1_of_3!I44</f>
        <v>-44941.524525658555</v>
      </c>
    </row>
    <row r="10" spans="1:9" ht="15.5">
      <c r="A10" s="660">
        <f t="shared" ref="A10:A13" si="0">1+A9</f>
        <v>3</v>
      </c>
      <c r="B10" s="667"/>
      <c r="C10" s="657" t="s">
        <v>1259</v>
      </c>
      <c r="G10" s="668"/>
      <c r="H10" s="668">
        <f>W28_PG_1_of_4!E45</f>
        <v>1122756.4490929584</v>
      </c>
    </row>
    <row r="11" spans="1:9" ht="15.5">
      <c r="A11" s="660">
        <f t="shared" si="0"/>
        <v>4</v>
      </c>
      <c r="B11" s="667"/>
      <c r="C11" s="657" t="s">
        <v>1260</v>
      </c>
      <c r="G11" s="668"/>
      <c r="H11" s="669">
        <f>W28_PG_1_of_4!H45</f>
        <v>645269.94284228049</v>
      </c>
    </row>
    <row r="12" spans="1:9" ht="15.5">
      <c r="A12" s="660">
        <f t="shared" si="0"/>
        <v>5</v>
      </c>
      <c r="B12" s="667"/>
      <c r="C12" s="657" t="s">
        <v>1261</v>
      </c>
      <c r="G12" s="670"/>
      <c r="H12" s="671">
        <f>W29_PG_1_of_2!D38</f>
        <v>193138.44134994174</v>
      </c>
    </row>
    <row r="13" spans="1:9" ht="15.5">
      <c r="A13" s="660">
        <f t="shared" si="0"/>
        <v>6</v>
      </c>
      <c r="B13" s="667"/>
      <c r="C13" s="657" t="s">
        <v>1262</v>
      </c>
      <c r="D13" s="667"/>
      <c r="E13" s="667"/>
      <c r="F13" s="672"/>
      <c r="G13" s="673"/>
      <c r="H13" s="673">
        <f>SUM(H8:H12)</f>
        <v>1443700.5515266794</v>
      </c>
    </row>
    <row r="14" spans="1:9" ht="15.5">
      <c r="A14" s="666"/>
      <c r="B14" s="667"/>
      <c r="C14" s="674"/>
      <c r="D14" s="667"/>
      <c r="E14" s="667"/>
      <c r="F14" s="672"/>
      <c r="G14" s="673"/>
      <c r="H14" s="668"/>
    </row>
    <row r="15" spans="1:9" ht="15.5">
      <c r="A15" s="660">
        <f>1+A13</f>
        <v>7</v>
      </c>
      <c r="B15" s="667"/>
      <c r="C15" s="674" t="s">
        <v>1263</v>
      </c>
      <c r="E15" s="672"/>
      <c r="G15" s="670"/>
      <c r="H15" s="670">
        <f>W31_PG_2_of_3!K10</f>
        <v>1676668.9099999997</v>
      </c>
    </row>
    <row r="16" spans="1:9" ht="15.5">
      <c r="A16" s="660">
        <f>1+A15</f>
        <v>8</v>
      </c>
      <c r="B16" s="667"/>
      <c r="C16" s="657" t="s">
        <v>1264</v>
      </c>
      <c r="E16" s="672"/>
      <c r="G16" s="670"/>
      <c r="H16" s="670">
        <f>W31_PG_3_of_3!B16</f>
        <v>45324301.350015864</v>
      </c>
    </row>
    <row r="17" spans="1:10" ht="15.5">
      <c r="A17" s="660">
        <f>1+A16</f>
        <v>9</v>
      </c>
      <c r="B17" s="667"/>
      <c r="C17" s="657" t="s">
        <v>1265</v>
      </c>
      <c r="E17" s="667"/>
      <c r="G17" s="675"/>
      <c r="H17" s="675">
        <f>H15/H16</f>
        <v>3.6992713843550795E-2</v>
      </c>
    </row>
    <row r="18" spans="1:10" ht="15.5">
      <c r="A18" s="660">
        <f>1+A17</f>
        <v>10</v>
      </c>
      <c r="B18" s="667"/>
      <c r="C18" s="657" t="s">
        <v>1266</v>
      </c>
      <c r="D18" s="672"/>
      <c r="E18" s="667"/>
      <c r="G18" s="675"/>
      <c r="H18" s="675">
        <f>1-H17</f>
        <v>0.96300728615644915</v>
      </c>
    </row>
    <row r="19" spans="1:10" ht="15.5">
      <c r="A19" s="665"/>
      <c r="B19" s="667"/>
      <c r="C19" s="672"/>
      <c r="D19" s="672"/>
      <c r="E19" s="667"/>
      <c r="G19" s="675"/>
      <c r="H19" s="675"/>
    </row>
    <row r="20" spans="1:10" ht="15.5">
      <c r="A20" s="660">
        <f>1+A18</f>
        <v>11</v>
      </c>
      <c r="B20" s="667"/>
      <c r="C20" s="672" t="s">
        <v>1267</v>
      </c>
      <c r="D20" s="667"/>
      <c r="E20" s="672"/>
      <c r="F20" s="667"/>
      <c r="G20" s="668"/>
      <c r="H20" s="673">
        <f>H13*H18</f>
        <v>1390294.1501482765</v>
      </c>
    </row>
    <row r="21" spans="1:10" ht="15.5">
      <c r="A21" s="660">
        <f>1+A20</f>
        <v>12</v>
      </c>
      <c r="B21" s="667"/>
      <c r="C21" s="672" t="s">
        <v>1268</v>
      </c>
      <c r="D21" s="672"/>
      <c r="E21" s="672"/>
      <c r="F21" s="672"/>
      <c r="G21" s="672"/>
      <c r="H21" s="675">
        <v>6.2E-2</v>
      </c>
    </row>
    <row r="22" spans="1:10" ht="15.5">
      <c r="A22" s="660">
        <f>1+A21</f>
        <v>13</v>
      </c>
      <c r="B22" s="667"/>
      <c r="C22" s="672" t="s">
        <v>1269</v>
      </c>
      <c r="D22" s="672"/>
      <c r="E22" s="672"/>
      <c r="F22" s="672"/>
      <c r="G22" s="668"/>
      <c r="H22" s="668">
        <f>H20*H21</f>
        <v>86198.237309193137</v>
      </c>
      <c r="J22" s="676"/>
    </row>
    <row r="23" spans="1:10" ht="15.5">
      <c r="A23" s="660"/>
      <c r="B23" s="667"/>
      <c r="C23" s="672"/>
      <c r="D23" s="672"/>
      <c r="E23" s="672"/>
      <c r="F23" s="672"/>
      <c r="H23" s="677"/>
    </row>
    <row r="24" spans="1:10" ht="15.5">
      <c r="A24" s="660">
        <f>1+A22</f>
        <v>14</v>
      </c>
      <c r="B24" s="667"/>
      <c r="C24" s="672" t="s">
        <v>1270</v>
      </c>
      <c r="E24" s="678"/>
      <c r="F24" s="672"/>
      <c r="H24" s="679">
        <v>0.99099999999999999</v>
      </c>
    </row>
    <row r="25" spans="1:10" ht="16" thickBot="1">
      <c r="A25" s="660">
        <f t="shared" ref="A25" si="1">1+A24</f>
        <v>15</v>
      </c>
      <c r="B25" s="667"/>
      <c r="C25" s="672" t="s">
        <v>1271</v>
      </c>
      <c r="D25" s="667"/>
      <c r="F25" s="672"/>
      <c r="G25" s="672"/>
      <c r="H25" s="680">
        <f>H24*H22</f>
        <v>85422.453173410395</v>
      </c>
    </row>
    <row r="26" spans="1:10" ht="13" thickTop="1">
      <c r="A26" s="660"/>
    </row>
    <row r="28" spans="1:10">
      <c r="C28" s="23" t="s">
        <v>2</v>
      </c>
      <c r="D28" s="24" t="s">
        <v>3</v>
      </c>
    </row>
  </sheetData>
  <mergeCells count="3">
    <mergeCell ref="G4:H4"/>
    <mergeCell ref="C6:F6"/>
    <mergeCell ref="C7:F7"/>
  </mergeCells>
  <pageMargins left="0.7" right="0.7" top="0.75" bottom="0.75" header="0.3" footer="0.3"/>
  <pageSetup orientation="portrait" horizontalDpi="200" verticalDpi="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CBB6A-02D1-498E-8159-5539627E2BF9}">
  <dimension ref="A1:K58"/>
  <sheetViews>
    <sheetView workbookViewId="0">
      <selection activeCell="A3" sqref="A3:C3"/>
    </sheetView>
  </sheetViews>
  <sheetFormatPr defaultRowHeight="12.5"/>
  <cols>
    <col min="1" max="1" width="9.1796875" style="24"/>
    <col min="2" max="2" width="22.1796875" style="24" bestFit="1" customWidth="1"/>
    <col min="3" max="3" width="4.81640625" style="24" bestFit="1" customWidth="1"/>
    <col min="4" max="4" width="11.81640625" style="24" bestFit="1" customWidth="1"/>
    <col min="5" max="5" width="12.54296875" style="24" bestFit="1" customWidth="1"/>
    <col min="6" max="6" width="20.453125" style="24" bestFit="1" customWidth="1"/>
    <col min="7" max="8" width="9.1796875" style="24"/>
    <col min="9" max="9" width="13" style="24" bestFit="1" customWidth="1"/>
    <col min="10" max="10" width="8.453125" style="24" customWidth="1"/>
    <col min="11" max="11" width="13.54296875" style="584" customWidth="1"/>
    <col min="12" max="12" width="20.26953125" style="24" customWidth="1"/>
    <col min="13" max="13" width="25.26953125" style="24" bestFit="1" customWidth="1"/>
    <col min="14" max="259" width="9.1796875" style="24"/>
    <col min="260" max="260" width="9.453125" style="24" bestFit="1" customWidth="1"/>
    <col min="261" max="261" width="16.54296875" style="24" bestFit="1" customWidth="1"/>
    <col min="262" max="515" width="9.1796875" style="24"/>
    <col min="516" max="516" width="9.453125" style="24" bestFit="1" customWidth="1"/>
    <col min="517" max="517" width="16.54296875" style="24" bestFit="1" customWidth="1"/>
    <col min="518" max="771" width="9.1796875" style="24"/>
    <col min="772" max="772" width="9.453125" style="24" bestFit="1" customWidth="1"/>
    <col min="773" max="773" width="16.54296875" style="24" bestFit="1" customWidth="1"/>
    <col min="774" max="1027" width="9.1796875" style="24"/>
    <col min="1028" max="1028" width="9.453125" style="24" bestFit="1" customWidth="1"/>
    <col min="1029" max="1029" width="16.54296875" style="24" bestFit="1" customWidth="1"/>
    <col min="1030" max="1283" width="9.1796875" style="24"/>
    <col min="1284" max="1284" width="9.453125" style="24" bestFit="1" customWidth="1"/>
    <col min="1285" max="1285" width="16.54296875" style="24" bestFit="1" customWidth="1"/>
    <col min="1286" max="1539" width="9.1796875" style="24"/>
    <col min="1540" max="1540" width="9.453125" style="24" bestFit="1" customWidth="1"/>
    <col min="1541" max="1541" width="16.54296875" style="24" bestFit="1" customWidth="1"/>
    <col min="1542" max="1795" width="9.1796875" style="24"/>
    <col min="1796" max="1796" width="9.453125" style="24" bestFit="1" customWidth="1"/>
    <col min="1797" max="1797" width="16.54296875" style="24" bestFit="1" customWidth="1"/>
    <col min="1798" max="2051" width="9.1796875" style="24"/>
    <col min="2052" max="2052" width="9.453125" style="24" bestFit="1" customWidth="1"/>
    <col min="2053" max="2053" width="16.54296875" style="24" bestFit="1" customWidth="1"/>
    <col min="2054" max="2307" width="9.1796875" style="24"/>
    <col min="2308" max="2308" width="9.453125" style="24" bestFit="1" customWidth="1"/>
    <col min="2309" max="2309" width="16.54296875" style="24" bestFit="1" customWidth="1"/>
    <col min="2310" max="2563" width="9.1796875" style="24"/>
    <col min="2564" max="2564" width="9.453125" style="24" bestFit="1" customWidth="1"/>
    <col min="2565" max="2565" width="16.54296875" style="24" bestFit="1" customWidth="1"/>
    <col min="2566" max="2819" width="9.1796875" style="24"/>
    <col min="2820" max="2820" width="9.453125" style="24" bestFit="1" customWidth="1"/>
    <col min="2821" max="2821" width="16.54296875" style="24" bestFit="1" customWidth="1"/>
    <col min="2822" max="3075" width="9.1796875" style="24"/>
    <col min="3076" max="3076" width="9.453125" style="24" bestFit="1" customWidth="1"/>
    <col min="3077" max="3077" width="16.54296875" style="24" bestFit="1" customWidth="1"/>
    <col min="3078" max="3331" width="9.1796875" style="24"/>
    <col min="3332" max="3332" width="9.453125" style="24" bestFit="1" customWidth="1"/>
    <col min="3333" max="3333" width="16.54296875" style="24" bestFit="1" customWidth="1"/>
    <col min="3334" max="3587" width="9.1796875" style="24"/>
    <col min="3588" max="3588" width="9.453125" style="24" bestFit="1" customWidth="1"/>
    <col min="3589" max="3589" width="16.54296875" style="24" bestFit="1" customWidth="1"/>
    <col min="3590" max="3843" width="9.1796875" style="24"/>
    <col min="3844" max="3844" width="9.453125" style="24" bestFit="1" customWidth="1"/>
    <col min="3845" max="3845" width="16.54296875" style="24" bestFit="1" customWidth="1"/>
    <col min="3846" max="4099" width="9.1796875" style="24"/>
    <col min="4100" max="4100" width="9.453125" style="24" bestFit="1" customWidth="1"/>
    <col min="4101" max="4101" width="16.54296875" style="24" bestFit="1" customWidth="1"/>
    <col min="4102" max="4355" width="9.1796875" style="24"/>
    <col min="4356" max="4356" width="9.453125" style="24" bestFit="1" customWidth="1"/>
    <col min="4357" max="4357" width="16.54296875" style="24" bestFit="1" customWidth="1"/>
    <col min="4358" max="4611" width="9.1796875" style="24"/>
    <col min="4612" max="4612" width="9.453125" style="24" bestFit="1" customWidth="1"/>
    <col min="4613" max="4613" width="16.54296875" style="24" bestFit="1" customWidth="1"/>
    <col min="4614" max="4867" width="9.1796875" style="24"/>
    <col min="4868" max="4868" width="9.453125" style="24" bestFit="1" customWidth="1"/>
    <col min="4869" max="4869" width="16.54296875" style="24" bestFit="1" customWidth="1"/>
    <col min="4870" max="5123" width="9.1796875" style="24"/>
    <col min="5124" max="5124" width="9.453125" style="24" bestFit="1" customWidth="1"/>
    <col min="5125" max="5125" width="16.54296875" style="24" bestFit="1" customWidth="1"/>
    <col min="5126" max="5379" width="9.1796875" style="24"/>
    <col min="5380" max="5380" width="9.453125" style="24" bestFit="1" customWidth="1"/>
    <col min="5381" max="5381" width="16.54296875" style="24" bestFit="1" customWidth="1"/>
    <col min="5382" max="5635" width="9.1796875" style="24"/>
    <col min="5636" max="5636" width="9.453125" style="24" bestFit="1" customWidth="1"/>
    <col min="5637" max="5637" width="16.54296875" style="24" bestFit="1" customWidth="1"/>
    <col min="5638" max="5891" width="9.1796875" style="24"/>
    <col min="5892" max="5892" width="9.453125" style="24" bestFit="1" customWidth="1"/>
    <col min="5893" max="5893" width="16.54296875" style="24" bestFit="1" customWidth="1"/>
    <col min="5894" max="6147" width="9.1796875" style="24"/>
    <col min="6148" max="6148" width="9.453125" style="24" bestFit="1" customWidth="1"/>
    <col min="6149" max="6149" width="16.54296875" style="24" bestFit="1" customWidth="1"/>
    <col min="6150" max="6403" width="9.1796875" style="24"/>
    <col min="6404" max="6404" width="9.453125" style="24" bestFit="1" customWidth="1"/>
    <col min="6405" max="6405" width="16.54296875" style="24" bestFit="1" customWidth="1"/>
    <col min="6406" max="6659" width="9.1796875" style="24"/>
    <col min="6660" max="6660" width="9.453125" style="24" bestFit="1" customWidth="1"/>
    <col min="6661" max="6661" width="16.54296875" style="24" bestFit="1" customWidth="1"/>
    <col min="6662" max="6915" width="9.1796875" style="24"/>
    <col min="6916" max="6916" width="9.453125" style="24" bestFit="1" customWidth="1"/>
    <col min="6917" max="6917" width="16.54296875" style="24" bestFit="1" customWidth="1"/>
    <col min="6918" max="7171" width="9.1796875" style="24"/>
    <col min="7172" max="7172" width="9.453125" style="24" bestFit="1" customWidth="1"/>
    <col min="7173" max="7173" width="16.54296875" style="24" bestFit="1" customWidth="1"/>
    <col min="7174" max="7427" width="9.1796875" style="24"/>
    <col min="7428" max="7428" width="9.453125" style="24" bestFit="1" customWidth="1"/>
    <col min="7429" max="7429" width="16.54296875" style="24" bestFit="1" customWidth="1"/>
    <col min="7430" max="7683" width="9.1796875" style="24"/>
    <col min="7684" max="7684" width="9.453125" style="24" bestFit="1" customWidth="1"/>
    <col min="7685" max="7685" width="16.54296875" style="24" bestFit="1" customWidth="1"/>
    <col min="7686" max="7939" width="9.1796875" style="24"/>
    <col min="7940" max="7940" width="9.453125" style="24" bestFit="1" customWidth="1"/>
    <col min="7941" max="7941" width="16.54296875" style="24" bestFit="1" customWidth="1"/>
    <col min="7942" max="8195" width="9.1796875" style="24"/>
    <col min="8196" max="8196" width="9.453125" style="24" bestFit="1" customWidth="1"/>
    <col min="8197" max="8197" width="16.54296875" style="24" bestFit="1" customWidth="1"/>
    <col min="8198" max="8451" width="9.1796875" style="24"/>
    <col min="8452" max="8452" width="9.453125" style="24" bestFit="1" customWidth="1"/>
    <col min="8453" max="8453" width="16.54296875" style="24" bestFit="1" customWidth="1"/>
    <col min="8454" max="8707" width="9.1796875" style="24"/>
    <col min="8708" max="8708" width="9.453125" style="24" bestFit="1" customWidth="1"/>
    <col min="8709" max="8709" width="16.54296875" style="24" bestFit="1" customWidth="1"/>
    <col min="8710" max="8963" width="9.1796875" style="24"/>
    <col min="8964" max="8964" width="9.453125" style="24" bestFit="1" customWidth="1"/>
    <col min="8965" max="8965" width="16.54296875" style="24" bestFit="1" customWidth="1"/>
    <col min="8966" max="9219" width="9.1796875" style="24"/>
    <col min="9220" max="9220" width="9.453125" style="24" bestFit="1" customWidth="1"/>
    <col min="9221" max="9221" width="16.54296875" style="24" bestFit="1" customWidth="1"/>
    <col min="9222" max="9475" width="9.1796875" style="24"/>
    <col min="9476" max="9476" width="9.453125" style="24" bestFit="1" customWidth="1"/>
    <col min="9477" max="9477" width="16.54296875" style="24" bestFit="1" customWidth="1"/>
    <col min="9478" max="9731" width="9.1796875" style="24"/>
    <col min="9732" max="9732" width="9.453125" style="24" bestFit="1" customWidth="1"/>
    <col min="9733" max="9733" width="16.54296875" style="24" bestFit="1" customWidth="1"/>
    <col min="9734" max="9987" width="9.1796875" style="24"/>
    <col min="9988" max="9988" width="9.453125" style="24" bestFit="1" customWidth="1"/>
    <col min="9989" max="9989" width="16.54296875" style="24" bestFit="1" customWidth="1"/>
    <col min="9990" max="10243" width="9.1796875" style="24"/>
    <col min="10244" max="10244" width="9.453125" style="24" bestFit="1" customWidth="1"/>
    <col min="10245" max="10245" width="16.54296875" style="24" bestFit="1" customWidth="1"/>
    <col min="10246" max="10499" width="9.1796875" style="24"/>
    <col min="10500" max="10500" width="9.453125" style="24" bestFit="1" customWidth="1"/>
    <col min="10501" max="10501" width="16.54296875" style="24" bestFit="1" customWidth="1"/>
    <col min="10502" max="10755" width="9.1796875" style="24"/>
    <col min="10756" max="10756" width="9.453125" style="24" bestFit="1" customWidth="1"/>
    <col min="10757" max="10757" width="16.54296875" style="24" bestFit="1" customWidth="1"/>
    <col min="10758" max="11011" width="9.1796875" style="24"/>
    <col min="11012" max="11012" width="9.453125" style="24" bestFit="1" customWidth="1"/>
    <col min="11013" max="11013" width="16.54296875" style="24" bestFit="1" customWidth="1"/>
    <col min="11014" max="11267" width="9.1796875" style="24"/>
    <col min="11268" max="11268" width="9.453125" style="24" bestFit="1" customWidth="1"/>
    <col min="11269" max="11269" width="16.54296875" style="24" bestFit="1" customWidth="1"/>
    <col min="11270" max="11523" width="9.1796875" style="24"/>
    <col min="11524" max="11524" width="9.453125" style="24" bestFit="1" customWidth="1"/>
    <col min="11525" max="11525" width="16.54296875" style="24" bestFit="1" customWidth="1"/>
    <col min="11526" max="11779" width="9.1796875" style="24"/>
    <col min="11780" max="11780" width="9.453125" style="24" bestFit="1" customWidth="1"/>
    <col min="11781" max="11781" width="16.54296875" style="24" bestFit="1" customWidth="1"/>
    <col min="11782" max="12035" width="9.1796875" style="24"/>
    <col min="12036" max="12036" width="9.453125" style="24" bestFit="1" customWidth="1"/>
    <col min="12037" max="12037" width="16.54296875" style="24" bestFit="1" customWidth="1"/>
    <col min="12038" max="12291" width="9.1796875" style="24"/>
    <col min="12292" max="12292" width="9.453125" style="24" bestFit="1" customWidth="1"/>
    <col min="12293" max="12293" width="16.54296875" style="24" bestFit="1" customWidth="1"/>
    <col min="12294" max="12547" width="9.1796875" style="24"/>
    <col min="12548" max="12548" width="9.453125" style="24" bestFit="1" customWidth="1"/>
    <col min="12549" max="12549" width="16.54296875" style="24" bestFit="1" customWidth="1"/>
    <col min="12550" max="12803" width="9.1796875" style="24"/>
    <col min="12804" max="12804" width="9.453125" style="24" bestFit="1" customWidth="1"/>
    <col min="12805" max="12805" width="16.54296875" style="24" bestFit="1" customWidth="1"/>
    <col min="12806" max="13059" width="9.1796875" style="24"/>
    <col min="13060" max="13060" width="9.453125" style="24" bestFit="1" customWidth="1"/>
    <col min="13061" max="13061" width="16.54296875" style="24" bestFit="1" customWidth="1"/>
    <col min="13062" max="13315" width="9.1796875" style="24"/>
    <col min="13316" max="13316" width="9.453125" style="24" bestFit="1" customWidth="1"/>
    <col min="13317" max="13317" width="16.54296875" style="24" bestFit="1" customWidth="1"/>
    <col min="13318" max="13571" width="9.1796875" style="24"/>
    <col min="13572" max="13572" width="9.453125" style="24" bestFit="1" customWidth="1"/>
    <col min="13573" max="13573" width="16.54296875" style="24" bestFit="1" customWidth="1"/>
    <col min="13574" max="13827" width="9.1796875" style="24"/>
    <col min="13828" max="13828" width="9.453125" style="24" bestFit="1" customWidth="1"/>
    <col min="13829" max="13829" width="16.54296875" style="24" bestFit="1" customWidth="1"/>
    <col min="13830" max="14083" width="9.1796875" style="24"/>
    <col min="14084" max="14084" width="9.453125" style="24" bestFit="1" customWidth="1"/>
    <col min="14085" max="14085" width="16.54296875" style="24" bestFit="1" customWidth="1"/>
    <col min="14086" max="14339" width="9.1796875" style="24"/>
    <col min="14340" max="14340" width="9.453125" style="24" bestFit="1" customWidth="1"/>
    <col min="14341" max="14341" width="16.54296875" style="24" bestFit="1" customWidth="1"/>
    <col min="14342" max="14595" width="9.1796875" style="24"/>
    <col min="14596" max="14596" width="9.453125" style="24" bestFit="1" customWidth="1"/>
    <col min="14597" max="14597" width="16.54296875" style="24" bestFit="1" customWidth="1"/>
    <col min="14598" max="14851" width="9.1796875" style="24"/>
    <col min="14852" max="14852" width="9.453125" style="24" bestFit="1" customWidth="1"/>
    <col min="14853" max="14853" width="16.54296875" style="24" bestFit="1" customWidth="1"/>
    <col min="14854" max="15107" width="9.1796875" style="24"/>
    <col min="15108" max="15108" width="9.453125" style="24" bestFit="1" customWidth="1"/>
    <col min="15109" max="15109" width="16.54296875" style="24" bestFit="1" customWidth="1"/>
    <col min="15110" max="15363" width="9.1796875" style="24"/>
    <col min="15364" max="15364" width="9.453125" style="24" bestFit="1" customWidth="1"/>
    <col min="15365" max="15365" width="16.54296875" style="24" bestFit="1" customWidth="1"/>
    <col min="15366" max="15619" width="9.1796875" style="24"/>
    <col min="15620" max="15620" width="9.453125" style="24" bestFit="1" customWidth="1"/>
    <col min="15621" max="15621" width="16.54296875" style="24" bestFit="1" customWidth="1"/>
    <col min="15622" max="15875" width="9.1796875" style="24"/>
    <col min="15876" max="15876" width="9.453125" style="24" bestFit="1" customWidth="1"/>
    <col min="15877" max="15877" width="16.54296875" style="24" bestFit="1" customWidth="1"/>
    <col min="15878" max="16131" width="9.1796875" style="24"/>
    <col min="16132" max="16132" width="9.453125" style="24" bestFit="1" customWidth="1"/>
    <col min="16133" max="16133" width="16.54296875" style="24" bestFit="1" customWidth="1"/>
    <col min="16134" max="16384" width="9.1796875" style="24"/>
  </cols>
  <sheetData>
    <row r="1" spans="1:11">
      <c r="A1" s="7" t="s">
        <v>0</v>
      </c>
    </row>
    <row r="2" spans="1:11">
      <c r="A2" s="43" t="s">
        <v>1255</v>
      </c>
    </row>
    <row r="3" spans="1:11">
      <c r="A3" s="7" t="s">
        <v>119</v>
      </c>
    </row>
    <row r="4" spans="1:11">
      <c r="A4" s="24" t="s">
        <v>1272</v>
      </c>
    </row>
    <row r="5" spans="1:11" ht="13" thickBot="1"/>
    <row r="6" spans="1:11" ht="14" thickTop="1" thickBot="1">
      <c r="A6" s="681" t="s">
        <v>1273</v>
      </c>
      <c r="B6" s="681" t="s">
        <v>226</v>
      </c>
      <c r="C6" s="681" t="s">
        <v>434</v>
      </c>
      <c r="D6" s="682" t="s">
        <v>1274</v>
      </c>
      <c r="E6" s="682" t="s">
        <v>1275</v>
      </c>
      <c r="F6" s="682" t="s">
        <v>1276</v>
      </c>
      <c r="G6" s="681" t="s">
        <v>1277</v>
      </c>
    </row>
    <row r="7" spans="1:11" ht="38" thickTop="1">
      <c r="A7" s="13" t="s">
        <v>1278</v>
      </c>
      <c r="B7" s="13" t="s">
        <v>0</v>
      </c>
      <c r="C7" s="43">
        <v>2022</v>
      </c>
      <c r="D7" s="604">
        <v>158979.95000000001</v>
      </c>
      <c r="E7" s="604">
        <v>147000</v>
      </c>
      <c r="F7" s="604">
        <f>D7-E7</f>
        <v>11979.950000000012</v>
      </c>
      <c r="G7" s="13" t="s">
        <v>1279</v>
      </c>
      <c r="I7" s="43" t="s">
        <v>164</v>
      </c>
      <c r="J7" s="43" t="s">
        <v>1280</v>
      </c>
      <c r="K7" s="683" t="s">
        <v>1281</v>
      </c>
    </row>
    <row r="8" spans="1:11">
      <c r="A8" s="13" t="s">
        <v>1278</v>
      </c>
      <c r="B8" s="13" t="s">
        <v>0</v>
      </c>
      <c r="C8" s="43">
        <v>2022</v>
      </c>
      <c r="D8" s="604">
        <v>326353.21999999997</v>
      </c>
      <c r="E8" s="604">
        <v>147000</v>
      </c>
      <c r="F8" s="604">
        <f t="shared" ref="F8:F54" si="0">D8-E8</f>
        <v>179353.21999999997</v>
      </c>
      <c r="G8" s="13" t="s">
        <v>1282</v>
      </c>
      <c r="I8" s="14" t="s">
        <v>1279</v>
      </c>
      <c r="J8" s="43">
        <v>44</v>
      </c>
      <c r="K8" s="604">
        <v>1433615.2899999998</v>
      </c>
    </row>
    <row r="9" spans="1:11">
      <c r="A9" s="13" t="s">
        <v>1278</v>
      </c>
      <c r="B9" s="13" t="s">
        <v>0</v>
      </c>
      <c r="C9" s="43">
        <v>2022</v>
      </c>
      <c r="D9" s="604">
        <v>185876.54</v>
      </c>
      <c r="E9" s="604">
        <v>147000</v>
      </c>
      <c r="F9" s="604">
        <f t="shared" si="0"/>
        <v>38876.540000000008</v>
      </c>
      <c r="G9" s="13" t="s">
        <v>1279</v>
      </c>
      <c r="I9" s="14" t="s">
        <v>1282</v>
      </c>
      <c r="J9" s="43">
        <v>4</v>
      </c>
      <c r="K9" s="604">
        <v>243053.62</v>
      </c>
    </row>
    <row r="10" spans="1:11">
      <c r="A10" s="13" t="s">
        <v>1278</v>
      </c>
      <c r="B10" s="13" t="s">
        <v>0</v>
      </c>
      <c r="C10" s="43">
        <v>2022</v>
      </c>
      <c r="D10" s="604">
        <v>159030.89000000001</v>
      </c>
      <c r="E10" s="604">
        <v>147000</v>
      </c>
      <c r="F10" s="604">
        <f t="shared" si="0"/>
        <v>12030.890000000014</v>
      </c>
      <c r="G10" s="13" t="s">
        <v>1279</v>
      </c>
      <c r="I10" s="14" t="s">
        <v>172</v>
      </c>
      <c r="J10" s="43">
        <v>48</v>
      </c>
      <c r="K10" s="604">
        <v>1676668.9099999997</v>
      </c>
    </row>
    <row r="11" spans="1:11">
      <c r="A11" s="13" t="s">
        <v>1278</v>
      </c>
      <c r="B11" s="13" t="s">
        <v>0</v>
      </c>
      <c r="C11" s="43">
        <v>2022</v>
      </c>
      <c r="D11" s="604">
        <v>166097.82</v>
      </c>
      <c r="E11" s="604">
        <v>147000</v>
      </c>
      <c r="F11" s="604">
        <f t="shared" si="0"/>
        <v>19097.820000000007</v>
      </c>
      <c r="G11" s="13" t="s">
        <v>1279</v>
      </c>
      <c r="I11" s="43"/>
      <c r="J11" s="43"/>
      <c r="K11" s="604"/>
    </row>
    <row r="12" spans="1:11">
      <c r="A12" s="13" t="s">
        <v>1278</v>
      </c>
      <c r="B12" s="13" t="s">
        <v>0</v>
      </c>
      <c r="C12" s="43">
        <v>2022</v>
      </c>
      <c r="D12" s="604">
        <v>161605.26</v>
      </c>
      <c r="E12" s="604">
        <v>147000</v>
      </c>
      <c r="F12" s="604">
        <f t="shared" si="0"/>
        <v>14605.260000000009</v>
      </c>
      <c r="G12" s="13" t="s">
        <v>1279</v>
      </c>
      <c r="I12" s="43"/>
      <c r="J12" s="43"/>
      <c r="K12" s="604"/>
    </row>
    <row r="13" spans="1:11">
      <c r="A13" s="13" t="s">
        <v>1278</v>
      </c>
      <c r="B13" s="13" t="s">
        <v>0</v>
      </c>
      <c r="C13" s="43">
        <v>2022</v>
      </c>
      <c r="D13" s="604">
        <v>147443.60999999999</v>
      </c>
      <c r="E13" s="604">
        <v>147000</v>
      </c>
      <c r="F13" s="604">
        <f t="shared" si="0"/>
        <v>443.60999999998603</v>
      </c>
      <c r="G13" s="13" t="s">
        <v>1279</v>
      </c>
      <c r="I13" s="43"/>
      <c r="J13" s="43"/>
      <c r="K13" s="604"/>
    </row>
    <row r="14" spans="1:11">
      <c r="A14" s="13" t="s">
        <v>1278</v>
      </c>
      <c r="B14" s="13" t="s">
        <v>0</v>
      </c>
      <c r="C14" s="43">
        <v>2022</v>
      </c>
      <c r="D14" s="604">
        <v>185347.6</v>
      </c>
      <c r="E14" s="604">
        <v>147000</v>
      </c>
      <c r="F14" s="604">
        <f t="shared" si="0"/>
        <v>38347.600000000006</v>
      </c>
      <c r="G14" s="13" t="s">
        <v>1279</v>
      </c>
      <c r="I14" s="43"/>
      <c r="J14" s="43"/>
      <c r="K14" s="604"/>
    </row>
    <row r="15" spans="1:11">
      <c r="A15" s="13" t="s">
        <v>1278</v>
      </c>
      <c r="B15" s="13" t="s">
        <v>0</v>
      </c>
      <c r="C15" s="43">
        <v>2022</v>
      </c>
      <c r="D15" s="604">
        <v>149980.09</v>
      </c>
      <c r="E15" s="604">
        <v>147000</v>
      </c>
      <c r="F15" s="604">
        <f t="shared" si="0"/>
        <v>2980.0899999999965</v>
      </c>
      <c r="G15" s="13" t="s">
        <v>1282</v>
      </c>
      <c r="I15" s="43"/>
      <c r="J15" s="43"/>
      <c r="K15" s="604"/>
    </row>
    <row r="16" spans="1:11">
      <c r="A16" s="13" t="s">
        <v>1278</v>
      </c>
      <c r="B16" s="13" t="s">
        <v>0</v>
      </c>
      <c r="C16" s="43">
        <v>2022</v>
      </c>
      <c r="D16" s="604">
        <v>173761.61</v>
      </c>
      <c r="E16" s="604">
        <v>147000</v>
      </c>
      <c r="F16" s="604">
        <f t="shared" si="0"/>
        <v>26761.609999999986</v>
      </c>
      <c r="G16" s="13" t="s">
        <v>1279</v>
      </c>
      <c r="I16" s="43"/>
      <c r="J16" s="43"/>
      <c r="K16" s="604"/>
    </row>
    <row r="17" spans="1:11">
      <c r="A17" s="13" t="s">
        <v>1278</v>
      </c>
      <c r="B17" s="13" t="s">
        <v>0</v>
      </c>
      <c r="C17" s="43">
        <v>2022</v>
      </c>
      <c r="D17" s="604">
        <v>168975.46</v>
      </c>
      <c r="E17" s="604">
        <v>147000</v>
      </c>
      <c r="F17" s="604">
        <f t="shared" si="0"/>
        <v>21975.459999999992</v>
      </c>
      <c r="G17" s="13" t="s">
        <v>1279</v>
      </c>
      <c r="I17" s="43"/>
      <c r="J17" s="43"/>
      <c r="K17" s="604"/>
    </row>
    <row r="18" spans="1:11">
      <c r="A18" s="13" t="s">
        <v>1278</v>
      </c>
      <c r="B18" s="13" t="s">
        <v>0</v>
      </c>
      <c r="C18" s="43">
        <v>2022</v>
      </c>
      <c r="D18" s="604">
        <v>160726.04</v>
      </c>
      <c r="E18" s="604">
        <v>147000</v>
      </c>
      <c r="F18" s="604">
        <f t="shared" si="0"/>
        <v>13726.040000000008</v>
      </c>
      <c r="G18" s="13" t="s">
        <v>1279</v>
      </c>
      <c r="I18" s="43"/>
      <c r="J18" s="43"/>
      <c r="K18" s="604"/>
    </row>
    <row r="19" spans="1:11">
      <c r="A19" s="13" t="s">
        <v>1278</v>
      </c>
      <c r="B19" s="13" t="s">
        <v>0</v>
      </c>
      <c r="C19" s="43">
        <v>2022</v>
      </c>
      <c r="D19" s="604">
        <v>203790.56</v>
      </c>
      <c r="E19" s="604">
        <v>147000</v>
      </c>
      <c r="F19" s="604">
        <f t="shared" si="0"/>
        <v>56790.559999999998</v>
      </c>
      <c r="G19" s="13" t="s">
        <v>1279</v>
      </c>
      <c r="I19" s="43"/>
      <c r="J19" s="43"/>
      <c r="K19" s="604"/>
    </row>
    <row r="20" spans="1:11">
      <c r="A20" s="13" t="s">
        <v>1278</v>
      </c>
      <c r="B20" s="13" t="s">
        <v>0</v>
      </c>
      <c r="C20" s="43">
        <v>2022</v>
      </c>
      <c r="D20" s="604">
        <v>162477.43</v>
      </c>
      <c r="E20" s="604">
        <v>147000</v>
      </c>
      <c r="F20" s="604">
        <f t="shared" si="0"/>
        <v>15477.429999999993</v>
      </c>
      <c r="G20" s="13" t="s">
        <v>1279</v>
      </c>
      <c r="I20" s="43"/>
      <c r="J20" s="43"/>
      <c r="K20" s="604"/>
    </row>
    <row r="21" spans="1:11">
      <c r="A21" s="13" t="s">
        <v>1278</v>
      </c>
      <c r="B21" s="13" t="s">
        <v>0</v>
      </c>
      <c r="C21" s="43">
        <v>2022</v>
      </c>
      <c r="D21" s="604">
        <v>436671.1</v>
      </c>
      <c r="E21" s="604">
        <v>147000</v>
      </c>
      <c r="F21" s="604">
        <f t="shared" si="0"/>
        <v>289671.09999999998</v>
      </c>
      <c r="G21" s="13" t="s">
        <v>1279</v>
      </c>
      <c r="I21" s="43"/>
      <c r="J21" s="43"/>
      <c r="K21" s="604"/>
    </row>
    <row r="22" spans="1:11">
      <c r="A22" s="13" t="s">
        <v>1278</v>
      </c>
      <c r="B22" s="13" t="s">
        <v>0</v>
      </c>
      <c r="C22" s="43">
        <v>2022</v>
      </c>
      <c r="D22" s="604">
        <v>171778.06</v>
      </c>
      <c r="E22" s="604">
        <v>147000</v>
      </c>
      <c r="F22" s="604">
        <f t="shared" si="0"/>
        <v>24778.059999999998</v>
      </c>
      <c r="G22" s="13" t="s">
        <v>1279</v>
      </c>
      <c r="I22" s="43"/>
      <c r="J22" s="43"/>
      <c r="K22" s="604"/>
    </row>
    <row r="23" spans="1:11">
      <c r="A23" s="13" t="s">
        <v>1278</v>
      </c>
      <c r="B23" s="13" t="s">
        <v>0</v>
      </c>
      <c r="C23" s="43">
        <v>2022</v>
      </c>
      <c r="D23" s="604">
        <v>234973.75</v>
      </c>
      <c r="E23" s="604">
        <v>147000</v>
      </c>
      <c r="F23" s="604">
        <f t="shared" si="0"/>
        <v>87973.75</v>
      </c>
      <c r="G23" s="13" t="s">
        <v>1279</v>
      </c>
      <c r="I23" s="43"/>
      <c r="J23" s="43"/>
      <c r="K23" s="604"/>
    </row>
    <row r="24" spans="1:11">
      <c r="A24" s="13" t="s">
        <v>1278</v>
      </c>
      <c r="B24" s="13" t="s">
        <v>0</v>
      </c>
      <c r="C24" s="43">
        <v>2022</v>
      </c>
      <c r="D24" s="604">
        <v>149670.87</v>
      </c>
      <c r="E24" s="604">
        <v>147000</v>
      </c>
      <c r="F24" s="604">
        <f t="shared" si="0"/>
        <v>2670.8699999999953</v>
      </c>
      <c r="G24" s="13" t="s">
        <v>1279</v>
      </c>
      <c r="I24" s="43"/>
      <c r="J24" s="43"/>
      <c r="K24" s="604"/>
    </row>
    <row r="25" spans="1:11">
      <c r="A25" s="13" t="s">
        <v>1278</v>
      </c>
      <c r="B25" s="13" t="s">
        <v>0</v>
      </c>
      <c r="C25" s="43">
        <v>2022</v>
      </c>
      <c r="D25" s="604">
        <v>178287.23</v>
      </c>
      <c r="E25" s="604">
        <v>147000</v>
      </c>
      <c r="F25" s="604">
        <f t="shared" si="0"/>
        <v>31287.23000000001</v>
      </c>
      <c r="G25" s="13" t="s">
        <v>1279</v>
      </c>
    </row>
    <row r="26" spans="1:11">
      <c r="A26" s="13" t="s">
        <v>1278</v>
      </c>
      <c r="B26" s="13" t="s">
        <v>0</v>
      </c>
      <c r="C26" s="43">
        <v>2022</v>
      </c>
      <c r="D26" s="604">
        <v>149800.95999999999</v>
      </c>
      <c r="E26" s="604">
        <v>147000</v>
      </c>
      <c r="F26" s="604">
        <f t="shared" si="0"/>
        <v>2800.9599999999919</v>
      </c>
      <c r="G26" s="13" t="s">
        <v>1279</v>
      </c>
    </row>
    <row r="27" spans="1:11">
      <c r="A27" s="13" t="s">
        <v>1278</v>
      </c>
      <c r="B27" s="13" t="s">
        <v>0</v>
      </c>
      <c r="C27" s="43">
        <v>2022</v>
      </c>
      <c r="D27" s="604">
        <v>149145.45000000001</v>
      </c>
      <c r="E27" s="604">
        <v>147000</v>
      </c>
      <c r="F27" s="604">
        <f t="shared" si="0"/>
        <v>2145.4500000000116</v>
      </c>
      <c r="G27" s="13" t="s">
        <v>1279</v>
      </c>
    </row>
    <row r="28" spans="1:11">
      <c r="A28" s="13" t="s">
        <v>1278</v>
      </c>
      <c r="B28" s="13" t="s">
        <v>0</v>
      </c>
      <c r="C28" s="43">
        <v>2022</v>
      </c>
      <c r="D28" s="604">
        <v>149598.97</v>
      </c>
      <c r="E28" s="604">
        <v>147000</v>
      </c>
      <c r="F28" s="604">
        <f t="shared" si="0"/>
        <v>2598.9700000000012</v>
      </c>
      <c r="G28" s="13" t="s">
        <v>1279</v>
      </c>
    </row>
    <row r="29" spans="1:11">
      <c r="A29" s="13" t="s">
        <v>1278</v>
      </c>
      <c r="B29" s="13" t="s">
        <v>0</v>
      </c>
      <c r="C29" s="43">
        <v>2022</v>
      </c>
      <c r="D29" s="604">
        <v>160954.74</v>
      </c>
      <c r="E29" s="604">
        <v>147000</v>
      </c>
      <c r="F29" s="604">
        <f t="shared" si="0"/>
        <v>13954.739999999991</v>
      </c>
      <c r="G29" s="13" t="s">
        <v>1279</v>
      </c>
    </row>
    <row r="30" spans="1:11">
      <c r="A30" s="13" t="s">
        <v>1278</v>
      </c>
      <c r="B30" s="13" t="s">
        <v>0</v>
      </c>
      <c r="C30" s="43">
        <v>2022</v>
      </c>
      <c r="D30" s="604">
        <v>151104.34</v>
      </c>
      <c r="E30" s="604">
        <v>147000</v>
      </c>
      <c r="F30" s="604">
        <f t="shared" si="0"/>
        <v>4104.3399999999965</v>
      </c>
      <c r="G30" s="13" t="s">
        <v>1279</v>
      </c>
    </row>
    <row r="31" spans="1:11">
      <c r="A31" s="13" t="s">
        <v>1278</v>
      </c>
      <c r="B31" s="13" t="s">
        <v>0</v>
      </c>
      <c r="C31" s="43">
        <v>2022</v>
      </c>
      <c r="D31" s="604">
        <v>159202.23000000001</v>
      </c>
      <c r="E31" s="604">
        <v>147000</v>
      </c>
      <c r="F31" s="604">
        <f t="shared" si="0"/>
        <v>12202.23000000001</v>
      </c>
      <c r="G31" s="13" t="s">
        <v>1279</v>
      </c>
    </row>
    <row r="32" spans="1:11">
      <c r="A32" s="13" t="s">
        <v>1278</v>
      </c>
      <c r="B32" s="13" t="s">
        <v>0</v>
      </c>
      <c r="C32" s="43">
        <v>2022</v>
      </c>
      <c r="D32" s="604">
        <v>148128.81</v>
      </c>
      <c r="E32" s="604">
        <v>147000</v>
      </c>
      <c r="F32" s="604">
        <f t="shared" si="0"/>
        <v>1128.8099999999977</v>
      </c>
      <c r="G32" s="13" t="s">
        <v>1279</v>
      </c>
    </row>
    <row r="33" spans="1:7">
      <c r="A33" s="13" t="s">
        <v>1278</v>
      </c>
      <c r="B33" s="13" t="s">
        <v>0</v>
      </c>
      <c r="C33" s="43">
        <v>2022</v>
      </c>
      <c r="D33" s="604">
        <v>154386.07</v>
      </c>
      <c r="E33" s="604">
        <v>147000</v>
      </c>
      <c r="F33" s="604">
        <f t="shared" si="0"/>
        <v>7386.070000000007</v>
      </c>
      <c r="G33" s="13" t="s">
        <v>1279</v>
      </c>
    </row>
    <row r="34" spans="1:7">
      <c r="A34" s="13" t="s">
        <v>1278</v>
      </c>
      <c r="B34" s="13" t="s">
        <v>0</v>
      </c>
      <c r="C34" s="43">
        <v>2022</v>
      </c>
      <c r="D34" s="604">
        <v>149298.4</v>
      </c>
      <c r="E34" s="604">
        <v>147000</v>
      </c>
      <c r="F34" s="604">
        <f t="shared" si="0"/>
        <v>2298.3999999999942</v>
      </c>
      <c r="G34" s="13" t="s">
        <v>1279</v>
      </c>
    </row>
    <row r="35" spans="1:7">
      <c r="A35" s="13" t="s">
        <v>1278</v>
      </c>
      <c r="B35" s="13" t="s">
        <v>0</v>
      </c>
      <c r="C35" s="43">
        <v>2022</v>
      </c>
      <c r="D35" s="604">
        <v>147289.81</v>
      </c>
      <c r="E35" s="604">
        <v>147000</v>
      </c>
      <c r="F35" s="604">
        <f t="shared" si="0"/>
        <v>289.80999999999767</v>
      </c>
      <c r="G35" s="13" t="s">
        <v>1279</v>
      </c>
    </row>
    <row r="36" spans="1:7">
      <c r="A36" s="13" t="s">
        <v>1278</v>
      </c>
      <c r="B36" s="13" t="s">
        <v>0</v>
      </c>
      <c r="C36" s="43">
        <v>2022</v>
      </c>
      <c r="D36" s="604">
        <v>148277.12</v>
      </c>
      <c r="E36" s="604">
        <v>147000</v>
      </c>
      <c r="F36" s="604">
        <f t="shared" si="0"/>
        <v>1277.1199999999953</v>
      </c>
      <c r="G36" s="13" t="s">
        <v>1279</v>
      </c>
    </row>
    <row r="37" spans="1:7">
      <c r="A37" s="13" t="s">
        <v>1278</v>
      </c>
      <c r="B37" s="13" t="s">
        <v>0</v>
      </c>
      <c r="C37" s="43">
        <v>2022</v>
      </c>
      <c r="D37" s="604">
        <v>159304.62</v>
      </c>
      <c r="E37" s="604">
        <v>147000</v>
      </c>
      <c r="F37" s="604">
        <f t="shared" si="0"/>
        <v>12304.619999999995</v>
      </c>
      <c r="G37" s="13" t="s">
        <v>1279</v>
      </c>
    </row>
    <row r="38" spans="1:7">
      <c r="A38" s="13" t="s">
        <v>1278</v>
      </c>
      <c r="B38" s="13" t="s">
        <v>0</v>
      </c>
      <c r="C38" s="43">
        <v>2022</v>
      </c>
      <c r="D38" s="604">
        <v>167575.26999999999</v>
      </c>
      <c r="E38" s="604">
        <v>147000</v>
      </c>
      <c r="F38" s="604">
        <f t="shared" si="0"/>
        <v>20575.26999999999</v>
      </c>
      <c r="G38" s="13" t="s">
        <v>1279</v>
      </c>
    </row>
    <row r="39" spans="1:7">
      <c r="A39" s="13" t="s">
        <v>1278</v>
      </c>
      <c r="B39" s="13" t="s">
        <v>0</v>
      </c>
      <c r="C39" s="43">
        <v>2022</v>
      </c>
      <c r="D39" s="604">
        <v>196397.13</v>
      </c>
      <c r="E39" s="604">
        <v>147000</v>
      </c>
      <c r="F39" s="604">
        <f t="shared" si="0"/>
        <v>49397.130000000005</v>
      </c>
      <c r="G39" s="13" t="s">
        <v>1279</v>
      </c>
    </row>
    <row r="40" spans="1:7">
      <c r="A40" s="13" t="s">
        <v>1278</v>
      </c>
      <c r="B40" s="13" t="s">
        <v>0</v>
      </c>
      <c r="C40" s="43">
        <v>2022</v>
      </c>
      <c r="D40" s="604">
        <v>169245.13</v>
      </c>
      <c r="E40" s="604">
        <v>147000</v>
      </c>
      <c r="F40" s="604">
        <f t="shared" si="0"/>
        <v>22245.130000000005</v>
      </c>
      <c r="G40" s="13" t="s">
        <v>1279</v>
      </c>
    </row>
    <row r="41" spans="1:7">
      <c r="A41" s="13" t="s">
        <v>1278</v>
      </c>
      <c r="B41" s="13" t="s">
        <v>0</v>
      </c>
      <c r="C41" s="43">
        <v>2022</v>
      </c>
      <c r="D41" s="604">
        <v>174220.53</v>
      </c>
      <c r="E41" s="604">
        <v>147000</v>
      </c>
      <c r="F41" s="604">
        <f t="shared" si="0"/>
        <v>27220.53</v>
      </c>
      <c r="G41" s="13" t="s">
        <v>1279</v>
      </c>
    </row>
    <row r="42" spans="1:7">
      <c r="A42" s="13" t="s">
        <v>1278</v>
      </c>
      <c r="B42" s="13" t="s">
        <v>0</v>
      </c>
      <c r="C42" s="43">
        <v>2022</v>
      </c>
      <c r="D42" s="604">
        <v>372583.62</v>
      </c>
      <c r="E42" s="604">
        <v>147000</v>
      </c>
      <c r="F42" s="604">
        <f t="shared" si="0"/>
        <v>225583.62</v>
      </c>
      <c r="G42" s="13" t="s">
        <v>1279</v>
      </c>
    </row>
    <row r="43" spans="1:7">
      <c r="A43" s="13" t="s">
        <v>1278</v>
      </c>
      <c r="B43" s="13" t="s">
        <v>0</v>
      </c>
      <c r="C43" s="43">
        <v>2022</v>
      </c>
      <c r="D43" s="604">
        <v>175376.88</v>
      </c>
      <c r="E43" s="604">
        <v>147000</v>
      </c>
      <c r="F43" s="604">
        <f t="shared" si="0"/>
        <v>28376.880000000005</v>
      </c>
      <c r="G43" s="13" t="s">
        <v>1279</v>
      </c>
    </row>
    <row r="44" spans="1:7">
      <c r="A44" s="13" t="s">
        <v>1278</v>
      </c>
      <c r="B44" s="13" t="s">
        <v>0</v>
      </c>
      <c r="C44" s="43">
        <v>2022</v>
      </c>
      <c r="D44" s="604">
        <v>159557</v>
      </c>
      <c r="E44" s="604">
        <v>147000</v>
      </c>
      <c r="F44" s="604">
        <f t="shared" si="0"/>
        <v>12557</v>
      </c>
      <c r="G44" s="13" t="s">
        <v>1279</v>
      </c>
    </row>
    <row r="45" spans="1:7">
      <c r="A45" s="13" t="s">
        <v>1278</v>
      </c>
      <c r="B45" s="13" t="s">
        <v>0</v>
      </c>
      <c r="C45" s="43">
        <v>2022</v>
      </c>
      <c r="D45" s="604">
        <v>161226.37</v>
      </c>
      <c r="E45" s="604">
        <v>147000</v>
      </c>
      <c r="F45" s="604">
        <f t="shared" si="0"/>
        <v>14226.369999999995</v>
      </c>
      <c r="G45" s="13" t="s">
        <v>1279</v>
      </c>
    </row>
    <row r="46" spans="1:7">
      <c r="A46" s="13" t="s">
        <v>1278</v>
      </c>
      <c r="B46" s="13" t="s">
        <v>0</v>
      </c>
      <c r="C46" s="43">
        <v>2022</v>
      </c>
      <c r="D46" s="604">
        <v>153031.19</v>
      </c>
      <c r="E46" s="604">
        <v>147000</v>
      </c>
      <c r="F46" s="604">
        <f t="shared" si="0"/>
        <v>6031.1900000000023</v>
      </c>
      <c r="G46" s="13" t="s">
        <v>1279</v>
      </c>
    </row>
    <row r="47" spans="1:7">
      <c r="A47" s="13" t="s">
        <v>1278</v>
      </c>
      <c r="B47" s="13" t="s">
        <v>0</v>
      </c>
      <c r="C47" s="43">
        <v>2022</v>
      </c>
      <c r="D47" s="604">
        <v>166916.70000000001</v>
      </c>
      <c r="E47" s="604">
        <v>147000</v>
      </c>
      <c r="F47" s="604">
        <f t="shared" si="0"/>
        <v>19916.700000000012</v>
      </c>
      <c r="G47" s="13" t="s">
        <v>1279</v>
      </c>
    </row>
    <row r="48" spans="1:7">
      <c r="A48" s="13" t="s">
        <v>1278</v>
      </c>
      <c r="B48" s="13" t="s">
        <v>0</v>
      </c>
      <c r="C48" s="43">
        <v>2022</v>
      </c>
      <c r="D48" s="604">
        <v>150978.82</v>
      </c>
      <c r="E48" s="604">
        <v>147000</v>
      </c>
      <c r="F48" s="604">
        <f t="shared" si="0"/>
        <v>3978.820000000007</v>
      </c>
      <c r="G48" s="13" t="s">
        <v>1279</v>
      </c>
    </row>
    <row r="49" spans="1:7">
      <c r="A49" s="13" t="s">
        <v>1278</v>
      </c>
      <c r="B49" s="13" t="s">
        <v>0</v>
      </c>
      <c r="C49" s="43">
        <v>2022</v>
      </c>
      <c r="D49" s="604">
        <v>171532.7</v>
      </c>
      <c r="E49" s="604">
        <v>147000</v>
      </c>
      <c r="F49" s="604">
        <f t="shared" si="0"/>
        <v>24532.700000000012</v>
      </c>
      <c r="G49" s="13" t="s">
        <v>1279</v>
      </c>
    </row>
    <row r="50" spans="1:7">
      <c r="A50" s="13" t="s">
        <v>1278</v>
      </c>
      <c r="B50" s="13" t="s">
        <v>0</v>
      </c>
      <c r="C50" s="43">
        <v>2022</v>
      </c>
      <c r="D50" s="604">
        <v>334438.15999999997</v>
      </c>
      <c r="E50" s="604">
        <v>147000</v>
      </c>
      <c r="F50" s="604">
        <f t="shared" si="0"/>
        <v>187438.15999999997</v>
      </c>
      <c r="G50" s="13" t="s">
        <v>1279</v>
      </c>
    </row>
    <row r="51" spans="1:7">
      <c r="A51" s="13" t="s">
        <v>1278</v>
      </c>
      <c r="B51" s="13" t="s">
        <v>0</v>
      </c>
      <c r="C51" s="43">
        <v>2022</v>
      </c>
      <c r="D51" s="604">
        <v>154685.41</v>
      </c>
      <c r="E51" s="604">
        <v>147000</v>
      </c>
      <c r="F51" s="604">
        <f t="shared" si="0"/>
        <v>7685.4100000000035</v>
      </c>
      <c r="G51" s="13" t="s">
        <v>1279</v>
      </c>
    </row>
    <row r="52" spans="1:7">
      <c r="A52" s="13" t="s">
        <v>1278</v>
      </c>
      <c r="B52" s="13" t="s">
        <v>0</v>
      </c>
      <c r="C52" s="43">
        <v>2022</v>
      </c>
      <c r="D52" s="604">
        <v>161865.07999999999</v>
      </c>
      <c r="E52" s="604">
        <v>147000</v>
      </c>
      <c r="F52" s="604">
        <f t="shared" si="0"/>
        <v>14865.079999999987</v>
      </c>
      <c r="G52" s="13" t="s">
        <v>1279</v>
      </c>
    </row>
    <row r="53" spans="1:7">
      <c r="A53" s="13" t="s">
        <v>1278</v>
      </c>
      <c r="B53" s="13" t="s">
        <v>0</v>
      </c>
      <c r="C53" s="43">
        <v>2022</v>
      </c>
      <c r="D53" s="604">
        <v>201448.14</v>
      </c>
      <c r="E53" s="604">
        <v>147000</v>
      </c>
      <c r="F53" s="604">
        <f t="shared" si="0"/>
        <v>54448.140000000014</v>
      </c>
      <c r="G53" s="13" t="s">
        <v>1282</v>
      </c>
    </row>
    <row r="54" spans="1:7">
      <c r="A54" s="13" t="s">
        <v>1278</v>
      </c>
      <c r="B54" s="13" t="s">
        <v>0</v>
      </c>
      <c r="C54" s="43">
        <v>2022</v>
      </c>
      <c r="D54" s="604">
        <v>153272.17000000001</v>
      </c>
      <c r="E54" s="604">
        <v>147000</v>
      </c>
      <c r="F54" s="604">
        <f t="shared" si="0"/>
        <v>6272.1700000000128</v>
      </c>
      <c r="G54" s="13" t="s">
        <v>1282</v>
      </c>
    </row>
    <row r="58" spans="1:7">
      <c r="A58" s="23" t="s">
        <v>2</v>
      </c>
      <c r="B58" s="24" t="s">
        <v>3</v>
      </c>
    </row>
  </sheetData>
  <pageMargins left="0.7" right="0.7" top="0.75" bottom="0.75" header="0.3" footer="0.3"/>
  <pageSetup orientation="portrait" horizontalDpi="1200" verticalDpi="1200"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0758A-5997-46F7-8D55-4A9FA2684EA3}">
  <dimension ref="A1:B19"/>
  <sheetViews>
    <sheetView workbookViewId="0">
      <selection activeCell="A3" sqref="A3:C3"/>
    </sheetView>
  </sheetViews>
  <sheetFormatPr defaultColWidth="9.1796875" defaultRowHeight="12.5"/>
  <cols>
    <col min="1" max="1" width="16.7265625" style="43" bestFit="1" customWidth="1"/>
    <col min="2" max="2" width="30.54296875" style="43" bestFit="1" customWidth="1"/>
    <col min="3" max="16384" width="9.1796875" style="43"/>
  </cols>
  <sheetData>
    <row r="1" spans="1:2">
      <c r="A1" s="7" t="s">
        <v>0</v>
      </c>
    </row>
    <row r="2" spans="1:2">
      <c r="A2" s="43" t="s">
        <v>1255</v>
      </c>
    </row>
    <row r="3" spans="1:2">
      <c r="A3" s="7" t="s">
        <v>119</v>
      </c>
    </row>
    <row r="4" spans="1:2">
      <c r="A4" s="43" t="s">
        <v>1264</v>
      </c>
    </row>
    <row r="6" spans="1:2">
      <c r="A6" s="684" t="s">
        <v>1283</v>
      </c>
      <c r="B6" s="685">
        <v>2022</v>
      </c>
    </row>
    <row r="7" spans="1:2">
      <c r="A7" s="684"/>
      <c r="B7" s="686"/>
    </row>
    <row r="8" spans="1:2">
      <c r="A8" s="684" t="s">
        <v>164</v>
      </c>
      <c r="B8" s="684" t="s">
        <v>1178</v>
      </c>
    </row>
    <row r="9" spans="1:2">
      <c r="A9" s="687" t="s">
        <v>1223</v>
      </c>
      <c r="B9" s="686">
        <v>32609771.060000006</v>
      </c>
    </row>
    <row r="10" spans="1:2">
      <c r="A10" s="687" t="s">
        <v>1253</v>
      </c>
      <c r="B10" s="686">
        <v>8054209.7199999634</v>
      </c>
    </row>
    <row r="11" spans="1:2">
      <c r="A11" s="687" t="s">
        <v>161</v>
      </c>
      <c r="B11" s="686">
        <v>832293.18999999808</v>
      </c>
    </row>
    <row r="12" spans="1:2">
      <c r="A12" s="687" t="s">
        <v>158</v>
      </c>
      <c r="B12" s="686">
        <f>SUM(B9:B11)</f>
        <v>41496273.969999969</v>
      </c>
    </row>
    <row r="13" spans="1:2">
      <c r="A13" s="684"/>
      <c r="B13" s="686"/>
    </row>
    <row r="14" spans="1:2">
      <c r="A14" s="687" t="s">
        <v>1284</v>
      </c>
      <c r="B14" s="686">
        <v>3828027.3800158948</v>
      </c>
    </row>
    <row r="15" spans="1:2">
      <c r="A15" s="687"/>
      <c r="B15" s="686"/>
    </row>
    <row r="16" spans="1:2">
      <c r="A16" s="684" t="s">
        <v>172</v>
      </c>
      <c r="B16" s="686">
        <f>B12+B14</f>
        <v>45324301.350015864</v>
      </c>
    </row>
    <row r="19" spans="1:2">
      <c r="A19" s="23" t="s">
        <v>2</v>
      </c>
      <c r="B19" s="24" t="s">
        <v>3</v>
      </c>
    </row>
  </sheetData>
  <pageMargins left="0.7" right="0.7" top="0.75" bottom="0.75" header="0.3" footer="0.3"/>
  <pageSetup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FBA83-F13A-495F-9497-15FC8C5BEABE}">
  <sheetPr>
    <pageSetUpPr fitToPage="1"/>
  </sheetPr>
  <dimension ref="A1:K27"/>
  <sheetViews>
    <sheetView workbookViewId="0">
      <pane ySplit="7" topLeftCell="A8" activePane="bottomLeft" state="frozen"/>
      <selection activeCell="A3" sqref="A3:C3"/>
      <selection pane="bottomLeft" activeCell="A3" sqref="A3:C3"/>
    </sheetView>
  </sheetViews>
  <sheetFormatPr defaultColWidth="10.7265625" defaultRowHeight="12.5"/>
  <cols>
    <col min="1" max="1" width="5" style="659" customWidth="1"/>
    <col min="2" max="2" width="1.1796875" style="657" customWidth="1"/>
    <col min="3" max="3" width="6.26953125" style="657" customWidth="1"/>
    <col min="4" max="4" width="13.7265625" style="657" customWidth="1"/>
    <col min="5" max="5" width="47.81640625" style="657" customWidth="1"/>
    <col min="6" max="6" width="3.26953125" style="657" customWidth="1"/>
    <col min="7" max="7" width="12.7265625" style="688" bestFit="1" customWidth="1"/>
    <col min="8" max="8" width="1.1796875" style="688" customWidth="1"/>
    <col min="9" max="9" width="11.26953125" style="688" bestFit="1" customWidth="1"/>
    <col min="10" max="10" width="1.1796875" style="688" customWidth="1"/>
    <col min="11" max="11" width="8.81640625" style="688" bestFit="1" customWidth="1"/>
    <col min="12" max="16384" width="10.7265625" style="657"/>
  </cols>
  <sheetData>
    <row r="1" spans="1:11">
      <c r="A1" s="7" t="s">
        <v>0</v>
      </c>
    </row>
    <row r="2" spans="1:11">
      <c r="A2" s="43" t="s">
        <v>1285</v>
      </c>
    </row>
    <row r="3" spans="1:11">
      <c r="A3" s="7" t="s">
        <v>119</v>
      </c>
    </row>
    <row r="4" spans="1:11">
      <c r="A4" s="43" t="s">
        <v>1157</v>
      </c>
      <c r="K4" s="689"/>
    </row>
    <row r="5" spans="1:11" s="661" customFormat="1" ht="15.5">
      <c r="A5" s="660"/>
      <c r="C5" s="790"/>
      <c r="D5" s="790"/>
      <c r="E5" s="790"/>
      <c r="F5" s="790"/>
      <c r="G5" s="667"/>
      <c r="H5" s="667"/>
      <c r="I5" s="667"/>
      <c r="J5" s="667"/>
      <c r="K5" s="667"/>
    </row>
    <row r="6" spans="1:11" s="666" customFormat="1" ht="23.5">
      <c r="A6" s="663" t="s">
        <v>418</v>
      </c>
      <c r="B6" s="664"/>
      <c r="C6" s="790" t="s">
        <v>417</v>
      </c>
      <c r="D6" s="790"/>
      <c r="E6" s="790"/>
      <c r="F6" s="790"/>
      <c r="G6" s="662"/>
      <c r="H6" s="690"/>
      <c r="I6" s="662" t="s">
        <v>225</v>
      </c>
      <c r="J6" s="690"/>
      <c r="K6" s="662" t="s">
        <v>225</v>
      </c>
    </row>
    <row r="7" spans="1:11" s="666" customFormat="1">
      <c r="A7" s="663"/>
      <c r="B7" s="664"/>
      <c r="C7" s="792" t="s">
        <v>1165</v>
      </c>
      <c r="D7" s="792"/>
      <c r="E7" s="792"/>
      <c r="F7" s="792"/>
      <c r="G7" s="660"/>
      <c r="H7" s="660"/>
      <c r="I7" s="660" t="s">
        <v>1166</v>
      </c>
      <c r="J7" s="660"/>
      <c r="K7" s="691" t="s">
        <v>1168</v>
      </c>
    </row>
    <row r="8" spans="1:11">
      <c r="A8" s="660" t="s">
        <v>1286</v>
      </c>
      <c r="C8" s="674" t="s">
        <v>1287</v>
      </c>
      <c r="G8" s="657"/>
      <c r="H8" s="677"/>
      <c r="I8" s="677">
        <f>W31_PG_2_of_3!J10</f>
        <v>48</v>
      </c>
      <c r="J8" s="677"/>
      <c r="K8" s="677"/>
    </row>
    <row r="9" spans="1:11">
      <c r="A9" s="660"/>
      <c r="C9" s="674"/>
      <c r="D9" s="674" t="s">
        <v>1288</v>
      </c>
      <c r="G9" s="677">
        <v>0</v>
      </c>
      <c r="H9" s="677"/>
      <c r="I9" s="677"/>
      <c r="J9" s="677"/>
      <c r="K9" s="677"/>
    </row>
    <row r="10" spans="1:11">
      <c r="A10" s="660"/>
      <c r="C10" s="674"/>
      <c r="G10" s="677"/>
      <c r="H10" s="677"/>
      <c r="I10" s="677"/>
      <c r="J10" s="677"/>
      <c r="K10" s="677"/>
    </row>
    <row r="11" spans="1:11">
      <c r="A11" s="660">
        <f>1+A8</f>
        <v>2</v>
      </c>
      <c r="C11" s="674" t="s">
        <v>1289</v>
      </c>
      <c r="G11" s="692">
        <v>160200</v>
      </c>
      <c r="H11" s="693"/>
      <c r="I11" s="693"/>
      <c r="J11" s="693"/>
    </row>
    <row r="12" spans="1:11">
      <c r="A12" s="660">
        <f>1+A11</f>
        <v>3</v>
      </c>
      <c r="C12" s="674" t="s">
        <v>1290</v>
      </c>
      <c r="G12" s="694">
        <v>147000</v>
      </c>
      <c r="H12" s="677"/>
      <c r="I12" s="677"/>
      <c r="J12" s="677"/>
    </row>
    <row r="13" spans="1:11" ht="15.5">
      <c r="A13" s="660">
        <f>1+A12</f>
        <v>4</v>
      </c>
      <c r="C13" s="674" t="s">
        <v>1291</v>
      </c>
      <c r="G13" s="695">
        <f>+G11-G12</f>
        <v>13200</v>
      </c>
      <c r="H13" s="696"/>
      <c r="I13" s="697">
        <f>+G13</f>
        <v>13200</v>
      </c>
      <c r="J13" s="697"/>
      <c r="K13" s="697"/>
    </row>
    <row r="14" spans="1:11" ht="15.5">
      <c r="A14" s="660"/>
      <c r="C14" s="672"/>
      <c r="G14" s="698"/>
      <c r="H14" s="667"/>
      <c r="I14" s="698"/>
      <c r="J14" s="698"/>
      <c r="K14" s="667"/>
    </row>
    <row r="15" spans="1:11" ht="15.5">
      <c r="A15" s="660">
        <f>1+A13</f>
        <v>5</v>
      </c>
      <c r="C15" s="674" t="s">
        <v>1292</v>
      </c>
      <c r="D15" s="667"/>
      <c r="E15" s="667"/>
      <c r="F15" s="672"/>
      <c r="G15" s="695"/>
      <c r="H15" s="699"/>
      <c r="I15" s="700">
        <f>I8*I13</f>
        <v>633600</v>
      </c>
      <c r="J15" s="693"/>
      <c r="K15" s="693"/>
    </row>
    <row r="16" spans="1:11" ht="15.5">
      <c r="A16" s="660">
        <f>1+A15</f>
        <v>6</v>
      </c>
      <c r="C16" s="672" t="s">
        <v>1268</v>
      </c>
      <c r="D16" s="667"/>
      <c r="E16" s="667"/>
      <c r="F16" s="672"/>
      <c r="G16" s="675"/>
      <c r="H16" s="667"/>
      <c r="I16" s="675">
        <v>6.2E-2</v>
      </c>
      <c r="J16" s="675"/>
    </row>
    <row r="17" spans="1:11" ht="15.5">
      <c r="A17" s="660">
        <f t="shared" ref="A17" si="0">1+A16</f>
        <v>7</v>
      </c>
      <c r="C17" s="674" t="s">
        <v>1293</v>
      </c>
      <c r="E17" s="672"/>
      <c r="G17" s="695"/>
      <c r="H17" s="699"/>
      <c r="I17" s="700">
        <f>ROUND(I15*I16,0)</f>
        <v>39283</v>
      </c>
      <c r="J17" s="693"/>
      <c r="K17" s="693"/>
    </row>
    <row r="18" spans="1:11" ht="15.5">
      <c r="A18" s="660"/>
      <c r="C18" s="674"/>
      <c r="G18" s="695"/>
      <c r="H18" s="699"/>
      <c r="I18" s="695"/>
      <c r="J18" s="693"/>
      <c r="K18" s="692"/>
    </row>
    <row r="19" spans="1:11">
      <c r="A19" s="660">
        <v>8</v>
      </c>
      <c r="C19" s="701" t="s">
        <v>1294</v>
      </c>
      <c r="G19" s="672"/>
      <c r="H19" s="672"/>
      <c r="I19" s="672"/>
      <c r="J19" s="672"/>
      <c r="K19" s="702">
        <f>W32_PG_2_of_2!E56</f>
        <v>0.58024966247434628</v>
      </c>
    </row>
    <row r="20" spans="1:11">
      <c r="A20" s="660">
        <f>1+A19</f>
        <v>9</v>
      </c>
      <c r="C20" s="674" t="s">
        <v>1295</v>
      </c>
      <c r="G20" s="672"/>
      <c r="H20" s="672"/>
      <c r="I20" s="672"/>
      <c r="J20" s="672"/>
      <c r="K20" s="703">
        <f>ROUND(I17*K19,0)</f>
        <v>22794</v>
      </c>
    </row>
    <row r="21" spans="1:11">
      <c r="A21" s="660">
        <f t="shared" ref="A21:A22" si="1">1+A20</f>
        <v>10</v>
      </c>
      <c r="C21" s="674" t="s">
        <v>1270</v>
      </c>
      <c r="G21" s="672"/>
      <c r="H21" s="672"/>
      <c r="I21" s="672"/>
      <c r="J21" s="672"/>
      <c r="K21" s="704">
        <v>0.99099999999999999</v>
      </c>
    </row>
    <row r="22" spans="1:11" ht="13.5" thickBot="1">
      <c r="A22" s="660">
        <f t="shared" si="1"/>
        <v>11</v>
      </c>
      <c r="C22" s="674" t="s">
        <v>1296</v>
      </c>
      <c r="G22" s="672"/>
      <c r="H22" s="672"/>
      <c r="I22" s="672"/>
      <c r="J22" s="672"/>
      <c r="K22" s="705">
        <f>ROUND(K20*K21,0)</f>
        <v>22589</v>
      </c>
    </row>
    <row r="23" spans="1:11" ht="13" thickTop="1">
      <c r="A23" s="660"/>
      <c r="C23" s="672"/>
      <c r="G23" s="672"/>
      <c r="H23" s="672"/>
      <c r="I23" s="672"/>
      <c r="J23" s="672"/>
      <c r="K23" s="672"/>
    </row>
    <row r="24" spans="1:11">
      <c r="A24" s="660"/>
    </row>
    <row r="25" spans="1:11">
      <c r="A25" s="660"/>
      <c r="C25" s="23" t="s">
        <v>2</v>
      </c>
      <c r="D25" s="24" t="s">
        <v>3</v>
      </c>
    </row>
    <row r="26" spans="1:11">
      <c r="A26" s="660"/>
    </row>
    <row r="27" spans="1:11">
      <c r="A27" s="660"/>
    </row>
  </sheetData>
  <mergeCells count="3">
    <mergeCell ref="C5:F5"/>
    <mergeCell ref="C6:F6"/>
    <mergeCell ref="C7:F7"/>
  </mergeCells>
  <pageMargins left="0.7" right="0.7" top="0.75" bottom="0.75" header="0.3" footer="0.3"/>
  <pageSetup scale="81"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F0FF0-BC1C-4060-B62D-E7CDA2E94521}">
  <sheetPr>
    <pageSetUpPr fitToPage="1"/>
  </sheetPr>
  <dimension ref="A1:G58"/>
  <sheetViews>
    <sheetView workbookViewId="0">
      <selection activeCell="A3" sqref="A3:C3"/>
    </sheetView>
  </sheetViews>
  <sheetFormatPr defaultColWidth="9.1796875" defaultRowHeight="12.5"/>
  <cols>
    <col min="1" max="1" width="17.7265625" style="43" customWidth="1"/>
    <col min="2" max="2" width="11.1796875" style="43" bestFit="1" customWidth="1"/>
    <col min="3" max="3" width="24.1796875" style="43" bestFit="1" customWidth="1"/>
    <col min="4" max="4" width="16" style="43" bestFit="1" customWidth="1"/>
    <col min="5" max="5" width="14.453125" style="43" bestFit="1" customWidth="1"/>
    <col min="6" max="6" width="13.81640625" style="43" bestFit="1" customWidth="1"/>
    <col min="7" max="7" width="9.1796875" style="43"/>
    <col min="8" max="8" width="13.54296875" style="43" customWidth="1"/>
    <col min="9" max="16384" width="9.1796875" style="43"/>
  </cols>
  <sheetData>
    <row r="1" spans="1:5">
      <c r="A1" s="7" t="s">
        <v>0</v>
      </c>
    </row>
    <row r="2" spans="1:5">
      <c r="A2" s="43" t="s">
        <v>1285</v>
      </c>
    </row>
    <row r="3" spans="1:5">
      <c r="A3" s="7" t="s">
        <v>119</v>
      </c>
    </row>
    <row r="4" spans="1:5">
      <c r="A4" s="43" t="s">
        <v>1294</v>
      </c>
    </row>
    <row r="6" spans="1:5" ht="14.5">
      <c r="A6" s="38" t="s">
        <v>1297</v>
      </c>
      <c r="C6" s="604"/>
      <c r="D6" s="43" t="s">
        <v>1298</v>
      </c>
    </row>
    <row r="7" spans="1:5" ht="14.5">
      <c r="A7" s="38" t="s">
        <v>1299</v>
      </c>
      <c r="B7" s="43" t="s">
        <v>164</v>
      </c>
      <c r="C7" s="604" t="s">
        <v>1300</v>
      </c>
      <c r="D7" s="706">
        <f>C11+C12+C13</f>
        <v>2659322.8719999939</v>
      </c>
    </row>
    <row r="8" spans="1:5" ht="14.5">
      <c r="A8" s="38"/>
      <c r="B8" s="43" t="s">
        <v>1183</v>
      </c>
      <c r="C8" s="604">
        <v>13664838.305000003</v>
      </c>
      <c r="D8" s="706">
        <f>$D$7*(C8/($C$55-$D$7-C$14-C$15-C$16-C$17-C$18))</f>
        <v>860570.11957894568</v>
      </c>
      <c r="E8" s="706">
        <f>SUM(C8:D8)</f>
        <v>14525408.42457895</v>
      </c>
    </row>
    <row r="9" spans="1:5" ht="14.5">
      <c r="A9" s="38"/>
      <c r="B9" s="43" t="s">
        <v>1184</v>
      </c>
      <c r="C9" s="604">
        <v>2862143.8299999973</v>
      </c>
      <c r="D9" s="706">
        <f t="shared" ref="D9:D10" si="0">$D$7*(C9/($C$55-$D$7-C$14-C$15-C$16-C$17-C$18))</f>
        <v>180249.14770736752</v>
      </c>
      <c r="E9" s="706">
        <f t="shared" ref="E9:E54" si="1">SUM(C9:D9)</f>
        <v>3042392.9777073646</v>
      </c>
    </row>
    <row r="10" spans="1:5" ht="14.5">
      <c r="A10" s="38"/>
      <c r="B10" s="43" t="s">
        <v>1185</v>
      </c>
      <c r="C10" s="604">
        <v>1145432.3099999991</v>
      </c>
      <c r="D10" s="706">
        <f t="shared" si="0"/>
        <v>72135.856860128944</v>
      </c>
      <c r="E10" s="706">
        <f t="shared" si="1"/>
        <v>1217568.1668601281</v>
      </c>
    </row>
    <row r="11" spans="1:5" ht="14.5">
      <c r="A11" s="38"/>
      <c r="B11" s="43" t="s">
        <v>1186</v>
      </c>
      <c r="C11" s="604">
        <v>1348895.0419999992</v>
      </c>
      <c r="D11" s="706">
        <v>-1348895.0419999992</v>
      </c>
      <c r="E11" s="706">
        <f t="shared" si="1"/>
        <v>0</v>
      </c>
    </row>
    <row r="12" spans="1:5" ht="14.5">
      <c r="A12" s="38"/>
      <c r="B12" s="43" t="s">
        <v>1187</v>
      </c>
      <c r="C12" s="604">
        <v>-5755.9400000000005</v>
      </c>
      <c r="D12" s="706">
        <v>5755.9400000000005</v>
      </c>
      <c r="E12" s="706">
        <f t="shared" si="1"/>
        <v>0</v>
      </c>
    </row>
    <row r="13" spans="1:5" ht="14.5">
      <c r="A13" s="38"/>
      <c r="B13" s="43" t="s">
        <v>1188</v>
      </c>
      <c r="C13" s="604">
        <v>1316183.7699999947</v>
      </c>
      <c r="D13" s="706">
        <v>-1316183.7699999947</v>
      </c>
      <c r="E13" s="706">
        <f t="shared" si="1"/>
        <v>0</v>
      </c>
    </row>
    <row r="14" spans="1:5" ht="14.5">
      <c r="A14" s="38"/>
      <c r="B14" s="43" t="s">
        <v>1189</v>
      </c>
      <c r="C14" s="604">
        <v>59188.80000000001</v>
      </c>
      <c r="D14" s="706">
        <v>0</v>
      </c>
      <c r="E14" s="706">
        <f t="shared" si="1"/>
        <v>59188.80000000001</v>
      </c>
    </row>
    <row r="15" spans="1:5" ht="14.5">
      <c r="A15" s="38"/>
      <c r="B15" s="43" t="s">
        <v>1190</v>
      </c>
      <c r="C15" s="604">
        <v>26861.539999999935</v>
      </c>
      <c r="D15" s="706">
        <v>0</v>
      </c>
      <c r="E15" s="706">
        <f t="shared" si="1"/>
        <v>26861.539999999935</v>
      </c>
    </row>
    <row r="16" spans="1:5" ht="14.5">
      <c r="A16" s="38"/>
      <c r="B16" s="43" t="s">
        <v>1191</v>
      </c>
      <c r="C16" s="604">
        <v>1072.1599999999999</v>
      </c>
      <c r="D16" s="706">
        <v>0</v>
      </c>
      <c r="E16" s="706">
        <f t="shared" si="1"/>
        <v>1072.1599999999999</v>
      </c>
    </row>
    <row r="17" spans="1:5" ht="14.5">
      <c r="A17" s="38"/>
      <c r="B17" s="43" t="s">
        <v>1192</v>
      </c>
      <c r="C17" s="604">
        <v>10100.769999999999</v>
      </c>
      <c r="D17" s="706">
        <v>0</v>
      </c>
      <c r="E17" s="706">
        <f t="shared" si="1"/>
        <v>10100.769999999999</v>
      </c>
    </row>
    <row r="18" spans="1:5" ht="14.5">
      <c r="A18" s="38"/>
      <c r="B18" s="43" t="s">
        <v>1193</v>
      </c>
      <c r="C18" s="604">
        <v>-1330.3099999999981</v>
      </c>
      <c r="D18" s="706">
        <v>0</v>
      </c>
      <c r="E18" s="706">
        <f t="shared" si="1"/>
        <v>-1330.3099999999981</v>
      </c>
    </row>
    <row r="19" spans="1:5" ht="14.5">
      <c r="A19" s="38"/>
      <c r="B19" s="43" t="s">
        <v>1108</v>
      </c>
      <c r="C19" s="604">
        <v>1738740.57</v>
      </c>
      <c r="D19" s="706">
        <f t="shared" ref="D19:D54" si="2">$D$7*(C19/($C$55-$D$7-C$14-C$15-C$16-C$17-C$18))</f>
        <v>109500.6136804532</v>
      </c>
      <c r="E19" s="706">
        <f t="shared" si="1"/>
        <v>1848241.1836804533</v>
      </c>
    </row>
    <row r="20" spans="1:5" ht="14.5">
      <c r="A20" s="38"/>
      <c r="B20" s="43" t="s">
        <v>1109</v>
      </c>
      <c r="C20" s="604">
        <v>2519401.579999994</v>
      </c>
      <c r="D20" s="706">
        <f t="shared" si="2"/>
        <v>158664.27912100925</v>
      </c>
      <c r="E20" s="706">
        <f t="shared" si="1"/>
        <v>2678065.8591210032</v>
      </c>
    </row>
    <row r="21" spans="1:5" ht="14.5">
      <c r="A21" s="38"/>
      <c r="B21" s="43" t="s">
        <v>1110</v>
      </c>
      <c r="C21" s="604">
        <v>1575951.8899999983</v>
      </c>
      <c r="D21" s="706">
        <f t="shared" si="2"/>
        <v>99248.675773332798</v>
      </c>
      <c r="E21" s="706">
        <f t="shared" si="1"/>
        <v>1675200.5657733311</v>
      </c>
    </row>
    <row r="22" spans="1:5" ht="14.5">
      <c r="A22" s="38"/>
      <c r="B22" s="43" t="s">
        <v>1111</v>
      </c>
      <c r="C22" s="604">
        <v>102017.9</v>
      </c>
      <c r="D22" s="706">
        <f t="shared" si="2"/>
        <v>6424.7782844286576</v>
      </c>
      <c r="E22" s="706">
        <f t="shared" si="1"/>
        <v>108442.67828442865</v>
      </c>
    </row>
    <row r="23" spans="1:5" ht="14.5">
      <c r="A23" s="38"/>
      <c r="B23" s="43" t="s">
        <v>1112</v>
      </c>
      <c r="C23" s="604">
        <v>1608227.7999999998</v>
      </c>
      <c r="D23" s="706">
        <f t="shared" si="2"/>
        <v>101281.3148070532</v>
      </c>
      <c r="E23" s="706">
        <f t="shared" si="1"/>
        <v>1709509.114807053</v>
      </c>
    </row>
    <row r="24" spans="1:5" ht="14.5">
      <c r="A24" s="38"/>
      <c r="B24" s="43" t="s">
        <v>1113</v>
      </c>
      <c r="C24" s="604">
        <v>1342986.8800000001</v>
      </c>
      <c r="D24" s="706">
        <f t="shared" si="2"/>
        <v>84577.245198113247</v>
      </c>
      <c r="E24" s="706">
        <f t="shared" si="1"/>
        <v>1427564.1251981133</v>
      </c>
    </row>
    <row r="25" spans="1:5" ht="14.5">
      <c r="A25" s="38"/>
      <c r="B25" s="43" t="s">
        <v>1114</v>
      </c>
      <c r="C25" s="604">
        <v>170673.73999999996</v>
      </c>
      <c r="D25" s="706">
        <f t="shared" si="2"/>
        <v>10748.515098568218</v>
      </c>
      <c r="E25" s="706">
        <f t="shared" si="1"/>
        <v>181422.25509856819</v>
      </c>
    </row>
    <row r="26" spans="1:5" ht="14.5">
      <c r="A26" s="38"/>
      <c r="B26" s="43" t="s">
        <v>1116</v>
      </c>
      <c r="C26" s="604">
        <v>1940328.972999997</v>
      </c>
      <c r="D26" s="706">
        <f t="shared" si="2"/>
        <v>122196.04060050382</v>
      </c>
      <c r="E26" s="706">
        <f t="shared" si="1"/>
        <v>2062525.0136005008</v>
      </c>
    </row>
    <row r="27" spans="1:5" ht="14.5">
      <c r="A27" s="38"/>
      <c r="B27" s="43" t="s">
        <v>1118</v>
      </c>
      <c r="C27" s="604">
        <v>857629.50999999908</v>
      </c>
      <c r="D27" s="706">
        <f t="shared" si="2"/>
        <v>54010.908398753396</v>
      </c>
      <c r="E27" s="706">
        <f t="shared" si="1"/>
        <v>911640.41839875246</v>
      </c>
    </row>
    <row r="28" spans="1:5" ht="14.5">
      <c r="A28" s="38"/>
      <c r="B28" s="43" t="s">
        <v>1120</v>
      </c>
      <c r="C28" s="604">
        <v>405402.67999999964</v>
      </c>
      <c r="D28" s="706">
        <f t="shared" si="2"/>
        <v>25531.032641459758</v>
      </c>
      <c r="E28" s="706">
        <f t="shared" si="1"/>
        <v>430933.71264145942</v>
      </c>
    </row>
    <row r="29" spans="1:5" ht="14.5">
      <c r="A29" s="38"/>
      <c r="B29" s="43" t="s">
        <v>1125</v>
      </c>
      <c r="C29" s="604">
        <v>1581.58</v>
      </c>
      <c r="D29" s="706">
        <f t="shared" si="2"/>
        <v>99.603117091085736</v>
      </c>
      <c r="E29" s="706">
        <f t="shared" si="1"/>
        <v>1681.1831170910857</v>
      </c>
    </row>
    <row r="30" spans="1:5" ht="14.5">
      <c r="A30" s="38"/>
      <c r="B30" s="43" t="s">
        <v>1127</v>
      </c>
      <c r="C30" s="604">
        <v>0</v>
      </c>
      <c r="D30" s="706">
        <f t="shared" si="2"/>
        <v>0</v>
      </c>
      <c r="E30" s="706">
        <f t="shared" si="1"/>
        <v>0</v>
      </c>
    </row>
    <row r="31" spans="1:5" ht="14.5">
      <c r="A31" s="38"/>
      <c r="B31" s="43" t="s">
        <v>1128</v>
      </c>
      <c r="C31" s="604">
        <v>526.38999999999987</v>
      </c>
      <c r="D31" s="706">
        <f t="shared" si="2"/>
        <v>33.150447530682364</v>
      </c>
      <c r="E31" s="706">
        <f t="shared" si="1"/>
        <v>559.54044753068229</v>
      </c>
    </row>
    <row r="32" spans="1:5" ht="14.5">
      <c r="A32" s="38"/>
      <c r="B32" s="43" t="s">
        <v>1129</v>
      </c>
      <c r="C32" s="604">
        <v>253782.35999999958</v>
      </c>
      <c r="D32" s="706">
        <f t="shared" si="2"/>
        <v>15982.444213212126</v>
      </c>
      <c r="E32" s="706">
        <f t="shared" si="1"/>
        <v>269764.8042132117</v>
      </c>
    </row>
    <row r="33" spans="1:5" ht="14.5">
      <c r="A33" s="38"/>
      <c r="B33" s="43" t="s">
        <v>1130</v>
      </c>
      <c r="C33" s="604">
        <v>-11250.679999999908</v>
      </c>
      <c r="D33" s="706">
        <f t="shared" si="2"/>
        <v>-708.53374308876391</v>
      </c>
      <c r="E33" s="706">
        <f t="shared" si="1"/>
        <v>-11959.213743088672</v>
      </c>
    </row>
    <row r="34" spans="1:5" ht="14.5">
      <c r="A34" s="38"/>
      <c r="B34" s="43" t="s">
        <v>1131</v>
      </c>
      <c r="C34" s="604">
        <v>1908.8600000000004</v>
      </c>
      <c r="D34" s="706">
        <f t="shared" si="2"/>
        <v>120.21422001447284</v>
      </c>
      <c r="E34" s="706">
        <f t="shared" si="1"/>
        <v>2029.0742200144732</v>
      </c>
    </row>
    <row r="35" spans="1:5" ht="14.5">
      <c r="A35" s="38"/>
      <c r="B35" s="43" t="s">
        <v>1132</v>
      </c>
      <c r="C35" s="604">
        <v>2370.0799999999995</v>
      </c>
      <c r="D35" s="706">
        <f t="shared" si="2"/>
        <v>149.26045837405661</v>
      </c>
      <c r="E35" s="706">
        <f t="shared" si="1"/>
        <v>2519.3404583740562</v>
      </c>
    </row>
    <row r="36" spans="1:5" ht="14.5">
      <c r="A36" s="38"/>
      <c r="B36" s="43" t="s">
        <v>1133</v>
      </c>
      <c r="C36" s="604">
        <v>699976.53999999957</v>
      </c>
      <c r="D36" s="706">
        <f t="shared" si="2"/>
        <v>44082.40194908448</v>
      </c>
      <c r="E36" s="706">
        <f t="shared" si="1"/>
        <v>744058.94194908405</v>
      </c>
    </row>
    <row r="37" spans="1:5" ht="14.5">
      <c r="A37" s="38"/>
      <c r="B37" s="43" t="s">
        <v>1134</v>
      </c>
      <c r="C37" s="604">
        <v>170324.0199999999</v>
      </c>
      <c r="D37" s="706">
        <f t="shared" si="2"/>
        <v>10726.49079242556</v>
      </c>
      <c r="E37" s="706">
        <f t="shared" si="1"/>
        <v>181050.51079242546</v>
      </c>
    </row>
    <row r="38" spans="1:5" ht="14.5">
      <c r="A38" s="38"/>
      <c r="B38" s="43" t="s">
        <v>1135</v>
      </c>
      <c r="C38" s="604">
        <v>2113006.7900000084</v>
      </c>
      <c r="D38" s="706">
        <f t="shared" si="2"/>
        <v>133070.76639729264</v>
      </c>
      <c r="E38" s="706">
        <f t="shared" si="1"/>
        <v>2246077.5563973011</v>
      </c>
    </row>
    <row r="39" spans="1:5" ht="14.5">
      <c r="A39" s="38"/>
      <c r="B39" s="43" t="s">
        <v>1136</v>
      </c>
      <c r="C39" s="604">
        <v>3374.619999999999</v>
      </c>
      <c r="D39" s="706">
        <f t="shared" si="2"/>
        <v>212.5233443758265</v>
      </c>
      <c r="E39" s="706">
        <f t="shared" si="1"/>
        <v>3587.1433443758256</v>
      </c>
    </row>
    <row r="40" spans="1:5" ht="14.5">
      <c r="A40" s="38"/>
      <c r="B40" s="43" t="s">
        <v>1138</v>
      </c>
      <c r="C40" s="604">
        <v>5669760.5100000082</v>
      </c>
      <c r="D40" s="706">
        <f t="shared" si="2"/>
        <v>357064.34069471341</v>
      </c>
      <c r="E40" s="706">
        <f t="shared" si="1"/>
        <v>6026824.8506947216</v>
      </c>
    </row>
    <row r="41" spans="1:5" ht="14.5">
      <c r="A41" s="38"/>
      <c r="B41" s="43" t="s">
        <v>1139</v>
      </c>
      <c r="C41" s="604">
        <v>-246.72000000000264</v>
      </c>
      <c r="D41" s="706">
        <f t="shared" si="2"/>
        <v>-15.537678175440343</v>
      </c>
      <c r="E41" s="706">
        <f t="shared" si="1"/>
        <v>-262.257678175443</v>
      </c>
    </row>
    <row r="42" spans="1:5" ht="14.5">
      <c r="A42" s="38"/>
      <c r="B42" s="43" t="s">
        <v>1140</v>
      </c>
      <c r="C42" s="604">
        <v>13036.539999999994</v>
      </c>
      <c r="D42" s="706">
        <f t="shared" si="2"/>
        <v>821.0017957249222</v>
      </c>
      <c r="E42" s="706">
        <f t="shared" si="1"/>
        <v>13857.541795724916</v>
      </c>
    </row>
    <row r="43" spans="1:5" ht="14.5">
      <c r="A43" s="38"/>
      <c r="B43" s="43" t="s">
        <v>1141</v>
      </c>
      <c r="C43" s="604">
        <v>16574.659999999996</v>
      </c>
      <c r="D43" s="706">
        <f t="shared" si="2"/>
        <v>1043.8218747865646</v>
      </c>
      <c r="E43" s="706">
        <f t="shared" si="1"/>
        <v>17618.481874786561</v>
      </c>
    </row>
    <row r="44" spans="1:5" ht="14.5">
      <c r="A44" s="38"/>
      <c r="B44" s="43" t="s">
        <v>1142</v>
      </c>
      <c r="C44" s="604">
        <v>25688.979999999992</v>
      </c>
      <c r="D44" s="706">
        <f t="shared" si="2"/>
        <v>1617.8141370594969</v>
      </c>
      <c r="E44" s="706">
        <f t="shared" si="1"/>
        <v>27306.794137059489</v>
      </c>
    </row>
    <row r="45" spans="1:5" ht="14.5">
      <c r="A45" s="38"/>
      <c r="B45" s="43" t="s">
        <v>1143</v>
      </c>
      <c r="C45" s="604">
        <v>9101.8799999999992</v>
      </c>
      <c r="D45" s="706">
        <f t="shared" si="2"/>
        <v>573.20882875922268</v>
      </c>
      <c r="E45" s="706">
        <f t="shared" si="1"/>
        <v>9675.0888287592225</v>
      </c>
    </row>
    <row r="46" spans="1:5" ht="14.5">
      <c r="A46" s="38"/>
      <c r="B46" s="43" t="s">
        <v>1145</v>
      </c>
      <c r="C46" s="604">
        <v>87587.269999999917</v>
      </c>
      <c r="D46" s="706">
        <f t="shared" si="2"/>
        <v>5515.9809238220851</v>
      </c>
      <c r="E46" s="706">
        <f t="shared" si="1"/>
        <v>93103.250923822008</v>
      </c>
    </row>
    <row r="47" spans="1:5" ht="14.5">
      <c r="A47" s="38"/>
      <c r="B47" s="43" t="s">
        <v>1146</v>
      </c>
      <c r="C47" s="604">
        <v>839223.02000000048</v>
      </c>
      <c r="D47" s="706">
        <f t="shared" si="2"/>
        <v>52851.723419994334</v>
      </c>
      <c r="E47" s="706">
        <f t="shared" si="1"/>
        <v>892074.74341999483</v>
      </c>
    </row>
    <row r="48" spans="1:5" ht="14.5">
      <c r="A48" s="38"/>
      <c r="B48" s="43" t="s">
        <v>1148</v>
      </c>
      <c r="C48" s="604">
        <v>165812.16000000006</v>
      </c>
      <c r="D48" s="706">
        <f t="shared" si="2"/>
        <v>10442.347518055269</v>
      </c>
      <c r="E48" s="706">
        <f t="shared" si="1"/>
        <v>176254.50751805532</v>
      </c>
    </row>
    <row r="49" spans="1:7" ht="14.5">
      <c r="A49" s="38"/>
      <c r="B49" s="43" t="s">
        <v>1150</v>
      </c>
      <c r="C49" s="604">
        <v>2351362.829999994</v>
      </c>
      <c r="D49" s="706">
        <f t="shared" si="2"/>
        <v>148081.70771008494</v>
      </c>
      <c r="E49" s="706">
        <f t="shared" si="1"/>
        <v>2499444.537710079</v>
      </c>
    </row>
    <row r="50" spans="1:7" ht="14.5">
      <c r="A50" s="38"/>
      <c r="B50" s="43" t="s">
        <v>1151</v>
      </c>
      <c r="C50" s="604">
        <v>-599930</v>
      </c>
      <c r="D50" s="706">
        <f t="shared" si="2"/>
        <v>-37781.773945330031</v>
      </c>
      <c r="E50" s="706">
        <f t="shared" si="1"/>
        <v>-637711.77394533006</v>
      </c>
    </row>
    <row r="51" spans="1:7" ht="14.5">
      <c r="A51" s="38"/>
      <c r="B51" s="43" t="s">
        <v>1152</v>
      </c>
      <c r="C51" s="604">
        <v>-2930.7299999999987</v>
      </c>
      <c r="D51" s="706">
        <f t="shared" si="2"/>
        <v>-184.56849691596858</v>
      </c>
      <c r="E51" s="706">
        <f t="shared" si="1"/>
        <v>-3115.298496915967</v>
      </c>
    </row>
    <row r="52" spans="1:7" ht="14.5">
      <c r="A52" s="38"/>
      <c r="B52" s="43" t="s">
        <v>1153</v>
      </c>
      <c r="C52" s="604">
        <v>57374.159999999967</v>
      </c>
      <c r="D52" s="706">
        <f t="shared" si="2"/>
        <v>3613.2507849635708</v>
      </c>
      <c r="E52" s="706">
        <f t="shared" si="1"/>
        <v>60987.41078496354</v>
      </c>
    </row>
    <row r="53" spans="1:7" ht="14.5">
      <c r="A53" s="38"/>
      <c r="B53" s="43" t="s">
        <v>1154</v>
      </c>
      <c r="C53" s="604">
        <v>11625.329999999994</v>
      </c>
      <c r="D53" s="706">
        <f t="shared" si="2"/>
        <v>732.12806510736812</v>
      </c>
      <c r="E53" s="706">
        <f t="shared" si="1"/>
        <v>12357.458065107363</v>
      </c>
    </row>
    <row r="54" spans="1:7" ht="14.5">
      <c r="A54" s="38"/>
      <c r="B54" s="43" t="s">
        <v>1155</v>
      </c>
      <c r="C54" s="604">
        <v>413493.65</v>
      </c>
      <c r="D54" s="706">
        <f t="shared" si="2"/>
        <v>26040.5774209148</v>
      </c>
      <c r="E54" s="706">
        <f t="shared" si="1"/>
        <v>439534.2274209148</v>
      </c>
      <c r="F54" s="706">
        <f>SUM(E19:E54)</f>
        <v>26100863.370853543</v>
      </c>
      <c r="G54" s="649">
        <f>F54/E55</f>
        <v>0.58024966247434628</v>
      </c>
    </row>
    <row r="55" spans="1:7" ht="14.5">
      <c r="A55" s="38" t="s">
        <v>1301</v>
      </c>
      <c r="B55" s="38"/>
      <c r="C55" s="707">
        <f>SUM(C8:C54)</f>
        <v>44982125.899999976</v>
      </c>
      <c r="D55" s="707">
        <f t="shared" ref="D55:E55" si="3">SUM(D8:D54)</f>
        <v>4.6929926611483097E-10</v>
      </c>
      <c r="E55" s="707">
        <f t="shared" si="3"/>
        <v>44982125.899999991</v>
      </c>
      <c r="F55" s="43" t="s">
        <v>762</v>
      </c>
    </row>
    <row r="56" spans="1:7" ht="14.5">
      <c r="A56" s="38"/>
      <c r="B56" s="38"/>
      <c r="E56" s="649">
        <f>SUM(E19:E54)/E55</f>
        <v>0.58024966247434628</v>
      </c>
      <c r="F56" s="43" t="s">
        <v>1302</v>
      </c>
    </row>
    <row r="58" spans="1:7">
      <c r="A58" s="23" t="s">
        <v>2</v>
      </c>
      <c r="B58" s="24" t="s">
        <v>3</v>
      </c>
    </row>
  </sheetData>
  <pageMargins left="0.7" right="0.7" top="0.75" bottom="0.75" header="0.3" footer="0.3"/>
  <pageSetup scale="71" orientation="portrait"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1A8DE-8A27-476E-8ED9-4706BCC57838}">
  <sheetPr>
    <pageSetUpPr fitToPage="1"/>
  </sheetPr>
  <dimension ref="A1:J43"/>
  <sheetViews>
    <sheetView topLeftCell="E1" workbookViewId="0">
      <selection activeCell="A41" sqref="A41:XFD41"/>
    </sheetView>
  </sheetViews>
  <sheetFormatPr defaultColWidth="9.1796875" defaultRowHeight="12.5"/>
  <cols>
    <col min="1" max="1" width="25.26953125" style="6" customWidth="1"/>
    <col min="2" max="2" width="23.54296875" style="6" bestFit="1" customWidth="1"/>
    <col min="3" max="3" width="35" style="6" bestFit="1" customWidth="1"/>
    <col min="4" max="4" width="32.453125" style="6" bestFit="1" customWidth="1"/>
    <col min="5" max="5" width="14.453125" style="6" bestFit="1" customWidth="1"/>
    <col min="6" max="6" width="9.1796875" style="6"/>
    <col min="7" max="7" width="35.7265625" style="6" bestFit="1" customWidth="1"/>
    <col min="8" max="8" width="14.54296875" style="6" customWidth="1"/>
    <col min="9" max="9" width="9" style="6" bestFit="1" customWidth="1"/>
    <col min="10" max="10" width="18.1796875" style="6" customWidth="1"/>
    <col min="11" max="16384" width="9.1796875" style="6"/>
  </cols>
  <sheetData>
    <row r="1" spans="1:10">
      <c r="A1" s="7" t="s">
        <v>0</v>
      </c>
    </row>
    <row r="2" spans="1:10">
      <c r="A2" s="8" t="s">
        <v>184</v>
      </c>
    </row>
    <row r="3" spans="1:10">
      <c r="A3" s="8" t="s">
        <v>119</v>
      </c>
    </row>
    <row r="4" spans="1:10">
      <c r="A4" s="6" t="s">
        <v>120</v>
      </c>
    </row>
    <row r="5" spans="1:10" ht="13" thickBot="1"/>
    <row r="6" spans="1:10" ht="28.5" customHeight="1" thickBot="1">
      <c r="A6" s="793" t="s">
        <v>121</v>
      </c>
      <c r="B6" s="794"/>
      <c r="C6" s="794"/>
      <c r="D6" s="794"/>
      <c r="E6" s="795"/>
      <c r="G6" s="796" t="s">
        <v>122</v>
      </c>
      <c r="H6" s="794"/>
      <c r="I6" s="794"/>
      <c r="J6" s="795"/>
    </row>
    <row r="7" spans="1:10" s="11" customFormat="1" ht="26.5">
      <c r="A7" s="9" t="s">
        <v>123</v>
      </c>
      <c r="B7" s="9" t="s">
        <v>124</v>
      </c>
      <c r="C7" s="9" t="s">
        <v>125</v>
      </c>
      <c r="D7" s="9" t="s">
        <v>126</v>
      </c>
      <c r="E7" s="10" t="s">
        <v>127</v>
      </c>
      <c r="G7" s="12" t="s">
        <v>128</v>
      </c>
      <c r="H7" s="12" t="s">
        <v>129</v>
      </c>
      <c r="I7" s="12" t="s">
        <v>130</v>
      </c>
      <c r="J7" s="12" t="s">
        <v>131</v>
      </c>
    </row>
    <row r="8" spans="1:10" s="11" customFormat="1">
      <c r="A8" s="6" t="s">
        <v>132</v>
      </c>
      <c r="B8" s="13" t="s">
        <v>133</v>
      </c>
      <c r="C8" s="14" t="s">
        <v>134</v>
      </c>
      <c r="D8" s="6" t="s">
        <v>135</v>
      </c>
      <c r="E8" s="15">
        <v>1680011.1400000001</v>
      </c>
      <c r="G8" s="6" t="s">
        <v>134</v>
      </c>
      <c r="H8" s="6">
        <v>142247284</v>
      </c>
      <c r="I8" s="16">
        <v>6.6699999999999995E-2</v>
      </c>
      <c r="J8" s="17">
        <v>112056.71999999999</v>
      </c>
    </row>
    <row r="9" spans="1:10" s="11" customFormat="1">
      <c r="A9" s="6" t="s">
        <v>132</v>
      </c>
      <c r="B9" s="13" t="s">
        <v>133</v>
      </c>
      <c r="C9" s="14" t="s">
        <v>136</v>
      </c>
      <c r="D9" s="6" t="s">
        <v>137</v>
      </c>
      <c r="E9" s="15">
        <v>738777.55999999982</v>
      </c>
      <c r="G9" s="6" t="s">
        <v>138</v>
      </c>
      <c r="H9" s="6">
        <v>142247544</v>
      </c>
      <c r="I9" s="16">
        <v>6.6699999999999995E-2</v>
      </c>
      <c r="J9" s="17">
        <v>280584.36</v>
      </c>
    </row>
    <row r="10" spans="1:10" s="11" customFormat="1">
      <c r="A10" s="6" t="s">
        <v>139</v>
      </c>
      <c r="B10" s="13" t="s">
        <v>133</v>
      </c>
      <c r="C10" s="14" t="s">
        <v>136</v>
      </c>
      <c r="D10" s="6" t="s">
        <v>137</v>
      </c>
      <c r="E10" s="15">
        <v>217009.33999999997</v>
      </c>
      <c r="G10" s="6" t="s">
        <v>140</v>
      </c>
      <c r="H10" s="6">
        <v>142293157</v>
      </c>
      <c r="I10" s="16">
        <v>6.6699999999999995E-2</v>
      </c>
      <c r="J10" s="17">
        <v>76826.039999999994</v>
      </c>
    </row>
    <row r="11" spans="1:10" s="11" customFormat="1">
      <c r="A11" s="6" t="s">
        <v>139</v>
      </c>
      <c r="B11" s="13" t="s">
        <v>133</v>
      </c>
      <c r="C11" s="14" t="s">
        <v>141</v>
      </c>
      <c r="D11" s="6" t="s">
        <v>142</v>
      </c>
      <c r="E11" s="15">
        <v>7805.75</v>
      </c>
      <c r="G11" s="6" t="s">
        <v>143</v>
      </c>
      <c r="H11" s="6">
        <v>170676458</v>
      </c>
      <c r="I11" s="16">
        <v>0.1</v>
      </c>
      <c r="J11" s="17">
        <v>201777.36</v>
      </c>
    </row>
    <row r="12" spans="1:10" s="11" customFormat="1">
      <c r="A12" s="6" t="s">
        <v>139</v>
      </c>
      <c r="B12" s="13" t="s">
        <v>133</v>
      </c>
      <c r="C12" s="14" t="s">
        <v>138</v>
      </c>
      <c r="D12" s="6" t="s">
        <v>135</v>
      </c>
      <c r="E12" s="15">
        <v>4206662.78</v>
      </c>
      <c r="G12" s="6" t="s">
        <v>144</v>
      </c>
      <c r="H12" s="6">
        <v>170676745</v>
      </c>
      <c r="I12" s="16">
        <v>0.1</v>
      </c>
      <c r="J12" s="17">
        <v>214182.59999999995</v>
      </c>
    </row>
    <row r="13" spans="1:10" s="11" customFormat="1">
      <c r="A13" s="6" t="s">
        <v>145</v>
      </c>
      <c r="B13" s="13" t="s">
        <v>133</v>
      </c>
      <c r="C13" s="14" t="s">
        <v>146</v>
      </c>
      <c r="D13" s="6" t="s">
        <v>137</v>
      </c>
      <c r="E13" s="15">
        <v>82565.050000000017</v>
      </c>
      <c r="G13" s="6" t="s">
        <v>147</v>
      </c>
      <c r="H13" s="6">
        <v>171086054</v>
      </c>
      <c r="I13" s="16">
        <v>0.1</v>
      </c>
      <c r="J13" s="17">
        <v>39345.359999999993</v>
      </c>
    </row>
    <row r="14" spans="1:10" s="11" customFormat="1">
      <c r="A14" s="6" t="s">
        <v>145</v>
      </c>
      <c r="B14" s="13" t="s">
        <v>133</v>
      </c>
      <c r="C14" s="14" t="s">
        <v>146</v>
      </c>
      <c r="D14" s="6" t="s">
        <v>142</v>
      </c>
      <c r="E14" s="15">
        <v>4826.7700000000013</v>
      </c>
      <c r="G14" s="6" t="s">
        <v>136</v>
      </c>
      <c r="H14" s="6">
        <v>230922399</v>
      </c>
      <c r="I14" s="16">
        <v>0.2</v>
      </c>
      <c r="J14" s="17">
        <v>119641.71999999997</v>
      </c>
    </row>
    <row r="15" spans="1:10" s="11" customFormat="1">
      <c r="A15" s="6" t="s">
        <v>145</v>
      </c>
      <c r="B15" s="13" t="s">
        <v>133</v>
      </c>
      <c r="C15" s="14" t="s">
        <v>140</v>
      </c>
      <c r="D15" s="6" t="s">
        <v>135</v>
      </c>
      <c r="E15" s="15">
        <v>1151814.3299999998</v>
      </c>
      <c r="G15" s="6" t="s">
        <v>141</v>
      </c>
      <c r="H15" s="6">
        <v>230922434</v>
      </c>
      <c r="I15" s="16">
        <v>0.2</v>
      </c>
      <c r="J15" s="17">
        <v>31668.53</v>
      </c>
    </row>
    <row r="16" spans="1:10" s="11" customFormat="1">
      <c r="A16" s="6" t="s">
        <v>132</v>
      </c>
      <c r="B16" s="13" t="s">
        <v>133</v>
      </c>
      <c r="C16" s="14" t="s">
        <v>148</v>
      </c>
      <c r="D16" s="11" t="s">
        <v>135</v>
      </c>
      <c r="E16" s="15">
        <v>21971290.77999999</v>
      </c>
      <c r="G16" s="6" t="s">
        <v>146</v>
      </c>
      <c r="H16" s="6">
        <v>230922468</v>
      </c>
      <c r="I16" s="16">
        <v>0.2</v>
      </c>
      <c r="J16" s="17">
        <v>9702.39</v>
      </c>
    </row>
    <row r="17" spans="1:10" s="11" customFormat="1">
      <c r="A17" s="6" t="s">
        <v>139</v>
      </c>
      <c r="B17" s="13" t="s">
        <v>133</v>
      </c>
      <c r="C17" s="14" t="s">
        <v>149</v>
      </c>
      <c r="D17" s="11" t="s">
        <v>135</v>
      </c>
      <c r="E17" s="15">
        <v>16759606.860000005</v>
      </c>
      <c r="G17" s="6" t="s">
        <v>148</v>
      </c>
      <c r="H17" s="6">
        <v>658459</v>
      </c>
      <c r="I17" s="16">
        <v>0.2</v>
      </c>
      <c r="J17" s="17">
        <v>3948091.8</v>
      </c>
    </row>
    <row r="18" spans="1:10" s="11" customFormat="1">
      <c r="A18" s="6" t="s">
        <v>139</v>
      </c>
      <c r="B18" s="13" t="s">
        <v>133</v>
      </c>
      <c r="C18" s="14" t="s">
        <v>149</v>
      </c>
      <c r="D18" s="11" t="s">
        <v>150</v>
      </c>
      <c r="E18" s="15">
        <v>58423.490000001519</v>
      </c>
      <c r="G18" s="6" t="s">
        <v>149</v>
      </c>
      <c r="H18" s="6">
        <v>11462487</v>
      </c>
      <c r="I18" s="16">
        <v>0.2</v>
      </c>
      <c r="J18" s="17">
        <v>3425357.63</v>
      </c>
    </row>
    <row r="19" spans="1:10" s="11" customFormat="1">
      <c r="A19" s="6" t="s">
        <v>145</v>
      </c>
      <c r="B19" s="13" t="s">
        <v>133</v>
      </c>
      <c r="C19" s="14" t="s">
        <v>151</v>
      </c>
      <c r="D19" s="11" t="s">
        <v>135</v>
      </c>
      <c r="E19" s="15">
        <v>6641684.5800000019</v>
      </c>
      <c r="G19" s="6" t="s">
        <v>151</v>
      </c>
      <c r="H19" s="6">
        <v>11462485</v>
      </c>
      <c r="I19" s="16">
        <v>0.2</v>
      </c>
      <c r="J19" s="17">
        <v>1236958.0999999999</v>
      </c>
    </row>
    <row r="20" spans="1:10" s="11" customFormat="1">
      <c r="A20" s="6" t="s">
        <v>145</v>
      </c>
      <c r="B20" s="13" t="s">
        <v>133</v>
      </c>
      <c r="C20" s="14" t="s">
        <v>151</v>
      </c>
      <c r="D20" s="11" t="s">
        <v>150</v>
      </c>
      <c r="E20" s="15">
        <v>190244.70000000042</v>
      </c>
      <c r="G20" s="6" t="s">
        <v>152</v>
      </c>
      <c r="H20" s="6">
        <v>185805663</v>
      </c>
      <c r="I20" s="16">
        <v>0.2</v>
      </c>
      <c r="J20" s="17">
        <v>64798.399999999994</v>
      </c>
    </row>
    <row r="21" spans="1:10" s="11" customFormat="1">
      <c r="A21" s="6" t="s">
        <v>132</v>
      </c>
      <c r="B21" s="13" t="s">
        <v>133</v>
      </c>
      <c r="C21" s="14" t="s">
        <v>153</v>
      </c>
      <c r="D21" s="11" t="s">
        <v>135</v>
      </c>
      <c r="E21" s="15">
        <v>1317618.1599999999</v>
      </c>
      <c r="G21" s="6" t="s">
        <v>154</v>
      </c>
      <c r="H21" s="6">
        <v>185818817</v>
      </c>
      <c r="I21" s="16">
        <v>0.2</v>
      </c>
      <c r="J21" s="17">
        <v>68681.8</v>
      </c>
    </row>
    <row r="22" spans="1:10" s="11" customFormat="1">
      <c r="A22" s="6" t="s">
        <v>139</v>
      </c>
      <c r="B22" s="13" t="s">
        <v>133</v>
      </c>
      <c r="C22" s="14" t="s">
        <v>155</v>
      </c>
      <c r="D22" s="11" t="s">
        <v>135</v>
      </c>
      <c r="E22" s="15">
        <v>1279486.6200000003</v>
      </c>
      <c r="G22" s="6" t="s">
        <v>156</v>
      </c>
      <c r="H22" s="6">
        <v>185819707</v>
      </c>
      <c r="I22" s="16">
        <v>0.2</v>
      </c>
      <c r="J22" s="17">
        <v>13086.219999999998</v>
      </c>
    </row>
    <row r="23" spans="1:10" s="11" customFormat="1">
      <c r="A23" s="6" t="s">
        <v>145</v>
      </c>
      <c r="B23" s="13" t="s">
        <v>133</v>
      </c>
      <c r="C23" s="14" t="s">
        <v>157</v>
      </c>
      <c r="D23" s="11" t="s">
        <v>135</v>
      </c>
      <c r="E23" s="15">
        <v>312181.98</v>
      </c>
      <c r="G23" s="6" t="s">
        <v>153</v>
      </c>
      <c r="H23" s="6">
        <v>210476121</v>
      </c>
      <c r="I23" s="16">
        <v>0.2</v>
      </c>
      <c r="J23" s="17">
        <v>263523.59999999992</v>
      </c>
    </row>
    <row r="24" spans="1:10" s="11" customFormat="1">
      <c r="A24" s="6" t="s">
        <v>132</v>
      </c>
      <c r="B24" s="13" t="s">
        <v>133</v>
      </c>
      <c r="C24" s="14" t="s">
        <v>143</v>
      </c>
      <c r="D24" s="11" t="s">
        <v>135</v>
      </c>
      <c r="E24" s="15">
        <v>2017773.31</v>
      </c>
      <c r="G24" s="6" t="s">
        <v>155</v>
      </c>
      <c r="H24" s="6">
        <v>210476931</v>
      </c>
      <c r="I24" s="16">
        <v>0.2</v>
      </c>
      <c r="J24" s="17">
        <v>255897.36</v>
      </c>
    </row>
    <row r="25" spans="1:10" s="11" customFormat="1">
      <c r="A25" s="6" t="s">
        <v>139</v>
      </c>
      <c r="B25" s="13" t="s">
        <v>133</v>
      </c>
      <c r="C25" s="14" t="s">
        <v>144</v>
      </c>
      <c r="D25" s="11" t="s">
        <v>135</v>
      </c>
      <c r="E25" s="15">
        <v>2141826.38</v>
      </c>
      <c r="G25" s="6" t="s">
        <v>157</v>
      </c>
      <c r="H25" s="6">
        <v>210478733</v>
      </c>
      <c r="I25" s="16">
        <v>0.2</v>
      </c>
      <c r="J25" s="17">
        <v>62436.359999999993</v>
      </c>
    </row>
    <row r="26" spans="1:10" s="11" customFormat="1" ht="13">
      <c r="A26" s="6" t="s">
        <v>145</v>
      </c>
      <c r="B26" s="13" t="s">
        <v>133</v>
      </c>
      <c r="C26" s="14" t="s">
        <v>147</v>
      </c>
      <c r="D26" s="11" t="s">
        <v>135</v>
      </c>
      <c r="E26" s="15">
        <v>393453.01</v>
      </c>
      <c r="G26" s="18" t="s">
        <v>158</v>
      </c>
      <c r="H26" s="6"/>
      <c r="I26" s="6"/>
      <c r="J26" s="19">
        <f>SUM(J8:J25)</f>
        <v>10424616.35</v>
      </c>
    </row>
    <row r="27" spans="1:10" ht="13">
      <c r="A27" s="20" t="s">
        <v>158</v>
      </c>
      <c r="B27" s="20"/>
      <c r="C27" s="20"/>
      <c r="D27" s="20"/>
      <c r="E27" s="21">
        <f>SUM(E8:E26)</f>
        <v>61173062.589999989</v>
      </c>
    </row>
    <row r="28" spans="1:10" ht="13">
      <c r="A28" s="13"/>
      <c r="B28" s="13"/>
      <c r="C28" s="13"/>
      <c r="D28" s="13"/>
      <c r="I28" s="18" t="s">
        <v>159</v>
      </c>
      <c r="J28" s="22">
        <f>J8+J9+J10</f>
        <v>469467.11999999994</v>
      </c>
    </row>
    <row r="29" spans="1:10" ht="13">
      <c r="D29" s="18" t="s">
        <v>159</v>
      </c>
      <c r="E29" s="22">
        <f>E8+E12+E15</f>
        <v>7038488.25</v>
      </c>
      <c r="I29" s="18" t="s">
        <v>160</v>
      </c>
      <c r="J29" s="22">
        <f>J11+J12+J13</f>
        <v>455305.31999999995</v>
      </c>
    </row>
    <row r="30" spans="1:10" ht="13">
      <c r="D30" s="18" t="s">
        <v>160</v>
      </c>
      <c r="E30" s="22">
        <f>E24+E25+E26</f>
        <v>4553052.7</v>
      </c>
      <c r="I30" s="18" t="s">
        <v>161</v>
      </c>
      <c r="J30" s="22">
        <f>SUM(J14:J25)</f>
        <v>9499843.9100000001</v>
      </c>
    </row>
    <row r="31" spans="1:10" ht="13">
      <c r="D31" s="18" t="s">
        <v>161</v>
      </c>
      <c r="E31" s="22">
        <f>E23+E21+E22+E20+E19+E18+E17+E16+E14+E13+E11+E10+E9</f>
        <v>49581521.640000008</v>
      </c>
    </row>
    <row r="43" spans="1:2">
      <c r="A43" s="23" t="s">
        <v>2</v>
      </c>
      <c r="B43" s="24" t="s">
        <v>3</v>
      </c>
    </row>
  </sheetData>
  <mergeCells count="2">
    <mergeCell ref="A6:E6"/>
    <mergeCell ref="G6:J6"/>
  </mergeCells>
  <pageMargins left="0.7" right="0.7" top="0.75" bottom="0.75" header="0.3" footer="0.3"/>
  <pageSetup scale="56" orientation="landscape"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15782-FDB5-404C-82D1-CF4678EA9FF0}">
  <sheetPr>
    <pageSetUpPr fitToPage="1"/>
  </sheetPr>
  <dimension ref="A1:I27"/>
  <sheetViews>
    <sheetView workbookViewId="0">
      <selection activeCell="C30" sqref="C30"/>
    </sheetView>
  </sheetViews>
  <sheetFormatPr defaultColWidth="9.1796875" defaultRowHeight="12.5"/>
  <cols>
    <col min="1" max="1" width="29.453125" style="6" bestFit="1" customWidth="1"/>
    <col min="2" max="2" width="19.1796875" style="6" bestFit="1" customWidth="1"/>
    <col min="3" max="3" width="6.81640625" style="6" bestFit="1" customWidth="1"/>
    <col min="4" max="4" width="9.1796875" style="6"/>
    <col min="5" max="5" width="29.453125" style="6" bestFit="1" customWidth="1"/>
    <col min="6" max="6" width="11.54296875" style="6" bestFit="1" customWidth="1"/>
    <col min="7" max="16384" width="9.1796875" style="6"/>
  </cols>
  <sheetData>
    <row r="1" spans="1:9">
      <c r="A1" s="7" t="s">
        <v>0</v>
      </c>
    </row>
    <row r="2" spans="1:9">
      <c r="A2" s="8" t="s">
        <v>184</v>
      </c>
    </row>
    <row r="3" spans="1:9">
      <c r="A3" s="7" t="s">
        <v>119</v>
      </c>
    </row>
    <row r="4" spans="1:9">
      <c r="A4" s="8" t="s">
        <v>162</v>
      </c>
    </row>
    <row r="7" spans="1:9" ht="14">
      <c r="A7" s="25" t="s">
        <v>121</v>
      </c>
      <c r="B7" s="25" t="s">
        <v>163</v>
      </c>
      <c r="C7" s="26"/>
      <c r="D7" s="26"/>
      <c r="E7" s="26"/>
      <c r="F7" s="26"/>
      <c r="G7" s="26"/>
      <c r="H7" s="26"/>
      <c r="I7" s="26"/>
    </row>
    <row r="8" spans="1:9" ht="14">
      <c r="A8" s="26" t="s">
        <v>164</v>
      </c>
      <c r="B8" s="26" t="s">
        <v>165</v>
      </c>
      <c r="C8" s="25"/>
      <c r="D8" s="26"/>
      <c r="E8" s="26"/>
      <c r="F8" s="26"/>
      <c r="G8" s="26"/>
      <c r="H8" s="26"/>
      <c r="I8" s="26"/>
    </row>
    <row r="9" spans="1:9" ht="14">
      <c r="A9" s="27" t="s">
        <v>166</v>
      </c>
      <c r="B9" s="28">
        <v>13114827.610000001</v>
      </c>
      <c r="C9" s="26"/>
      <c r="D9" s="26"/>
      <c r="E9" s="26"/>
      <c r="F9" s="26"/>
      <c r="G9" s="26"/>
      <c r="H9" s="26"/>
      <c r="I9" s="26"/>
    </row>
    <row r="10" spans="1:9" ht="14">
      <c r="A10" s="27" t="s">
        <v>167</v>
      </c>
      <c r="B10" s="28">
        <v>313000508.77000028</v>
      </c>
      <c r="C10" s="26"/>
      <c r="D10" s="26"/>
      <c r="E10" s="26"/>
      <c r="F10" s="26"/>
      <c r="G10" s="26"/>
      <c r="H10" s="26"/>
      <c r="I10" s="26"/>
    </row>
    <row r="11" spans="1:9" ht="14">
      <c r="A11" s="27" t="s">
        <v>168</v>
      </c>
      <c r="B11" s="28">
        <v>315773.21500000003</v>
      </c>
      <c r="C11" s="26"/>
      <c r="D11" s="26"/>
      <c r="E11" s="26"/>
      <c r="F11" s="26"/>
      <c r="G11" s="26"/>
      <c r="H11" s="26"/>
      <c r="I11" s="26"/>
    </row>
    <row r="12" spans="1:9" ht="14">
      <c r="A12" s="27" t="s">
        <v>169</v>
      </c>
      <c r="B12" s="28">
        <v>1480412.8800000004</v>
      </c>
      <c r="C12" s="26"/>
      <c r="D12" s="26"/>
      <c r="E12" s="26"/>
      <c r="F12" s="26"/>
      <c r="G12" s="26"/>
      <c r="H12" s="26"/>
      <c r="I12" s="26"/>
    </row>
    <row r="13" spans="1:9" ht="14">
      <c r="A13" s="27" t="s">
        <v>170</v>
      </c>
      <c r="B13" s="28">
        <v>1793971.86</v>
      </c>
      <c r="C13" s="26"/>
      <c r="D13" s="26"/>
      <c r="E13" s="26"/>
      <c r="F13" s="26"/>
      <c r="G13" s="26"/>
      <c r="H13" s="26"/>
      <c r="I13" s="26"/>
    </row>
    <row r="14" spans="1:9" ht="14">
      <c r="A14" s="29" t="s">
        <v>171</v>
      </c>
      <c r="B14" s="30">
        <v>26031.98</v>
      </c>
      <c r="C14" s="26"/>
      <c r="D14" s="26"/>
      <c r="E14" s="26"/>
      <c r="F14" s="26"/>
      <c r="G14" s="26"/>
      <c r="H14" s="26"/>
      <c r="I14" s="26"/>
    </row>
    <row r="15" spans="1:9" ht="14">
      <c r="A15" s="27" t="s">
        <v>172</v>
      </c>
      <c r="B15" s="28">
        <f>SUM(B9:B14)</f>
        <v>329731526.3150003</v>
      </c>
      <c r="C15" s="26"/>
      <c r="D15" s="26"/>
      <c r="E15" s="26"/>
      <c r="F15" s="26"/>
      <c r="G15" s="26"/>
      <c r="H15" s="26"/>
      <c r="I15" s="26"/>
    </row>
    <row r="16" spans="1:9" ht="14">
      <c r="A16" s="26"/>
      <c r="B16" s="28"/>
      <c r="C16" s="26"/>
      <c r="D16" s="26"/>
      <c r="E16" s="26"/>
      <c r="F16" s="26"/>
      <c r="G16" s="26"/>
      <c r="H16" s="26"/>
      <c r="I16" s="26"/>
    </row>
    <row r="17" spans="1:9" ht="14">
      <c r="A17" s="25" t="s">
        <v>173</v>
      </c>
      <c r="B17" s="28"/>
      <c r="C17" s="26"/>
      <c r="D17" s="26"/>
      <c r="E17" s="25" t="s">
        <v>174</v>
      </c>
      <c r="F17" s="26"/>
      <c r="G17" s="26"/>
      <c r="H17" s="26"/>
      <c r="I17" s="26"/>
    </row>
    <row r="18" spans="1:9" ht="14">
      <c r="A18" s="27" t="s">
        <v>166</v>
      </c>
      <c r="B18" s="31">
        <f>B9*-1</f>
        <v>-13114827.610000001</v>
      </c>
      <c r="C18" s="32">
        <v>3.9774260461437033E-2</v>
      </c>
      <c r="D18" s="26"/>
      <c r="E18" s="27" t="s">
        <v>166</v>
      </c>
      <c r="F18" s="28">
        <f>C18*$F$24</f>
        <v>388179.66634647042</v>
      </c>
      <c r="G18" s="26"/>
      <c r="H18" s="26"/>
      <c r="I18" s="26"/>
    </row>
    <row r="19" spans="1:9" ht="14">
      <c r="A19" s="27" t="s">
        <v>167</v>
      </c>
      <c r="B19" s="31">
        <f t="shared" ref="B19:B23" si="0">B10*-1</f>
        <v>-313000508.77000028</v>
      </c>
      <c r="C19" s="32">
        <v>0.94925866588499497</v>
      </c>
      <c r="D19" s="26"/>
      <c r="E19" s="27" t="s">
        <v>167</v>
      </c>
      <c r="F19" s="28">
        <f t="shared" ref="F19:F23" si="1">C19*$F$24</f>
        <v>9264356.0917240456</v>
      </c>
      <c r="G19" s="26"/>
      <c r="H19" s="26"/>
      <c r="I19" s="26"/>
    </row>
    <row r="20" spans="1:9" ht="14">
      <c r="A20" s="27" t="s">
        <v>168</v>
      </c>
      <c r="B20" s="31">
        <f t="shared" si="0"/>
        <v>-315773.21500000003</v>
      </c>
      <c r="C20" s="32">
        <v>9.5766764715829575E-4</v>
      </c>
      <c r="D20" s="26"/>
      <c r="E20" s="27" t="s">
        <v>168</v>
      </c>
      <c r="F20" s="28">
        <f t="shared" si="1"/>
        <v>9346.4241303780473</v>
      </c>
      <c r="G20" s="26"/>
      <c r="H20" s="26"/>
      <c r="I20" s="26"/>
    </row>
    <row r="21" spans="1:9" ht="14">
      <c r="A21" s="27" t="s">
        <v>169</v>
      </c>
      <c r="B21" s="31">
        <f t="shared" si="0"/>
        <v>-1480412.8800000004</v>
      </c>
      <c r="C21" s="32">
        <v>4.4897523040782188E-3</v>
      </c>
      <c r="D21" s="26"/>
      <c r="E21" s="27" t="s">
        <v>169</v>
      </c>
      <c r="F21" s="28">
        <f t="shared" si="1"/>
        <v>43818.050446598092</v>
      </c>
      <c r="G21" s="26"/>
      <c r="H21" s="26"/>
      <c r="I21" s="26"/>
    </row>
    <row r="22" spans="1:9" ht="14">
      <c r="A22" s="27" t="s">
        <v>170</v>
      </c>
      <c r="B22" s="31">
        <f t="shared" si="0"/>
        <v>-1793971.86</v>
      </c>
      <c r="C22" s="32">
        <v>5.4407046849568657E-3</v>
      </c>
      <c r="D22" s="26"/>
      <c r="E22" s="27" t="s">
        <v>170</v>
      </c>
      <c r="F22" s="28">
        <f t="shared" si="1"/>
        <v>53098.936467816595</v>
      </c>
      <c r="G22" s="26"/>
      <c r="H22" s="26"/>
      <c r="I22" s="26"/>
    </row>
    <row r="23" spans="1:9" ht="14">
      <c r="A23" s="29" t="s">
        <v>171</v>
      </c>
      <c r="B23" s="33">
        <f t="shared" si="0"/>
        <v>-26031.98</v>
      </c>
      <c r="C23" s="32">
        <v>7.8949017374611115E-5</v>
      </c>
      <c r="D23" s="26"/>
      <c r="E23" s="29" t="s">
        <v>171</v>
      </c>
      <c r="F23" s="30">
        <f t="shared" si="1"/>
        <v>770.50843604172928</v>
      </c>
      <c r="G23" s="26"/>
      <c r="H23" s="26"/>
      <c r="I23" s="26"/>
    </row>
    <row r="24" spans="1:9" ht="14">
      <c r="A24" s="34" t="s">
        <v>172</v>
      </c>
      <c r="B24" s="35">
        <f>SUM(B18:B23)</f>
        <v>-329731526.3150003</v>
      </c>
      <c r="C24" s="36">
        <v>1</v>
      </c>
      <c r="D24" s="26"/>
      <c r="E24" s="34" t="s">
        <v>172</v>
      </c>
      <c r="F24" s="37">
        <v>9759569.6775513496</v>
      </c>
      <c r="G24" s="26"/>
      <c r="H24" s="26"/>
      <c r="I24" s="26"/>
    </row>
    <row r="27" spans="1:9">
      <c r="A27" s="23" t="s">
        <v>2</v>
      </c>
      <c r="B27" s="24" t="s">
        <v>3</v>
      </c>
    </row>
  </sheetData>
  <pageMargins left="0.7" right="0.7" top="0.75" bottom="0.75" header="0.3" footer="0.3"/>
  <pageSetup scale="86" orientation="portrait" horizontalDpi="1200" verticalDpi="1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E1631-1C3D-4456-B381-61DFD1DCF15C}">
  <sheetPr>
    <pageSetUpPr fitToPage="1"/>
  </sheetPr>
  <dimension ref="A1:C15"/>
  <sheetViews>
    <sheetView workbookViewId="0">
      <selection activeCell="C30" sqref="C30"/>
    </sheetView>
  </sheetViews>
  <sheetFormatPr defaultColWidth="9.1796875" defaultRowHeight="12.5"/>
  <cols>
    <col min="1" max="1" width="12.81640625" style="6" bestFit="1" customWidth="1"/>
    <col min="2" max="2" width="15.54296875" style="6" bestFit="1" customWidth="1"/>
    <col min="3" max="3" width="27.26953125" style="6" bestFit="1" customWidth="1"/>
    <col min="4" max="16384" width="9.1796875" style="6"/>
  </cols>
  <sheetData>
    <row r="1" spans="1:3">
      <c r="A1" s="7" t="s">
        <v>0</v>
      </c>
    </row>
    <row r="2" spans="1:3">
      <c r="A2" s="8" t="s">
        <v>184</v>
      </c>
    </row>
    <row r="3" spans="1:3">
      <c r="A3" s="7" t="s">
        <v>119</v>
      </c>
    </row>
    <row r="4" spans="1:3">
      <c r="A4" s="6" t="s">
        <v>175</v>
      </c>
    </row>
    <row r="7" spans="1:3" ht="14.5">
      <c r="A7" s="38" t="s">
        <v>176</v>
      </c>
      <c r="B7" s="38"/>
    </row>
    <row r="8" spans="1:3" ht="14.5">
      <c r="A8" s="38"/>
      <c r="B8" s="38"/>
      <c r="C8" s="38"/>
    </row>
    <row r="9" spans="1:3" ht="14.5">
      <c r="A9" s="38" t="s">
        <v>177</v>
      </c>
      <c r="B9" s="38" t="s">
        <v>178</v>
      </c>
      <c r="C9" s="38" t="s">
        <v>179</v>
      </c>
    </row>
    <row r="10" spans="1:3" ht="14.5">
      <c r="A10" s="38" t="s">
        <v>180</v>
      </c>
      <c r="B10" s="38" t="s">
        <v>181</v>
      </c>
      <c r="C10" s="39">
        <v>0</v>
      </c>
    </row>
    <row r="11" spans="1:3" ht="14.5">
      <c r="A11" s="38"/>
      <c r="B11" s="38" t="s">
        <v>182</v>
      </c>
      <c r="C11" s="39">
        <v>722995</v>
      </c>
    </row>
    <row r="12" spans="1:3" ht="14.5">
      <c r="A12" s="38" t="s">
        <v>183</v>
      </c>
      <c r="B12" s="38"/>
      <c r="C12" s="39">
        <f>SUM(C10:C11)</f>
        <v>722995</v>
      </c>
    </row>
    <row r="15" spans="1:3">
      <c r="A15" s="23" t="s">
        <v>2</v>
      </c>
      <c r="B15" s="24" t="s">
        <v>3</v>
      </c>
    </row>
  </sheetData>
  <pageMargins left="0.7" right="0.7" top="0.75" bottom="0.75" header="0.3" footer="0.3"/>
  <pageSetup orientation="portrait" horizontalDpi="1200"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F007B-F913-4E81-B413-2269A6524162}">
  <dimension ref="A1:P22"/>
  <sheetViews>
    <sheetView showRuler="0" topLeftCell="A7" workbookViewId="0">
      <selection sqref="A1:D1"/>
    </sheetView>
  </sheetViews>
  <sheetFormatPr defaultColWidth="13.7265625" defaultRowHeight="12.5"/>
  <cols>
    <col min="1" max="1" width="21.7265625" style="41" customWidth="1"/>
    <col min="2" max="2" width="14.1796875" style="41" customWidth="1"/>
    <col min="3" max="3" width="17.453125" style="41" customWidth="1"/>
    <col min="4" max="4" width="16" style="41" customWidth="1"/>
    <col min="5" max="16384" width="13.7265625" style="41"/>
  </cols>
  <sheetData>
    <row r="1" spans="1:15" ht="15" customHeight="1">
      <c r="A1" s="711" t="s">
        <v>0</v>
      </c>
      <c r="B1" s="709"/>
      <c r="C1" s="709"/>
    </row>
    <row r="2" spans="1:15" ht="15" customHeight="1">
      <c r="A2" s="712" t="s">
        <v>496</v>
      </c>
      <c r="B2" s="709"/>
      <c r="C2" s="709"/>
      <c r="D2" s="709"/>
    </row>
    <row r="3" spans="1:15" ht="15" customHeight="1">
      <c r="A3" s="712" t="s">
        <v>495</v>
      </c>
      <c r="B3" s="709"/>
      <c r="C3" s="709"/>
    </row>
    <row r="4" spans="1:15" ht="15" customHeight="1">
      <c r="A4" s="711" t="s">
        <v>119</v>
      </c>
      <c r="B4" s="709"/>
      <c r="C4" s="709"/>
      <c r="D4" s="709"/>
      <c r="E4" s="709"/>
    </row>
    <row r="5" spans="1:15" ht="15" customHeight="1"/>
    <row r="6" spans="1:15" ht="15" customHeight="1"/>
    <row r="7" spans="1:15" ht="15" customHeight="1">
      <c r="A7" s="71" t="s">
        <v>494</v>
      </c>
      <c r="B7" s="71" t="s">
        <v>124</v>
      </c>
      <c r="C7" s="71" t="s">
        <v>201</v>
      </c>
      <c r="D7" s="71" t="s">
        <v>200</v>
      </c>
      <c r="E7" s="71" t="s">
        <v>199</v>
      </c>
      <c r="F7" s="71" t="s">
        <v>198</v>
      </c>
      <c r="G7" s="71" t="s">
        <v>197</v>
      </c>
      <c r="H7" s="71" t="s">
        <v>196</v>
      </c>
      <c r="I7" s="71" t="s">
        <v>195</v>
      </c>
      <c r="J7" s="71" t="s">
        <v>194</v>
      </c>
      <c r="K7" s="71" t="s">
        <v>193</v>
      </c>
      <c r="L7" s="71" t="s">
        <v>192</v>
      </c>
      <c r="M7" s="71" t="s">
        <v>191</v>
      </c>
      <c r="N7" s="71" t="s">
        <v>190</v>
      </c>
      <c r="O7" s="167" t="s">
        <v>158</v>
      </c>
    </row>
    <row r="8" spans="1:15" ht="15" customHeight="1">
      <c r="A8" s="58" t="s">
        <v>493</v>
      </c>
      <c r="B8" s="124">
        <v>31700</v>
      </c>
      <c r="C8" s="55">
        <v>37963.01</v>
      </c>
      <c r="D8" s="55">
        <v>37963</v>
      </c>
      <c r="E8" s="55">
        <v>37962.99</v>
      </c>
      <c r="F8" s="55">
        <v>37962.980000000003</v>
      </c>
      <c r="G8" s="55">
        <v>37962.99</v>
      </c>
      <c r="H8" s="55">
        <v>37963</v>
      </c>
      <c r="I8" s="55">
        <v>37962.980000000003</v>
      </c>
      <c r="J8" s="55">
        <v>37962.99</v>
      </c>
      <c r="K8" s="55">
        <v>37962.99</v>
      </c>
      <c r="L8" s="55">
        <v>37962.980000000003</v>
      </c>
      <c r="M8" s="55">
        <v>37962.99</v>
      </c>
      <c r="N8" s="55">
        <v>37962.97</v>
      </c>
      <c r="O8" s="55">
        <v>455555.87</v>
      </c>
    </row>
    <row r="9" spans="1:15" ht="15" customHeight="1">
      <c r="A9" s="54" t="s">
        <v>492</v>
      </c>
      <c r="B9" s="74">
        <v>31700</v>
      </c>
      <c r="C9" s="51">
        <v>7347.96</v>
      </c>
      <c r="D9" s="51">
        <v>7347.96</v>
      </c>
      <c r="E9" s="51">
        <v>7347.95</v>
      </c>
      <c r="F9" s="51">
        <v>7347.95</v>
      </c>
      <c r="G9" s="51">
        <v>7347.97</v>
      </c>
      <c r="H9" s="51">
        <v>7347.96</v>
      </c>
      <c r="I9" s="51">
        <v>7347.96</v>
      </c>
      <c r="J9" s="51">
        <v>7347.95</v>
      </c>
      <c r="K9" s="51">
        <v>7347.95</v>
      </c>
      <c r="L9" s="51">
        <v>7347.96</v>
      </c>
      <c r="M9" s="51">
        <v>7347.95</v>
      </c>
      <c r="N9" s="51">
        <v>7347.96</v>
      </c>
      <c r="O9" s="51">
        <v>88175.48</v>
      </c>
    </row>
    <row r="10" spans="1:15" ht="15" customHeight="1">
      <c r="A10" s="54" t="s">
        <v>491</v>
      </c>
      <c r="B10" s="74">
        <v>31700</v>
      </c>
      <c r="C10" s="51">
        <v>-2343.2800000000002</v>
      </c>
      <c r="D10" s="51">
        <v>-2343.2800000000002</v>
      </c>
      <c r="E10" s="51">
        <v>-2343.2800000000002</v>
      </c>
      <c r="F10" s="51">
        <v>-2343.2800000000002</v>
      </c>
      <c r="G10" s="51">
        <v>-2343.2800000000002</v>
      </c>
      <c r="H10" s="51">
        <v>-2343.2800000000002</v>
      </c>
      <c r="I10" s="51">
        <v>-2343.2800000000002</v>
      </c>
      <c r="J10" s="51">
        <v>-2343.2800000000002</v>
      </c>
      <c r="K10" s="51">
        <v>-2343.2800000000002</v>
      </c>
      <c r="L10" s="51">
        <v>-943.72</v>
      </c>
      <c r="M10" s="51">
        <v>-943.72</v>
      </c>
      <c r="N10" s="51">
        <v>-943.72</v>
      </c>
      <c r="O10" s="51">
        <v>-23920.68</v>
      </c>
    </row>
    <row r="11" spans="1:15" ht="15" customHeight="1">
      <c r="A11" s="54" t="s">
        <v>490</v>
      </c>
      <c r="B11" s="74">
        <v>31700</v>
      </c>
      <c r="C11" s="51">
        <v>12809.91</v>
      </c>
      <c r="D11" s="51">
        <v>12809.9</v>
      </c>
      <c r="E11" s="51">
        <v>12809.88</v>
      </c>
      <c r="F11" s="51">
        <v>12809.91</v>
      </c>
      <c r="G11" s="51">
        <v>12809.88</v>
      </c>
      <c r="H11" s="51">
        <v>12809.88</v>
      </c>
      <c r="I11" s="51">
        <v>12809.9</v>
      </c>
      <c r="J11" s="51">
        <v>12809.88</v>
      </c>
      <c r="K11" s="51">
        <v>12809.89</v>
      </c>
      <c r="L11" s="51">
        <v>12809.91</v>
      </c>
      <c r="M11" s="51">
        <v>12809.88</v>
      </c>
      <c r="N11" s="51">
        <v>12809.9</v>
      </c>
      <c r="O11" s="51">
        <v>153718.72</v>
      </c>
    </row>
    <row r="12" spans="1:15" ht="15" customHeight="1">
      <c r="A12" s="54" t="s">
        <v>489</v>
      </c>
      <c r="B12" s="74">
        <v>31700</v>
      </c>
      <c r="C12" s="51">
        <v>-1978.36</v>
      </c>
      <c r="D12" s="51">
        <v>-1978.36</v>
      </c>
      <c r="E12" s="51">
        <v>-1978.36</v>
      </c>
      <c r="F12" s="51">
        <v>-1978.37</v>
      </c>
      <c r="G12" s="51">
        <v>-1978.36</v>
      </c>
      <c r="H12" s="51">
        <v>-1978.36</v>
      </c>
      <c r="I12" s="51">
        <v>-1978.36</v>
      </c>
      <c r="J12" s="51">
        <v>-1978.36</v>
      </c>
      <c r="K12" s="51">
        <v>-1978.36</v>
      </c>
      <c r="L12" s="51">
        <v>-1978.37</v>
      </c>
      <c r="M12" s="51">
        <v>-1978.36</v>
      </c>
      <c r="N12" s="51">
        <v>-1978.36</v>
      </c>
      <c r="O12" s="51">
        <v>-23740.34</v>
      </c>
    </row>
    <row r="13" spans="1:15" ht="15" customHeight="1">
      <c r="A13" s="54" t="s">
        <v>488</v>
      </c>
      <c r="B13" s="74">
        <v>31700</v>
      </c>
      <c r="C13" s="51">
        <v>-10974.65</v>
      </c>
      <c r="D13" s="51">
        <v>-10974.67</v>
      </c>
      <c r="E13" s="51">
        <v>-10974.65</v>
      </c>
      <c r="F13" s="51">
        <v>-10974.65</v>
      </c>
      <c r="G13" s="51">
        <v>-10974.67</v>
      </c>
      <c r="H13" s="51">
        <v>-10974.65</v>
      </c>
      <c r="I13" s="51">
        <v>-10974.66</v>
      </c>
      <c r="J13" s="51">
        <v>-10974.67</v>
      </c>
      <c r="K13" s="51">
        <v>-10974.65</v>
      </c>
      <c r="L13" s="51">
        <v>-10974.66</v>
      </c>
      <c r="M13" s="51">
        <v>-10974.65</v>
      </c>
      <c r="N13" s="51">
        <v>-10974.66</v>
      </c>
      <c r="O13" s="51">
        <v>-131695.89000000001</v>
      </c>
    </row>
    <row r="14" spans="1:15" ht="15" customHeight="1">
      <c r="A14" s="54" t="s">
        <v>487</v>
      </c>
      <c r="B14" s="74">
        <v>39919</v>
      </c>
      <c r="C14" s="50">
        <v>1167.99</v>
      </c>
      <c r="D14" s="50">
        <v>1167.97</v>
      </c>
      <c r="E14" s="50">
        <v>1167.99</v>
      </c>
      <c r="F14" s="50">
        <v>1167.98</v>
      </c>
      <c r="G14" s="50">
        <v>855.9</v>
      </c>
      <c r="H14" s="50">
        <v>855.9</v>
      </c>
      <c r="I14" s="50">
        <v>855.91</v>
      </c>
      <c r="J14" s="50">
        <v>855.89</v>
      </c>
      <c r="K14" s="50">
        <v>855.89</v>
      </c>
      <c r="L14" s="50">
        <v>855.91</v>
      </c>
      <c r="M14" s="50">
        <v>855.9</v>
      </c>
      <c r="N14" s="50">
        <v>855.89</v>
      </c>
      <c r="O14" s="50">
        <v>11519.12</v>
      </c>
    </row>
    <row r="15" spans="1:15" ht="15" customHeight="1" thickBot="1">
      <c r="C15" s="64">
        <f t="shared" ref="C15:O15" si="0">SUM(C8:C14)</f>
        <v>43992.58</v>
      </c>
      <c r="D15" s="64">
        <f t="shared" si="0"/>
        <v>43992.520000000004</v>
      </c>
      <c r="E15" s="64">
        <f t="shared" si="0"/>
        <v>43992.51999999999</v>
      </c>
      <c r="F15" s="64">
        <f t="shared" si="0"/>
        <v>43992.52</v>
      </c>
      <c r="G15" s="64">
        <f t="shared" si="0"/>
        <v>43680.43</v>
      </c>
      <c r="H15" s="64">
        <f t="shared" si="0"/>
        <v>43680.45</v>
      </c>
      <c r="I15" s="64">
        <f t="shared" si="0"/>
        <v>43680.450000000012</v>
      </c>
      <c r="J15" s="64">
        <f t="shared" si="0"/>
        <v>43680.399999999994</v>
      </c>
      <c r="K15" s="64">
        <f t="shared" si="0"/>
        <v>43680.429999999993</v>
      </c>
      <c r="L15" s="64">
        <f t="shared" si="0"/>
        <v>45080.010000000009</v>
      </c>
      <c r="M15" s="64">
        <f t="shared" si="0"/>
        <v>45079.989999999991</v>
      </c>
      <c r="N15" s="64">
        <f t="shared" si="0"/>
        <v>45079.979999999996</v>
      </c>
      <c r="O15" s="64">
        <f t="shared" si="0"/>
        <v>529612.28</v>
      </c>
    </row>
    <row r="16" spans="1:15" ht="15" customHeight="1" thickTop="1">
      <c r="C16" s="63"/>
      <c r="D16" s="63"/>
      <c r="E16" s="63"/>
      <c r="F16" s="63"/>
      <c r="G16" s="63"/>
      <c r="H16" s="63"/>
      <c r="I16" s="63"/>
      <c r="J16" s="63"/>
      <c r="K16" s="63"/>
      <c r="L16" s="63"/>
      <c r="M16" s="63"/>
      <c r="N16" s="63"/>
      <c r="O16" s="63"/>
    </row>
    <row r="17" spans="1:16" ht="15" customHeight="1">
      <c r="K17" s="54"/>
      <c r="L17" s="797" t="s">
        <v>486</v>
      </c>
      <c r="M17" s="797"/>
      <c r="N17" s="797"/>
      <c r="O17" s="51">
        <f>N15*12</f>
        <v>540959.76</v>
      </c>
      <c r="P17" s="54"/>
    </row>
    <row r="18" spans="1:16" ht="15" customHeight="1">
      <c r="J18" s="797" t="s">
        <v>485</v>
      </c>
      <c r="K18" s="797"/>
      <c r="L18" s="797"/>
      <c r="M18" s="797"/>
      <c r="N18" s="797"/>
      <c r="O18" s="50">
        <v>62537.29</v>
      </c>
      <c r="P18" s="54"/>
    </row>
    <row r="19" spans="1:16" ht="15" customHeight="1" thickBot="1">
      <c r="N19" s="72" t="s">
        <v>484</v>
      </c>
      <c r="O19" s="64">
        <f>O17-O18</f>
        <v>478422.47000000003</v>
      </c>
    </row>
    <row r="20" spans="1:16" ht="15" customHeight="1" thickTop="1">
      <c r="O20" s="63"/>
    </row>
    <row r="21" spans="1:16" ht="15" customHeight="1">
      <c r="A21" s="44" t="s">
        <v>2</v>
      </c>
      <c r="B21" s="44" t="s">
        <v>3</v>
      </c>
    </row>
    <row r="22" spans="1:16" ht="15" customHeight="1"/>
  </sheetData>
  <mergeCells count="6">
    <mergeCell ref="A2:D2"/>
    <mergeCell ref="A1:C1"/>
    <mergeCell ref="A4:E4"/>
    <mergeCell ref="A3:C3"/>
    <mergeCell ref="J18:N18"/>
    <mergeCell ref="L17:N17"/>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4CD7D-8523-4B6C-9ABD-8356A2282EA9}">
  <dimension ref="A1:P28"/>
  <sheetViews>
    <sheetView showRuler="0" topLeftCell="E10" workbookViewId="0">
      <selection sqref="A1:D1"/>
    </sheetView>
  </sheetViews>
  <sheetFormatPr defaultColWidth="13.7265625" defaultRowHeight="12.5"/>
  <cols>
    <col min="1" max="1" width="27.1796875" style="41" customWidth="1"/>
    <col min="2" max="2" width="9.81640625" style="41" customWidth="1"/>
    <col min="3" max="3" width="15.54296875" style="41" customWidth="1"/>
    <col min="4" max="4" width="14.26953125" style="41" customWidth="1"/>
    <col min="5" max="16384" width="13.7265625" style="41"/>
  </cols>
  <sheetData>
    <row r="1" spans="1:16" ht="15" customHeight="1">
      <c r="A1" s="711" t="s">
        <v>0</v>
      </c>
      <c r="B1" s="709"/>
      <c r="C1" s="709"/>
    </row>
    <row r="2" spans="1:16" ht="15" customHeight="1">
      <c r="A2" s="712" t="s">
        <v>509</v>
      </c>
      <c r="B2" s="709"/>
      <c r="C2" s="709"/>
      <c r="D2" s="709"/>
    </row>
    <row r="3" spans="1:16" ht="15" customHeight="1">
      <c r="A3" s="712" t="s">
        <v>508</v>
      </c>
      <c r="B3" s="709"/>
      <c r="C3" s="709"/>
      <c r="D3" s="709"/>
      <c r="E3" s="709"/>
    </row>
    <row r="4" spans="1:16" ht="15" customHeight="1">
      <c r="A4" s="711" t="s">
        <v>119</v>
      </c>
      <c r="B4" s="709"/>
      <c r="C4" s="709"/>
      <c r="D4" s="709"/>
      <c r="E4" s="709"/>
    </row>
    <row r="5" spans="1:16" ht="15" customHeight="1"/>
    <row r="6" spans="1:16" ht="30.75" customHeight="1">
      <c r="A6" s="54" t="s">
        <v>494</v>
      </c>
      <c r="B6" s="169" t="s">
        <v>124</v>
      </c>
      <c r="C6" s="71" t="s">
        <v>201</v>
      </c>
      <c r="D6" s="71" t="s">
        <v>200</v>
      </c>
      <c r="E6" s="71" t="s">
        <v>199</v>
      </c>
      <c r="F6" s="71" t="s">
        <v>198</v>
      </c>
      <c r="G6" s="71" t="s">
        <v>197</v>
      </c>
      <c r="H6" s="71" t="s">
        <v>196</v>
      </c>
      <c r="I6" s="71" t="s">
        <v>195</v>
      </c>
      <c r="J6" s="71" t="s">
        <v>194</v>
      </c>
      <c r="K6" s="71" t="s">
        <v>193</v>
      </c>
      <c r="L6" s="71" t="s">
        <v>192</v>
      </c>
      <c r="M6" s="71" t="s">
        <v>191</v>
      </c>
      <c r="N6" s="71" t="s">
        <v>190</v>
      </c>
      <c r="O6" s="167" t="s">
        <v>507</v>
      </c>
    </row>
    <row r="7" spans="1:16" ht="15" customHeight="1">
      <c r="A7" s="54" t="s">
        <v>506</v>
      </c>
      <c r="B7" s="61">
        <v>31700</v>
      </c>
      <c r="C7" s="55">
        <v>5471.99</v>
      </c>
      <c r="D7" s="55">
        <v>5406.59</v>
      </c>
      <c r="E7" s="55">
        <v>5324.39</v>
      </c>
      <c r="F7" s="55">
        <v>5262.7</v>
      </c>
      <c r="G7" s="55">
        <v>5249.15</v>
      </c>
      <c r="H7" s="55">
        <v>5247.49</v>
      </c>
      <c r="I7" s="55">
        <v>5227.95</v>
      </c>
      <c r="J7" s="55">
        <v>5145.3100000000004</v>
      </c>
      <c r="K7" s="55">
        <v>5130.07</v>
      </c>
      <c r="L7" s="55">
        <v>5126.2299999999996</v>
      </c>
      <c r="M7" s="55">
        <v>5102.75</v>
      </c>
      <c r="N7" s="55">
        <v>5076.1000000000004</v>
      </c>
      <c r="O7" s="55">
        <v>62770.720000000001</v>
      </c>
      <c r="P7" s="54"/>
    </row>
    <row r="8" spans="1:16" ht="27.65" customHeight="1">
      <c r="A8" s="54" t="s">
        <v>505</v>
      </c>
      <c r="B8" s="61">
        <v>31700</v>
      </c>
      <c r="C8" s="51">
        <v>1247.2</v>
      </c>
      <c r="D8" s="51">
        <v>1250.6600000000001</v>
      </c>
      <c r="E8" s="51">
        <v>1254.1300000000001</v>
      </c>
      <c r="F8" s="51">
        <v>1257.6099999999999</v>
      </c>
      <c r="G8" s="51">
        <v>1261.0999999999999</v>
      </c>
      <c r="H8" s="51">
        <v>1264.5999999999999</v>
      </c>
      <c r="I8" s="51">
        <v>1268.1099999999999</v>
      </c>
      <c r="J8" s="51">
        <v>1271.6300000000001</v>
      </c>
      <c r="K8" s="51">
        <v>1275.1600000000001</v>
      </c>
      <c r="L8" s="51">
        <v>1278.69</v>
      </c>
      <c r="M8" s="51">
        <v>1282.24</v>
      </c>
      <c r="N8" s="51">
        <v>1285.8</v>
      </c>
      <c r="O8" s="51">
        <v>15196.93</v>
      </c>
      <c r="P8" s="54"/>
    </row>
    <row r="9" spans="1:16" ht="15" customHeight="1">
      <c r="A9" s="54" t="s">
        <v>504</v>
      </c>
      <c r="B9" s="61">
        <v>31700</v>
      </c>
      <c r="C9" s="51">
        <v>5.47</v>
      </c>
      <c r="D9" s="51">
        <v>5.49</v>
      </c>
      <c r="E9" s="51">
        <v>5.51</v>
      </c>
      <c r="F9" s="51">
        <v>5.52</v>
      </c>
      <c r="G9" s="51">
        <v>5.54</v>
      </c>
      <c r="H9" s="51">
        <v>5.55</v>
      </c>
      <c r="I9" s="51">
        <v>5.57</v>
      </c>
      <c r="J9" s="51">
        <v>5.59</v>
      </c>
      <c r="K9" s="51">
        <v>5.6</v>
      </c>
      <c r="L9" s="51">
        <v>5.62</v>
      </c>
      <c r="M9" s="51">
        <v>5.63</v>
      </c>
      <c r="N9" s="51">
        <v>5.65</v>
      </c>
      <c r="O9" s="51">
        <v>66.739999999999995</v>
      </c>
    </row>
    <row r="10" spans="1:16" ht="15" customHeight="1">
      <c r="A10" s="54" t="s">
        <v>503</v>
      </c>
      <c r="B10" s="61">
        <v>31700</v>
      </c>
      <c r="C10" s="51">
        <v>494.07</v>
      </c>
      <c r="D10" s="51">
        <v>503.21</v>
      </c>
      <c r="E10" s="51">
        <v>512.61</v>
      </c>
      <c r="F10" s="51">
        <v>522.27</v>
      </c>
      <c r="G10" s="51">
        <v>532.17999999999995</v>
      </c>
      <c r="H10" s="51">
        <v>542.38</v>
      </c>
      <c r="I10" s="51">
        <v>552.85</v>
      </c>
      <c r="J10" s="51">
        <v>563.6</v>
      </c>
      <c r="K10" s="51">
        <v>574.65</v>
      </c>
      <c r="L10" s="51">
        <v>586.02</v>
      </c>
      <c r="M10" s="51">
        <v>597.67999999999995</v>
      </c>
      <c r="N10" s="51">
        <v>609.67999999999995</v>
      </c>
      <c r="O10" s="51">
        <v>6591.2</v>
      </c>
    </row>
    <row r="11" spans="1:16" ht="15" customHeight="1">
      <c r="A11" s="54" t="s">
        <v>502</v>
      </c>
      <c r="B11" s="61">
        <v>31700</v>
      </c>
      <c r="C11" s="51">
        <v>3402.26</v>
      </c>
      <c r="D11" s="51">
        <v>3418.56</v>
      </c>
      <c r="E11" s="51">
        <v>3434.94</v>
      </c>
      <c r="F11" s="51">
        <v>3451.4</v>
      </c>
      <c r="G11" s="51">
        <v>3467.93</v>
      </c>
      <c r="H11" s="51">
        <v>3484.55</v>
      </c>
      <c r="I11" s="51">
        <v>3501.26</v>
      </c>
      <c r="J11" s="51">
        <v>3518.03</v>
      </c>
      <c r="K11" s="51">
        <v>3534.89</v>
      </c>
      <c r="L11" s="51">
        <v>3551.83</v>
      </c>
      <c r="M11" s="51">
        <v>3568.84</v>
      </c>
      <c r="N11" s="51">
        <v>3585.95</v>
      </c>
      <c r="O11" s="51">
        <v>41920.44</v>
      </c>
      <c r="P11" s="54"/>
    </row>
    <row r="12" spans="1:16" ht="15" customHeight="1">
      <c r="A12" s="54" t="s">
        <v>501</v>
      </c>
      <c r="B12" s="61">
        <v>31700</v>
      </c>
      <c r="C12" s="51">
        <v>5586.48</v>
      </c>
      <c r="D12" s="51">
        <v>5608.03</v>
      </c>
      <c r="E12" s="51">
        <v>5649.11</v>
      </c>
      <c r="F12" s="51">
        <v>5666.67</v>
      </c>
      <c r="G12" s="51">
        <v>5708.83</v>
      </c>
      <c r="H12" s="51">
        <v>5686.81</v>
      </c>
      <c r="I12" s="51">
        <v>5526.69</v>
      </c>
      <c r="J12" s="51">
        <v>5452.66</v>
      </c>
      <c r="K12" s="51">
        <v>5096.0200000000004</v>
      </c>
      <c r="L12" s="51">
        <v>5148.46</v>
      </c>
      <c r="M12" s="51">
        <v>5127.04</v>
      </c>
      <c r="N12" s="51">
        <v>5042.6499999999996</v>
      </c>
      <c r="O12" s="51">
        <v>65299.45</v>
      </c>
      <c r="P12" s="54"/>
    </row>
    <row r="13" spans="1:16" ht="15" customHeight="1">
      <c r="A13" s="54" t="s">
        <v>500</v>
      </c>
      <c r="B13" s="61">
        <v>31700</v>
      </c>
      <c r="C13" s="51">
        <v>5926.47</v>
      </c>
      <c r="D13" s="51">
        <v>5963.46</v>
      </c>
      <c r="E13" s="51">
        <v>5931.68</v>
      </c>
      <c r="F13" s="51">
        <v>5912.9</v>
      </c>
      <c r="G13" s="51">
        <v>5971.95</v>
      </c>
      <c r="H13" s="51">
        <v>5887.53</v>
      </c>
      <c r="I13" s="51">
        <v>5770.82</v>
      </c>
      <c r="J13" s="51">
        <v>5672.76</v>
      </c>
      <c r="K13" s="51">
        <v>5373.59</v>
      </c>
      <c r="L13" s="51">
        <v>5428.26</v>
      </c>
      <c r="M13" s="51">
        <v>5458.34</v>
      </c>
      <c r="N13" s="51">
        <v>5397.92</v>
      </c>
      <c r="O13" s="51">
        <v>68695.679999999993</v>
      </c>
      <c r="P13" s="54"/>
    </row>
    <row r="14" spans="1:16" ht="15" customHeight="1">
      <c r="A14" s="54" t="s">
        <v>487</v>
      </c>
      <c r="B14" s="61">
        <v>31700</v>
      </c>
      <c r="C14" s="51">
        <v>468.76</v>
      </c>
      <c r="D14" s="51">
        <v>471</v>
      </c>
      <c r="E14" s="51">
        <v>473.25</v>
      </c>
      <c r="F14" s="51">
        <v>475.53</v>
      </c>
      <c r="G14" s="51">
        <v>477.8</v>
      </c>
      <c r="H14" s="51">
        <v>480.08</v>
      </c>
      <c r="I14" s="51">
        <v>482.39</v>
      </c>
      <c r="J14" s="51">
        <v>484.7</v>
      </c>
      <c r="K14" s="51">
        <v>487.04</v>
      </c>
      <c r="L14" s="51">
        <v>489.37</v>
      </c>
      <c r="M14" s="51">
        <v>491.7</v>
      </c>
      <c r="N14" s="51">
        <v>494.05</v>
      </c>
      <c r="O14" s="51">
        <v>5775.67</v>
      </c>
    </row>
    <row r="15" spans="1:16" ht="27.65" customHeight="1">
      <c r="A15" s="54" t="s">
        <v>499</v>
      </c>
      <c r="B15" s="61">
        <v>31700</v>
      </c>
      <c r="C15" s="51">
        <v>14131.6</v>
      </c>
      <c r="D15" s="51">
        <v>13799.01</v>
      </c>
      <c r="E15" s="51">
        <v>13560.75</v>
      </c>
      <c r="F15" s="51">
        <v>13555.43</v>
      </c>
      <c r="G15" s="51">
        <v>13551.24</v>
      </c>
      <c r="H15" s="51">
        <v>13408.77</v>
      </c>
      <c r="I15" s="51">
        <v>13444.8</v>
      </c>
      <c r="J15" s="51">
        <v>13305.81</v>
      </c>
      <c r="K15" s="51">
        <v>13330.05</v>
      </c>
      <c r="L15" s="51">
        <v>13316.5</v>
      </c>
      <c r="M15" s="51">
        <v>13333.82</v>
      </c>
      <c r="N15" s="51">
        <v>13375.03</v>
      </c>
      <c r="O15" s="51">
        <v>162112.81</v>
      </c>
      <c r="P15" s="54"/>
    </row>
    <row r="16" spans="1:16" ht="15" customHeight="1">
      <c r="A16" s="54" t="s">
        <v>488</v>
      </c>
      <c r="B16" s="61">
        <v>31700</v>
      </c>
      <c r="C16" s="51">
        <v>12566.53</v>
      </c>
      <c r="D16" s="51">
        <v>12603.49</v>
      </c>
      <c r="E16" s="51">
        <v>12640.58</v>
      </c>
      <c r="F16" s="51">
        <v>12642.27</v>
      </c>
      <c r="G16" s="51">
        <v>12577.29</v>
      </c>
      <c r="H16" s="51">
        <v>12687.83</v>
      </c>
      <c r="I16" s="51">
        <v>12725.15</v>
      </c>
      <c r="J16" s="51">
        <v>12762.58</v>
      </c>
      <c r="K16" s="51">
        <v>12800.13</v>
      </c>
      <c r="L16" s="51">
        <v>12837.78</v>
      </c>
      <c r="M16" s="51">
        <v>12875.55</v>
      </c>
      <c r="N16" s="51">
        <v>12913.42</v>
      </c>
      <c r="O16" s="51">
        <v>152632.6</v>
      </c>
      <c r="P16" s="54"/>
    </row>
    <row r="17" spans="1:16" ht="15" customHeight="1">
      <c r="A17" s="54" t="s">
        <v>491</v>
      </c>
      <c r="B17" s="61">
        <v>31700</v>
      </c>
      <c r="C17" s="51">
        <v>196.66</v>
      </c>
      <c r="D17" s="51">
        <v>197.17</v>
      </c>
      <c r="E17" s="51">
        <v>197.69</v>
      </c>
      <c r="F17" s="51">
        <v>198.21</v>
      </c>
      <c r="G17" s="51">
        <v>198.73</v>
      </c>
      <c r="H17" s="51">
        <v>199.26</v>
      </c>
      <c r="I17" s="51">
        <v>61.94</v>
      </c>
      <c r="J17" s="51">
        <v>20.99</v>
      </c>
      <c r="K17" s="51">
        <v>21.05</v>
      </c>
      <c r="L17" s="51">
        <v>801.02</v>
      </c>
      <c r="M17" s="51">
        <v>1283.78</v>
      </c>
      <c r="N17" s="51">
        <v>1252.3900000000001</v>
      </c>
      <c r="O17" s="51">
        <v>4628.8900000000003</v>
      </c>
      <c r="P17" s="54"/>
    </row>
    <row r="18" spans="1:16" ht="15" customHeight="1">
      <c r="A18" s="54" t="s">
        <v>490</v>
      </c>
      <c r="B18" s="61">
        <v>31700</v>
      </c>
      <c r="C18" s="51">
        <v>13636.58</v>
      </c>
      <c r="D18" s="51">
        <v>13678.29</v>
      </c>
      <c r="E18" s="51">
        <v>13720.11</v>
      </c>
      <c r="F18" s="51">
        <v>13762.09</v>
      </c>
      <c r="G18" s="51">
        <v>13804.18</v>
      </c>
      <c r="H18" s="51">
        <v>13846.4</v>
      </c>
      <c r="I18" s="51">
        <v>13888.74</v>
      </c>
      <c r="J18" s="51">
        <v>13931.22</v>
      </c>
      <c r="K18" s="51">
        <v>13973.82</v>
      </c>
      <c r="L18" s="51">
        <v>14016.56</v>
      </c>
      <c r="M18" s="51">
        <v>14059.42</v>
      </c>
      <c r="N18" s="51">
        <v>14102.43</v>
      </c>
      <c r="O18" s="51">
        <v>166419.84</v>
      </c>
      <c r="P18" s="54"/>
    </row>
    <row r="19" spans="1:16" ht="15" customHeight="1">
      <c r="A19" s="54" t="s">
        <v>489</v>
      </c>
      <c r="B19" s="61">
        <v>31700</v>
      </c>
      <c r="C19" s="50">
        <v>4760.38</v>
      </c>
      <c r="D19" s="50">
        <v>4780.49</v>
      </c>
      <c r="E19" s="50">
        <v>4800.68</v>
      </c>
      <c r="F19" s="50">
        <v>4820.9799999999996</v>
      </c>
      <c r="G19" s="50">
        <v>4841.34</v>
      </c>
      <c r="H19" s="50">
        <v>4861.79</v>
      </c>
      <c r="I19" s="50">
        <v>4882.34</v>
      </c>
      <c r="J19" s="50">
        <v>4902.96</v>
      </c>
      <c r="K19" s="50">
        <v>4923.68</v>
      </c>
      <c r="L19" s="50">
        <v>4944.4799999999996</v>
      </c>
      <c r="M19" s="50">
        <v>4965.37</v>
      </c>
      <c r="N19" s="50">
        <v>4986.3500000000004</v>
      </c>
      <c r="O19" s="50">
        <v>58470.84</v>
      </c>
      <c r="P19" s="54"/>
    </row>
    <row r="20" spans="1:16" ht="15" customHeight="1" thickBot="1">
      <c r="A20" s="54"/>
      <c r="B20" s="54"/>
      <c r="C20" s="64">
        <f t="shared" ref="C20:O20" si="0">SUM(C7:C19)</f>
        <v>67894.45</v>
      </c>
      <c r="D20" s="64">
        <f t="shared" si="0"/>
        <v>67685.45</v>
      </c>
      <c r="E20" s="64">
        <f t="shared" si="0"/>
        <v>67505.429999999993</v>
      </c>
      <c r="F20" s="64">
        <f t="shared" si="0"/>
        <v>67533.58</v>
      </c>
      <c r="G20" s="64">
        <f t="shared" si="0"/>
        <v>67647.260000000009</v>
      </c>
      <c r="H20" s="64">
        <f t="shared" si="0"/>
        <v>67603.040000000008</v>
      </c>
      <c r="I20" s="64">
        <f t="shared" si="0"/>
        <v>67338.61</v>
      </c>
      <c r="J20" s="64">
        <f t="shared" si="0"/>
        <v>67037.840000000011</v>
      </c>
      <c r="K20" s="64">
        <f t="shared" si="0"/>
        <v>66525.75</v>
      </c>
      <c r="L20" s="64">
        <f t="shared" si="0"/>
        <v>67530.819999999992</v>
      </c>
      <c r="M20" s="64">
        <f t="shared" si="0"/>
        <v>68152.159999999989</v>
      </c>
      <c r="N20" s="64">
        <f t="shared" si="0"/>
        <v>68127.42</v>
      </c>
      <c r="O20" s="64">
        <f t="shared" si="0"/>
        <v>810581.80999999994</v>
      </c>
    </row>
    <row r="21" spans="1:16" ht="15" customHeight="1" thickTop="1">
      <c r="C21" s="63"/>
      <c r="D21" s="63"/>
      <c r="E21" s="63"/>
      <c r="F21" s="63"/>
      <c r="G21" s="63"/>
      <c r="H21" s="63"/>
      <c r="I21" s="63"/>
      <c r="J21" s="63"/>
      <c r="K21" s="63"/>
      <c r="L21" s="63"/>
      <c r="M21" s="63"/>
      <c r="N21" s="63"/>
      <c r="O21" s="63"/>
    </row>
    <row r="22" spans="1:16" ht="15" customHeight="1">
      <c r="L22" s="797" t="s">
        <v>498</v>
      </c>
      <c r="M22" s="709"/>
      <c r="N22" s="797"/>
      <c r="O22" s="51">
        <f>N20*12</f>
        <v>817529.04</v>
      </c>
    </row>
    <row r="23" spans="1:16" ht="15" customHeight="1">
      <c r="J23" s="797" t="s">
        <v>497</v>
      </c>
      <c r="K23" s="797"/>
      <c r="L23" s="797"/>
      <c r="M23" s="709"/>
      <c r="N23" s="797"/>
      <c r="O23" s="50">
        <v>558067.74</v>
      </c>
    </row>
    <row r="24" spans="1:16" ht="15" customHeight="1" thickBot="1">
      <c r="N24" s="72" t="s">
        <v>484</v>
      </c>
      <c r="O24" s="168">
        <f>O22-O23</f>
        <v>259461.30000000005</v>
      </c>
    </row>
    <row r="25" spans="1:16" ht="15" customHeight="1" thickTop="1">
      <c r="O25" s="63"/>
    </row>
    <row r="26" spans="1:16" ht="15" customHeight="1">
      <c r="N26" s="54"/>
      <c r="O26" s="54"/>
    </row>
    <row r="27" spans="1:16" ht="15" customHeight="1">
      <c r="A27" s="44" t="s">
        <v>2</v>
      </c>
      <c r="B27" s="711" t="s">
        <v>3</v>
      </c>
      <c r="C27" s="709"/>
      <c r="N27" s="54"/>
    </row>
    <row r="28" spans="1:16" ht="15" customHeight="1"/>
  </sheetData>
  <mergeCells count="7">
    <mergeCell ref="B27:C27"/>
    <mergeCell ref="L22:N22"/>
    <mergeCell ref="J23:N23"/>
    <mergeCell ref="A2:D2"/>
    <mergeCell ref="A1:C1"/>
    <mergeCell ref="A3:E3"/>
    <mergeCell ref="A4:E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EB64E-EE1E-4C96-A296-029D62667E75}">
  <sheetPr transitionEvaluation="1">
    <pageSetUpPr autoPageBreaks="0" fitToPage="1"/>
  </sheetPr>
  <dimension ref="A1:G42"/>
  <sheetViews>
    <sheetView showGridLines="0" defaultGridColor="0" colorId="22" zoomScale="110" zoomScaleNormal="110" zoomScaleSheetLayoutView="130" workbookViewId="0">
      <pane ySplit="6" topLeftCell="A31" activePane="bottomLeft" state="frozen"/>
      <selection activeCell="D31" sqref="D31"/>
      <selection pane="bottomLeft" activeCell="A35" sqref="A35:B35"/>
    </sheetView>
  </sheetViews>
  <sheetFormatPr defaultColWidth="21" defaultRowHeight="12.5"/>
  <cols>
    <col min="1" max="1" width="10.26953125" style="252" customWidth="1"/>
    <col min="2" max="2" width="74.54296875" style="252" customWidth="1"/>
    <col min="3" max="3" width="13.7265625" style="252" bestFit="1" customWidth="1"/>
    <col min="4" max="4" width="21.453125" style="252" customWidth="1"/>
    <col min="5" max="5" width="39.54296875" style="252" bestFit="1" customWidth="1"/>
    <col min="6" max="16384" width="21" style="252"/>
  </cols>
  <sheetData>
    <row r="1" spans="1:7">
      <c r="A1" s="716" t="s">
        <v>0</v>
      </c>
      <c r="B1" s="716"/>
      <c r="C1" s="716"/>
      <c r="D1" s="716"/>
    </row>
    <row r="2" spans="1:7">
      <c r="A2" s="716" t="s">
        <v>816</v>
      </c>
      <c r="B2" s="716"/>
      <c r="C2" s="716"/>
      <c r="D2" s="716"/>
    </row>
    <row r="3" spans="1:7" ht="13">
      <c r="A3" s="290" t="s">
        <v>815</v>
      </c>
      <c r="B3" s="289"/>
      <c r="C3" s="289"/>
      <c r="D3" s="289"/>
    </row>
    <row r="4" spans="1:7">
      <c r="A4" s="716" t="s">
        <v>119</v>
      </c>
      <c r="B4" s="716"/>
      <c r="C4" s="716"/>
      <c r="D4" s="716"/>
    </row>
    <row r="6" spans="1:7" ht="24.75" customHeight="1">
      <c r="A6" s="288" t="s">
        <v>418</v>
      </c>
      <c r="B6" s="287" t="s">
        <v>739</v>
      </c>
      <c r="C6" s="287" t="s">
        <v>814</v>
      </c>
      <c r="D6" s="287" t="s">
        <v>813</v>
      </c>
      <c r="E6" s="286"/>
    </row>
    <row r="7" spans="1:7" ht="13">
      <c r="A7" s="267">
        <v>1</v>
      </c>
      <c r="B7" s="280" t="s">
        <v>812</v>
      </c>
      <c r="C7" s="283"/>
      <c r="D7" s="285"/>
    </row>
    <row r="8" spans="1:7">
      <c r="A8" s="267">
        <v>2</v>
      </c>
      <c r="B8" s="272" t="s">
        <v>811</v>
      </c>
      <c r="C8" s="267" t="s">
        <v>186</v>
      </c>
      <c r="D8" s="284">
        <f>-W09_PG_2_of_5!Q7</f>
        <v>-21021955.146183975</v>
      </c>
    </row>
    <row r="9" spans="1:7" ht="13">
      <c r="A9" s="267">
        <v>3</v>
      </c>
      <c r="B9" s="277" t="s">
        <v>810</v>
      </c>
      <c r="C9" s="283"/>
      <c r="D9" s="275">
        <f>SUM(D8)</f>
        <v>-21021955.146183975</v>
      </c>
    </row>
    <row r="10" spans="1:7">
      <c r="A10" s="267"/>
      <c r="B10" s="282"/>
      <c r="C10" s="281"/>
      <c r="D10" s="266"/>
    </row>
    <row r="11" spans="1:7" ht="13">
      <c r="A11" s="267">
        <v>4</v>
      </c>
      <c r="B11" s="280" t="s">
        <v>809</v>
      </c>
      <c r="C11" s="267"/>
      <c r="D11" s="279"/>
      <c r="F11" s="278"/>
      <c r="G11" s="278"/>
    </row>
    <row r="12" spans="1:7">
      <c r="A12" s="267">
        <f>A11+1</f>
        <v>5</v>
      </c>
      <c r="B12" s="252" t="s">
        <v>808</v>
      </c>
      <c r="C12" s="267">
        <v>5550.1530000000002</v>
      </c>
      <c r="D12" s="269">
        <f>-W09_PG_2_of_5!Q60</f>
        <v>-2631871.3359381687</v>
      </c>
      <c r="F12" s="278"/>
      <c r="G12" s="278"/>
    </row>
    <row r="13" spans="1:7">
      <c r="A13" s="267">
        <f>A12+1</f>
        <v>6</v>
      </c>
      <c r="B13" s="268" t="s">
        <v>807</v>
      </c>
      <c r="C13" s="267">
        <v>555</v>
      </c>
      <c r="D13" s="270">
        <f>-W09_PG_2_of_5!Q48</f>
        <v>-3989249.4400000004</v>
      </c>
      <c r="F13" s="278"/>
      <c r="G13" s="278"/>
    </row>
    <row r="14" spans="1:7">
      <c r="A14" s="267">
        <f>A13+1</f>
        <v>7</v>
      </c>
      <c r="B14" s="268" t="s">
        <v>806</v>
      </c>
      <c r="C14" s="267">
        <v>566</v>
      </c>
      <c r="D14" s="266">
        <f>W09_PG_2_of_5!Q52</f>
        <v>6727358.2975462116</v>
      </c>
      <c r="F14" s="278"/>
      <c r="G14" s="278"/>
    </row>
    <row r="15" spans="1:7" ht="13">
      <c r="A15" s="267">
        <f>A14+1</f>
        <v>8</v>
      </c>
      <c r="B15" s="277" t="s">
        <v>805</v>
      </c>
      <c r="C15" s="276"/>
      <c r="D15" s="275">
        <f>SUM(D12:D14)</f>
        <v>106237.52160804253</v>
      </c>
    </row>
    <row r="16" spans="1:7" ht="13">
      <c r="A16" s="262"/>
      <c r="B16" s="253"/>
      <c r="C16" s="253"/>
      <c r="D16" s="273"/>
    </row>
    <row r="17" spans="1:5" ht="13">
      <c r="A17" s="262"/>
      <c r="B17" s="253"/>
      <c r="C17" s="253"/>
      <c r="D17" s="273"/>
    </row>
    <row r="18" spans="1:5" ht="13">
      <c r="A18" s="262">
        <f>A15+1</f>
        <v>9</v>
      </c>
      <c r="B18" s="274" t="s">
        <v>804</v>
      </c>
      <c r="C18" s="253"/>
      <c r="D18" s="273"/>
    </row>
    <row r="19" spans="1:5">
      <c r="A19" s="262">
        <f t="shared" ref="A19:A30" si="0">A18+1</f>
        <v>10</v>
      </c>
      <c r="B19" s="272" t="s">
        <v>803</v>
      </c>
      <c r="C19" s="267" t="s">
        <v>802</v>
      </c>
      <c r="D19" s="271">
        <f>-D15</f>
        <v>-106237.52160804253</v>
      </c>
    </row>
    <row r="20" spans="1:5">
      <c r="A20" s="262">
        <f t="shared" si="0"/>
        <v>11</v>
      </c>
      <c r="B20" s="252" t="s">
        <v>801</v>
      </c>
      <c r="C20" s="267" t="s">
        <v>800</v>
      </c>
      <c r="D20" s="270">
        <f>W09_PG_2_of_5!Q27-W09_PG_2_of_5!Q29</f>
        <v>24840101.522520505</v>
      </c>
    </row>
    <row r="21" spans="1:5">
      <c r="A21" s="262">
        <f t="shared" si="0"/>
        <v>12</v>
      </c>
      <c r="B21" s="252" t="s">
        <v>799</v>
      </c>
      <c r="C21" s="262" t="s">
        <v>186</v>
      </c>
      <c r="D21" s="269">
        <f>W09_PG_2_of_5!Q35</f>
        <v>7105201.2375806458</v>
      </c>
    </row>
    <row r="22" spans="1:5">
      <c r="A22" s="262">
        <f t="shared" si="0"/>
        <v>13</v>
      </c>
      <c r="B22" s="252" t="s">
        <v>798</v>
      </c>
      <c r="C22" s="262">
        <v>431</v>
      </c>
      <c r="D22" s="269">
        <f>W09_PG_2_of_5!Q58</f>
        <v>557769.89</v>
      </c>
    </row>
    <row r="23" spans="1:5">
      <c r="A23" s="262">
        <f t="shared" si="0"/>
        <v>14</v>
      </c>
      <c r="B23" s="252" t="s">
        <v>797</v>
      </c>
      <c r="C23" s="262" t="s">
        <v>186</v>
      </c>
      <c r="D23" s="269">
        <f>W09_PG_2_of_5!Q59</f>
        <v>551944.61</v>
      </c>
    </row>
    <row r="24" spans="1:5">
      <c r="A24" s="262">
        <f t="shared" si="0"/>
        <v>15</v>
      </c>
      <c r="B24" s="252" t="s">
        <v>796</v>
      </c>
      <c r="C24" s="262">
        <v>431</v>
      </c>
      <c r="D24" s="269">
        <f>W09_PG_2_of_5!Q61</f>
        <v>245701.75276715861</v>
      </c>
    </row>
    <row r="25" spans="1:5">
      <c r="A25" s="262">
        <f t="shared" si="0"/>
        <v>16</v>
      </c>
      <c r="B25" s="268" t="s">
        <v>795</v>
      </c>
      <c r="C25" s="267" t="s">
        <v>186</v>
      </c>
      <c r="D25" s="269">
        <f>W09_PG_2_of_5!Q62</f>
        <v>234710.02895521774</v>
      </c>
    </row>
    <row r="26" spans="1:5" s="253" customFormat="1">
      <c r="A26" s="262">
        <f t="shared" si="0"/>
        <v>17</v>
      </c>
      <c r="B26" s="268" t="s">
        <v>794</v>
      </c>
      <c r="C26" s="267">
        <v>427</v>
      </c>
      <c r="D26" s="266">
        <f>W09_PG_2_of_5!Q39</f>
        <v>325054.92</v>
      </c>
    </row>
    <row r="27" spans="1:5">
      <c r="A27" s="262">
        <f t="shared" si="0"/>
        <v>18</v>
      </c>
      <c r="B27" s="253" t="s">
        <v>793</v>
      </c>
      <c r="C27" s="262" t="s">
        <v>186</v>
      </c>
      <c r="D27" s="265">
        <f>W09_PG_2_of_5!Q37</f>
        <v>-12732291.306370966</v>
      </c>
    </row>
    <row r="28" spans="1:5">
      <c r="A28" s="262">
        <f t="shared" si="0"/>
        <v>19</v>
      </c>
      <c r="B28" s="253" t="s">
        <v>792</v>
      </c>
      <c r="C28" s="262"/>
      <c r="D28" s="257">
        <f>SUM(D19:D27)</f>
        <v>21021955.133844517</v>
      </c>
    </row>
    <row r="29" spans="1:5">
      <c r="A29" s="262">
        <f t="shared" si="0"/>
        <v>20</v>
      </c>
      <c r="B29" s="253"/>
      <c r="C29" s="262"/>
      <c r="D29" s="257"/>
    </row>
    <row r="30" spans="1:5">
      <c r="A30" s="262">
        <f t="shared" si="0"/>
        <v>21</v>
      </c>
      <c r="B30" s="253" t="s">
        <v>791</v>
      </c>
      <c r="C30" s="262" t="s">
        <v>186</v>
      </c>
      <c r="D30" s="257">
        <f>D9</f>
        <v>-21021955.146183975</v>
      </c>
      <c r="E30" s="264"/>
    </row>
    <row r="31" spans="1:5">
      <c r="A31" s="253"/>
      <c r="B31" s="253"/>
      <c r="C31" s="262"/>
    </row>
    <row r="32" spans="1:5">
      <c r="A32" s="262">
        <v>22</v>
      </c>
      <c r="B32" s="263" t="s">
        <v>762</v>
      </c>
      <c r="C32" s="262"/>
      <c r="D32" s="261">
        <f>D28+D30</f>
        <v>-1.2339457869529724E-2</v>
      </c>
    </row>
    <row r="33" spans="1:4">
      <c r="A33" s="256"/>
      <c r="B33" s="256"/>
      <c r="C33" s="256"/>
      <c r="D33" s="256"/>
    </row>
    <row r="34" spans="1:4">
      <c r="A34" s="260"/>
      <c r="B34" s="256"/>
      <c r="C34" s="256"/>
      <c r="D34" s="256"/>
    </row>
    <row r="35" spans="1:4">
      <c r="A35" s="44" t="s">
        <v>2</v>
      </c>
      <c r="B35" s="44" t="s">
        <v>3</v>
      </c>
      <c r="C35" s="256"/>
      <c r="D35" s="256"/>
    </row>
    <row r="36" spans="1:4">
      <c r="A36" s="256"/>
      <c r="B36" s="256"/>
      <c r="C36" s="256"/>
      <c r="D36" s="256"/>
    </row>
    <row r="37" spans="1:4">
      <c r="A37" s="256"/>
      <c r="B37" s="256"/>
      <c r="C37" s="256"/>
      <c r="D37" s="256"/>
    </row>
    <row r="38" spans="1:4">
      <c r="A38" s="256"/>
      <c r="B38" s="256"/>
      <c r="C38" s="256"/>
      <c r="D38" s="259"/>
    </row>
    <row r="39" spans="1:4">
      <c r="A39" s="256"/>
      <c r="B39" s="258"/>
      <c r="C39" s="258"/>
      <c r="D39" s="257"/>
    </row>
    <row r="40" spans="1:4">
      <c r="A40" s="717"/>
      <c r="B40" s="717"/>
      <c r="C40" s="255"/>
      <c r="D40" s="256"/>
    </row>
    <row r="41" spans="1:4">
      <c r="A41" s="717"/>
      <c r="B41" s="717"/>
      <c r="C41" s="255"/>
      <c r="D41" s="254"/>
    </row>
    <row r="42" spans="1:4">
      <c r="A42" s="253"/>
      <c r="B42" s="253"/>
      <c r="C42" s="253"/>
      <c r="D42" s="253"/>
    </row>
  </sheetData>
  <mergeCells count="4">
    <mergeCell ref="A1:D1"/>
    <mergeCell ref="A2:D2"/>
    <mergeCell ref="A4:D4"/>
    <mergeCell ref="A40:B41"/>
  </mergeCells>
  <pageMargins left="0.6" right="0.5" top="0.5" bottom="0.5" header="0.18" footer="0.15"/>
  <pageSetup scale="92" fitToHeight="0" orientation="portrait"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4BAB4-25B8-48EC-9081-FCA7657DA7A1}">
  <dimension ref="A1:E35"/>
  <sheetViews>
    <sheetView showRuler="0" workbookViewId="0">
      <selection sqref="A1:D1"/>
    </sheetView>
  </sheetViews>
  <sheetFormatPr defaultColWidth="13.7265625" defaultRowHeight="12.5"/>
  <cols>
    <col min="1" max="1" width="25" style="41" customWidth="1"/>
    <col min="2" max="2" width="30.81640625" style="41" customWidth="1"/>
    <col min="3" max="3" width="29.26953125" style="41" customWidth="1"/>
    <col min="4" max="4" width="19.54296875" style="41" customWidth="1"/>
    <col min="5" max="16384" width="13.7265625" style="41"/>
  </cols>
  <sheetData>
    <row r="1" spans="1:5" ht="15" customHeight="1">
      <c r="A1" s="737" t="s">
        <v>0</v>
      </c>
      <c r="B1" s="737"/>
      <c r="C1" s="737"/>
      <c r="D1" s="737"/>
      <c r="E1" s="107"/>
    </row>
    <row r="2" spans="1:5" ht="15" customHeight="1">
      <c r="A2" s="737" t="s">
        <v>523</v>
      </c>
      <c r="B2" s="737"/>
      <c r="C2" s="737"/>
      <c r="D2" s="737"/>
      <c r="E2" s="107"/>
    </row>
    <row r="3" spans="1:5" ht="15" customHeight="1">
      <c r="A3" s="737" t="s">
        <v>352</v>
      </c>
      <c r="B3" s="737"/>
      <c r="C3" s="737"/>
      <c r="D3" s="737"/>
      <c r="E3" s="107"/>
    </row>
    <row r="4" spans="1:5" ht="15" customHeight="1">
      <c r="A4" s="737"/>
      <c r="B4" s="737"/>
      <c r="C4" s="737"/>
      <c r="D4" s="737"/>
      <c r="E4" s="107"/>
    </row>
    <row r="5" spans="1:5" ht="15" customHeight="1"/>
    <row r="6" spans="1:5" ht="16.75" customHeight="1">
      <c r="A6" s="67" t="s">
        <v>227</v>
      </c>
      <c r="B6" s="67" t="s">
        <v>367</v>
      </c>
      <c r="C6" s="67" t="s">
        <v>522</v>
      </c>
      <c r="D6" s="59"/>
    </row>
    <row r="7" spans="1:5" ht="15" customHeight="1">
      <c r="A7" s="70">
        <v>1510001</v>
      </c>
      <c r="B7" s="58" t="s">
        <v>521</v>
      </c>
      <c r="C7" s="90">
        <v>33743480.329999998</v>
      </c>
      <c r="D7" s="54"/>
    </row>
    <row r="8" spans="1:5" ht="15" customHeight="1">
      <c r="A8" s="61">
        <v>1510020</v>
      </c>
      <c r="B8" s="54" t="s">
        <v>520</v>
      </c>
      <c r="C8" s="52">
        <v>3835868.27</v>
      </c>
      <c r="D8" s="54"/>
    </row>
    <row r="9" spans="1:5" ht="15" customHeight="1">
      <c r="A9" s="61">
        <v>1520000</v>
      </c>
      <c r="B9" s="54" t="s">
        <v>519</v>
      </c>
      <c r="C9" s="89">
        <v>1132047.48</v>
      </c>
      <c r="D9" s="54"/>
    </row>
    <row r="10" spans="1:5" ht="15" customHeight="1" thickBot="1">
      <c r="A10" s="54"/>
      <c r="B10" s="46" t="s">
        <v>518</v>
      </c>
      <c r="C10" s="73">
        <f>SUM(C7:C9)</f>
        <v>38711396.079999998</v>
      </c>
      <c r="D10" s="54"/>
    </row>
    <row r="11" spans="1:5" ht="15" customHeight="1" thickTop="1">
      <c r="A11" s="54"/>
      <c r="B11" s="54"/>
      <c r="C11" s="63"/>
      <c r="D11" s="54"/>
    </row>
    <row r="12" spans="1:5" ht="15" customHeight="1">
      <c r="A12" s="54"/>
      <c r="B12" s="54"/>
      <c r="C12" s="54"/>
      <c r="D12" s="54"/>
    </row>
    <row r="13" spans="1:5" ht="15" customHeight="1">
      <c r="A13" s="798" t="s">
        <v>517</v>
      </c>
      <c r="B13" s="798"/>
      <c r="C13" s="65"/>
      <c r="D13" s="54"/>
    </row>
    <row r="14" spans="1:5" ht="15" customHeight="1">
      <c r="A14" s="173" t="s">
        <v>227</v>
      </c>
      <c r="B14" s="67" t="s">
        <v>515</v>
      </c>
      <c r="C14" s="67" t="s">
        <v>225</v>
      </c>
      <c r="D14" s="59"/>
      <c r="E14" s="54"/>
    </row>
    <row r="15" spans="1:5" ht="15" customHeight="1">
      <c r="A15" s="70">
        <v>1510001</v>
      </c>
      <c r="B15" s="56">
        <v>160303.13</v>
      </c>
      <c r="C15" s="90">
        <v>20569788.809999999</v>
      </c>
      <c r="D15" s="54"/>
      <c r="E15" s="54"/>
    </row>
    <row r="16" spans="1:5" ht="15" customHeight="1">
      <c r="A16" s="61">
        <v>1510020</v>
      </c>
      <c r="B16" s="52">
        <v>23473.68</v>
      </c>
      <c r="C16" s="52">
        <v>3312075</v>
      </c>
      <c r="D16" s="54"/>
      <c r="E16" s="54"/>
    </row>
    <row r="17" spans="1:5" ht="15" customHeight="1">
      <c r="A17" s="61">
        <v>1520000</v>
      </c>
      <c r="B17" s="89">
        <v>0</v>
      </c>
      <c r="C17" s="89">
        <f>D29</f>
        <v>471399.43420699687</v>
      </c>
      <c r="D17" s="54"/>
      <c r="E17" s="54"/>
    </row>
    <row r="18" spans="1:5" ht="15" customHeight="1" thickBot="1">
      <c r="A18" s="46" t="s">
        <v>158</v>
      </c>
      <c r="B18" s="105">
        <f>SUM(B15:B17)</f>
        <v>183776.81</v>
      </c>
      <c r="C18" s="73">
        <v>24353263</v>
      </c>
      <c r="D18" s="54"/>
      <c r="E18" s="54"/>
    </row>
    <row r="19" spans="1:5" ht="15" customHeight="1" thickTop="1">
      <c r="A19" s="54"/>
      <c r="B19" s="63"/>
      <c r="C19" s="63"/>
      <c r="D19" s="54"/>
    </row>
    <row r="20" spans="1:5" ht="15" customHeight="1">
      <c r="A20" s="798" t="s">
        <v>516</v>
      </c>
      <c r="B20" s="798"/>
      <c r="C20" s="65"/>
      <c r="D20" s="54"/>
    </row>
    <row r="21" spans="1:5" ht="15" customHeight="1">
      <c r="A21" s="173" t="s">
        <v>227</v>
      </c>
      <c r="B21" s="67" t="s">
        <v>515</v>
      </c>
      <c r="C21" s="67" t="s">
        <v>225</v>
      </c>
      <c r="D21" s="59"/>
      <c r="E21" s="54"/>
    </row>
    <row r="22" spans="1:5" ht="15" customHeight="1">
      <c r="A22" s="70">
        <v>1510001</v>
      </c>
      <c r="B22" s="56">
        <v>253676.13</v>
      </c>
      <c r="C22" s="90">
        <v>13173691.52</v>
      </c>
      <c r="D22" s="54"/>
      <c r="E22" s="54"/>
    </row>
    <row r="23" spans="1:5" ht="15" customHeight="1">
      <c r="A23" s="61">
        <v>1510020</v>
      </c>
      <c r="B23" s="52">
        <v>3879.95</v>
      </c>
      <c r="C23" s="52">
        <v>523793.27</v>
      </c>
      <c r="D23" s="54"/>
      <c r="E23" s="54"/>
    </row>
    <row r="24" spans="1:5" ht="15" customHeight="1">
      <c r="A24" s="61">
        <v>1520000</v>
      </c>
      <c r="B24" s="89">
        <v>0</v>
      </c>
      <c r="C24" s="89">
        <f>D30</f>
        <v>660648.04579300305</v>
      </c>
      <c r="D24" s="54"/>
      <c r="E24" s="54"/>
    </row>
    <row r="25" spans="1:5" ht="15" customHeight="1" thickBot="1">
      <c r="A25" s="46" t="s">
        <v>158</v>
      </c>
      <c r="B25" s="105">
        <f>SUM(B22:B24)</f>
        <v>257556.08000000002</v>
      </c>
      <c r="C25" s="73">
        <f>SUM(C22:C24)</f>
        <v>14358132.835793002</v>
      </c>
      <c r="D25" s="54"/>
      <c r="E25" s="54"/>
    </row>
    <row r="26" spans="1:5" ht="15" customHeight="1" thickTop="1">
      <c r="A26" s="54"/>
      <c r="B26" s="63"/>
      <c r="C26" s="63"/>
      <c r="D26" s="54"/>
      <c r="E26" s="54"/>
    </row>
    <row r="27" spans="1:5" ht="15" customHeight="1">
      <c r="A27" s="65"/>
      <c r="B27" s="65"/>
      <c r="C27" s="65"/>
      <c r="D27" s="65"/>
      <c r="E27" s="54"/>
    </row>
    <row r="28" spans="1:5" ht="45.75" customHeight="1">
      <c r="A28" s="173" t="s">
        <v>515</v>
      </c>
      <c r="B28" s="67" t="s">
        <v>514</v>
      </c>
      <c r="C28" s="67" t="s">
        <v>513</v>
      </c>
      <c r="D28" s="67" t="s">
        <v>512</v>
      </c>
      <c r="E28" s="99"/>
    </row>
    <row r="29" spans="1:5" ht="15" customHeight="1">
      <c r="A29" s="56">
        <v>183776.81</v>
      </c>
      <c r="B29" s="58" t="s">
        <v>511</v>
      </c>
      <c r="C29" s="172">
        <f>A29/A31</f>
        <v>0.41641312978056089</v>
      </c>
      <c r="D29" s="56">
        <f>C29*C9</f>
        <v>471399.43420699687</v>
      </c>
      <c r="E29" s="54"/>
    </row>
    <row r="30" spans="1:5" ht="15" customHeight="1">
      <c r="A30" s="89">
        <v>257556.08</v>
      </c>
      <c r="B30" s="54" t="s">
        <v>510</v>
      </c>
      <c r="C30" s="171">
        <f>A30/A31</f>
        <v>0.58358687021943911</v>
      </c>
      <c r="D30" s="89">
        <f>C9*C30</f>
        <v>660648.04579300305</v>
      </c>
      <c r="E30" s="54"/>
    </row>
    <row r="31" spans="1:5" ht="15" customHeight="1" thickBot="1">
      <c r="A31" s="105">
        <v>441332.89</v>
      </c>
      <c r="B31" s="54"/>
      <c r="C31" s="170">
        <f>C29+C30</f>
        <v>1</v>
      </c>
      <c r="D31" s="105">
        <v>1132047.48</v>
      </c>
      <c r="E31" s="54"/>
    </row>
    <row r="32" spans="1:5" ht="15" customHeight="1" thickTop="1">
      <c r="A32" s="63"/>
      <c r="B32" s="54"/>
      <c r="C32" s="63"/>
      <c r="D32" s="63"/>
    </row>
    <row r="33" spans="1:2" ht="15" customHeight="1"/>
    <row r="34" spans="1:2" ht="15" customHeight="1">
      <c r="A34" s="54" t="s">
        <v>2</v>
      </c>
      <c r="B34" s="54" t="s">
        <v>3</v>
      </c>
    </row>
    <row r="35" spans="1:2" ht="15" customHeight="1"/>
  </sheetData>
  <mergeCells count="6">
    <mergeCell ref="A20:B20"/>
    <mergeCell ref="A2:D2"/>
    <mergeCell ref="A1:D1"/>
    <mergeCell ref="A4:D4"/>
    <mergeCell ref="A3:D3"/>
    <mergeCell ref="A13:B1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19E22-FE60-4AD2-811E-9071A75957BE}">
  <dimension ref="A1:H21"/>
  <sheetViews>
    <sheetView showRuler="0" workbookViewId="0">
      <selection sqref="A1:D1"/>
    </sheetView>
  </sheetViews>
  <sheetFormatPr defaultColWidth="13.7265625" defaultRowHeight="12.5"/>
  <cols>
    <col min="1" max="16384" width="13.7265625" style="41"/>
  </cols>
  <sheetData>
    <row r="1" spans="1:8" ht="15" customHeight="1">
      <c r="A1" s="711" t="s">
        <v>0</v>
      </c>
      <c r="B1" s="709"/>
      <c r="C1" s="709"/>
    </row>
    <row r="2" spans="1:8" ht="15" customHeight="1">
      <c r="A2" s="712" t="s">
        <v>531</v>
      </c>
      <c r="B2" s="709"/>
      <c r="C2" s="709"/>
      <c r="D2" s="709"/>
      <c r="E2" s="709"/>
      <c r="F2" s="709"/>
    </row>
    <row r="3" spans="1:8" ht="15" customHeight="1">
      <c r="A3" s="712" t="s">
        <v>530</v>
      </c>
      <c r="B3" s="709"/>
      <c r="C3" s="709"/>
    </row>
    <row r="4" spans="1:8" ht="15" customHeight="1">
      <c r="A4" s="712" t="s">
        <v>119</v>
      </c>
      <c r="B4" s="709"/>
      <c r="C4" s="709"/>
    </row>
    <row r="5" spans="1:8" ht="15" customHeight="1"/>
    <row r="6" spans="1:8" ht="15" customHeight="1"/>
    <row r="7" spans="1:8" ht="15" customHeight="1"/>
    <row r="8" spans="1:8" ht="15" customHeight="1">
      <c r="A8" s="176" t="s">
        <v>296</v>
      </c>
      <c r="B8" s="799" t="s">
        <v>529</v>
      </c>
      <c r="C8" s="800"/>
      <c r="D8" s="800"/>
      <c r="E8" s="800"/>
      <c r="F8" s="800"/>
      <c r="G8" s="801"/>
      <c r="H8" s="59"/>
    </row>
    <row r="9" spans="1:8" ht="27.65" customHeight="1">
      <c r="A9" s="176" t="s">
        <v>528</v>
      </c>
      <c r="B9" s="799" t="s">
        <v>527</v>
      </c>
      <c r="C9" s="800"/>
      <c r="D9" s="800"/>
      <c r="E9" s="800"/>
      <c r="F9" s="800"/>
      <c r="G9" s="801"/>
      <c r="H9" s="59"/>
    </row>
    <row r="10" spans="1:8" ht="15" customHeight="1">
      <c r="A10" s="176" t="s">
        <v>526</v>
      </c>
      <c r="B10" s="799" t="s">
        <v>525</v>
      </c>
      <c r="C10" s="800"/>
      <c r="D10" s="800"/>
      <c r="E10" s="800"/>
      <c r="F10" s="800"/>
      <c r="G10" s="801"/>
      <c r="H10" s="59"/>
    </row>
    <row r="11" spans="1:8" ht="15" customHeight="1">
      <c r="A11" s="174" t="s">
        <v>227</v>
      </c>
      <c r="B11" s="808" t="s">
        <v>524</v>
      </c>
      <c r="C11" s="809"/>
      <c r="D11" s="809"/>
      <c r="E11" s="809"/>
      <c r="F11" s="809"/>
      <c r="G11" s="810"/>
      <c r="H11" s="59"/>
    </row>
    <row r="12" spans="1:8" ht="15" customHeight="1">
      <c r="A12" s="175">
        <v>1720000</v>
      </c>
      <c r="B12" s="802">
        <v>4803.54</v>
      </c>
      <c r="C12" s="803"/>
      <c r="D12" s="803"/>
      <c r="E12" s="803"/>
      <c r="F12" s="803"/>
      <c r="G12" s="804"/>
      <c r="H12" s="59"/>
    </row>
    <row r="13" spans="1:8" ht="15" customHeight="1">
      <c r="A13" s="175">
        <v>4540005</v>
      </c>
      <c r="B13" s="802">
        <v>4270.24</v>
      </c>
      <c r="C13" s="803"/>
      <c r="D13" s="803"/>
      <c r="E13" s="803"/>
      <c r="F13" s="803"/>
      <c r="G13" s="804"/>
      <c r="H13" s="59"/>
    </row>
    <row r="14" spans="1:8" ht="15" customHeight="1">
      <c r="A14" s="175">
        <v>5890001</v>
      </c>
      <c r="B14" s="802">
        <v>-9073.7800000000007</v>
      </c>
      <c r="C14" s="803"/>
      <c r="D14" s="803"/>
      <c r="E14" s="803"/>
      <c r="F14" s="803"/>
      <c r="G14" s="804"/>
      <c r="H14" s="59"/>
    </row>
    <row r="15" spans="1:8" ht="15" customHeight="1">
      <c r="A15" s="174" t="s">
        <v>172</v>
      </c>
      <c r="B15" s="805">
        <v>0</v>
      </c>
      <c r="C15" s="806"/>
      <c r="D15" s="806"/>
      <c r="E15" s="806"/>
      <c r="F15" s="806"/>
      <c r="G15" s="807"/>
      <c r="H15" s="59"/>
    </row>
    <row r="16" spans="1:8" ht="15" customHeight="1">
      <c r="A16" s="58"/>
      <c r="B16" s="58"/>
      <c r="C16" s="58"/>
      <c r="D16" s="58"/>
      <c r="E16" s="58"/>
      <c r="F16" s="58"/>
      <c r="G16" s="58"/>
    </row>
    <row r="17" spans="1:2" ht="15" customHeight="1"/>
    <row r="18" spans="1:2" ht="15" customHeight="1"/>
    <row r="19" spans="1:2" ht="15" customHeight="1"/>
    <row r="20" spans="1:2" ht="15" customHeight="1">
      <c r="A20" s="54" t="s">
        <v>2</v>
      </c>
      <c r="B20" s="54" t="s">
        <v>3</v>
      </c>
    </row>
    <row r="21" spans="1:2" ht="15" customHeight="1"/>
  </sheetData>
  <mergeCells count="12">
    <mergeCell ref="A1:C1"/>
    <mergeCell ref="A2:F2"/>
    <mergeCell ref="A4:C4"/>
    <mergeCell ref="A3:C3"/>
    <mergeCell ref="B8:G8"/>
    <mergeCell ref="B9:G9"/>
    <mergeCell ref="B13:G13"/>
    <mergeCell ref="B14:G14"/>
    <mergeCell ref="B15:G15"/>
    <mergeCell ref="B12:G12"/>
    <mergeCell ref="B11:G11"/>
    <mergeCell ref="B10:G10"/>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0412-2177-4140-B9F1-F9199D14744B}">
  <dimension ref="A1:E25"/>
  <sheetViews>
    <sheetView showRuler="0" workbookViewId="0">
      <selection activeCell="H15" sqref="H15"/>
    </sheetView>
  </sheetViews>
  <sheetFormatPr defaultColWidth="13.7265625" defaultRowHeight="12.5"/>
  <cols>
    <col min="1" max="2" width="13.7265625" style="41"/>
    <col min="3" max="3" width="13.7265625" style="213"/>
    <col min="4" max="4" width="17" style="213" customWidth="1"/>
    <col min="5" max="5" width="13.7265625" style="213"/>
    <col min="6" max="16384" width="13.7265625" style="41"/>
  </cols>
  <sheetData>
    <row r="1" spans="1:5" ht="15" customHeight="1">
      <c r="A1" s="711" t="s">
        <v>0</v>
      </c>
      <c r="B1" s="709"/>
      <c r="C1" s="709"/>
    </row>
    <row r="2" spans="1:5" ht="16.75" customHeight="1">
      <c r="A2" s="712" t="s">
        <v>535</v>
      </c>
      <c r="B2" s="709"/>
      <c r="C2" s="709"/>
      <c r="D2" s="709"/>
      <c r="E2" s="709"/>
    </row>
    <row r="3" spans="1:5" ht="16.75" customHeight="1">
      <c r="A3" s="712" t="s">
        <v>534</v>
      </c>
      <c r="B3" s="709"/>
      <c r="C3" s="709"/>
    </row>
    <row r="4" spans="1:5" ht="16.75" customHeight="1">
      <c r="A4" s="712" t="s">
        <v>119</v>
      </c>
      <c r="B4" s="709"/>
      <c r="C4" s="709"/>
    </row>
    <row r="5" spans="1:5" ht="15" customHeight="1"/>
    <row r="6" spans="1:5" ht="15" customHeight="1">
      <c r="A6" s="185" t="s">
        <v>350</v>
      </c>
      <c r="B6" s="184" t="s">
        <v>533</v>
      </c>
      <c r="C6" s="222"/>
    </row>
    <row r="7" spans="1:5" ht="15" customHeight="1">
      <c r="A7" s="48"/>
      <c r="B7" s="48"/>
      <c r="D7" s="210" t="s">
        <v>532</v>
      </c>
    </row>
    <row r="8" spans="1:5" ht="15" customHeight="1">
      <c r="A8" s="183" t="s">
        <v>227</v>
      </c>
      <c r="B8" s="182" t="s">
        <v>225</v>
      </c>
      <c r="C8" s="222"/>
    </row>
    <row r="9" spans="1:5" ht="15" customHeight="1">
      <c r="A9" s="181">
        <v>5060000</v>
      </c>
      <c r="B9" s="139">
        <v>2755.43</v>
      </c>
      <c r="C9" s="222"/>
      <c r="D9" s="236">
        <f t="shared" ref="D9:D16" si="0">-B9</f>
        <v>-2755.43</v>
      </c>
      <c r="E9" s="210"/>
    </row>
    <row r="10" spans="1:5" ht="15" customHeight="1">
      <c r="A10" s="180">
        <v>5830000</v>
      </c>
      <c r="B10" s="179">
        <v>1309.3399999999999</v>
      </c>
      <c r="C10" s="222"/>
      <c r="D10" s="236">
        <f t="shared" si="0"/>
        <v>-1309.3399999999999</v>
      </c>
      <c r="E10" s="209"/>
    </row>
    <row r="11" spans="1:5" ht="15" customHeight="1">
      <c r="A11" s="180">
        <v>5880000</v>
      </c>
      <c r="B11" s="179">
        <v>6698.18</v>
      </c>
      <c r="C11" s="222"/>
      <c r="D11" s="236">
        <f t="shared" si="0"/>
        <v>-6698.18</v>
      </c>
      <c r="E11" s="209"/>
    </row>
    <row r="12" spans="1:5" ht="15" customHeight="1">
      <c r="A12" s="180">
        <v>9200000</v>
      </c>
      <c r="B12" s="179">
        <v>15969.73</v>
      </c>
      <c r="C12" s="222"/>
      <c r="D12" s="236">
        <f t="shared" si="0"/>
        <v>-15969.73</v>
      </c>
      <c r="E12" s="209"/>
    </row>
    <row r="13" spans="1:5" ht="15" customHeight="1">
      <c r="A13" s="180">
        <v>9210001</v>
      </c>
      <c r="B13" s="179">
        <v>10539.55</v>
      </c>
      <c r="C13" s="222"/>
      <c r="D13" s="236">
        <f t="shared" si="0"/>
        <v>-10539.55</v>
      </c>
      <c r="E13" s="209"/>
    </row>
    <row r="14" spans="1:5" ht="15" customHeight="1">
      <c r="A14" s="180">
        <v>9230001</v>
      </c>
      <c r="B14" s="179">
        <v>49894.59</v>
      </c>
      <c r="C14" s="222"/>
      <c r="D14" s="236">
        <f t="shared" si="0"/>
        <v>-49894.59</v>
      </c>
      <c r="E14" s="209"/>
    </row>
    <row r="15" spans="1:5" ht="15" customHeight="1">
      <c r="A15" s="180">
        <v>9260055</v>
      </c>
      <c r="B15" s="179">
        <v>-2791.83</v>
      </c>
      <c r="C15" s="222"/>
      <c r="D15" s="236">
        <f t="shared" si="0"/>
        <v>2791.83</v>
      </c>
      <c r="E15" s="209"/>
    </row>
    <row r="16" spans="1:5" ht="15" customHeight="1">
      <c r="A16" s="180">
        <v>9310005</v>
      </c>
      <c r="B16" s="179">
        <v>0.98</v>
      </c>
      <c r="C16" s="222"/>
      <c r="D16" s="244">
        <f t="shared" si="0"/>
        <v>-0.98</v>
      </c>
      <c r="E16" s="209"/>
    </row>
    <row r="17" spans="1:5" ht="15" customHeight="1" thickBot="1">
      <c r="A17" s="178" t="s">
        <v>172</v>
      </c>
      <c r="B17" s="177">
        <v>84375.97</v>
      </c>
      <c r="C17" s="222"/>
      <c r="D17" s="246">
        <f>SUM(D9:D16)</f>
        <v>-84375.969999999987</v>
      </c>
      <c r="E17" s="209"/>
    </row>
    <row r="18" spans="1:5" ht="15" customHeight="1" thickTop="1">
      <c r="A18" s="231"/>
      <c r="B18" s="231"/>
      <c r="C18" s="209"/>
      <c r="D18" s="228"/>
      <c r="E18" s="209"/>
    </row>
    <row r="19" spans="1:5" ht="15" customHeight="1">
      <c r="A19" s="209"/>
      <c r="B19" s="209"/>
      <c r="C19" s="209"/>
      <c r="D19" s="209"/>
      <c r="E19" s="209"/>
    </row>
    <row r="20" spans="1:5" ht="15" customHeight="1">
      <c r="A20" s="209"/>
      <c r="B20" s="209"/>
      <c r="C20" s="209"/>
      <c r="D20" s="209"/>
      <c r="E20" s="209"/>
    </row>
    <row r="21" spans="1:5" ht="15" customHeight="1">
      <c r="A21" s="209"/>
      <c r="B21" s="209"/>
      <c r="C21" s="209"/>
      <c r="D21" s="209"/>
      <c r="E21" s="209"/>
    </row>
    <row r="22" spans="1:5" ht="15" customHeight="1">
      <c r="A22" s="213"/>
      <c r="B22" s="213"/>
    </row>
    <row r="23" spans="1:5" ht="15" customHeight="1"/>
    <row r="24" spans="1:5" ht="15" customHeight="1">
      <c r="A24" s="54" t="s">
        <v>2</v>
      </c>
      <c r="B24" s="54" t="s">
        <v>3</v>
      </c>
    </row>
    <row r="25" spans="1:5" ht="15" customHeight="1"/>
  </sheetData>
  <mergeCells count="4">
    <mergeCell ref="A1:C1"/>
    <mergeCell ref="A2:E2"/>
    <mergeCell ref="A4:C4"/>
    <mergeCell ref="A3:C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747E6-DE0A-40A4-846E-511181EC3465}">
  <dimension ref="A1:H34"/>
  <sheetViews>
    <sheetView showRuler="0" workbookViewId="0">
      <selection activeCell="B32" sqref="B32"/>
    </sheetView>
  </sheetViews>
  <sheetFormatPr defaultColWidth="13.7265625" defaultRowHeight="12.5"/>
  <cols>
    <col min="1" max="1" width="27.453125" style="41" customWidth="1"/>
    <col min="2" max="16384" width="13.7265625" style="41"/>
  </cols>
  <sheetData>
    <row r="1" spans="1:6" ht="15" customHeight="1">
      <c r="A1" s="711" t="s">
        <v>0</v>
      </c>
      <c r="B1" s="709"/>
      <c r="C1" s="709"/>
    </row>
    <row r="2" spans="1:6" ht="15" customHeight="1">
      <c r="A2" s="712" t="s">
        <v>548</v>
      </c>
      <c r="B2" s="709"/>
      <c r="C2" s="709"/>
      <c r="D2" s="709"/>
      <c r="E2" s="709"/>
      <c r="F2" s="709"/>
    </row>
    <row r="3" spans="1:6" ht="15" customHeight="1">
      <c r="A3" s="712" t="s">
        <v>547</v>
      </c>
      <c r="B3" s="709"/>
      <c r="C3" s="709"/>
    </row>
    <row r="4" spans="1:6" ht="15" customHeight="1">
      <c r="A4" s="712" t="s">
        <v>119</v>
      </c>
      <c r="B4" s="709"/>
      <c r="C4" s="709"/>
    </row>
    <row r="5" spans="1:6" ht="15" customHeight="1"/>
    <row r="6" spans="1:6" ht="15" customHeight="1">
      <c r="A6" s="176" t="s">
        <v>350</v>
      </c>
      <c r="B6" s="176" t="s">
        <v>546</v>
      </c>
      <c r="C6" s="109"/>
    </row>
    <row r="7" spans="1:6" ht="27.65" customHeight="1">
      <c r="A7" s="176" t="s">
        <v>306</v>
      </c>
      <c r="B7" s="176" t="s">
        <v>407</v>
      </c>
      <c r="C7" s="176" t="s">
        <v>178</v>
      </c>
      <c r="D7" s="176" t="s">
        <v>545</v>
      </c>
      <c r="E7" s="59"/>
    </row>
    <row r="8" spans="1:6" ht="15" customHeight="1">
      <c r="A8" s="165">
        <v>2022</v>
      </c>
      <c r="B8" s="70">
        <v>4</v>
      </c>
      <c r="C8" s="58"/>
      <c r="D8" s="149">
        <v>2672.79</v>
      </c>
      <c r="E8" s="59"/>
    </row>
    <row r="9" spans="1:6" ht="15" customHeight="1">
      <c r="A9" s="181">
        <v>2022</v>
      </c>
      <c r="B9" s="61">
        <v>5</v>
      </c>
      <c r="C9" s="54"/>
      <c r="D9" s="139">
        <v>630</v>
      </c>
      <c r="E9" s="59"/>
    </row>
    <row r="10" spans="1:6" ht="15" customHeight="1">
      <c r="A10" s="181">
        <v>2022</v>
      </c>
      <c r="B10" s="61">
        <v>6</v>
      </c>
      <c r="C10" s="54"/>
      <c r="D10" s="139">
        <v>6282.32</v>
      </c>
      <c r="E10" s="59"/>
    </row>
    <row r="11" spans="1:6" ht="15" customHeight="1">
      <c r="A11" s="181">
        <v>2022</v>
      </c>
      <c r="B11" s="61">
        <v>7</v>
      </c>
      <c r="C11" s="54"/>
      <c r="D11" s="139">
        <v>2480.6</v>
      </c>
      <c r="E11" s="59"/>
    </row>
    <row r="12" spans="1:6" ht="15" customHeight="1">
      <c r="A12" s="181">
        <v>2022</v>
      </c>
      <c r="B12" s="61">
        <v>9</v>
      </c>
      <c r="C12" s="54" t="s">
        <v>544</v>
      </c>
      <c r="D12" s="139">
        <v>970</v>
      </c>
      <c r="E12" s="59"/>
    </row>
    <row r="13" spans="1:6" ht="15" customHeight="1">
      <c r="A13" s="181">
        <v>2022</v>
      </c>
      <c r="B13" s="61">
        <v>9</v>
      </c>
      <c r="C13" s="54" t="s">
        <v>539</v>
      </c>
      <c r="D13" s="139">
        <v>-129001.28</v>
      </c>
      <c r="E13" s="186" t="s">
        <v>537</v>
      </c>
    </row>
    <row r="14" spans="1:6" ht="15" customHeight="1">
      <c r="A14" s="181">
        <v>2022</v>
      </c>
      <c r="B14" s="61">
        <v>9</v>
      </c>
      <c r="C14" s="54" t="s">
        <v>543</v>
      </c>
      <c r="D14" s="139">
        <v>128031.24</v>
      </c>
      <c r="E14" s="59"/>
    </row>
    <row r="15" spans="1:6" ht="15" customHeight="1">
      <c r="A15" s="181">
        <v>2022</v>
      </c>
      <c r="B15" s="61">
        <v>9</v>
      </c>
      <c r="C15" s="54" t="s">
        <v>542</v>
      </c>
      <c r="D15" s="139">
        <v>0</v>
      </c>
      <c r="E15" s="59"/>
    </row>
    <row r="16" spans="1:6" ht="15" customHeight="1">
      <c r="A16" s="181">
        <v>2022</v>
      </c>
      <c r="B16" s="61">
        <v>9</v>
      </c>
      <c r="C16" s="54" t="s">
        <v>541</v>
      </c>
      <c r="D16" s="139">
        <v>-64015.62</v>
      </c>
      <c r="E16" s="59"/>
    </row>
    <row r="17" spans="1:8" ht="15" customHeight="1">
      <c r="A17" s="181">
        <v>2022</v>
      </c>
      <c r="B17" s="61">
        <v>9</v>
      </c>
      <c r="C17" s="54" t="s">
        <v>540</v>
      </c>
      <c r="D17" s="139">
        <v>0.04</v>
      </c>
      <c r="E17" s="59"/>
    </row>
    <row r="18" spans="1:8" ht="15" customHeight="1">
      <c r="A18" s="181">
        <v>2022</v>
      </c>
      <c r="B18" s="61">
        <v>10</v>
      </c>
      <c r="C18" s="54"/>
      <c r="D18" s="139">
        <v>335.4</v>
      </c>
      <c r="E18" s="59"/>
    </row>
    <row r="19" spans="1:8" ht="15" customHeight="1">
      <c r="A19" s="181">
        <v>2022</v>
      </c>
      <c r="B19" s="61">
        <v>12</v>
      </c>
      <c r="C19" s="54"/>
      <c r="D19" s="139">
        <v>475</v>
      </c>
      <c r="E19" s="59"/>
    </row>
    <row r="20" spans="1:8" ht="15" customHeight="1">
      <c r="A20" s="187">
        <v>2023</v>
      </c>
      <c r="B20" s="69">
        <v>1</v>
      </c>
      <c r="C20" s="65"/>
      <c r="D20" s="135">
        <v>33.25</v>
      </c>
      <c r="E20" s="59"/>
    </row>
    <row r="21" spans="1:8" ht="15" customHeight="1">
      <c r="A21" s="164" t="s">
        <v>172</v>
      </c>
      <c r="B21" s="163"/>
      <c r="C21" s="163"/>
      <c r="D21" s="162">
        <v>-51106.26</v>
      </c>
      <c r="E21" s="59"/>
    </row>
    <row r="22" spans="1:8" ht="15" customHeight="1">
      <c r="A22" s="58"/>
      <c r="B22" s="58"/>
      <c r="C22" s="58"/>
      <c r="D22" s="58"/>
    </row>
    <row r="23" spans="1:8" ht="15" customHeight="1"/>
    <row r="24" spans="1:8" ht="15" customHeight="1">
      <c r="A24" s="176" t="s">
        <v>296</v>
      </c>
      <c r="B24" s="799" t="s">
        <v>539</v>
      </c>
      <c r="C24" s="800"/>
      <c r="D24" s="800"/>
      <c r="E24" s="800"/>
      <c r="F24" s="800"/>
      <c r="G24" s="801"/>
      <c r="H24" s="59"/>
    </row>
    <row r="25" spans="1:8" ht="15" customHeight="1">
      <c r="A25" s="176" t="s">
        <v>528</v>
      </c>
      <c r="B25" s="799" t="s">
        <v>538</v>
      </c>
      <c r="C25" s="800"/>
      <c r="D25" s="800"/>
      <c r="E25" s="800"/>
      <c r="F25" s="800"/>
      <c r="G25" s="801"/>
      <c r="H25" s="59"/>
    </row>
    <row r="26" spans="1:8" ht="15" customHeight="1">
      <c r="A26" s="176" t="s">
        <v>526</v>
      </c>
      <c r="B26" s="799" t="s">
        <v>525</v>
      </c>
      <c r="C26" s="800"/>
      <c r="D26" s="800"/>
      <c r="E26" s="800"/>
      <c r="F26" s="800"/>
      <c r="G26" s="801"/>
      <c r="H26" s="59"/>
    </row>
    <row r="27" spans="1:8" ht="15" customHeight="1">
      <c r="A27" s="174" t="s">
        <v>227</v>
      </c>
      <c r="B27" s="808" t="s">
        <v>225</v>
      </c>
      <c r="C27" s="809"/>
      <c r="D27" s="809"/>
      <c r="E27" s="809"/>
      <c r="F27" s="809"/>
      <c r="G27" s="810"/>
      <c r="H27" s="59"/>
    </row>
    <row r="28" spans="1:8" ht="15" customHeight="1">
      <c r="A28" s="175">
        <v>5130000</v>
      </c>
      <c r="B28" s="811">
        <v>-129001.28</v>
      </c>
      <c r="C28" s="812"/>
      <c r="D28" s="812"/>
      <c r="E28" s="812"/>
      <c r="F28" s="812"/>
      <c r="G28" s="812"/>
      <c r="H28" s="186" t="s">
        <v>537</v>
      </c>
    </row>
    <row r="29" spans="1:8" ht="15" customHeight="1">
      <c r="A29" s="58"/>
      <c r="B29" s="58"/>
      <c r="C29" s="58"/>
      <c r="D29" s="58"/>
      <c r="E29" s="58"/>
      <c r="F29" s="58"/>
      <c r="G29" s="58"/>
    </row>
    <row r="30" spans="1:8" ht="15" customHeight="1">
      <c r="A30" s="712" t="s">
        <v>536</v>
      </c>
      <c r="B30" s="709"/>
    </row>
    <row r="31" spans="1:8" ht="15" customHeight="1">
      <c r="A31" s="61">
        <v>5130000</v>
      </c>
      <c r="B31" s="51">
        <f>-D21</f>
        <v>51106.26</v>
      </c>
    </row>
    <row r="32" spans="1:8" ht="15" customHeight="1"/>
    <row r="33" spans="1:2" ht="15" customHeight="1">
      <c r="A33" s="54" t="s">
        <v>2</v>
      </c>
      <c r="B33" s="54" t="s">
        <v>3</v>
      </c>
    </row>
    <row r="34" spans="1:2" ht="15" customHeight="1"/>
  </sheetData>
  <mergeCells count="10">
    <mergeCell ref="B27:G27"/>
    <mergeCell ref="B26:G26"/>
    <mergeCell ref="B25:G25"/>
    <mergeCell ref="B28:G28"/>
    <mergeCell ref="A30:B30"/>
    <mergeCell ref="A1:C1"/>
    <mergeCell ref="A2:F2"/>
    <mergeCell ref="A4:C4"/>
    <mergeCell ref="A3:C3"/>
    <mergeCell ref="B24:G2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AE0F0-F08A-4308-9D8B-8964EE5B90DA}">
  <dimension ref="A1:J72"/>
  <sheetViews>
    <sheetView workbookViewId="0">
      <pane xSplit="2" ySplit="9" topLeftCell="E10" activePane="bottomRight" state="frozen"/>
      <selection pane="topRight" activeCell="C1" sqref="C1"/>
      <selection pane="bottomLeft" activeCell="A10" sqref="A10"/>
      <selection pane="bottomRight" activeCell="F68" sqref="F68"/>
    </sheetView>
  </sheetViews>
  <sheetFormatPr defaultRowHeight="12.5"/>
  <cols>
    <col min="1" max="1" width="27.26953125" bestFit="1" customWidth="1"/>
    <col min="2" max="2" width="21.7265625" customWidth="1"/>
    <col min="3" max="3" width="12.26953125" bestFit="1" customWidth="1"/>
    <col min="4" max="4" width="14.81640625" customWidth="1"/>
    <col min="5" max="5" width="15" bestFit="1" customWidth="1"/>
    <col min="6" max="6" width="14.26953125" bestFit="1" customWidth="1"/>
    <col min="7" max="7" width="15" bestFit="1" customWidth="1"/>
    <col min="8" max="8" width="14.26953125" bestFit="1" customWidth="1"/>
    <col min="9" max="9" width="14" bestFit="1" customWidth="1"/>
    <col min="10" max="10" width="14.26953125" bestFit="1" customWidth="1"/>
  </cols>
  <sheetData>
    <row r="1" spans="1:10">
      <c r="A1" s="711" t="s">
        <v>0</v>
      </c>
      <c r="B1" s="709"/>
      <c r="C1" s="709"/>
      <c r="D1" s="41"/>
      <c r="E1" s="41"/>
      <c r="F1" s="41"/>
      <c r="G1" s="41"/>
    </row>
    <row r="2" spans="1:10">
      <c r="A2" s="712" t="s">
        <v>939</v>
      </c>
      <c r="B2" s="709"/>
      <c r="C2" s="709"/>
      <c r="D2" s="709"/>
      <c r="E2" s="709"/>
      <c r="F2" s="709"/>
      <c r="G2" s="709"/>
    </row>
    <row r="3" spans="1:10">
      <c r="A3" s="712" t="s">
        <v>940</v>
      </c>
      <c r="B3" s="709"/>
      <c r="C3" s="709"/>
      <c r="D3" s="709"/>
      <c r="E3" s="709"/>
      <c r="F3" s="709"/>
      <c r="G3" s="709"/>
    </row>
    <row r="4" spans="1:10">
      <c r="A4" s="711" t="s">
        <v>119</v>
      </c>
      <c r="B4" s="709"/>
      <c r="C4" s="709"/>
      <c r="D4" s="709"/>
      <c r="E4" s="709"/>
      <c r="F4" s="709"/>
      <c r="G4" s="709"/>
    </row>
    <row r="6" spans="1:10" ht="14.5">
      <c r="A6" s="38"/>
      <c r="B6" s="38"/>
      <c r="C6" s="38"/>
      <c r="D6" s="454" t="s">
        <v>985</v>
      </c>
      <c r="E6" s="451">
        <v>45524193.409999996</v>
      </c>
      <c r="F6" s="451">
        <v>31566461.662</v>
      </c>
      <c r="G6" s="452"/>
      <c r="H6" s="452"/>
      <c r="I6" s="452"/>
      <c r="J6" s="452"/>
    </row>
    <row r="7" spans="1:10" ht="14.5">
      <c r="A7" s="38"/>
      <c r="B7" s="38"/>
      <c r="C7" s="38"/>
      <c r="D7" s="38"/>
    </row>
    <row r="8" spans="1:10" ht="58">
      <c r="A8" s="38"/>
      <c r="B8" s="38"/>
      <c r="C8" s="38"/>
      <c r="D8" s="38"/>
      <c r="E8" s="457" t="s">
        <v>941</v>
      </c>
      <c r="F8" s="457" t="s">
        <v>942</v>
      </c>
      <c r="G8" s="457" t="s">
        <v>943</v>
      </c>
      <c r="H8" s="457" t="s">
        <v>944</v>
      </c>
      <c r="I8" s="457" t="s">
        <v>945</v>
      </c>
      <c r="J8" s="458"/>
    </row>
    <row r="9" spans="1:10" ht="43.5">
      <c r="A9" s="458" t="s">
        <v>306</v>
      </c>
      <c r="B9" s="458" t="s">
        <v>407</v>
      </c>
      <c r="C9" s="458" t="s">
        <v>178</v>
      </c>
      <c r="D9" s="460" t="s">
        <v>946</v>
      </c>
      <c r="E9" s="459" t="s">
        <v>947</v>
      </c>
      <c r="F9" s="459" t="s">
        <v>948</v>
      </c>
      <c r="G9" s="459" t="s">
        <v>949</v>
      </c>
      <c r="H9" s="459" t="s">
        <v>950</v>
      </c>
      <c r="I9" s="459" t="s">
        <v>951</v>
      </c>
      <c r="J9" s="459" t="s">
        <v>172</v>
      </c>
    </row>
    <row r="10" spans="1:10" ht="14.5">
      <c r="A10" s="461">
        <v>2022</v>
      </c>
      <c r="B10" s="463">
        <v>4</v>
      </c>
      <c r="C10" s="38" t="s">
        <v>952</v>
      </c>
      <c r="D10" s="38"/>
      <c r="E10" s="39"/>
      <c r="F10" s="39"/>
      <c r="G10" s="39">
        <v>5664754.2799999993</v>
      </c>
      <c r="H10" s="39">
        <v>2842903</v>
      </c>
      <c r="I10" s="39"/>
      <c r="J10" s="39">
        <v>8507657.2799999993</v>
      </c>
    </row>
    <row r="11" spans="1:10" ht="14.5">
      <c r="A11" s="461"/>
      <c r="B11" s="463"/>
      <c r="C11" s="38" t="s">
        <v>953</v>
      </c>
      <c r="D11" s="38"/>
      <c r="E11" s="39"/>
      <c r="F11" s="39">
        <v>-109970.47</v>
      </c>
      <c r="G11" s="39"/>
      <c r="H11" s="39"/>
      <c r="I11" s="39"/>
      <c r="J11" s="39">
        <v>-109970.47</v>
      </c>
    </row>
    <row r="12" spans="1:10" ht="14.5">
      <c r="A12" s="461"/>
      <c r="B12" s="463"/>
      <c r="C12" s="38" t="s">
        <v>954</v>
      </c>
      <c r="D12" s="38" t="s">
        <v>955</v>
      </c>
      <c r="E12" s="39">
        <v>416666.66</v>
      </c>
      <c r="F12" s="39">
        <v>833333.33</v>
      </c>
      <c r="G12" s="39"/>
      <c r="H12" s="39"/>
      <c r="I12" s="39">
        <v>-1249999.99</v>
      </c>
      <c r="J12" s="39">
        <v>0</v>
      </c>
    </row>
    <row r="13" spans="1:10" s="18" customFormat="1" ht="14.5">
      <c r="A13" s="462"/>
      <c r="B13" s="464" t="s">
        <v>956</v>
      </c>
      <c r="C13" s="465"/>
      <c r="D13" s="465"/>
      <c r="E13" s="466">
        <v>416666.66</v>
      </c>
      <c r="F13" s="466">
        <v>723362.86</v>
      </c>
      <c r="G13" s="466">
        <v>5664754.2799999993</v>
      </c>
      <c r="H13" s="466">
        <v>2842903</v>
      </c>
      <c r="I13" s="474">
        <v>-1249999.99</v>
      </c>
      <c r="J13" s="466">
        <v>8397686.8099999987</v>
      </c>
    </row>
    <row r="14" spans="1:10" ht="14.5">
      <c r="A14" s="461"/>
      <c r="B14" s="463">
        <v>5</v>
      </c>
      <c r="C14" s="38" t="s">
        <v>952</v>
      </c>
      <c r="D14" s="38"/>
      <c r="E14" s="39"/>
      <c r="F14" s="39"/>
      <c r="G14" s="39">
        <v>6130390.4199999999</v>
      </c>
      <c r="H14" s="39">
        <v>2527856</v>
      </c>
      <c r="I14" s="39"/>
      <c r="J14" s="39">
        <v>8658246.4199999999</v>
      </c>
    </row>
    <row r="15" spans="1:10" ht="14.5">
      <c r="A15" s="461"/>
      <c r="B15" s="463"/>
      <c r="C15" s="38" t="s">
        <v>953</v>
      </c>
      <c r="D15" s="38"/>
      <c r="E15" s="39"/>
      <c r="F15" s="39">
        <v>-186337.05</v>
      </c>
      <c r="G15" s="39"/>
      <c r="H15" s="39"/>
      <c r="I15" s="39"/>
      <c r="J15" s="39">
        <v>-186337.05</v>
      </c>
    </row>
    <row r="16" spans="1:10" ht="14.5">
      <c r="A16" s="461"/>
      <c r="B16" s="463"/>
      <c r="C16" s="38" t="s">
        <v>954</v>
      </c>
      <c r="D16" s="38" t="s">
        <v>957</v>
      </c>
      <c r="E16" s="39">
        <v>416666.66</v>
      </c>
      <c r="F16" s="39">
        <v>833333.33</v>
      </c>
      <c r="G16" s="39"/>
      <c r="H16" s="39"/>
      <c r="I16" s="39">
        <v>-1249999.99</v>
      </c>
      <c r="J16" s="39">
        <v>0</v>
      </c>
    </row>
    <row r="17" spans="1:10" ht="14.5">
      <c r="A17" s="461"/>
      <c r="B17" s="464" t="s">
        <v>958</v>
      </c>
      <c r="C17" s="465"/>
      <c r="D17" s="465"/>
      <c r="E17" s="466">
        <v>416666.66</v>
      </c>
      <c r="F17" s="466">
        <v>646996.28</v>
      </c>
      <c r="G17" s="466">
        <v>6130390.4199999999</v>
      </c>
      <c r="H17" s="466">
        <v>2527856</v>
      </c>
      <c r="I17" s="474">
        <v>-1249999.99</v>
      </c>
      <c r="J17" s="466">
        <v>8471909.3699999992</v>
      </c>
    </row>
    <row r="18" spans="1:10" ht="14.5">
      <c r="A18" s="461"/>
      <c r="B18" s="463">
        <v>6</v>
      </c>
      <c r="C18" s="38" t="s">
        <v>952</v>
      </c>
      <c r="D18" s="38"/>
      <c r="E18" s="39"/>
      <c r="F18" s="39"/>
      <c r="G18" s="39">
        <v>4720903.5</v>
      </c>
      <c r="H18" s="39">
        <v>3686364</v>
      </c>
      <c r="I18" s="39"/>
      <c r="J18" s="39">
        <v>8407267.5</v>
      </c>
    </row>
    <row r="19" spans="1:10" ht="14.5">
      <c r="A19" s="461"/>
      <c r="B19" s="463"/>
      <c r="C19" s="38" t="s">
        <v>953</v>
      </c>
      <c r="D19" s="38"/>
      <c r="E19" s="39"/>
      <c r="F19" s="39">
        <v>238149.81</v>
      </c>
      <c r="G19" s="39"/>
      <c r="H19" s="39"/>
      <c r="I19" s="39"/>
      <c r="J19" s="39">
        <v>238149.81</v>
      </c>
    </row>
    <row r="20" spans="1:10" ht="14.5">
      <c r="A20" s="461"/>
      <c r="B20" s="463"/>
      <c r="C20" s="38" t="s">
        <v>954</v>
      </c>
      <c r="D20" s="38" t="s">
        <v>959</v>
      </c>
      <c r="E20" s="39">
        <v>416666.66</v>
      </c>
      <c r="F20" s="39">
        <v>833333.33</v>
      </c>
      <c r="G20" s="39"/>
      <c r="H20" s="39"/>
      <c r="I20" s="39">
        <v>-1249999.99</v>
      </c>
      <c r="J20" s="39">
        <v>0</v>
      </c>
    </row>
    <row r="21" spans="1:10" ht="14.5">
      <c r="A21" s="461"/>
      <c r="B21" s="464" t="s">
        <v>960</v>
      </c>
      <c r="C21" s="465"/>
      <c r="D21" s="465"/>
      <c r="E21" s="466">
        <v>416666.66</v>
      </c>
      <c r="F21" s="466">
        <v>1071483.1399999999</v>
      </c>
      <c r="G21" s="466">
        <v>4720903.5</v>
      </c>
      <c r="H21" s="466">
        <v>3686364</v>
      </c>
      <c r="I21" s="474">
        <v>-1249999.99</v>
      </c>
      <c r="J21" s="466">
        <v>8645417.3100000005</v>
      </c>
    </row>
    <row r="22" spans="1:10" ht="14.5">
      <c r="A22" s="461"/>
      <c r="B22" s="463">
        <v>7</v>
      </c>
      <c r="C22" s="38" t="s">
        <v>952</v>
      </c>
      <c r="D22" s="38"/>
      <c r="E22" s="39"/>
      <c r="F22" s="39"/>
      <c r="G22" s="39">
        <v>7108901</v>
      </c>
      <c r="H22" s="39">
        <v>5259645</v>
      </c>
      <c r="I22" s="39"/>
      <c r="J22" s="39">
        <v>12368546</v>
      </c>
    </row>
    <row r="23" spans="1:10" ht="14.5">
      <c r="A23" s="461"/>
      <c r="B23" s="463"/>
      <c r="C23" s="38" t="s">
        <v>953</v>
      </c>
      <c r="D23" s="38"/>
      <c r="E23" s="39"/>
      <c r="F23" s="39">
        <v>616905.18999999994</v>
      </c>
      <c r="G23" s="39"/>
      <c r="H23" s="39"/>
      <c r="I23" s="39"/>
      <c r="J23" s="39">
        <v>616905.18999999994</v>
      </c>
    </row>
    <row r="24" spans="1:10" ht="14.5">
      <c r="A24" s="461"/>
      <c r="B24" s="463"/>
      <c r="C24" s="38" t="s">
        <v>954</v>
      </c>
      <c r="D24" s="38" t="s">
        <v>961</v>
      </c>
      <c r="E24" s="39">
        <v>416666.66</v>
      </c>
      <c r="F24" s="39">
        <v>833333.33</v>
      </c>
      <c r="G24" s="39"/>
      <c r="H24" s="39"/>
      <c r="I24" s="39">
        <v>-1249999.99</v>
      </c>
      <c r="J24" s="39">
        <v>0</v>
      </c>
    </row>
    <row r="25" spans="1:10" ht="14.5">
      <c r="A25" s="461"/>
      <c r="B25" s="464" t="s">
        <v>962</v>
      </c>
      <c r="C25" s="465"/>
      <c r="D25" s="465"/>
      <c r="E25" s="466">
        <v>416666.66</v>
      </c>
      <c r="F25" s="466">
        <v>1450238.52</v>
      </c>
      <c r="G25" s="466">
        <v>7108901</v>
      </c>
      <c r="H25" s="466">
        <v>5259645</v>
      </c>
      <c r="I25" s="455">
        <v>-1249999.99</v>
      </c>
      <c r="J25" s="466">
        <v>12985451.189999999</v>
      </c>
    </row>
    <row r="26" spans="1:10" ht="14.5">
      <c r="A26" s="461"/>
      <c r="B26" s="463">
        <v>8</v>
      </c>
      <c r="C26" s="38" t="s">
        <v>952</v>
      </c>
      <c r="D26" s="38"/>
      <c r="E26" s="39"/>
      <c r="F26" s="39"/>
      <c r="G26" s="39">
        <v>6039379.7799999993</v>
      </c>
      <c r="H26" s="39">
        <v>4285297</v>
      </c>
      <c r="I26" s="39"/>
      <c r="J26" s="39">
        <v>10324676.779999999</v>
      </c>
    </row>
    <row r="27" spans="1:10" ht="14.5">
      <c r="A27" s="461"/>
      <c r="B27" s="463"/>
      <c r="C27" s="38" t="s">
        <v>953</v>
      </c>
      <c r="D27" s="38"/>
      <c r="E27" s="39"/>
      <c r="F27" s="39">
        <v>1407730.85</v>
      </c>
      <c r="G27" s="39"/>
      <c r="H27" s="39"/>
      <c r="I27" s="39"/>
      <c r="J27" s="39">
        <v>1407730.85</v>
      </c>
    </row>
    <row r="28" spans="1:10" ht="14.5">
      <c r="A28" s="461"/>
      <c r="B28" s="463"/>
      <c r="C28" s="38" t="s">
        <v>954</v>
      </c>
      <c r="D28" s="38" t="s">
        <v>963</v>
      </c>
      <c r="E28" s="39">
        <v>416666.66</v>
      </c>
      <c r="F28" s="39">
        <v>833333.33</v>
      </c>
      <c r="G28" s="39"/>
      <c r="H28" s="39"/>
      <c r="I28" s="39">
        <v>-1249999.99</v>
      </c>
      <c r="J28" s="39">
        <v>0</v>
      </c>
    </row>
    <row r="29" spans="1:10" ht="14.5">
      <c r="A29" s="461"/>
      <c r="B29" s="464" t="s">
        <v>964</v>
      </c>
      <c r="C29" s="465"/>
      <c r="D29" s="465"/>
      <c r="E29" s="466">
        <v>416666.66</v>
      </c>
      <c r="F29" s="466">
        <v>2241064.1800000002</v>
      </c>
      <c r="G29" s="466">
        <v>6039379.7799999993</v>
      </c>
      <c r="H29" s="466">
        <v>4285297</v>
      </c>
      <c r="I29" s="455">
        <v>-1249999.99</v>
      </c>
      <c r="J29" s="466">
        <v>11732407.629999999</v>
      </c>
    </row>
    <row r="30" spans="1:10" ht="14.5">
      <c r="A30" s="461"/>
      <c r="B30" s="463">
        <v>9</v>
      </c>
      <c r="C30" s="38" t="s">
        <v>952</v>
      </c>
      <c r="D30" s="38"/>
      <c r="E30" s="39"/>
      <c r="F30" s="39"/>
      <c r="G30" s="39">
        <v>5770189.04</v>
      </c>
      <c r="H30" s="39">
        <v>612807</v>
      </c>
      <c r="I30" s="39"/>
      <c r="J30" s="39">
        <v>6382996.04</v>
      </c>
    </row>
    <row r="31" spans="1:10" ht="14.5">
      <c r="A31" s="461"/>
      <c r="B31" s="463"/>
      <c r="C31" s="38" t="s">
        <v>953</v>
      </c>
      <c r="D31" s="38"/>
      <c r="E31" s="39"/>
      <c r="F31" s="39">
        <v>43164.44</v>
      </c>
      <c r="G31" s="39"/>
      <c r="H31" s="39"/>
      <c r="I31" s="39"/>
      <c r="J31" s="39">
        <v>43164.44</v>
      </c>
    </row>
    <row r="32" spans="1:10" ht="14.5">
      <c r="A32" s="461"/>
      <c r="B32" s="463"/>
      <c r="C32" s="38" t="s">
        <v>954</v>
      </c>
      <c r="D32" s="38" t="s">
        <v>965</v>
      </c>
      <c r="E32" s="39">
        <v>416666.66</v>
      </c>
      <c r="F32" s="39">
        <v>833333.33</v>
      </c>
      <c r="G32" s="39"/>
      <c r="H32" s="39"/>
      <c r="I32" s="39">
        <v>-1249999.99</v>
      </c>
      <c r="J32" s="39">
        <v>0</v>
      </c>
    </row>
    <row r="33" spans="1:10" ht="14.5">
      <c r="A33" s="461"/>
      <c r="B33" s="464" t="s">
        <v>966</v>
      </c>
      <c r="C33" s="465"/>
      <c r="D33" s="465"/>
      <c r="E33" s="466">
        <v>416666.66</v>
      </c>
      <c r="F33" s="466">
        <v>876497.77</v>
      </c>
      <c r="G33" s="466">
        <v>5770189.04</v>
      </c>
      <c r="H33" s="466">
        <v>612807</v>
      </c>
      <c r="I33" s="455">
        <v>-1249999.99</v>
      </c>
      <c r="J33" s="466">
        <v>6426160.4800000004</v>
      </c>
    </row>
    <row r="34" spans="1:10" ht="14.5">
      <c r="A34" s="461"/>
      <c r="B34" s="463">
        <v>10</v>
      </c>
      <c r="C34" s="38" t="s">
        <v>952</v>
      </c>
      <c r="D34" s="38"/>
      <c r="E34" s="39"/>
      <c r="F34" s="39"/>
      <c r="G34" s="39">
        <v>4295654.12</v>
      </c>
      <c r="H34" s="39">
        <v>345255</v>
      </c>
      <c r="I34" s="39"/>
      <c r="J34" s="39">
        <v>4640909.12</v>
      </c>
    </row>
    <row r="35" spans="1:10" ht="14.5">
      <c r="A35" s="461"/>
      <c r="B35" s="463"/>
      <c r="C35" s="38" t="s">
        <v>953</v>
      </c>
      <c r="D35" s="38"/>
      <c r="E35" s="39"/>
      <c r="F35" s="39">
        <v>-320612.81</v>
      </c>
      <c r="G35" s="39"/>
      <c r="H35" s="39"/>
      <c r="I35" s="39"/>
      <c r="J35" s="39">
        <v>-320612.81</v>
      </c>
    </row>
    <row r="36" spans="1:10" ht="14.5">
      <c r="A36" s="461"/>
      <c r="B36" s="463"/>
      <c r="C36" s="38" t="s">
        <v>954</v>
      </c>
      <c r="D36" s="38" t="s">
        <v>967</v>
      </c>
      <c r="E36" s="39">
        <v>416666.66</v>
      </c>
      <c r="F36" s="39">
        <v>833333.33</v>
      </c>
      <c r="G36" s="39"/>
      <c r="H36" s="39"/>
      <c r="I36" s="39">
        <v>-1249999.99</v>
      </c>
      <c r="J36" s="39">
        <v>0</v>
      </c>
    </row>
    <row r="37" spans="1:10" ht="14.5">
      <c r="A37" s="461"/>
      <c r="B37" s="464" t="s">
        <v>968</v>
      </c>
      <c r="C37" s="465"/>
      <c r="D37" s="465"/>
      <c r="E37" s="466">
        <v>416666.66</v>
      </c>
      <c r="F37" s="466">
        <v>512720.51999999996</v>
      </c>
      <c r="G37" s="466">
        <v>4295654.12</v>
      </c>
      <c r="H37" s="466">
        <v>345255</v>
      </c>
      <c r="I37" s="455">
        <v>-1249999.99</v>
      </c>
      <c r="J37" s="466">
        <v>4320296.3100000005</v>
      </c>
    </row>
    <row r="38" spans="1:10" ht="14.5">
      <c r="A38" s="461"/>
      <c r="B38" s="463">
        <v>11</v>
      </c>
      <c r="C38" s="38" t="s">
        <v>952</v>
      </c>
      <c r="D38" s="38"/>
      <c r="E38" s="39"/>
      <c r="F38" s="39"/>
      <c r="G38" s="39">
        <v>5547490.9700000007</v>
      </c>
      <c r="H38" s="39">
        <v>1616771</v>
      </c>
      <c r="I38" s="39"/>
      <c r="J38" s="39">
        <v>7164261.9700000007</v>
      </c>
    </row>
    <row r="39" spans="1:10" ht="14.5">
      <c r="A39" s="461"/>
      <c r="B39" s="463"/>
      <c r="C39" s="38" t="s">
        <v>953</v>
      </c>
      <c r="D39" s="38"/>
      <c r="E39" s="39"/>
      <c r="F39" s="39">
        <v>-899453.34</v>
      </c>
      <c r="G39" s="39"/>
      <c r="H39" s="39"/>
      <c r="I39" s="39"/>
      <c r="J39" s="39">
        <v>-899453.34</v>
      </c>
    </row>
    <row r="40" spans="1:10" ht="14.5">
      <c r="A40" s="461"/>
      <c r="B40" s="463"/>
      <c r="C40" s="38" t="s">
        <v>954</v>
      </c>
      <c r="D40" s="38" t="s">
        <v>969</v>
      </c>
      <c r="E40" s="39">
        <v>416666.66</v>
      </c>
      <c r="F40" s="39">
        <v>833333.33</v>
      </c>
      <c r="G40" s="39"/>
      <c r="H40" s="39"/>
      <c r="I40" s="39">
        <v>-1249999.99</v>
      </c>
      <c r="J40" s="39">
        <v>0</v>
      </c>
    </row>
    <row r="41" spans="1:10" ht="14.5">
      <c r="A41" s="461"/>
      <c r="B41" s="464" t="s">
        <v>970</v>
      </c>
      <c r="C41" s="465"/>
      <c r="D41" s="465"/>
      <c r="E41" s="466">
        <v>416666.66</v>
      </c>
      <c r="F41" s="466">
        <v>-66120.010000000009</v>
      </c>
      <c r="G41" s="466">
        <v>5547490.9700000007</v>
      </c>
      <c r="H41" s="466">
        <v>1616771</v>
      </c>
      <c r="I41" s="455">
        <v>-1249999.99</v>
      </c>
      <c r="J41" s="466">
        <v>6264808.6300000008</v>
      </c>
    </row>
    <row r="42" spans="1:10" ht="14.5">
      <c r="A42" s="461"/>
      <c r="B42" s="463">
        <v>12</v>
      </c>
      <c r="C42" s="38" t="s">
        <v>952</v>
      </c>
      <c r="D42" s="38"/>
      <c r="E42" s="39"/>
      <c r="F42" s="39"/>
      <c r="G42" s="39">
        <v>450975.9</v>
      </c>
      <c r="H42" s="39">
        <v>1582546.63</v>
      </c>
      <c r="I42" s="39"/>
      <c r="J42" s="39">
        <v>2033522.5299999998</v>
      </c>
    </row>
    <row r="43" spans="1:10" ht="14.5">
      <c r="A43" s="461"/>
      <c r="B43" s="463"/>
      <c r="C43" s="38" t="s">
        <v>953</v>
      </c>
      <c r="D43" s="38"/>
      <c r="E43" s="39"/>
      <c r="F43" s="39">
        <v>-1074188.78</v>
      </c>
      <c r="G43" s="39"/>
      <c r="H43" s="39"/>
      <c r="I43" s="39"/>
      <c r="J43" s="39">
        <v>-1074188.78</v>
      </c>
    </row>
    <row r="44" spans="1:10" ht="14.5">
      <c r="A44" s="461"/>
      <c r="B44" s="463"/>
      <c r="C44" s="38" t="s">
        <v>954</v>
      </c>
      <c r="D44" s="38" t="s">
        <v>971</v>
      </c>
      <c r="E44" s="39">
        <v>107526.88</v>
      </c>
      <c r="F44" s="39">
        <v>215053.76</v>
      </c>
      <c r="G44" s="39"/>
      <c r="H44" s="39"/>
      <c r="I44" s="453">
        <v>-322580.64</v>
      </c>
      <c r="J44" s="39">
        <v>0</v>
      </c>
    </row>
    <row r="45" spans="1:10" ht="14.5">
      <c r="A45" s="461"/>
      <c r="B45" s="463"/>
      <c r="C45" s="38"/>
      <c r="D45" s="38" t="s">
        <v>972</v>
      </c>
      <c r="E45" s="39">
        <v>-518180.52</v>
      </c>
      <c r="F45" s="39"/>
      <c r="G45" s="39"/>
      <c r="H45" s="39"/>
      <c r="I45" s="850">
        <v>518180.52</v>
      </c>
      <c r="J45" s="39">
        <v>0</v>
      </c>
    </row>
    <row r="46" spans="1:10" ht="14.5">
      <c r="A46" s="461"/>
      <c r="B46" s="464" t="s">
        <v>973</v>
      </c>
      <c r="C46" s="465"/>
      <c r="D46" s="465"/>
      <c r="E46" s="466">
        <v>-410653.64</v>
      </c>
      <c r="F46" s="466">
        <v>-859135.02</v>
      </c>
      <c r="G46" s="466">
        <v>450975.9</v>
      </c>
      <c r="H46" s="466">
        <v>1582546.63</v>
      </c>
      <c r="I46" s="466">
        <v>195599.88</v>
      </c>
      <c r="J46" s="466">
        <v>959333.74999999977</v>
      </c>
    </row>
    <row r="47" spans="1:10" ht="14.5">
      <c r="A47" s="462" t="s">
        <v>427</v>
      </c>
      <c r="B47" s="467"/>
      <c r="C47" s="456"/>
      <c r="D47" s="456"/>
      <c r="E47" s="468">
        <v>2922679.64</v>
      </c>
      <c r="F47" s="468">
        <v>6597108.2400000012</v>
      </c>
      <c r="G47" s="468">
        <v>45728639.00999999</v>
      </c>
      <c r="H47" s="468">
        <v>22759444.629999999</v>
      </c>
      <c r="I47" s="468">
        <v>-9804400.040000001</v>
      </c>
      <c r="J47" s="468">
        <v>68203471.479999989</v>
      </c>
    </row>
    <row r="48" spans="1:10" ht="14.5">
      <c r="A48" s="461">
        <v>2023</v>
      </c>
      <c r="B48" s="463">
        <v>1</v>
      </c>
      <c r="C48" s="38" t="s">
        <v>953</v>
      </c>
      <c r="D48" s="38"/>
      <c r="E48" s="39"/>
      <c r="F48" s="39">
        <v>4333293.2</v>
      </c>
      <c r="G48" s="39"/>
      <c r="H48" s="39"/>
      <c r="I48" s="39"/>
      <c r="J48" s="39">
        <v>4333293.2</v>
      </c>
    </row>
    <row r="49" spans="1:10" ht="14.5">
      <c r="A49" s="461"/>
      <c r="B49" s="463"/>
      <c r="C49" s="38" t="s">
        <v>954</v>
      </c>
      <c r="D49" s="38" t="s">
        <v>974</v>
      </c>
      <c r="E49" s="39">
        <v>-701024.89</v>
      </c>
      <c r="F49" s="39"/>
      <c r="G49" s="39"/>
      <c r="H49" s="39"/>
      <c r="I49" s="850">
        <v>701024.89</v>
      </c>
      <c r="J49" s="39">
        <v>0</v>
      </c>
    </row>
    <row r="50" spans="1:10" ht="14.5">
      <c r="A50" s="461"/>
      <c r="B50" s="464" t="s">
        <v>975</v>
      </c>
      <c r="C50" s="465"/>
      <c r="D50" s="465"/>
      <c r="E50" s="466">
        <v>-701024.89</v>
      </c>
      <c r="F50" s="466">
        <v>4333293.2</v>
      </c>
      <c r="G50" s="466"/>
      <c r="H50" s="466"/>
      <c r="I50" s="466">
        <v>701024.89</v>
      </c>
      <c r="J50" s="466">
        <v>4333293.2</v>
      </c>
    </row>
    <row r="51" spans="1:10" ht="14.5">
      <c r="A51" s="461"/>
      <c r="B51" s="463">
        <v>2</v>
      </c>
      <c r="C51" s="38" t="s">
        <v>976</v>
      </c>
      <c r="D51" s="38"/>
      <c r="E51" s="39"/>
      <c r="F51" s="39"/>
      <c r="G51" s="39">
        <v>135495.13</v>
      </c>
      <c r="H51" s="39"/>
      <c r="I51" s="39"/>
      <c r="J51" s="39">
        <v>135495.13</v>
      </c>
    </row>
    <row r="52" spans="1:10" ht="14.5">
      <c r="A52" s="461"/>
      <c r="B52" s="463"/>
      <c r="C52" s="38" t="s">
        <v>977</v>
      </c>
      <c r="D52" s="38"/>
      <c r="E52" s="39"/>
      <c r="F52" s="39"/>
      <c r="G52" s="39">
        <v>-117012.23</v>
      </c>
      <c r="H52" s="39"/>
      <c r="I52" s="39"/>
      <c r="J52" s="39">
        <v>-117012.23</v>
      </c>
    </row>
    <row r="53" spans="1:10" ht="14.5">
      <c r="A53" s="461"/>
      <c r="B53" s="463"/>
      <c r="C53" s="38" t="s">
        <v>953</v>
      </c>
      <c r="D53" s="38"/>
      <c r="E53" s="39"/>
      <c r="F53" s="39">
        <v>450146.24</v>
      </c>
      <c r="G53" s="39"/>
      <c r="H53" s="39"/>
      <c r="I53" s="39"/>
      <c r="J53" s="39">
        <v>450146.24</v>
      </c>
    </row>
    <row r="54" spans="1:10" ht="14.5">
      <c r="A54" s="461"/>
      <c r="B54" s="463"/>
      <c r="C54" s="38" t="s">
        <v>954</v>
      </c>
      <c r="D54" s="38" t="s">
        <v>978</v>
      </c>
      <c r="E54" s="39">
        <v>-704556.13</v>
      </c>
      <c r="F54" s="39"/>
      <c r="G54" s="39"/>
      <c r="H54" s="39"/>
      <c r="I54" s="850">
        <v>704556.13</v>
      </c>
      <c r="J54" s="39">
        <v>0</v>
      </c>
    </row>
    <row r="55" spans="1:10" ht="14.5">
      <c r="A55" s="461"/>
      <c r="B55" s="464" t="s">
        <v>979</v>
      </c>
      <c r="C55" s="465"/>
      <c r="D55" s="465"/>
      <c r="E55" s="466">
        <v>-704556.13</v>
      </c>
      <c r="F55" s="466">
        <v>450146.24</v>
      </c>
      <c r="G55" s="466">
        <v>18482.900000000009</v>
      </c>
      <c r="H55" s="466"/>
      <c r="I55" s="466">
        <v>704556.13</v>
      </c>
      <c r="J55" s="466">
        <v>468629.14</v>
      </c>
    </row>
    <row r="56" spans="1:10" ht="14.5">
      <c r="A56" s="461"/>
      <c r="B56" s="463">
        <v>3</v>
      </c>
      <c r="C56" s="38" t="s">
        <v>952</v>
      </c>
      <c r="D56" s="38"/>
      <c r="E56" s="39"/>
      <c r="F56" s="39"/>
      <c r="G56" s="39">
        <v>171816.45</v>
      </c>
      <c r="H56" s="39"/>
      <c r="I56" s="39"/>
      <c r="J56" s="39">
        <v>171816.45</v>
      </c>
    </row>
    <row r="57" spans="1:10" ht="14.5">
      <c r="A57" s="461"/>
      <c r="B57" s="463"/>
      <c r="C57" s="38" t="s">
        <v>980</v>
      </c>
      <c r="D57" s="38"/>
      <c r="E57" s="39"/>
      <c r="F57" s="39"/>
      <c r="G57" s="39">
        <v>117012.23</v>
      </c>
      <c r="H57" s="39"/>
      <c r="I57" s="39"/>
      <c r="J57" s="39">
        <v>117012.23</v>
      </c>
    </row>
    <row r="58" spans="1:10" ht="14.5">
      <c r="A58" s="461"/>
      <c r="B58" s="463"/>
      <c r="C58" s="38" t="s">
        <v>953</v>
      </c>
      <c r="D58" s="38"/>
      <c r="E58" s="39"/>
      <c r="F58" s="39">
        <v>2228531</v>
      </c>
      <c r="G58" s="39"/>
      <c r="H58" s="39"/>
      <c r="I58" s="39"/>
      <c r="J58" s="39">
        <v>2228531</v>
      </c>
    </row>
    <row r="59" spans="1:10" ht="14.5">
      <c r="A59" s="461"/>
      <c r="B59" s="463"/>
      <c r="C59" s="38" t="s">
        <v>954</v>
      </c>
      <c r="D59" s="38" t="s">
        <v>981</v>
      </c>
      <c r="E59" s="39">
        <v>-708109.8</v>
      </c>
      <c r="F59" s="39"/>
      <c r="G59" s="39"/>
      <c r="H59" s="39"/>
      <c r="I59" s="850">
        <v>708109.8</v>
      </c>
      <c r="J59" s="39">
        <v>0</v>
      </c>
    </row>
    <row r="60" spans="1:10" ht="14.5">
      <c r="A60" s="461"/>
      <c r="B60" s="464" t="s">
        <v>982</v>
      </c>
      <c r="C60" s="465"/>
      <c r="D60" s="465"/>
      <c r="E60" s="466">
        <v>-708109.8</v>
      </c>
      <c r="F60" s="466">
        <v>2228531</v>
      </c>
      <c r="G60" s="466">
        <v>288828.68</v>
      </c>
      <c r="H60" s="466"/>
      <c r="I60" s="466">
        <v>708109.8</v>
      </c>
      <c r="J60" s="466">
        <v>2517359.6800000002</v>
      </c>
    </row>
    <row r="61" spans="1:10" ht="14.5">
      <c r="A61" s="462" t="s">
        <v>425</v>
      </c>
      <c r="B61" s="467"/>
      <c r="C61" s="456"/>
      <c r="D61" s="456"/>
      <c r="E61" s="468">
        <v>-2113690.8200000003</v>
      </c>
      <c r="F61" s="468">
        <v>7011970.4400000004</v>
      </c>
      <c r="G61" s="468">
        <v>307311.58</v>
      </c>
      <c r="H61" s="468"/>
      <c r="I61" s="468">
        <v>2113690.8200000003</v>
      </c>
      <c r="J61" s="468">
        <v>7319282.0200000005</v>
      </c>
    </row>
    <row r="62" spans="1:10" ht="14.5">
      <c r="A62" s="469" t="s">
        <v>172</v>
      </c>
      <c r="B62" s="470"/>
      <c r="C62" s="458"/>
      <c r="D62" s="458"/>
      <c r="E62" s="471">
        <v>808988.82000000007</v>
      </c>
      <c r="F62" s="471">
        <v>13609078.680000002</v>
      </c>
      <c r="G62" s="475">
        <v>46035950.589999996</v>
      </c>
      <c r="H62" s="472">
        <v>22759444.629999999</v>
      </c>
      <c r="I62" s="471">
        <v>-7690709.2199999997</v>
      </c>
      <c r="J62" s="471">
        <v>75522753.499999985</v>
      </c>
    </row>
    <row r="63" spans="1:10" ht="14.5">
      <c r="A63" s="38"/>
      <c r="B63" s="38"/>
      <c r="C63" s="38"/>
      <c r="D63" s="38"/>
      <c r="E63" s="38"/>
      <c r="F63" s="38"/>
      <c r="G63" s="38"/>
      <c r="H63" s="38"/>
      <c r="I63" s="38"/>
      <c r="J63" s="38"/>
    </row>
    <row r="64" spans="1:10" ht="14.5">
      <c r="A64" s="38"/>
      <c r="B64" s="38"/>
      <c r="C64" s="38"/>
      <c r="D64" s="454" t="s">
        <v>304</v>
      </c>
      <c r="E64" s="39">
        <f>E6+E62</f>
        <v>46333182.229999997</v>
      </c>
      <c r="F64" s="39">
        <f>F6+F62</f>
        <v>45175540.342</v>
      </c>
      <c r="G64" s="452"/>
      <c r="H64" s="452"/>
      <c r="I64" s="452"/>
      <c r="J64" s="452"/>
    </row>
    <row r="65" spans="1:10" ht="14.5">
      <c r="A65" s="38"/>
      <c r="B65" s="38"/>
      <c r="C65" s="38"/>
      <c r="D65" s="38"/>
      <c r="E65" s="38"/>
      <c r="F65" s="38"/>
      <c r="G65" s="38"/>
      <c r="H65" s="38"/>
      <c r="I65" s="38"/>
      <c r="J65" s="38"/>
    </row>
    <row r="66" spans="1:10" ht="14.5">
      <c r="A66" s="476"/>
      <c r="B66" s="38" t="s">
        <v>987</v>
      </c>
      <c r="C66" s="38"/>
      <c r="D66" s="38"/>
      <c r="E66" s="38"/>
      <c r="G66" s="477">
        <v>46035950.589999996</v>
      </c>
      <c r="H66" s="38"/>
      <c r="I66" s="38"/>
      <c r="J66" s="38"/>
    </row>
    <row r="67" spans="1:10" ht="14.5">
      <c r="A67" s="453"/>
      <c r="B67" s="38" t="s">
        <v>986</v>
      </c>
      <c r="C67" s="38"/>
      <c r="D67" s="38"/>
      <c r="G67" s="478">
        <f>I13+I17+I21+I25+I29+I33+I37+I41+I44</f>
        <v>-10322580.560000001</v>
      </c>
      <c r="H67" s="38"/>
      <c r="I67" s="38"/>
      <c r="J67" s="38"/>
    </row>
    <row r="68" spans="1:10" ht="14.5">
      <c r="A68" s="850"/>
      <c r="B68" s="38" t="s">
        <v>983</v>
      </c>
      <c r="C68" s="38"/>
      <c r="D68" s="38"/>
      <c r="G68" s="851">
        <f>I59+I54+I49+I45</f>
        <v>2631871.3400000003</v>
      </c>
      <c r="H68" s="38"/>
      <c r="I68" s="38"/>
      <c r="J68" s="38"/>
    </row>
    <row r="69" spans="1:10" ht="14.5">
      <c r="A69" s="473"/>
      <c r="B69" s="38" t="s">
        <v>984</v>
      </c>
      <c r="C69" s="38"/>
      <c r="D69" s="38"/>
      <c r="G69" s="479">
        <f>H62</f>
        <v>22759444.629999999</v>
      </c>
      <c r="H69" s="38"/>
      <c r="I69" s="38"/>
      <c r="J69" s="38"/>
    </row>
    <row r="70" spans="1:10" ht="14.5">
      <c r="A70" s="38"/>
      <c r="B70" s="38"/>
      <c r="C70" s="38"/>
      <c r="D70" s="38"/>
      <c r="E70" s="38"/>
      <c r="F70" s="38"/>
      <c r="G70" s="38"/>
      <c r="H70" s="38"/>
      <c r="I70" s="38"/>
      <c r="J70" s="38"/>
    </row>
    <row r="72" spans="1:10">
      <c r="A72" s="44" t="s">
        <v>2</v>
      </c>
      <c r="B72" s="44" t="s">
        <v>3</v>
      </c>
    </row>
  </sheetData>
  <mergeCells count="4">
    <mergeCell ref="A1:C1"/>
    <mergeCell ref="A2:G2"/>
    <mergeCell ref="A3:G3"/>
    <mergeCell ref="A4:G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BC1F9-755B-48CE-9422-6B39C0574B5A}">
  <dimension ref="A1:F43"/>
  <sheetViews>
    <sheetView showRuler="0" workbookViewId="0">
      <selection sqref="A1:C1"/>
    </sheetView>
  </sheetViews>
  <sheetFormatPr defaultColWidth="13.7265625" defaultRowHeight="12.5"/>
  <cols>
    <col min="1" max="1" width="18" style="41" customWidth="1"/>
    <col min="2" max="2" width="23.7265625" style="41" customWidth="1"/>
    <col min="3" max="3" width="30.54296875" style="41" customWidth="1"/>
    <col min="4" max="4" width="22.453125" style="41" customWidth="1"/>
    <col min="5" max="16384" width="13.7265625" style="41"/>
  </cols>
  <sheetData>
    <row r="1" spans="1:6" ht="16.75" customHeight="1">
      <c r="A1" s="711" t="s">
        <v>0</v>
      </c>
      <c r="B1" s="709"/>
      <c r="C1" s="709"/>
    </row>
    <row r="2" spans="1:6" ht="16.75" customHeight="1">
      <c r="A2" s="712" t="s">
        <v>558</v>
      </c>
      <c r="B2" s="709"/>
      <c r="C2" s="709"/>
      <c r="D2" s="709"/>
      <c r="E2" s="709"/>
      <c r="F2" s="709"/>
    </row>
    <row r="3" spans="1:6" ht="16.75" customHeight="1">
      <c r="A3" s="712" t="s">
        <v>557</v>
      </c>
      <c r="B3" s="709"/>
      <c r="C3" s="709"/>
      <c r="D3" s="709"/>
      <c r="E3" s="709"/>
      <c r="F3" s="709"/>
    </row>
    <row r="4" spans="1:6" ht="16.75" customHeight="1">
      <c r="A4" s="712" t="s">
        <v>119</v>
      </c>
      <c r="B4" s="709"/>
      <c r="C4" s="709"/>
    </row>
    <row r="5" spans="1:6" ht="15" customHeight="1"/>
    <row r="6" spans="1:6" ht="16.75" customHeight="1">
      <c r="A6" s="54"/>
      <c r="B6" s="54"/>
      <c r="C6" s="65"/>
      <c r="D6" s="65"/>
    </row>
    <row r="7" spans="1:6" ht="16.75" customHeight="1">
      <c r="A7" s="65"/>
      <c r="B7" s="129"/>
      <c r="C7" s="734" t="s">
        <v>177</v>
      </c>
      <c r="D7" s="734"/>
      <c r="E7" s="59"/>
    </row>
    <row r="8" spans="1:6" ht="27.65" customHeight="1">
      <c r="A8" s="67" t="s">
        <v>306</v>
      </c>
      <c r="B8" s="67" t="s">
        <v>407</v>
      </c>
      <c r="C8" s="67" t="s">
        <v>556</v>
      </c>
      <c r="D8" s="67" t="s">
        <v>555</v>
      </c>
      <c r="E8" s="59"/>
    </row>
    <row r="9" spans="1:6" ht="16.75" customHeight="1">
      <c r="A9" s="70">
        <v>2022</v>
      </c>
      <c r="B9" s="70">
        <v>4</v>
      </c>
      <c r="C9" s="56">
        <v>-19338.72</v>
      </c>
      <c r="D9" s="56">
        <v>19338.72</v>
      </c>
    </row>
    <row r="10" spans="1:6" ht="16.75" customHeight="1">
      <c r="A10" s="54"/>
      <c r="B10" s="61">
        <v>5</v>
      </c>
      <c r="C10" s="52">
        <v>-19338.72</v>
      </c>
      <c r="D10" s="52">
        <v>19338.72</v>
      </c>
    </row>
    <row r="11" spans="1:6" ht="16.75" customHeight="1">
      <c r="A11" s="54"/>
      <c r="B11" s="61">
        <v>6</v>
      </c>
      <c r="C11" s="52">
        <v>-19338.72</v>
      </c>
      <c r="D11" s="52">
        <v>19338.72</v>
      </c>
    </row>
    <row r="12" spans="1:6" ht="16.75" customHeight="1">
      <c r="A12" s="54"/>
      <c r="B12" s="61">
        <v>7</v>
      </c>
      <c r="C12" s="52">
        <v>-19338.72</v>
      </c>
      <c r="D12" s="52">
        <v>19338.72</v>
      </c>
    </row>
    <row r="13" spans="1:6" ht="16.75" customHeight="1">
      <c r="A13" s="54"/>
      <c r="B13" s="61">
        <v>8</v>
      </c>
      <c r="C13" s="52">
        <v>-19338.72</v>
      </c>
      <c r="D13" s="52">
        <v>19338.72</v>
      </c>
    </row>
    <row r="14" spans="1:6" ht="16.75" customHeight="1">
      <c r="A14" s="54"/>
      <c r="B14" s="61">
        <v>9</v>
      </c>
      <c r="C14" s="52">
        <v>-19338.72</v>
      </c>
      <c r="D14" s="52">
        <v>19338.72</v>
      </c>
    </row>
    <row r="15" spans="1:6" ht="16.75" customHeight="1">
      <c r="A15" s="54"/>
      <c r="B15" s="61">
        <v>10</v>
      </c>
      <c r="C15" s="52">
        <v>-19338.72</v>
      </c>
      <c r="D15" s="52">
        <v>19338.72</v>
      </c>
    </row>
    <row r="16" spans="1:6" ht="16.75" customHeight="1">
      <c r="A16" s="54"/>
      <c r="B16" s="61">
        <v>11</v>
      </c>
      <c r="C16" s="52">
        <v>-19338.72</v>
      </c>
      <c r="D16" s="52">
        <v>19338.72</v>
      </c>
    </row>
    <row r="17" spans="1:6" ht="16.75" customHeight="1">
      <c r="A17" s="54"/>
      <c r="B17" s="61">
        <v>12</v>
      </c>
      <c r="C17" s="52">
        <v>-19338.72</v>
      </c>
      <c r="D17" s="52">
        <v>19338.72</v>
      </c>
    </row>
    <row r="18" spans="1:6" ht="16.75" customHeight="1">
      <c r="A18" s="61">
        <v>2023</v>
      </c>
      <c r="B18" s="61">
        <v>1</v>
      </c>
      <c r="C18" s="52">
        <v>-19338.72</v>
      </c>
      <c r="D18" s="52">
        <v>19338.72</v>
      </c>
    </row>
    <row r="19" spans="1:6" ht="16.75" customHeight="1">
      <c r="A19" s="54"/>
      <c r="B19" s="61">
        <v>2</v>
      </c>
      <c r="C19" s="52">
        <v>-19338.72</v>
      </c>
      <c r="D19" s="52">
        <v>19338.72</v>
      </c>
    </row>
    <row r="20" spans="1:6" ht="16.75" customHeight="1">
      <c r="A20" s="54"/>
      <c r="B20" s="61">
        <v>3</v>
      </c>
      <c r="C20" s="89">
        <v>-19338.72</v>
      </c>
      <c r="D20" s="89">
        <v>19338.72</v>
      </c>
    </row>
    <row r="21" spans="1:6" ht="16.75" customHeight="1" thickBot="1">
      <c r="A21" s="54"/>
      <c r="B21" s="46" t="s">
        <v>158</v>
      </c>
      <c r="C21" s="105">
        <f>SUM(C9:C20)</f>
        <v>-232064.64000000001</v>
      </c>
      <c r="D21" s="105">
        <f>SUM(D9:D20)</f>
        <v>232064.64000000001</v>
      </c>
    </row>
    <row r="22" spans="1:6" ht="15" customHeight="1" thickTop="1">
      <c r="C22" s="63"/>
      <c r="D22" s="63"/>
    </row>
    <row r="23" spans="1:6" ht="15" customHeight="1"/>
    <row r="24" spans="1:6" ht="15" customHeight="1">
      <c r="A24" s="191" t="s">
        <v>227</v>
      </c>
      <c r="B24" s="191" t="s">
        <v>367</v>
      </c>
      <c r="C24" s="191" t="s">
        <v>522</v>
      </c>
      <c r="D24" s="59"/>
    </row>
    <row r="25" spans="1:6" ht="15" customHeight="1">
      <c r="A25" s="74">
        <v>1823037</v>
      </c>
      <c r="B25" s="54" t="s">
        <v>554</v>
      </c>
      <c r="C25" s="77">
        <v>182158.46</v>
      </c>
      <c r="D25" s="40" t="s">
        <v>552</v>
      </c>
      <c r="E25" s="54"/>
    </row>
    <row r="26" spans="1:6" ht="15" customHeight="1">
      <c r="A26" s="74">
        <v>2540237</v>
      </c>
      <c r="B26" s="54" t="s">
        <v>553</v>
      </c>
      <c r="C26" s="77">
        <v>2097759.92</v>
      </c>
      <c r="D26" s="40" t="s">
        <v>550</v>
      </c>
    </row>
    <row r="27" spans="1:6" ht="15" customHeight="1">
      <c r="A27" s="54"/>
      <c r="B27" s="54"/>
      <c r="C27" s="54"/>
      <c r="D27" s="54"/>
    </row>
    <row r="28" spans="1:6" ht="15" customHeight="1"/>
    <row r="29" spans="1:6" ht="15" customHeight="1">
      <c r="A29" s="189" t="s">
        <v>552</v>
      </c>
      <c r="B29" s="813" t="s">
        <v>551</v>
      </c>
      <c r="C29" s="813"/>
      <c r="D29" s="813"/>
      <c r="E29" s="813"/>
      <c r="F29" s="59"/>
    </row>
    <row r="30" spans="1:6" ht="16.75" customHeight="1">
      <c r="B30" s="813"/>
      <c r="C30" s="813"/>
      <c r="D30" s="813"/>
      <c r="E30" s="813"/>
      <c r="F30" s="59"/>
    </row>
    <row r="31" spans="1:6" ht="16.75" customHeight="1">
      <c r="B31" s="813"/>
      <c r="C31" s="813"/>
      <c r="D31" s="813"/>
      <c r="E31" s="813"/>
      <c r="F31" s="59"/>
    </row>
    <row r="32" spans="1:6" ht="16.75" customHeight="1">
      <c r="B32" s="813"/>
      <c r="C32" s="813"/>
      <c r="D32" s="813"/>
      <c r="E32" s="813"/>
      <c r="F32" s="59"/>
    </row>
    <row r="33" spans="1:6" ht="27" customHeight="1">
      <c r="B33" s="813"/>
      <c r="C33" s="813"/>
      <c r="D33" s="813"/>
      <c r="E33" s="813"/>
      <c r="F33" s="59"/>
    </row>
    <row r="34" spans="1:6" ht="16.75" customHeight="1">
      <c r="B34" s="190"/>
      <c r="C34" s="190"/>
      <c r="D34" s="190"/>
      <c r="E34" s="190"/>
    </row>
    <row r="35" spans="1:6" ht="16.75" customHeight="1">
      <c r="A35" s="189" t="s">
        <v>550</v>
      </c>
      <c r="B35" s="813" t="s">
        <v>549</v>
      </c>
      <c r="C35" s="813"/>
      <c r="D35" s="813"/>
      <c r="E35" s="813"/>
      <c r="F35" s="59"/>
    </row>
    <row r="36" spans="1:6" ht="16.75" customHeight="1">
      <c r="B36" s="813"/>
      <c r="C36" s="813"/>
      <c r="D36" s="813"/>
      <c r="E36" s="813"/>
      <c r="F36" s="59"/>
    </row>
    <row r="37" spans="1:6" ht="16.75" customHeight="1">
      <c r="B37" s="813"/>
      <c r="C37" s="813"/>
      <c r="D37" s="813"/>
      <c r="E37" s="813"/>
      <c r="F37" s="59"/>
    </row>
    <row r="38" spans="1:6" ht="16.75" customHeight="1">
      <c r="B38" s="813"/>
      <c r="C38" s="813"/>
      <c r="D38" s="813"/>
      <c r="E38" s="813"/>
      <c r="F38" s="59"/>
    </row>
    <row r="39" spans="1:6" ht="24.75" customHeight="1">
      <c r="B39" s="813"/>
      <c r="C39" s="813"/>
      <c r="D39" s="813"/>
      <c r="E39" s="813"/>
      <c r="F39" s="59"/>
    </row>
    <row r="40" spans="1:6" ht="16.75" customHeight="1">
      <c r="B40" s="188"/>
      <c r="C40" s="188"/>
      <c r="D40" s="188"/>
      <c r="E40" s="188"/>
    </row>
    <row r="41" spans="1:6" ht="16.75" customHeight="1"/>
    <row r="42" spans="1:6" ht="16.75" customHeight="1">
      <c r="A42" s="44" t="s">
        <v>2</v>
      </c>
      <c r="B42" s="44" t="s">
        <v>3</v>
      </c>
    </row>
    <row r="43" spans="1:6" ht="15" customHeight="1"/>
  </sheetData>
  <mergeCells count="7">
    <mergeCell ref="B29:E33"/>
    <mergeCell ref="B35:E39"/>
    <mergeCell ref="A1:C1"/>
    <mergeCell ref="A2:F2"/>
    <mergeCell ref="A3:F3"/>
    <mergeCell ref="A4:C4"/>
    <mergeCell ref="C7:D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1C4FF-BFEA-4531-ACBE-5DE62B920E17}">
  <dimension ref="A1:AD173"/>
  <sheetViews>
    <sheetView workbookViewId="0">
      <pane ySplit="9" topLeftCell="A10" activePane="bottomLeft" state="frozen"/>
      <selection sqref="A1:D1"/>
      <selection pane="bottomLeft" activeCell="S176" sqref="S176"/>
    </sheetView>
  </sheetViews>
  <sheetFormatPr defaultColWidth="13.7265625" defaultRowHeight="12.5"/>
  <cols>
    <col min="1" max="1" width="13.7265625" style="41"/>
    <col min="2" max="2" width="2.81640625" style="41" customWidth="1"/>
    <col min="3" max="5" width="13.7265625" style="41"/>
    <col min="6" max="6" width="1.1796875" style="41" customWidth="1"/>
    <col min="7" max="7" width="13.7265625" style="41"/>
    <col min="8" max="8" width="1.1796875" style="41" customWidth="1"/>
    <col min="9" max="9" width="13.7265625" style="41"/>
    <col min="10" max="10" width="1.1796875" style="41" customWidth="1"/>
    <col min="11" max="11" width="13.7265625" style="41"/>
    <col min="12" max="12" width="1.1796875" style="41" customWidth="1"/>
    <col min="13" max="13" width="13.7265625" style="41"/>
    <col min="14" max="14" width="1.1796875" style="41" customWidth="1"/>
    <col min="15" max="15" width="13.7265625" style="41"/>
    <col min="16" max="16" width="1.1796875" style="41" customWidth="1"/>
    <col min="17" max="17" width="13.7265625" style="41"/>
    <col min="18" max="18" width="1.1796875" style="41" customWidth="1"/>
    <col min="19" max="19" width="13.7265625" style="41"/>
    <col min="20" max="20" width="1.1796875" style="41" customWidth="1"/>
    <col min="21" max="21" width="13.7265625" style="41"/>
    <col min="22" max="22" width="1.1796875" style="41" customWidth="1"/>
    <col min="23" max="16384" width="13.7265625" style="41"/>
  </cols>
  <sheetData>
    <row r="1" spans="1:30" ht="15" customHeight="1">
      <c r="A1" s="711" t="s">
        <v>0</v>
      </c>
      <c r="B1" s="711"/>
      <c r="C1" s="711"/>
      <c r="D1" s="54"/>
      <c r="E1" s="54"/>
      <c r="F1" s="54"/>
      <c r="G1" s="54"/>
      <c r="K1" s="54"/>
    </row>
    <row r="2" spans="1:30" ht="15" customHeight="1">
      <c r="A2" s="712" t="s">
        <v>680</v>
      </c>
      <c r="B2" s="712"/>
      <c r="C2" s="712"/>
      <c r="D2" s="712"/>
      <c r="E2" s="712"/>
      <c r="F2" s="712"/>
      <c r="G2" s="712"/>
      <c r="H2" s="709"/>
      <c r="I2" s="709"/>
      <c r="K2" s="54"/>
    </row>
    <row r="3" spans="1:30" ht="15" customHeight="1">
      <c r="A3" s="712" t="s">
        <v>679</v>
      </c>
      <c r="B3" s="712"/>
      <c r="C3" s="712"/>
      <c r="D3" s="712"/>
      <c r="E3" s="712"/>
      <c r="F3" s="712"/>
      <c r="G3" s="712"/>
      <c r="K3" s="54"/>
    </row>
    <row r="4" spans="1:30" ht="15" customHeight="1">
      <c r="A4" s="712" t="s">
        <v>119</v>
      </c>
      <c r="B4" s="712"/>
      <c r="C4" s="712"/>
      <c r="D4" s="712"/>
      <c r="E4" s="712"/>
      <c r="F4" s="712"/>
      <c r="G4" s="712"/>
      <c r="K4" s="54"/>
    </row>
    <row r="5" spans="1:30" ht="15" customHeight="1">
      <c r="K5" s="65"/>
    </row>
    <row r="6" spans="1:30" ht="60.75" customHeight="1">
      <c r="A6" s="54" t="s">
        <v>310</v>
      </c>
      <c r="B6" s="137"/>
      <c r="C6" s="67" t="s">
        <v>678</v>
      </c>
      <c r="D6" s="67" t="s">
        <v>677</v>
      </c>
      <c r="E6" s="67" t="s">
        <v>676</v>
      </c>
      <c r="F6" s="194"/>
      <c r="G6" s="67" t="s">
        <v>675</v>
      </c>
      <c r="H6" s="194"/>
      <c r="I6" s="67" t="s">
        <v>674</v>
      </c>
      <c r="J6" s="194"/>
      <c r="K6" s="67" t="s">
        <v>673</v>
      </c>
      <c r="L6" s="194"/>
      <c r="M6" s="67" t="s">
        <v>672</v>
      </c>
      <c r="N6" s="194"/>
      <c r="O6" s="67" t="s">
        <v>671</v>
      </c>
      <c r="P6" s="194"/>
      <c r="Q6" s="67" t="s">
        <v>670</v>
      </c>
      <c r="R6" s="194"/>
      <c r="S6" s="67" t="s">
        <v>669</v>
      </c>
      <c r="T6" s="194"/>
      <c r="U6" s="67" t="s">
        <v>668</v>
      </c>
      <c r="V6" s="194"/>
      <c r="W6" s="67" t="s">
        <v>667</v>
      </c>
      <c r="X6" s="67" t="s">
        <v>666</v>
      </c>
      <c r="Y6" s="67" t="s">
        <v>665</v>
      </c>
      <c r="Z6" s="67" t="s">
        <v>664</v>
      </c>
      <c r="AA6" s="67" t="s">
        <v>663</v>
      </c>
      <c r="AB6" s="67" t="s">
        <v>662</v>
      </c>
      <c r="AC6" s="67" t="s">
        <v>661</v>
      </c>
      <c r="AD6" s="81"/>
    </row>
    <row r="7" spans="1:30" ht="15" customHeight="1">
      <c r="A7" s="54"/>
      <c r="B7" s="54"/>
      <c r="C7" s="45"/>
      <c r="D7" s="45"/>
      <c r="E7" s="45" t="s">
        <v>552</v>
      </c>
      <c r="F7" s="2"/>
      <c r="G7" s="45" t="s">
        <v>550</v>
      </c>
      <c r="H7" s="2"/>
      <c r="I7" s="45" t="s">
        <v>660</v>
      </c>
      <c r="J7" s="2"/>
      <c r="K7" s="45" t="s">
        <v>659</v>
      </c>
      <c r="L7" s="2"/>
      <c r="M7" s="45" t="s">
        <v>658</v>
      </c>
      <c r="N7" s="2"/>
      <c r="O7" s="45" t="s">
        <v>647</v>
      </c>
      <c r="P7" s="2"/>
      <c r="Q7" s="45" t="s">
        <v>657</v>
      </c>
      <c r="R7" s="2"/>
      <c r="S7" s="45" t="s">
        <v>656</v>
      </c>
      <c r="T7" s="2"/>
      <c r="U7" s="45" t="s">
        <v>655</v>
      </c>
      <c r="V7" s="2"/>
      <c r="W7" s="45" t="s">
        <v>654</v>
      </c>
      <c r="X7" s="45" t="s">
        <v>653</v>
      </c>
      <c r="Y7" s="45" t="s">
        <v>652</v>
      </c>
      <c r="Z7" s="45" t="s">
        <v>651</v>
      </c>
      <c r="AA7" s="45" t="s">
        <v>650</v>
      </c>
      <c r="AB7" s="45" t="s">
        <v>649</v>
      </c>
      <c r="AC7" s="45" t="s">
        <v>648</v>
      </c>
    </row>
    <row r="8" spans="1:30" ht="15" customHeight="1">
      <c r="A8" s="54"/>
      <c r="B8" s="54"/>
      <c r="C8" s="54"/>
      <c r="D8" s="54"/>
      <c r="E8" s="54"/>
      <c r="F8" s="54"/>
      <c r="G8" s="54"/>
      <c r="H8" s="54"/>
      <c r="I8" s="54"/>
      <c r="J8" s="54"/>
      <c r="K8" s="54"/>
      <c r="L8" s="54"/>
      <c r="M8" s="54"/>
      <c r="N8" s="54"/>
      <c r="O8" s="54"/>
      <c r="P8" s="54"/>
      <c r="Q8" s="54"/>
      <c r="R8" s="54"/>
      <c r="S8" s="54"/>
      <c r="T8" s="54"/>
      <c r="U8" s="54"/>
      <c r="V8" s="54"/>
      <c r="W8" s="54" t="s">
        <v>647</v>
      </c>
      <c r="X8" s="54" t="s">
        <v>644</v>
      </c>
      <c r="Y8" s="54" t="s">
        <v>646</v>
      </c>
      <c r="Z8" s="54" t="s">
        <v>645</v>
      </c>
      <c r="AA8" s="54" t="s">
        <v>644</v>
      </c>
      <c r="AB8" s="54" t="s">
        <v>643</v>
      </c>
      <c r="AC8" s="54" t="s">
        <v>642</v>
      </c>
    </row>
    <row r="9" spans="1:30" ht="15" customHeight="1">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row>
    <row r="10" spans="1:30" ht="15" customHeight="1">
      <c r="A10" s="40" t="s">
        <v>641</v>
      </c>
      <c r="B10" s="54"/>
      <c r="C10" s="54" t="s">
        <v>637</v>
      </c>
      <c r="D10" s="54" t="s">
        <v>638</v>
      </c>
      <c r="E10" s="52">
        <v>0</v>
      </c>
      <c r="F10" s="54"/>
      <c r="G10" s="52">
        <v>0</v>
      </c>
      <c r="H10" s="54"/>
      <c r="I10" s="52">
        <v>0</v>
      </c>
      <c r="J10" s="54"/>
      <c r="K10" s="52">
        <v>0</v>
      </c>
      <c r="L10" s="54"/>
      <c r="M10" s="52">
        <v>0</v>
      </c>
      <c r="N10" s="54"/>
      <c r="O10" s="52">
        <v>0</v>
      </c>
      <c r="P10" s="54"/>
      <c r="Q10" s="52">
        <v>0</v>
      </c>
      <c r="R10" s="54"/>
      <c r="S10" s="52">
        <v>0</v>
      </c>
      <c r="T10" s="54"/>
      <c r="U10" s="193">
        <v>0.2</v>
      </c>
      <c r="V10" s="54"/>
      <c r="W10" s="52">
        <v>0</v>
      </c>
      <c r="X10" s="61">
        <v>0</v>
      </c>
      <c r="Y10" s="52">
        <v>0</v>
      </c>
      <c r="Z10" s="61">
        <v>0</v>
      </c>
      <c r="AA10" s="52">
        <v>0</v>
      </c>
      <c r="AB10" s="61">
        <v>0</v>
      </c>
      <c r="AC10" s="52">
        <v>0</v>
      </c>
    </row>
    <row r="11" spans="1:30" ht="15" customHeight="1">
      <c r="A11" s="40"/>
      <c r="B11" s="54"/>
      <c r="C11" s="54" t="s">
        <v>637</v>
      </c>
      <c r="D11" s="54" t="s">
        <v>636</v>
      </c>
      <c r="E11" s="52">
        <v>0</v>
      </c>
      <c r="F11" s="54"/>
      <c r="G11" s="52">
        <v>0</v>
      </c>
      <c r="H11" s="54"/>
      <c r="I11" s="52">
        <v>0</v>
      </c>
      <c r="J11" s="54"/>
      <c r="K11" s="52">
        <v>0</v>
      </c>
      <c r="L11" s="54"/>
      <c r="M11" s="52">
        <v>0</v>
      </c>
      <c r="N11" s="54"/>
      <c r="O11" s="52">
        <v>0</v>
      </c>
      <c r="P11" s="54"/>
      <c r="Q11" s="52">
        <v>0</v>
      </c>
      <c r="R11" s="54"/>
      <c r="S11" s="52">
        <v>0</v>
      </c>
      <c r="T11" s="54"/>
      <c r="U11" s="193">
        <v>0.2</v>
      </c>
      <c r="V11" s="54"/>
      <c r="W11" s="52">
        <v>0</v>
      </c>
      <c r="X11" s="61">
        <v>0</v>
      </c>
      <c r="Y11" s="52">
        <v>0</v>
      </c>
      <c r="Z11" s="61">
        <v>0</v>
      </c>
      <c r="AA11" s="52">
        <v>0</v>
      </c>
      <c r="AB11" s="61">
        <v>0</v>
      </c>
      <c r="AC11" s="52">
        <v>0</v>
      </c>
    </row>
    <row r="12" spans="1:30" ht="15" customHeight="1">
      <c r="A12" s="40"/>
      <c r="B12" s="54"/>
      <c r="C12" s="54" t="s">
        <v>635</v>
      </c>
      <c r="D12" s="54" t="s">
        <v>634</v>
      </c>
      <c r="E12" s="52">
        <v>0</v>
      </c>
      <c r="F12" s="54"/>
      <c r="G12" s="52">
        <v>0</v>
      </c>
      <c r="H12" s="54"/>
      <c r="I12" s="52">
        <v>0</v>
      </c>
      <c r="J12" s="54"/>
      <c r="K12" s="52">
        <v>0</v>
      </c>
      <c r="L12" s="54"/>
      <c r="M12" s="52">
        <v>0</v>
      </c>
      <c r="N12" s="54"/>
      <c r="O12" s="52">
        <v>0</v>
      </c>
      <c r="P12" s="54"/>
      <c r="Q12" s="52">
        <v>0</v>
      </c>
      <c r="R12" s="54"/>
      <c r="S12" s="52">
        <v>0</v>
      </c>
      <c r="T12" s="54"/>
      <c r="U12" s="193">
        <v>0.2</v>
      </c>
      <c r="V12" s="54"/>
      <c r="W12" s="52">
        <v>0</v>
      </c>
      <c r="X12" s="61">
        <v>0</v>
      </c>
      <c r="Y12" s="52">
        <v>0</v>
      </c>
      <c r="Z12" s="61">
        <v>0</v>
      </c>
      <c r="AA12" s="52">
        <v>0</v>
      </c>
      <c r="AB12" s="61">
        <v>0</v>
      </c>
      <c r="AC12" s="52">
        <v>0</v>
      </c>
    </row>
    <row r="13" spans="1:30" ht="15" customHeight="1">
      <c r="A13" s="40"/>
      <c r="B13" s="54"/>
      <c r="C13" s="54" t="s">
        <v>625</v>
      </c>
      <c r="D13" s="54" t="s">
        <v>633</v>
      </c>
      <c r="E13" s="52">
        <v>487.12</v>
      </c>
      <c r="F13" s="54"/>
      <c r="G13" s="52">
        <v>0</v>
      </c>
      <c r="H13" s="54"/>
      <c r="I13" s="52">
        <v>0</v>
      </c>
      <c r="J13" s="54"/>
      <c r="K13" s="52">
        <v>0</v>
      </c>
      <c r="L13" s="54"/>
      <c r="M13" s="52">
        <v>0</v>
      </c>
      <c r="N13" s="54"/>
      <c r="O13" s="52">
        <v>0</v>
      </c>
      <c r="P13" s="54"/>
      <c r="Q13" s="52">
        <v>0</v>
      </c>
      <c r="R13" s="54"/>
      <c r="S13" s="52">
        <v>487.12</v>
      </c>
      <c r="T13" s="54"/>
      <c r="U13" s="193">
        <v>0.2</v>
      </c>
      <c r="V13" s="54"/>
      <c r="W13" s="52">
        <v>487.12</v>
      </c>
      <c r="X13" s="61">
        <v>503.44</v>
      </c>
      <c r="Y13" s="52">
        <v>8.1199999999999992</v>
      </c>
      <c r="Z13" s="61">
        <v>511.56</v>
      </c>
      <c r="AA13" s="52">
        <v>496</v>
      </c>
      <c r="AB13" s="61">
        <v>8</v>
      </c>
      <c r="AC13" s="52">
        <v>504</v>
      </c>
    </row>
    <row r="14" spans="1:30" ht="15" customHeight="1">
      <c r="A14" s="40"/>
      <c r="B14" s="54"/>
      <c r="C14" s="54" t="s">
        <v>625</v>
      </c>
      <c r="D14" s="54" t="s">
        <v>632</v>
      </c>
      <c r="E14" s="52">
        <v>655.45</v>
      </c>
      <c r="F14" s="54"/>
      <c r="G14" s="52">
        <v>0</v>
      </c>
      <c r="H14" s="54"/>
      <c r="I14" s="52">
        <v>0</v>
      </c>
      <c r="J14" s="54"/>
      <c r="K14" s="52">
        <v>0</v>
      </c>
      <c r="L14" s="54"/>
      <c r="M14" s="52">
        <v>0</v>
      </c>
      <c r="N14" s="54"/>
      <c r="O14" s="52">
        <v>0</v>
      </c>
      <c r="P14" s="54"/>
      <c r="Q14" s="52">
        <v>0</v>
      </c>
      <c r="R14" s="54"/>
      <c r="S14" s="52">
        <v>655.45</v>
      </c>
      <c r="T14" s="54"/>
      <c r="U14" s="193">
        <v>0.2</v>
      </c>
      <c r="V14" s="54"/>
      <c r="W14" s="52">
        <v>655.45</v>
      </c>
      <c r="X14" s="61">
        <v>677.04</v>
      </c>
      <c r="Y14" s="52">
        <v>10.92</v>
      </c>
      <c r="Z14" s="61">
        <v>687.96</v>
      </c>
      <c r="AA14" s="52">
        <v>667.12</v>
      </c>
      <c r="AB14" s="61">
        <v>10.76</v>
      </c>
      <c r="AC14" s="52">
        <v>677.88</v>
      </c>
    </row>
    <row r="15" spans="1:30" ht="15" customHeight="1">
      <c r="A15" s="40"/>
      <c r="B15" s="54"/>
      <c r="C15" s="54" t="s">
        <v>625</v>
      </c>
      <c r="D15" s="54" t="s">
        <v>631</v>
      </c>
      <c r="E15" s="52">
        <v>0</v>
      </c>
      <c r="F15" s="54"/>
      <c r="G15" s="52">
        <v>0</v>
      </c>
      <c r="H15" s="54"/>
      <c r="I15" s="52">
        <v>0</v>
      </c>
      <c r="J15" s="54"/>
      <c r="K15" s="52">
        <v>0</v>
      </c>
      <c r="L15" s="54"/>
      <c r="M15" s="52">
        <v>0</v>
      </c>
      <c r="N15" s="54"/>
      <c r="O15" s="52">
        <v>0</v>
      </c>
      <c r="P15" s="54"/>
      <c r="Q15" s="52">
        <v>0</v>
      </c>
      <c r="R15" s="54"/>
      <c r="S15" s="52">
        <v>0</v>
      </c>
      <c r="T15" s="54"/>
      <c r="U15" s="193">
        <v>0.2</v>
      </c>
      <c r="V15" s="54"/>
      <c r="W15" s="52">
        <v>0</v>
      </c>
      <c r="X15" s="61">
        <v>0</v>
      </c>
      <c r="Y15" s="52">
        <v>0</v>
      </c>
      <c r="Z15" s="61">
        <v>0</v>
      </c>
      <c r="AA15" s="52">
        <v>0</v>
      </c>
      <c r="AB15" s="61">
        <v>0</v>
      </c>
      <c r="AC15" s="52">
        <v>0</v>
      </c>
    </row>
    <row r="16" spans="1:30" ht="15" customHeight="1">
      <c r="A16" s="40"/>
      <c r="B16" s="54"/>
      <c r="C16" s="54" t="s">
        <v>625</v>
      </c>
      <c r="D16" s="54" t="s">
        <v>630</v>
      </c>
      <c r="E16" s="52">
        <v>0.15</v>
      </c>
      <c r="F16" s="54"/>
      <c r="G16" s="52">
        <v>0</v>
      </c>
      <c r="H16" s="54"/>
      <c r="I16" s="52">
        <v>0</v>
      </c>
      <c r="J16" s="54"/>
      <c r="K16" s="52">
        <v>0</v>
      </c>
      <c r="L16" s="54"/>
      <c r="M16" s="52">
        <v>0</v>
      </c>
      <c r="N16" s="54"/>
      <c r="O16" s="52">
        <v>0</v>
      </c>
      <c r="P16" s="54"/>
      <c r="Q16" s="52">
        <v>0</v>
      </c>
      <c r="R16" s="54"/>
      <c r="S16" s="52">
        <v>0.15</v>
      </c>
      <c r="T16" s="54"/>
      <c r="U16" s="193">
        <v>0.2</v>
      </c>
      <c r="V16" s="54"/>
      <c r="W16" s="52">
        <v>0.15</v>
      </c>
      <c r="X16" s="61">
        <v>0</v>
      </c>
      <c r="Y16" s="52">
        <v>0</v>
      </c>
      <c r="Z16" s="61">
        <v>0</v>
      </c>
      <c r="AA16" s="52">
        <v>0</v>
      </c>
      <c r="AB16" s="61">
        <v>0</v>
      </c>
      <c r="AC16" s="52">
        <v>0</v>
      </c>
    </row>
    <row r="17" spans="1:29" ht="15" customHeight="1">
      <c r="A17" s="40"/>
      <c r="B17" s="54"/>
      <c r="C17" s="54" t="s">
        <v>625</v>
      </c>
      <c r="D17" s="54" t="s">
        <v>629</v>
      </c>
      <c r="E17" s="52">
        <v>916.43</v>
      </c>
      <c r="F17" s="54"/>
      <c r="G17" s="52">
        <v>0</v>
      </c>
      <c r="H17" s="54"/>
      <c r="I17" s="52">
        <v>0</v>
      </c>
      <c r="J17" s="54"/>
      <c r="K17" s="52">
        <v>0</v>
      </c>
      <c r="L17" s="54"/>
      <c r="M17" s="52">
        <v>0</v>
      </c>
      <c r="N17" s="54"/>
      <c r="O17" s="52">
        <v>0</v>
      </c>
      <c r="P17" s="54"/>
      <c r="Q17" s="52">
        <v>0</v>
      </c>
      <c r="R17" s="54"/>
      <c r="S17" s="52">
        <v>916.43</v>
      </c>
      <c r="T17" s="54"/>
      <c r="U17" s="193">
        <v>0.2</v>
      </c>
      <c r="V17" s="54"/>
      <c r="W17" s="52">
        <v>916.43</v>
      </c>
      <c r="X17" s="61">
        <v>946.74</v>
      </c>
      <c r="Y17" s="52">
        <v>15.27</v>
      </c>
      <c r="Z17" s="61">
        <v>962.01</v>
      </c>
      <c r="AA17" s="52">
        <v>932.48</v>
      </c>
      <c r="AB17" s="61">
        <v>15.04</v>
      </c>
      <c r="AC17" s="52">
        <v>947.52</v>
      </c>
    </row>
    <row r="18" spans="1:29" ht="15" customHeight="1">
      <c r="A18" s="40"/>
      <c r="B18" s="54"/>
      <c r="C18" s="54" t="s">
        <v>625</v>
      </c>
      <c r="D18" s="54" t="s">
        <v>628</v>
      </c>
      <c r="E18" s="52">
        <v>128.28</v>
      </c>
      <c r="F18" s="54"/>
      <c r="G18" s="52">
        <v>0</v>
      </c>
      <c r="H18" s="54"/>
      <c r="I18" s="52">
        <v>0</v>
      </c>
      <c r="J18" s="54"/>
      <c r="K18" s="52">
        <v>0</v>
      </c>
      <c r="L18" s="54"/>
      <c r="M18" s="52">
        <v>0</v>
      </c>
      <c r="N18" s="54"/>
      <c r="O18" s="52">
        <v>0</v>
      </c>
      <c r="P18" s="54"/>
      <c r="Q18" s="52">
        <v>0</v>
      </c>
      <c r="R18" s="54"/>
      <c r="S18" s="52">
        <v>128.28</v>
      </c>
      <c r="T18" s="54"/>
      <c r="U18" s="193">
        <v>0.2</v>
      </c>
      <c r="V18" s="54"/>
      <c r="W18" s="52">
        <v>128.28</v>
      </c>
      <c r="X18" s="61">
        <v>132.68</v>
      </c>
      <c r="Y18" s="52">
        <v>2.14</v>
      </c>
      <c r="Z18" s="61">
        <v>134.82</v>
      </c>
      <c r="AA18" s="52">
        <v>130.82</v>
      </c>
      <c r="AB18" s="61">
        <v>2.11</v>
      </c>
      <c r="AC18" s="52">
        <v>132.93</v>
      </c>
    </row>
    <row r="19" spans="1:29" ht="15" customHeight="1">
      <c r="A19" s="40"/>
      <c r="B19" s="54"/>
      <c r="C19" s="54" t="s">
        <v>625</v>
      </c>
      <c r="D19" s="54" t="s">
        <v>627</v>
      </c>
      <c r="E19" s="52">
        <v>83.07</v>
      </c>
      <c r="F19" s="54"/>
      <c r="G19" s="52">
        <v>0</v>
      </c>
      <c r="H19" s="54"/>
      <c r="I19" s="52">
        <v>0</v>
      </c>
      <c r="J19" s="54"/>
      <c r="K19" s="52">
        <v>0</v>
      </c>
      <c r="L19" s="54"/>
      <c r="M19" s="52">
        <v>0</v>
      </c>
      <c r="N19" s="54"/>
      <c r="O19" s="52">
        <v>0</v>
      </c>
      <c r="P19" s="54"/>
      <c r="Q19" s="52">
        <v>0</v>
      </c>
      <c r="R19" s="54"/>
      <c r="S19" s="52">
        <v>83.07</v>
      </c>
      <c r="T19" s="54"/>
      <c r="U19" s="193">
        <v>0.2</v>
      </c>
      <c r="V19" s="54"/>
      <c r="W19" s="52">
        <v>83.07</v>
      </c>
      <c r="X19" s="61">
        <v>85.56</v>
      </c>
      <c r="Y19" s="52">
        <v>1.38</v>
      </c>
      <c r="Z19" s="61">
        <v>86.94</v>
      </c>
      <c r="AA19" s="52">
        <v>84.32</v>
      </c>
      <c r="AB19" s="61">
        <v>1.36</v>
      </c>
      <c r="AC19" s="52">
        <v>85.68</v>
      </c>
    </row>
    <row r="20" spans="1:29" ht="15" customHeight="1">
      <c r="A20" s="40"/>
      <c r="B20" s="54"/>
      <c r="C20" s="54" t="s">
        <v>625</v>
      </c>
      <c r="D20" s="54" t="s">
        <v>626</v>
      </c>
      <c r="E20" s="52">
        <v>0</v>
      </c>
      <c r="F20" s="54"/>
      <c r="G20" s="52">
        <v>0</v>
      </c>
      <c r="H20" s="54"/>
      <c r="I20" s="52">
        <v>0</v>
      </c>
      <c r="J20" s="54"/>
      <c r="K20" s="52">
        <v>0</v>
      </c>
      <c r="L20" s="54"/>
      <c r="M20" s="52">
        <v>0</v>
      </c>
      <c r="N20" s="54"/>
      <c r="O20" s="52">
        <v>0</v>
      </c>
      <c r="P20" s="54"/>
      <c r="Q20" s="52">
        <v>0</v>
      </c>
      <c r="R20" s="54"/>
      <c r="S20" s="52">
        <v>0</v>
      </c>
      <c r="T20" s="54"/>
      <c r="U20" s="193">
        <v>0.2</v>
      </c>
      <c r="V20" s="54"/>
      <c r="W20" s="52">
        <v>0</v>
      </c>
      <c r="X20" s="61">
        <v>0</v>
      </c>
      <c r="Y20" s="52">
        <v>0</v>
      </c>
      <c r="Z20" s="61">
        <v>0</v>
      </c>
      <c r="AA20" s="52">
        <v>0</v>
      </c>
      <c r="AB20" s="61">
        <v>0</v>
      </c>
      <c r="AC20" s="52">
        <v>0</v>
      </c>
    </row>
    <row r="21" spans="1:29" ht="15" customHeight="1">
      <c r="A21" s="40"/>
      <c r="B21" s="54"/>
      <c r="C21" s="54" t="s">
        <v>625</v>
      </c>
      <c r="D21" s="54" t="s">
        <v>624</v>
      </c>
      <c r="E21" s="52">
        <v>0</v>
      </c>
      <c r="F21" s="54"/>
      <c r="G21" s="52">
        <v>0</v>
      </c>
      <c r="H21" s="54"/>
      <c r="I21" s="52">
        <v>0</v>
      </c>
      <c r="J21" s="54"/>
      <c r="K21" s="52">
        <v>0</v>
      </c>
      <c r="L21" s="54"/>
      <c r="M21" s="52">
        <v>0</v>
      </c>
      <c r="N21" s="54"/>
      <c r="O21" s="52">
        <v>0</v>
      </c>
      <c r="P21" s="54"/>
      <c r="Q21" s="52">
        <v>0</v>
      </c>
      <c r="R21" s="54"/>
      <c r="S21" s="52">
        <v>0</v>
      </c>
      <c r="T21" s="54"/>
      <c r="U21" s="193">
        <v>0.2</v>
      </c>
      <c r="V21" s="54"/>
      <c r="W21" s="52">
        <v>0</v>
      </c>
      <c r="X21" s="61">
        <v>0</v>
      </c>
      <c r="Y21" s="52">
        <v>0</v>
      </c>
      <c r="Z21" s="61">
        <v>0</v>
      </c>
      <c r="AA21" s="52">
        <v>0</v>
      </c>
      <c r="AB21" s="61">
        <v>0</v>
      </c>
      <c r="AC21" s="52">
        <v>0</v>
      </c>
    </row>
    <row r="22" spans="1:29" ht="15" customHeight="1">
      <c r="A22" s="40"/>
      <c r="B22" s="54"/>
      <c r="C22" s="54" t="s">
        <v>621</v>
      </c>
      <c r="D22" s="54" t="s">
        <v>623</v>
      </c>
      <c r="E22" s="52">
        <v>1091.93</v>
      </c>
      <c r="F22" s="54"/>
      <c r="G22" s="52">
        <v>2600.4699999999998</v>
      </c>
      <c r="H22" s="54"/>
      <c r="I22" s="52">
        <v>-0.2</v>
      </c>
      <c r="J22" s="54"/>
      <c r="K22" s="52">
        <v>0</v>
      </c>
      <c r="L22" s="54"/>
      <c r="M22" s="52">
        <v>0</v>
      </c>
      <c r="N22" s="54"/>
      <c r="O22" s="52">
        <v>0</v>
      </c>
      <c r="P22" s="54"/>
      <c r="Q22" s="52">
        <v>0</v>
      </c>
      <c r="R22" s="54"/>
      <c r="S22" s="52">
        <v>3692.2</v>
      </c>
      <c r="T22" s="54"/>
      <c r="U22" s="193">
        <v>0.2</v>
      </c>
      <c r="V22" s="54"/>
      <c r="W22" s="52">
        <v>3692.2</v>
      </c>
      <c r="X22" s="61">
        <v>3593.33</v>
      </c>
      <c r="Y22" s="52">
        <v>61.54</v>
      </c>
      <c r="Z22" s="61">
        <v>3654.87</v>
      </c>
      <c r="AA22" s="52">
        <v>3539.61</v>
      </c>
      <c r="AB22" s="61">
        <v>60.62</v>
      </c>
      <c r="AC22" s="52">
        <v>3600.23</v>
      </c>
    </row>
    <row r="23" spans="1:29" ht="15" customHeight="1">
      <c r="A23" s="40"/>
      <c r="B23" s="54"/>
      <c r="C23" s="54" t="s">
        <v>621</v>
      </c>
      <c r="D23" s="54" t="s">
        <v>622</v>
      </c>
      <c r="E23" s="52">
        <v>2150.48</v>
      </c>
      <c r="F23" s="54"/>
      <c r="G23" s="52">
        <v>6.14</v>
      </c>
      <c r="H23" s="54"/>
      <c r="I23" s="52">
        <v>0</v>
      </c>
      <c r="J23" s="54"/>
      <c r="K23" s="52">
        <v>0</v>
      </c>
      <c r="L23" s="54"/>
      <c r="M23" s="52">
        <v>0</v>
      </c>
      <c r="N23" s="54"/>
      <c r="O23" s="52">
        <v>0</v>
      </c>
      <c r="P23" s="54"/>
      <c r="Q23" s="52">
        <v>0</v>
      </c>
      <c r="R23" s="54"/>
      <c r="S23" s="52">
        <v>2156.62</v>
      </c>
      <c r="T23" s="54"/>
      <c r="U23" s="193">
        <v>0.2</v>
      </c>
      <c r="V23" s="54"/>
      <c r="W23" s="52">
        <v>2156.62</v>
      </c>
      <c r="X23" s="61">
        <v>2227.4699999999998</v>
      </c>
      <c r="Y23" s="52">
        <v>35.94</v>
      </c>
      <c r="Z23" s="61">
        <v>2263.41</v>
      </c>
      <c r="AA23" s="52">
        <v>2194</v>
      </c>
      <c r="AB23" s="61">
        <v>35.4</v>
      </c>
      <c r="AC23" s="52">
        <v>2229.4</v>
      </c>
    </row>
    <row r="24" spans="1:29" ht="15" customHeight="1">
      <c r="A24" s="40"/>
      <c r="B24" s="54"/>
      <c r="C24" s="54" t="s">
        <v>621</v>
      </c>
      <c r="D24" s="54" t="s">
        <v>620</v>
      </c>
      <c r="E24" s="52">
        <v>48.57</v>
      </c>
      <c r="F24" s="54"/>
      <c r="G24" s="52">
        <v>10.28</v>
      </c>
      <c r="H24" s="54"/>
      <c r="I24" s="52">
        <v>0</v>
      </c>
      <c r="J24" s="54"/>
      <c r="K24" s="52">
        <v>0</v>
      </c>
      <c r="L24" s="54"/>
      <c r="M24" s="52">
        <v>0</v>
      </c>
      <c r="N24" s="54"/>
      <c r="O24" s="52">
        <v>0</v>
      </c>
      <c r="P24" s="54"/>
      <c r="Q24" s="52">
        <v>0</v>
      </c>
      <c r="R24" s="54"/>
      <c r="S24" s="52">
        <v>58.85</v>
      </c>
      <c r="T24" s="54"/>
      <c r="U24" s="193">
        <v>0.2</v>
      </c>
      <c r="V24" s="54"/>
      <c r="W24" s="52">
        <v>58.85</v>
      </c>
      <c r="X24" s="61">
        <v>59.92</v>
      </c>
      <c r="Y24" s="52">
        <v>0.98</v>
      </c>
      <c r="Z24" s="61">
        <v>60.9</v>
      </c>
      <c r="AA24" s="52">
        <v>59.3</v>
      </c>
      <c r="AB24" s="61">
        <v>0.97</v>
      </c>
      <c r="AC24" s="52">
        <v>60.27</v>
      </c>
    </row>
    <row r="25" spans="1:29" ht="15" customHeight="1">
      <c r="A25" s="40"/>
      <c r="B25" s="54"/>
      <c r="C25" s="54" t="s">
        <v>619</v>
      </c>
      <c r="D25" s="54" t="s">
        <v>618</v>
      </c>
      <c r="E25" s="52">
        <v>7952.44</v>
      </c>
      <c r="F25" s="54"/>
      <c r="G25" s="52">
        <v>938.29</v>
      </c>
      <c r="H25" s="54"/>
      <c r="I25" s="52">
        <v>0</v>
      </c>
      <c r="J25" s="54"/>
      <c r="K25" s="52">
        <v>0</v>
      </c>
      <c r="L25" s="54"/>
      <c r="M25" s="52">
        <v>0</v>
      </c>
      <c r="N25" s="54"/>
      <c r="O25" s="52">
        <v>0</v>
      </c>
      <c r="P25" s="54"/>
      <c r="Q25" s="52">
        <v>0</v>
      </c>
      <c r="R25" s="54"/>
      <c r="S25" s="52">
        <v>8890.73</v>
      </c>
      <c r="T25" s="54"/>
      <c r="U25" s="193">
        <v>0.2</v>
      </c>
      <c r="V25" s="54"/>
      <c r="W25" s="52">
        <v>8890.73</v>
      </c>
      <c r="X25" s="61">
        <v>8709.3799999999992</v>
      </c>
      <c r="Y25" s="52">
        <v>148.18</v>
      </c>
      <c r="Z25" s="61">
        <v>8857.56</v>
      </c>
      <c r="AA25" s="52">
        <v>8578.8799999999992</v>
      </c>
      <c r="AB25" s="61">
        <v>145.96</v>
      </c>
      <c r="AC25" s="52">
        <v>8724.84</v>
      </c>
    </row>
    <row r="26" spans="1:29" ht="15" customHeight="1">
      <c r="A26" s="40"/>
      <c r="B26" s="54"/>
      <c r="C26" s="54" t="s">
        <v>617</v>
      </c>
      <c r="D26" s="54" t="s">
        <v>616</v>
      </c>
      <c r="E26" s="52">
        <v>17513.11</v>
      </c>
      <c r="F26" s="54"/>
      <c r="G26" s="52">
        <v>6734.62</v>
      </c>
      <c r="H26" s="54"/>
      <c r="I26" s="52">
        <v>5926.49</v>
      </c>
      <c r="J26" s="54"/>
      <c r="K26" s="52">
        <v>88.49</v>
      </c>
      <c r="L26" s="54"/>
      <c r="M26" s="52">
        <v>41.53</v>
      </c>
      <c r="N26" s="54"/>
      <c r="O26" s="52">
        <v>0</v>
      </c>
      <c r="P26" s="54"/>
      <c r="Q26" s="52">
        <v>0</v>
      </c>
      <c r="R26" s="54"/>
      <c r="S26" s="52">
        <v>30304.240000000002</v>
      </c>
      <c r="T26" s="54"/>
      <c r="U26" s="193">
        <v>0.2</v>
      </c>
      <c r="V26" s="54"/>
      <c r="W26" s="52">
        <v>30304.240000000002</v>
      </c>
      <c r="X26" s="61">
        <v>28080.49</v>
      </c>
      <c r="Y26" s="52">
        <v>505.07</v>
      </c>
      <c r="Z26" s="61">
        <v>28585.56</v>
      </c>
      <c r="AA26" s="52">
        <v>27659.27</v>
      </c>
      <c r="AB26" s="61">
        <v>497.49</v>
      </c>
      <c r="AC26" s="52">
        <v>28156.76</v>
      </c>
    </row>
    <row r="27" spans="1:29" ht="15" customHeight="1">
      <c r="A27" s="40"/>
      <c r="B27" s="54"/>
      <c r="C27" s="54" t="s">
        <v>615</v>
      </c>
      <c r="D27" s="54" t="s">
        <v>614</v>
      </c>
      <c r="E27" s="52">
        <v>36461.5</v>
      </c>
      <c r="F27" s="54"/>
      <c r="G27" s="52">
        <v>21592.39</v>
      </c>
      <c r="H27" s="54"/>
      <c r="I27" s="52">
        <v>23665.21</v>
      </c>
      <c r="J27" s="54"/>
      <c r="K27" s="52">
        <v>14773.72</v>
      </c>
      <c r="L27" s="54"/>
      <c r="M27" s="52">
        <v>14809.13</v>
      </c>
      <c r="N27" s="54"/>
      <c r="O27" s="52">
        <v>0</v>
      </c>
      <c r="P27" s="54"/>
      <c r="Q27" s="52">
        <v>0</v>
      </c>
      <c r="R27" s="54"/>
      <c r="S27" s="52">
        <v>111301.95</v>
      </c>
      <c r="T27" s="54"/>
      <c r="U27" s="193">
        <v>0.2</v>
      </c>
      <c r="V27" s="54"/>
      <c r="W27" s="52">
        <v>111301.95</v>
      </c>
      <c r="X27" s="61">
        <v>84734.69</v>
      </c>
      <c r="Y27" s="52">
        <v>1855.03</v>
      </c>
      <c r="Z27" s="61">
        <v>86589.72</v>
      </c>
      <c r="AA27" s="52">
        <v>83463.600000000006</v>
      </c>
      <c r="AB27" s="61">
        <v>1827.2</v>
      </c>
      <c r="AC27" s="52">
        <v>85290.8</v>
      </c>
    </row>
    <row r="28" spans="1:29" ht="15" customHeight="1">
      <c r="A28" s="40"/>
      <c r="B28" s="54"/>
      <c r="C28" s="54" t="s">
        <v>613</v>
      </c>
      <c r="D28" s="54" t="s">
        <v>612</v>
      </c>
      <c r="E28" s="52">
        <v>0</v>
      </c>
      <c r="F28" s="54"/>
      <c r="G28" s="52">
        <v>1540.32</v>
      </c>
      <c r="H28" s="54"/>
      <c r="I28" s="52">
        <v>3315.79</v>
      </c>
      <c r="J28" s="54"/>
      <c r="K28" s="52">
        <v>1690.34</v>
      </c>
      <c r="L28" s="54"/>
      <c r="M28" s="52">
        <v>13.09</v>
      </c>
      <c r="N28" s="54"/>
      <c r="O28" s="52">
        <v>0</v>
      </c>
      <c r="P28" s="54"/>
      <c r="Q28" s="52">
        <v>0</v>
      </c>
      <c r="R28" s="54"/>
      <c r="S28" s="52">
        <v>6559.54</v>
      </c>
      <c r="T28" s="54"/>
      <c r="U28" s="193">
        <v>0.2</v>
      </c>
      <c r="V28" s="54"/>
      <c r="W28" s="52">
        <v>6559.54</v>
      </c>
      <c r="X28" s="61">
        <v>4433.91</v>
      </c>
      <c r="Y28" s="52">
        <v>109.33</v>
      </c>
      <c r="Z28" s="61">
        <v>4543.24</v>
      </c>
      <c r="AA28" s="52">
        <v>4367.45</v>
      </c>
      <c r="AB28" s="61">
        <v>107.69</v>
      </c>
      <c r="AC28" s="52">
        <v>4475.1400000000003</v>
      </c>
    </row>
    <row r="29" spans="1:29" ht="15" customHeight="1">
      <c r="A29" s="40"/>
      <c r="B29" s="54"/>
      <c r="C29" s="54" t="s">
        <v>611</v>
      </c>
      <c r="D29" s="54" t="s">
        <v>610</v>
      </c>
      <c r="E29" s="52">
        <v>0</v>
      </c>
      <c r="F29" s="54"/>
      <c r="G29" s="52">
        <v>7938.49</v>
      </c>
      <c r="H29" s="54"/>
      <c r="I29" s="52">
        <v>14225.05</v>
      </c>
      <c r="J29" s="54"/>
      <c r="K29" s="52">
        <v>515.22</v>
      </c>
      <c r="L29" s="54"/>
      <c r="M29" s="52">
        <v>0</v>
      </c>
      <c r="N29" s="54"/>
      <c r="O29" s="52">
        <v>0</v>
      </c>
      <c r="P29" s="54"/>
      <c r="Q29" s="52">
        <v>0</v>
      </c>
      <c r="R29" s="54"/>
      <c r="S29" s="52">
        <v>22678.76</v>
      </c>
      <c r="T29" s="54"/>
      <c r="U29" s="193">
        <v>0.2</v>
      </c>
      <c r="V29" s="54"/>
      <c r="W29" s="52">
        <v>22678.76</v>
      </c>
      <c r="X29" s="61">
        <v>17133.89</v>
      </c>
      <c r="Y29" s="52">
        <v>377.98</v>
      </c>
      <c r="Z29" s="61">
        <v>17511.87</v>
      </c>
      <c r="AA29" s="52">
        <v>16876.939999999999</v>
      </c>
      <c r="AB29" s="61">
        <v>372.31</v>
      </c>
      <c r="AC29" s="52">
        <v>17249.25</v>
      </c>
    </row>
    <row r="30" spans="1:29" ht="15" customHeight="1">
      <c r="A30" s="40"/>
      <c r="B30" s="54"/>
      <c r="C30" s="54" t="s">
        <v>595</v>
      </c>
      <c r="D30" s="54" t="s">
        <v>609</v>
      </c>
      <c r="E30" s="52">
        <v>0</v>
      </c>
      <c r="F30" s="54"/>
      <c r="G30" s="52">
        <v>1820.77</v>
      </c>
      <c r="H30" s="54"/>
      <c r="I30" s="52">
        <v>1262.79</v>
      </c>
      <c r="J30" s="54"/>
      <c r="K30" s="52">
        <v>-161.96</v>
      </c>
      <c r="L30" s="54"/>
      <c r="M30" s="52">
        <v>0</v>
      </c>
      <c r="N30" s="54"/>
      <c r="O30" s="52">
        <v>0</v>
      </c>
      <c r="P30" s="54"/>
      <c r="Q30" s="52">
        <v>0</v>
      </c>
      <c r="R30" s="54"/>
      <c r="S30" s="52">
        <v>2921.6</v>
      </c>
      <c r="T30" s="54"/>
      <c r="U30" s="193">
        <v>0.2</v>
      </c>
      <c r="V30" s="54"/>
      <c r="W30" s="52">
        <v>2921.6</v>
      </c>
      <c r="X30" s="61">
        <v>2215.71</v>
      </c>
      <c r="Y30" s="52">
        <v>48.69</v>
      </c>
      <c r="Z30" s="61">
        <v>2264.4</v>
      </c>
      <c r="AA30" s="52">
        <v>2182.44</v>
      </c>
      <c r="AB30" s="61">
        <v>47.96</v>
      </c>
      <c r="AC30" s="52">
        <v>2230.4</v>
      </c>
    </row>
    <row r="31" spans="1:29" ht="15" customHeight="1">
      <c r="A31" s="40"/>
      <c r="B31" s="54"/>
      <c r="C31" s="54" t="s">
        <v>595</v>
      </c>
      <c r="D31" s="54" t="s">
        <v>608</v>
      </c>
      <c r="E31" s="52">
        <v>0</v>
      </c>
      <c r="F31" s="54"/>
      <c r="G31" s="52">
        <v>1431.91</v>
      </c>
      <c r="H31" s="54"/>
      <c r="I31" s="52">
        <v>4422.7299999999996</v>
      </c>
      <c r="J31" s="54"/>
      <c r="K31" s="52">
        <v>995.07</v>
      </c>
      <c r="L31" s="54"/>
      <c r="M31" s="52">
        <v>9.08</v>
      </c>
      <c r="N31" s="54"/>
      <c r="O31" s="52">
        <v>0</v>
      </c>
      <c r="P31" s="54"/>
      <c r="Q31" s="52">
        <v>0</v>
      </c>
      <c r="R31" s="54"/>
      <c r="S31" s="52">
        <v>6858.79</v>
      </c>
      <c r="T31" s="54"/>
      <c r="U31" s="193">
        <v>0.2</v>
      </c>
      <c r="V31" s="54"/>
      <c r="W31" s="52">
        <v>6858.79</v>
      </c>
      <c r="X31" s="61">
        <v>4886.28</v>
      </c>
      <c r="Y31" s="52">
        <v>114.31</v>
      </c>
      <c r="Z31" s="61">
        <v>5000.59</v>
      </c>
      <c r="AA31" s="52">
        <v>4813.1099999999997</v>
      </c>
      <c r="AB31" s="61">
        <v>112.6</v>
      </c>
      <c r="AC31" s="52">
        <v>4925.71</v>
      </c>
    </row>
    <row r="32" spans="1:29" ht="15" customHeight="1">
      <c r="A32" s="40"/>
      <c r="B32" s="54"/>
      <c r="C32" s="54" t="s">
        <v>595</v>
      </c>
      <c r="D32" s="54" t="s">
        <v>607</v>
      </c>
      <c r="E32" s="52">
        <v>0</v>
      </c>
      <c r="F32" s="54"/>
      <c r="G32" s="52">
        <v>5135.57</v>
      </c>
      <c r="H32" s="54"/>
      <c r="I32" s="52">
        <v>3160.21</v>
      </c>
      <c r="J32" s="54"/>
      <c r="K32" s="52">
        <v>194.83</v>
      </c>
      <c r="L32" s="54"/>
      <c r="M32" s="52">
        <v>108.89</v>
      </c>
      <c r="N32" s="54"/>
      <c r="O32" s="52">
        <v>8956.19</v>
      </c>
      <c r="P32" s="54"/>
      <c r="Q32" s="52">
        <v>720.62</v>
      </c>
      <c r="R32" s="54"/>
      <c r="S32" s="52">
        <v>18276.310000000001</v>
      </c>
      <c r="T32" s="54"/>
      <c r="U32" s="193">
        <v>0.2</v>
      </c>
      <c r="V32" s="54"/>
      <c r="W32" s="52">
        <v>18276.310000000001</v>
      </c>
      <c r="X32" s="61">
        <v>8016.71</v>
      </c>
      <c r="Y32" s="52">
        <v>304.61</v>
      </c>
      <c r="Z32" s="61">
        <v>8321.32</v>
      </c>
      <c r="AA32" s="52">
        <v>7896.46</v>
      </c>
      <c r="AB32" s="61">
        <v>300.04000000000002</v>
      </c>
      <c r="AC32" s="52">
        <v>8196.5</v>
      </c>
    </row>
    <row r="33" spans="1:29" ht="15" customHeight="1">
      <c r="A33" s="40"/>
      <c r="B33" s="54"/>
      <c r="C33" s="54" t="s">
        <v>595</v>
      </c>
      <c r="D33" s="54" t="s">
        <v>606</v>
      </c>
      <c r="E33" s="52">
        <v>0</v>
      </c>
      <c r="F33" s="54"/>
      <c r="G33" s="52">
        <v>0</v>
      </c>
      <c r="H33" s="54"/>
      <c r="I33" s="52">
        <v>2070.3000000000002</v>
      </c>
      <c r="J33" s="54"/>
      <c r="K33" s="52">
        <v>0</v>
      </c>
      <c r="L33" s="54"/>
      <c r="M33" s="52">
        <v>0</v>
      </c>
      <c r="N33" s="54"/>
      <c r="O33" s="52">
        <v>0</v>
      </c>
      <c r="P33" s="54"/>
      <c r="Q33" s="52">
        <v>0</v>
      </c>
      <c r="R33" s="54"/>
      <c r="S33" s="52">
        <v>2070.3000000000002</v>
      </c>
      <c r="T33" s="54"/>
      <c r="U33" s="193">
        <v>0.2</v>
      </c>
      <c r="V33" s="54"/>
      <c r="W33" s="52">
        <v>2070.3000000000002</v>
      </c>
      <c r="X33" s="61">
        <v>1494.82</v>
      </c>
      <c r="Y33" s="52">
        <v>34.51</v>
      </c>
      <c r="Z33" s="61">
        <v>1529.33</v>
      </c>
      <c r="AA33" s="52">
        <v>1472.3</v>
      </c>
      <c r="AB33" s="61">
        <v>33.99</v>
      </c>
      <c r="AC33" s="52">
        <v>1506.29</v>
      </c>
    </row>
    <row r="34" spans="1:29" ht="15" customHeight="1">
      <c r="A34" s="40"/>
      <c r="B34" s="54"/>
      <c r="C34" s="54" t="s">
        <v>595</v>
      </c>
      <c r="D34" s="54" t="s">
        <v>605</v>
      </c>
      <c r="E34" s="52">
        <v>0</v>
      </c>
      <c r="F34" s="54"/>
      <c r="G34" s="52">
        <v>0</v>
      </c>
      <c r="H34" s="54"/>
      <c r="I34" s="52">
        <v>3599.37</v>
      </c>
      <c r="J34" s="54"/>
      <c r="K34" s="52">
        <v>2053.64</v>
      </c>
      <c r="L34" s="54"/>
      <c r="M34" s="52">
        <v>9.0399999999999991</v>
      </c>
      <c r="N34" s="54"/>
      <c r="O34" s="52">
        <v>0</v>
      </c>
      <c r="P34" s="54"/>
      <c r="Q34" s="52">
        <v>0</v>
      </c>
      <c r="R34" s="54"/>
      <c r="S34" s="52">
        <v>5662.05</v>
      </c>
      <c r="T34" s="54"/>
      <c r="U34" s="193">
        <v>0.2</v>
      </c>
      <c r="V34" s="54"/>
      <c r="W34" s="52">
        <v>5662.05</v>
      </c>
      <c r="X34" s="61">
        <v>3321.49</v>
      </c>
      <c r="Y34" s="52">
        <v>94.37</v>
      </c>
      <c r="Z34" s="61">
        <v>3415.86</v>
      </c>
      <c r="AA34" s="52">
        <v>3271.51</v>
      </c>
      <c r="AB34" s="61">
        <v>92.95</v>
      </c>
      <c r="AC34" s="52">
        <v>3364.46</v>
      </c>
    </row>
    <row r="35" spans="1:29" ht="15" customHeight="1">
      <c r="A35" s="40"/>
      <c r="B35" s="54"/>
      <c r="C35" s="54" t="s">
        <v>595</v>
      </c>
      <c r="D35" s="54" t="s">
        <v>604</v>
      </c>
      <c r="E35" s="52">
        <v>0</v>
      </c>
      <c r="F35" s="54"/>
      <c r="G35" s="52">
        <v>0</v>
      </c>
      <c r="H35" s="54"/>
      <c r="I35" s="52">
        <v>0</v>
      </c>
      <c r="J35" s="54"/>
      <c r="K35" s="52">
        <v>0</v>
      </c>
      <c r="L35" s="54"/>
      <c r="M35" s="52">
        <v>4286.72</v>
      </c>
      <c r="N35" s="54"/>
      <c r="O35" s="52">
        <v>4607.4799999999996</v>
      </c>
      <c r="P35" s="54"/>
      <c r="Q35" s="52">
        <v>39.78</v>
      </c>
      <c r="R35" s="54"/>
      <c r="S35" s="52">
        <v>8933.98</v>
      </c>
      <c r="T35" s="54"/>
      <c r="U35" s="193">
        <v>0.2</v>
      </c>
      <c r="V35" s="54"/>
      <c r="W35" s="52">
        <v>8933.98</v>
      </c>
      <c r="X35" s="61">
        <v>1181.8499999999999</v>
      </c>
      <c r="Y35" s="52">
        <v>148.9</v>
      </c>
      <c r="Z35" s="61">
        <v>1330.75</v>
      </c>
      <c r="AA35" s="52">
        <v>1164.1400000000001</v>
      </c>
      <c r="AB35" s="61">
        <v>146.66999999999999</v>
      </c>
      <c r="AC35" s="52">
        <v>1310.81</v>
      </c>
    </row>
    <row r="36" spans="1:29" ht="15" customHeight="1">
      <c r="A36" s="40"/>
      <c r="B36" s="54"/>
      <c r="C36" s="54" t="s">
        <v>595</v>
      </c>
      <c r="D36" s="54" t="s">
        <v>603</v>
      </c>
      <c r="E36" s="52">
        <v>0</v>
      </c>
      <c r="F36" s="54"/>
      <c r="G36" s="52">
        <v>0</v>
      </c>
      <c r="H36" s="54"/>
      <c r="I36" s="52">
        <v>0</v>
      </c>
      <c r="J36" s="54"/>
      <c r="K36" s="52">
        <v>0</v>
      </c>
      <c r="L36" s="54"/>
      <c r="M36" s="52">
        <v>4869.0600000000004</v>
      </c>
      <c r="N36" s="54"/>
      <c r="O36" s="52">
        <v>25.61</v>
      </c>
      <c r="P36" s="54"/>
      <c r="Q36" s="52">
        <v>0</v>
      </c>
      <c r="R36" s="54"/>
      <c r="S36" s="52">
        <v>4894.67</v>
      </c>
      <c r="T36" s="54"/>
      <c r="U36" s="193">
        <v>0.2</v>
      </c>
      <c r="V36" s="54"/>
      <c r="W36" s="52">
        <v>4894.67</v>
      </c>
      <c r="X36" s="61">
        <v>1222.08</v>
      </c>
      <c r="Y36" s="52">
        <v>81.58</v>
      </c>
      <c r="Z36" s="61">
        <v>1303.6600000000001</v>
      </c>
      <c r="AA36" s="52">
        <v>1203.78</v>
      </c>
      <c r="AB36" s="61">
        <v>80.36</v>
      </c>
      <c r="AC36" s="52">
        <v>1284.1400000000001</v>
      </c>
    </row>
    <row r="37" spans="1:29" ht="15" customHeight="1">
      <c r="A37" s="40"/>
      <c r="B37" s="54"/>
      <c r="C37" s="54" t="s">
        <v>595</v>
      </c>
      <c r="D37" s="54" t="s">
        <v>602</v>
      </c>
      <c r="E37" s="52">
        <v>0</v>
      </c>
      <c r="F37" s="54"/>
      <c r="G37" s="52">
        <v>0</v>
      </c>
      <c r="H37" s="54"/>
      <c r="I37" s="52">
        <v>0</v>
      </c>
      <c r="J37" s="54"/>
      <c r="K37" s="52">
        <v>0</v>
      </c>
      <c r="L37" s="54"/>
      <c r="M37" s="52">
        <v>0</v>
      </c>
      <c r="N37" s="54"/>
      <c r="O37" s="52">
        <v>1039.75</v>
      </c>
      <c r="P37" s="54"/>
      <c r="Q37" s="52">
        <v>207.43</v>
      </c>
      <c r="R37" s="54"/>
      <c r="S37" s="52">
        <v>1247.18</v>
      </c>
      <c r="T37" s="54"/>
      <c r="U37" s="193">
        <v>0.2</v>
      </c>
      <c r="V37" s="54"/>
      <c r="W37" s="52">
        <v>1247.18</v>
      </c>
      <c r="X37" s="61">
        <v>95.89</v>
      </c>
      <c r="Y37" s="52">
        <v>20.79</v>
      </c>
      <c r="Z37" s="61">
        <v>116.68</v>
      </c>
      <c r="AA37" s="52">
        <v>94.46</v>
      </c>
      <c r="AB37" s="61">
        <v>20.48</v>
      </c>
      <c r="AC37" s="52">
        <v>114.94</v>
      </c>
    </row>
    <row r="38" spans="1:29" ht="15" customHeight="1">
      <c r="A38" s="40"/>
      <c r="B38" s="54"/>
      <c r="C38" s="54" t="s">
        <v>595</v>
      </c>
      <c r="D38" s="54" t="s">
        <v>601</v>
      </c>
      <c r="E38" s="54"/>
      <c r="F38" s="54"/>
      <c r="G38" s="54"/>
      <c r="H38" s="54"/>
      <c r="I38" s="54"/>
      <c r="J38" s="54"/>
      <c r="K38" s="54"/>
      <c r="L38" s="54"/>
      <c r="M38" s="54"/>
      <c r="N38" s="54"/>
      <c r="O38" s="52">
        <v>4806.8</v>
      </c>
      <c r="P38" s="54"/>
      <c r="Q38" s="52">
        <v>6.84</v>
      </c>
      <c r="R38" s="54"/>
      <c r="S38" s="52">
        <v>4813.6400000000003</v>
      </c>
      <c r="T38" s="54"/>
      <c r="U38" s="193">
        <v>0.2</v>
      </c>
      <c r="V38" s="54"/>
      <c r="W38" s="52">
        <v>4813.6400000000003</v>
      </c>
      <c r="X38" s="61">
        <v>677.19</v>
      </c>
      <c r="Y38" s="52">
        <v>80.23</v>
      </c>
      <c r="Z38" s="61">
        <v>757.42</v>
      </c>
      <c r="AA38" s="52">
        <v>667.04</v>
      </c>
      <c r="AB38" s="61">
        <v>79.03</v>
      </c>
      <c r="AC38" s="52">
        <v>746.07</v>
      </c>
    </row>
    <row r="39" spans="1:29" ht="15" customHeight="1">
      <c r="A39" s="40"/>
      <c r="B39" s="54"/>
      <c r="C39" s="54" t="s">
        <v>595</v>
      </c>
      <c r="D39" s="54" t="s">
        <v>600</v>
      </c>
      <c r="E39" s="54"/>
      <c r="F39" s="54"/>
      <c r="G39" s="54"/>
      <c r="H39" s="54"/>
      <c r="I39" s="54"/>
      <c r="J39" s="54"/>
      <c r="K39" s="54"/>
      <c r="L39" s="54"/>
      <c r="M39" s="54"/>
      <c r="N39" s="54"/>
      <c r="O39" s="52">
        <v>425.57</v>
      </c>
      <c r="P39" s="54"/>
      <c r="Q39" s="52">
        <v>3.75</v>
      </c>
      <c r="R39" s="54"/>
      <c r="S39" s="52">
        <v>429.32</v>
      </c>
      <c r="T39" s="54"/>
      <c r="U39" s="193">
        <v>0.2</v>
      </c>
      <c r="V39" s="54"/>
      <c r="W39" s="52">
        <v>429.32</v>
      </c>
      <c r="X39" s="61">
        <v>18.760000000000002</v>
      </c>
      <c r="Y39" s="52">
        <v>7.16</v>
      </c>
      <c r="Z39" s="61">
        <v>25.92</v>
      </c>
      <c r="AA39" s="52">
        <v>18.47</v>
      </c>
      <c r="AB39" s="61">
        <v>7.05</v>
      </c>
      <c r="AC39" s="52">
        <v>25.52</v>
      </c>
    </row>
    <row r="40" spans="1:29" ht="15" customHeight="1">
      <c r="A40" s="40"/>
      <c r="B40" s="54"/>
      <c r="C40" s="54" t="s">
        <v>595</v>
      </c>
      <c r="D40" s="54" t="s">
        <v>599</v>
      </c>
      <c r="E40" s="52">
        <v>0</v>
      </c>
      <c r="F40" s="54"/>
      <c r="G40" s="52">
        <v>0</v>
      </c>
      <c r="H40" s="54"/>
      <c r="I40" s="52">
        <v>0</v>
      </c>
      <c r="J40" s="54"/>
      <c r="K40" s="52">
        <v>0</v>
      </c>
      <c r="L40" s="54"/>
      <c r="M40" s="52">
        <v>0</v>
      </c>
      <c r="N40" s="54"/>
      <c r="O40" s="52">
        <v>868.84</v>
      </c>
      <c r="P40" s="54"/>
      <c r="Q40" s="52">
        <v>109.62</v>
      </c>
      <c r="R40" s="54"/>
      <c r="S40" s="52">
        <v>978.46</v>
      </c>
      <c r="T40" s="54"/>
      <c r="U40" s="193">
        <v>0.2</v>
      </c>
      <c r="V40" s="54"/>
      <c r="W40" s="52">
        <v>978.46</v>
      </c>
      <c r="X40" s="61">
        <v>44.67</v>
      </c>
      <c r="Y40" s="52">
        <v>16.309999999999999</v>
      </c>
      <c r="Z40" s="61">
        <v>60.98</v>
      </c>
      <c r="AA40" s="52">
        <v>44</v>
      </c>
      <c r="AB40" s="61">
        <v>16.07</v>
      </c>
      <c r="AC40" s="52">
        <v>60.07</v>
      </c>
    </row>
    <row r="41" spans="1:29" ht="15" customHeight="1">
      <c r="A41" s="40"/>
      <c r="B41" s="54"/>
      <c r="C41" s="54" t="s">
        <v>595</v>
      </c>
      <c r="D41" s="54" t="s">
        <v>598</v>
      </c>
      <c r="E41" s="54"/>
      <c r="F41" s="54"/>
      <c r="G41" s="54"/>
      <c r="H41" s="54"/>
      <c r="I41" s="54"/>
      <c r="J41" s="54"/>
      <c r="K41" s="54"/>
      <c r="L41" s="54"/>
      <c r="M41" s="54"/>
      <c r="N41" s="54"/>
      <c r="O41" s="52">
        <v>767.01</v>
      </c>
      <c r="P41" s="54"/>
      <c r="Q41" s="52">
        <v>244.26</v>
      </c>
      <c r="R41" s="54"/>
      <c r="S41" s="52">
        <v>1011.27</v>
      </c>
      <c r="T41" s="54"/>
      <c r="U41" s="193">
        <v>0.2</v>
      </c>
      <c r="V41" s="54"/>
      <c r="W41" s="52">
        <v>1011.27</v>
      </c>
      <c r="X41" s="61">
        <v>22.69</v>
      </c>
      <c r="Y41" s="52">
        <v>16.850000000000001</v>
      </c>
      <c r="Z41" s="61">
        <v>39.54</v>
      </c>
      <c r="AA41" s="52">
        <v>22.36</v>
      </c>
      <c r="AB41" s="61">
        <v>16.600000000000001</v>
      </c>
      <c r="AC41" s="52">
        <v>38.96</v>
      </c>
    </row>
    <row r="42" spans="1:29" ht="15" customHeight="1">
      <c r="A42" s="40"/>
      <c r="B42" s="54"/>
      <c r="C42" s="54" t="s">
        <v>595</v>
      </c>
      <c r="D42" s="54" t="s">
        <v>597</v>
      </c>
      <c r="E42" s="54"/>
      <c r="F42" s="54"/>
      <c r="G42" s="54"/>
      <c r="H42" s="54"/>
      <c r="I42" s="54"/>
      <c r="J42" s="54"/>
      <c r="K42" s="54"/>
      <c r="L42" s="54"/>
      <c r="M42" s="54"/>
      <c r="N42" s="54"/>
      <c r="O42" s="52">
        <v>1135.3499999999999</v>
      </c>
      <c r="P42" s="54"/>
      <c r="Q42" s="52">
        <v>54.13</v>
      </c>
      <c r="R42" s="54"/>
      <c r="S42" s="52">
        <v>1189.48</v>
      </c>
      <c r="T42" s="54"/>
      <c r="U42" s="193">
        <v>0.2</v>
      </c>
      <c r="V42" s="54"/>
      <c r="W42" s="52">
        <v>1189.48</v>
      </c>
      <c r="X42" s="61">
        <v>53.21</v>
      </c>
      <c r="Y42" s="52">
        <v>19.82</v>
      </c>
      <c r="Z42" s="61">
        <v>73.03</v>
      </c>
      <c r="AA42" s="52">
        <v>52.42</v>
      </c>
      <c r="AB42" s="61">
        <v>19.52</v>
      </c>
      <c r="AC42" s="52">
        <v>71.94</v>
      </c>
    </row>
    <row r="43" spans="1:29" ht="15" customHeight="1">
      <c r="A43" s="40"/>
      <c r="B43" s="54"/>
      <c r="C43" s="54" t="s">
        <v>595</v>
      </c>
      <c r="D43" s="54" t="s">
        <v>596</v>
      </c>
      <c r="E43" s="54"/>
      <c r="F43" s="54"/>
      <c r="G43" s="54"/>
      <c r="H43" s="54"/>
      <c r="I43" s="54"/>
      <c r="J43" s="54"/>
      <c r="K43" s="54"/>
      <c r="L43" s="54"/>
      <c r="M43" s="54"/>
      <c r="N43" s="54"/>
      <c r="O43" s="52">
        <v>3532.16</v>
      </c>
      <c r="P43" s="54"/>
      <c r="Q43" s="52">
        <v>725.93</v>
      </c>
      <c r="R43" s="54"/>
      <c r="S43" s="52">
        <v>4258.09</v>
      </c>
      <c r="T43" s="54"/>
      <c r="U43" s="193">
        <v>0.2</v>
      </c>
      <c r="V43" s="54"/>
      <c r="W43" s="52">
        <v>4258.09</v>
      </c>
      <c r="X43" s="61">
        <v>60.28</v>
      </c>
      <c r="Y43" s="52">
        <v>70.97</v>
      </c>
      <c r="Z43" s="61">
        <v>131.25</v>
      </c>
      <c r="AA43" s="52">
        <v>59.38</v>
      </c>
      <c r="AB43" s="61">
        <v>69.91</v>
      </c>
      <c r="AC43" s="52">
        <v>129.29</v>
      </c>
    </row>
    <row r="44" spans="1:29" ht="15" customHeight="1">
      <c r="A44" s="40"/>
      <c r="B44" s="54"/>
      <c r="C44" s="54" t="s">
        <v>595</v>
      </c>
      <c r="D44" s="54" t="s">
        <v>594</v>
      </c>
      <c r="E44" s="54"/>
      <c r="F44" s="54"/>
      <c r="G44" s="54"/>
      <c r="H44" s="54"/>
      <c r="I44" s="54"/>
      <c r="J44" s="54"/>
      <c r="K44" s="54"/>
      <c r="L44" s="54"/>
      <c r="M44" s="54"/>
      <c r="N44" s="54"/>
      <c r="O44" s="52">
        <v>3073.99</v>
      </c>
      <c r="P44" s="54"/>
      <c r="Q44" s="52">
        <v>323.10000000000002</v>
      </c>
      <c r="R44" s="54"/>
      <c r="S44" s="52">
        <v>3397.09</v>
      </c>
      <c r="T44" s="54"/>
      <c r="U44" s="193">
        <v>0.2</v>
      </c>
      <c r="V44" s="54"/>
      <c r="W44" s="52">
        <v>3397.09</v>
      </c>
      <c r="X44" s="61">
        <v>222.82</v>
      </c>
      <c r="Y44" s="52">
        <v>56.62</v>
      </c>
      <c r="Z44" s="61">
        <v>279.44</v>
      </c>
      <c r="AA44" s="52">
        <v>219.47</v>
      </c>
      <c r="AB44" s="61">
        <v>55.77</v>
      </c>
      <c r="AC44" s="52">
        <v>275.24</v>
      </c>
    </row>
    <row r="45" spans="1:29" ht="15" customHeight="1">
      <c r="A45" s="40"/>
      <c r="B45" s="54"/>
      <c r="C45" s="54" t="s">
        <v>593</v>
      </c>
      <c r="D45" s="54" t="s">
        <v>592</v>
      </c>
      <c r="E45" s="52">
        <v>0</v>
      </c>
      <c r="F45" s="54"/>
      <c r="G45" s="52">
        <v>0</v>
      </c>
      <c r="H45" s="54"/>
      <c r="I45" s="52">
        <v>21651.15</v>
      </c>
      <c r="J45" s="54"/>
      <c r="K45" s="52">
        <v>553.79999999999995</v>
      </c>
      <c r="L45" s="54"/>
      <c r="M45" s="52">
        <v>0</v>
      </c>
      <c r="N45" s="54"/>
      <c r="O45" s="52">
        <v>0</v>
      </c>
      <c r="P45" s="54"/>
      <c r="Q45" s="52">
        <v>0</v>
      </c>
      <c r="R45" s="54"/>
      <c r="S45" s="52">
        <v>22204.95</v>
      </c>
      <c r="T45" s="54"/>
      <c r="U45" s="193">
        <v>0.2</v>
      </c>
      <c r="V45" s="54"/>
      <c r="W45" s="52">
        <v>22204.95</v>
      </c>
      <c r="X45" s="61">
        <v>15350.34</v>
      </c>
      <c r="Y45" s="52">
        <v>370.08</v>
      </c>
      <c r="Z45" s="61">
        <v>15720.42</v>
      </c>
      <c r="AA45" s="52">
        <v>15120.09</v>
      </c>
      <c r="AB45" s="61">
        <v>364.53</v>
      </c>
      <c r="AC45" s="52">
        <v>15484.62</v>
      </c>
    </row>
    <row r="46" spans="1:29" ht="15" customHeight="1">
      <c r="A46" s="40"/>
      <c r="B46" s="54"/>
      <c r="C46" s="54" t="s">
        <v>591</v>
      </c>
      <c r="D46" s="54" t="s">
        <v>590</v>
      </c>
      <c r="E46" s="52">
        <v>0</v>
      </c>
      <c r="F46" s="54"/>
      <c r="G46" s="52">
        <v>0</v>
      </c>
      <c r="H46" s="54"/>
      <c r="I46" s="52">
        <v>19565.54</v>
      </c>
      <c r="J46" s="54"/>
      <c r="K46" s="52">
        <v>876.05</v>
      </c>
      <c r="L46" s="54"/>
      <c r="M46" s="52">
        <v>818.15</v>
      </c>
      <c r="N46" s="54"/>
      <c r="O46" s="52">
        <v>372.88</v>
      </c>
      <c r="P46" s="54"/>
      <c r="Q46" s="52">
        <v>0</v>
      </c>
      <c r="R46" s="54"/>
      <c r="S46" s="52">
        <v>21632.62</v>
      </c>
      <c r="T46" s="54"/>
      <c r="U46" s="193">
        <v>0.2</v>
      </c>
      <c r="V46" s="54"/>
      <c r="W46" s="52">
        <v>21632.62</v>
      </c>
      <c r="X46" s="61">
        <v>14339.52</v>
      </c>
      <c r="Y46" s="52">
        <v>360.54</v>
      </c>
      <c r="Z46" s="61">
        <v>14700.06</v>
      </c>
      <c r="AA46" s="52">
        <v>14124.46</v>
      </c>
      <c r="AB46" s="61">
        <v>355.13</v>
      </c>
      <c r="AC46" s="52">
        <v>14479.59</v>
      </c>
    </row>
    <row r="47" spans="1:29" ht="15" customHeight="1">
      <c r="A47" s="40"/>
      <c r="B47" s="54"/>
      <c r="C47" s="54" t="s">
        <v>589</v>
      </c>
      <c r="D47" s="54" t="s">
        <v>588</v>
      </c>
      <c r="E47" s="52">
        <v>0</v>
      </c>
      <c r="F47" s="54"/>
      <c r="G47" s="52">
        <v>0</v>
      </c>
      <c r="H47" s="54"/>
      <c r="I47" s="52">
        <v>12682.77</v>
      </c>
      <c r="J47" s="54"/>
      <c r="K47" s="52">
        <v>12931.96</v>
      </c>
      <c r="L47" s="54"/>
      <c r="M47" s="52">
        <v>16069.88</v>
      </c>
      <c r="N47" s="54"/>
      <c r="O47" s="52">
        <v>2543.59</v>
      </c>
      <c r="P47" s="54"/>
      <c r="Q47" s="52">
        <v>0</v>
      </c>
      <c r="R47" s="54"/>
      <c r="S47" s="52">
        <v>44228.2</v>
      </c>
      <c r="T47" s="54"/>
      <c r="U47" s="193">
        <v>0.2</v>
      </c>
      <c r="V47" s="54"/>
      <c r="W47" s="52">
        <v>44228.2</v>
      </c>
      <c r="X47" s="61">
        <v>19239.849999999999</v>
      </c>
      <c r="Y47" s="52">
        <v>737.14</v>
      </c>
      <c r="Z47" s="61">
        <v>19976.990000000002</v>
      </c>
      <c r="AA47" s="52">
        <v>18951.27</v>
      </c>
      <c r="AB47" s="61">
        <v>726.08</v>
      </c>
      <c r="AC47" s="52">
        <v>19677.349999999999</v>
      </c>
    </row>
    <row r="48" spans="1:29" ht="15" customHeight="1">
      <c r="A48" s="40"/>
      <c r="B48" s="54"/>
      <c r="C48" s="54" t="s">
        <v>587</v>
      </c>
      <c r="D48" s="54" t="s">
        <v>586</v>
      </c>
      <c r="E48" s="52">
        <v>0</v>
      </c>
      <c r="F48" s="54"/>
      <c r="G48" s="52">
        <v>0</v>
      </c>
      <c r="H48" s="54"/>
      <c r="I48" s="52">
        <v>12915.44</v>
      </c>
      <c r="J48" s="54"/>
      <c r="K48" s="52">
        <v>922.52</v>
      </c>
      <c r="L48" s="54"/>
      <c r="M48" s="52">
        <v>1121.8900000000001</v>
      </c>
      <c r="N48" s="54"/>
      <c r="O48" s="52">
        <v>1440.08</v>
      </c>
      <c r="P48" s="54"/>
      <c r="Q48" s="52">
        <v>10.1</v>
      </c>
      <c r="R48" s="54"/>
      <c r="S48" s="52">
        <v>16410.03</v>
      </c>
      <c r="T48" s="54"/>
      <c r="U48" s="193">
        <v>0.2</v>
      </c>
      <c r="V48" s="54"/>
      <c r="W48" s="52">
        <v>16410.03</v>
      </c>
      <c r="X48" s="61">
        <v>8807.98</v>
      </c>
      <c r="Y48" s="52">
        <v>273.5</v>
      </c>
      <c r="Z48" s="61">
        <v>9081.48</v>
      </c>
      <c r="AA48" s="52">
        <v>8675.84</v>
      </c>
      <c r="AB48" s="61">
        <v>269.39999999999998</v>
      </c>
      <c r="AC48" s="52">
        <v>8945.24</v>
      </c>
    </row>
    <row r="49" spans="1:29" ht="15" customHeight="1">
      <c r="A49" s="40"/>
      <c r="B49" s="54"/>
      <c r="C49" s="54" t="s">
        <v>585</v>
      </c>
      <c r="D49" s="54" t="s">
        <v>584</v>
      </c>
      <c r="E49" s="52">
        <v>0</v>
      </c>
      <c r="F49" s="54"/>
      <c r="G49" s="52">
        <v>0</v>
      </c>
      <c r="H49" s="54"/>
      <c r="I49" s="52">
        <v>29728.53</v>
      </c>
      <c r="J49" s="54"/>
      <c r="K49" s="52">
        <v>4261.55</v>
      </c>
      <c r="L49" s="54"/>
      <c r="M49" s="52">
        <v>71.27</v>
      </c>
      <c r="N49" s="54"/>
      <c r="O49" s="52">
        <v>0</v>
      </c>
      <c r="P49" s="54"/>
      <c r="Q49" s="52">
        <v>0</v>
      </c>
      <c r="R49" s="54"/>
      <c r="S49" s="52">
        <v>34061.35</v>
      </c>
      <c r="T49" s="54"/>
      <c r="U49" s="193">
        <v>0.2</v>
      </c>
      <c r="V49" s="54"/>
      <c r="W49" s="52">
        <v>34061.35</v>
      </c>
      <c r="X49" s="61">
        <v>22459.98</v>
      </c>
      <c r="Y49" s="52">
        <v>567.69000000000005</v>
      </c>
      <c r="Z49" s="61">
        <v>23027.67</v>
      </c>
      <c r="AA49" s="52">
        <v>22122.97</v>
      </c>
      <c r="AB49" s="61">
        <v>559.16999999999996</v>
      </c>
      <c r="AC49" s="52">
        <v>22682.14</v>
      </c>
    </row>
    <row r="50" spans="1:29" ht="15" customHeight="1">
      <c r="A50" s="40"/>
      <c r="B50" s="54"/>
      <c r="C50" s="54" t="s">
        <v>583</v>
      </c>
      <c r="D50" s="54" t="s">
        <v>582</v>
      </c>
      <c r="E50" s="52">
        <v>0</v>
      </c>
      <c r="F50" s="54"/>
      <c r="G50" s="52">
        <v>0</v>
      </c>
      <c r="H50" s="54"/>
      <c r="I50" s="52">
        <v>28581.25</v>
      </c>
      <c r="J50" s="54"/>
      <c r="K50" s="52">
        <v>9957.64</v>
      </c>
      <c r="L50" s="54"/>
      <c r="M50" s="52">
        <v>22202.13</v>
      </c>
      <c r="N50" s="54"/>
      <c r="O50" s="52">
        <v>2957.9</v>
      </c>
      <c r="P50" s="54"/>
      <c r="Q50" s="52">
        <v>7.42</v>
      </c>
      <c r="R50" s="54"/>
      <c r="S50" s="52">
        <v>63706.34</v>
      </c>
      <c r="T50" s="54"/>
      <c r="U50" s="193">
        <v>0.2</v>
      </c>
      <c r="V50" s="54"/>
      <c r="W50" s="52">
        <v>63706.34</v>
      </c>
      <c r="X50" s="61">
        <v>28845.5</v>
      </c>
      <c r="Y50" s="52">
        <v>1061.77</v>
      </c>
      <c r="Z50" s="61">
        <v>29907.27</v>
      </c>
      <c r="AA50" s="52">
        <v>28412.77</v>
      </c>
      <c r="AB50" s="61">
        <v>1045.8399999999999</v>
      </c>
      <c r="AC50" s="52">
        <v>29458.61</v>
      </c>
    </row>
    <row r="51" spans="1:29" ht="15" customHeight="1">
      <c r="A51" s="40"/>
      <c r="B51" s="54"/>
      <c r="C51" s="54" t="s">
        <v>581</v>
      </c>
      <c r="D51" s="54" t="s">
        <v>580</v>
      </c>
      <c r="E51" s="52">
        <v>0</v>
      </c>
      <c r="F51" s="54"/>
      <c r="G51" s="52">
        <v>0</v>
      </c>
      <c r="H51" s="54"/>
      <c r="I51" s="52">
        <v>4826.24</v>
      </c>
      <c r="J51" s="54"/>
      <c r="K51" s="52">
        <v>17700.55</v>
      </c>
      <c r="L51" s="54"/>
      <c r="M51" s="52">
        <v>1425</v>
      </c>
      <c r="N51" s="54"/>
      <c r="O51" s="52">
        <v>0</v>
      </c>
      <c r="P51" s="54"/>
      <c r="Q51" s="52">
        <v>0</v>
      </c>
      <c r="R51" s="54"/>
      <c r="S51" s="52">
        <v>23951.79</v>
      </c>
      <c r="T51" s="54"/>
      <c r="U51" s="193">
        <v>0.2</v>
      </c>
      <c r="V51" s="54"/>
      <c r="W51" s="52">
        <v>23951.79</v>
      </c>
      <c r="X51" s="61">
        <v>10647.69</v>
      </c>
      <c r="Y51" s="52">
        <v>399.2</v>
      </c>
      <c r="Z51" s="61">
        <v>11046.89</v>
      </c>
      <c r="AA51" s="52">
        <v>10487.95</v>
      </c>
      <c r="AB51" s="61">
        <v>393.21</v>
      </c>
      <c r="AC51" s="52">
        <v>10881.16</v>
      </c>
    </row>
    <row r="52" spans="1:29" ht="15" customHeight="1">
      <c r="A52" s="40"/>
      <c r="B52" s="54"/>
      <c r="C52" s="54" t="s">
        <v>579</v>
      </c>
      <c r="D52" s="54" t="s">
        <v>578</v>
      </c>
      <c r="E52" s="52">
        <v>0</v>
      </c>
      <c r="F52" s="54"/>
      <c r="G52" s="52">
        <v>0</v>
      </c>
      <c r="H52" s="54"/>
      <c r="I52" s="52">
        <v>0</v>
      </c>
      <c r="J52" s="54"/>
      <c r="K52" s="52">
        <v>19795.740000000002</v>
      </c>
      <c r="L52" s="54"/>
      <c r="M52" s="52">
        <v>147.44999999999999</v>
      </c>
      <c r="N52" s="54"/>
      <c r="O52" s="52">
        <v>0</v>
      </c>
      <c r="P52" s="54"/>
      <c r="Q52" s="52">
        <v>0</v>
      </c>
      <c r="R52" s="54"/>
      <c r="S52" s="52">
        <v>19943.189999999999</v>
      </c>
      <c r="T52" s="54"/>
      <c r="U52" s="193">
        <v>0.2</v>
      </c>
      <c r="V52" s="54"/>
      <c r="W52" s="52">
        <v>19943.189999999999</v>
      </c>
      <c r="X52" s="61">
        <v>8118.94</v>
      </c>
      <c r="Y52" s="52">
        <v>332.39</v>
      </c>
      <c r="Z52" s="61">
        <v>8451.33</v>
      </c>
      <c r="AA52" s="52">
        <v>7997.02</v>
      </c>
      <c r="AB52" s="61">
        <v>327.39999999999998</v>
      </c>
      <c r="AC52" s="52">
        <v>8324.42</v>
      </c>
    </row>
    <row r="53" spans="1:29" ht="15" customHeight="1">
      <c r="A53" s="40"/>
      <c r="B53" s="54"/>
      <c r="C53" s="54" t="s">
        <v>577</v>
      </c>
      <c r="D53" s="54" t="s">
        <v>576</v>
      </c>
      <c r="E53" s="52">
        <v>0</v>
      </c>
      <c r="F53" s="54"/>
      <c r="G53" s="52">
        <v>0</v>
      </c>
      <c r="H53" s="54"/>
      <c r="I53" s="52">
        <v>0</v>
      </c>
      <c r="J53" s="54"/>
      <c r="K53" s="52">
        <v>78381.460000000006</v>
      </c>
      <c r="L53" s="54"/>
      <c r="M53" s="52">
        <v>19143.439999999999</v>
      </c>
      <c r="N53" s="54"/>
      <c r="O53" s="52">
        <v>7797.93</v>
      </c>
      <c r="P53" s="54"/>
      <c r="Q53" s="52">
        <v>44.25</v>
      </c>
      <c r="R53" s="54"/>
      <c r="S53" s="52">
        <v>105367.08</v>
      </c>
      <c r="T53" s="54"/>
      <c r="U53" s="193">
        <v>0.2</v>
      </c>
      <c r="V53" s="54"/>
      <c r="W53" s="52">
        <v>105367.08</v>
      </c>
      <c r="X53" s="61">
        <v>53063.08</v>
      </c>
      <c r="Y53" s="52">
        <v>1756.12</v>
      </c>
      <c r="Z53" s="61">
        <v>54819.199999999997</v>
      </c>
      <c r="AA53" s="52">
        <v>52267.14</v>
      </c>
      <c r="AB53" s="61">
        <v>1729.78</v>
      </c>
      <c r="AC53" s="52">
        <v>53996.92</v>
      </c>
    </row>
    <row r="54" spans="1:29" ht="15" customHeight="1">
      <c r="A54" s="40"/>
      <c r="B54" s="54"/>
      <c r="C54" s="54" t="s">
        <v>575</v>
      </c>
      <c r="D54" s="54" t="s">
        <v>574</v>
      </c>
      <c r="E54" s="52">
        <v>0</v>
      </c>
      <c r="F54" s="54"/>
      <c r="G54" s="52">
        <v>0</v>
      </c>
      <c r="H54" s="54"/>
      <c r="I54" s="52">
        <v>0</v>
      </c>
      <c r="J54" s="54"/>
      <c r="K54" s="52">
        <v>38297</v>
      </c>
      <c r="L54" s="54"/>
      <c r="M54" s="52">
        <v>27004.13</v>
      </c>
      <c r="N54" s="54"/>
      <c r="O54" s="52">
        <v>495.44</v>
      </c>
      <c r="P54" s="54"/>
      <c r="Q54" s="52">
        <v>0</v>
      </c>
      <c r="R54" s="54"/>
      <c r="S54" s="52">
        <v>65796.570000000007</v>
      </c>
      <c r="T54" s="54"/>
      <c r="U54" s="193">
        <v>0.2</v>
      </c>
      <c r="V54" s="54"/>
      <c r="W54" s="52">
        <v>65796.570000000007</v>
      </c>
      <c r="X54" s="61">
        <v>25292.84</v>
      </c>
      <c r="Y54" s="52">
        <v>1096.6099999999999</v>
      </c>
      <c r="Z54" s="61">
        <v>26389.45</v>
      </c>
      <c r="AA54" s="52">
        <v>24913.439999999999</v>
      </c>
      <c r="AB54" s="61">
        <v>1080.1600000000001</v>
      </c>
      <c r="AC54" s="52">
        <v>25993.599999999999</v>
      </c>
    </row>
    <row r="55" spans="1:29" ht="15" customHeight="1">
      <c r="A55" s="40"/>
      <c r="B55" s="54"/>
      <c r="C55" s="54" t="s">
        <v>573</v>
      </c>
      <c r="D55" s="54" t="s">
        <v>572</v>
      </c>
      <c r="E55" s="52">
        <v>0</v>
      </c>
      <c r="F55" s="54"/>
      <c r="G55" s="52">
        <v>0</v>
      </c>
      <c r="H55" s="54"/>
      <c r="I55" s="52">
        <v>0</v>
      </c>
      <c r="J55" s="54"/>
      <c r="K55" s="52">
        <v>71980.42</v>
      </c>
      <c r="L55" s="54"/>
      <c r="M55" s="52">
        <v>19873.43</v>
      </c>
      <c r="N55" s="54"/>
      <c r="O55" s="52">
        <v>883.29</v>
      </c>
      <c r="P55" s="54"/>
      <c r="Q55" s="52">
        <v>2.84</v>
      </c>
      <c r="R55" s="54"/>
      <c r="S55" s="52">
        <v>92739.98</v>
      </c>
      <c r="T55" s="54"/>
      <c r="U55" s="193">
        <v>0.2</v>
      </c>
      <c r="V55" s="54"/>
      <c r="W55" s="52">
        <v>92739.98</v>
      </c>
      <c r="X55" s="61">
        <v>40566.699999999997</v>
      </c>
      <c r="Y55" s="52">
        <v>1545.67</v>
      </c>
      <c r="Z55" s="61">
        <v>42112.37</v>
      </c>
      <c r="AA55" s="52">
        <v>39958.22</v>
      </c>
      <c r="AB55" s="61">
        <v>1522.48</v>
      </c>
      <c r="AC55" s="52">
        <v>41480.699999999997</v>
      </c>
    </row>
    <row r="56" spans="1:29" ht="15" customHeight="1">
      <c r="A56" s="40"/>
      <c r="B56" s="54"/>
      <c r="C56" s="54" t="s">
        <v>569</v>
      </c>
      <c r="D56" s="54" t="s">
        <v>571</v>
      </c>
      <c r="E56" s="52">
        <v>0</v>
      </c>
      <c r="F56" s="54"/>
      <c r="G56" s="52">
        <v>0</v>
      </c>
      <c r="H56" s="54"/>
      <c r="I56" s="52">
        <v>0</v>
      </c>
      <c r="J56" s="54"/>
      <c r="K56" s="52">
        <v>0</v>
      </c>
      <c r="L56" s="54"/>
      <c r="M56" s="52">
        <v>5012.6899999999996</v>
      </c>
      <c r="N56" s="54"/>
      <c r="O56" s="52">
        <v>15502.91</v>
      </c>
      <c r="P56" s="54"/>
      <c r="Q56" s="52">
        <v>960.54</v>
      </c>
      <c r="R56" s="54"/>
      <c r="S56" s="52">
        <v>21476.14</v>
      </c>
      <c r="T56" s="54"/>
      <c r="U56" s="193">
        <v>0.2</v>
      </c>
      <c r="V56" s="54"/>
      <c r="W56" s="52">
        <v>21476.14</v>
      </c>
      <c r="X56" s="61">
        <v>2752.58</v>
      </c>
      <c r="Y56" s="52">
        <v>357.94</v>
      </c>
      <c r="Z56" s="61">
        <v>3110.52</v>
      </c>
      <c r="AA56" s="52">
        <v>2711.29</v>
      </c>
      <c r="AB56" s="61">
        <v>352.57</v>
      </c>
      <c r="AC56" s="52">
        <v>3063.86</v>
      </c>
    </row>
    <row r="57" spans="1:29" ht="15" customHeight="1">
      <c r="A57" s="40"/>
      <c r="B57" s="54"/>
      <c r="C57" s="54" t="s">
        <v>569</v>
      </c>
      <c r="D57" s="54" t="s">
        <v>570</v>
      </c>
      <c r="E57" s="52">
        <v>0</v>
      </c>
      <c r="F57" s="54"/>
      <c r="G57" s="52">
        <v>0</v>
      </c>
      <c r="H57" s="54"/>
      <c r="I57" s="52">
        <v>0</v>
      </c>
      <c r="J57" s="54"/>
      <c r="K57" s="52">
        <v>0</v>
      </c>
      <c r="L57" s="54"/>
      <c r="M57" s="52">
        <v>8280.84</v>
      </c>
      <c r="N57" s="54"/>
      <c r="O57" s="52">
        <v>9709.32</v>
      </c>
      <c r="P57" s="54"/>
      <c r="Q57" s="52">
        <v>135.83000000000001</v>
      </c>
      <c r="R57" s="54"/>
      <c r="S57" s="52">
        <v>18125.990000000002</v>
      </c>
      <c r="T57" s="54"/>
      <c r="U57" s="193">
        <v>0.2</v>
      </c>
      <c r="V57" s="54"/>
      <c r="W57" s="52">
        <v>18125.990000000002</v>
      </c>
      <c r="X57" s="61">
        <v>3655.84</v>
      </c>
      <c r="Y57" s="52">
        <v>302.10000000000002</v>
      </c>
      <c r="Z57" s="61">
        <v>3957.94</v>
      </c>
      <c r="AA57" s="52">
        <v>3600.97</v>
      </c>
      <c r="AB57" s="61">
        <v>297.57</v>
      </c>
      <c r="AC57" s="52">
        <v>3898.54</v>
      </c>
    </row>
    <row r="58" spans="1:29" ht="15" customHeight="1">
      <c r="A58" s="40"/>
      <c r="B58" s="54"/>
      <c r="C58" s="54" t="s">
        <v>569</v>
      </c>
      <c r="D58" s="54" t="s">
        <v>568</v>
      </c>
      <c r="E58" s="52">
        <v>0</v>
      </c>
      <c r="F58" s="54"/>
      <c r="G58" s="52">
        <v>0</v>
      </c>
      <c r="H58" s="54"/>
      <c r="I58" s="52">
        <v>0</v>
      </c>
      <c r="J58" s="54"/>
      <c r="K58" s="52">
        <v>0</v>
      </c>
      <c r="L58" s="54"/>
      <c r="M58" s="52">
        <v>4995.1000000000004</v>
      </c>
      <c r="N58" s="54"/>
      <c r="O58" s="52">
        <v>5267.66</v>
      </c>
      <c r="P58" s="54"/>
      <c r="Q58" s="52">
        <v>275.25</v>
      </c>
      <c r="R58" s="54"/>
      <c r="S58" s="52">
        <v>10538.01</v>
      </c>
      <c r="T58" s="54"/>
      <c r="U58" s="193">
        <v>0.2</v>
      </c>
      <c r="V58" s="54"/>
      <c r="W58" s="52">
        <v>10538.01</v>
      </c>
      <c r="X58" s="61">
        <v>2072.04</v>
      </c>
      <c r="Y58" s="52">
        <v>175.63</v>
      </c>
      <c r="Z58" s="61">
        <v>2247.67</v>
      </c>
      <c r="AA58" s="52">
        <v>2040.94</v>
      </c>
      <c r="AB58" s="61">
        <v>173</v>
      </c>
      <c r="AC58" s="52">
        <v>2213.94</v>
      </c>
    </row>
    <row r="59" spans="1:29" ht="15" customHeight="1">
      <c r="A59" s="40"/>
      <c r="B59" s="54"/>
      <c r="C59" s="54" t="s">
        <v>567</v>
      </c>
      <c r="D59" s="54" t="s">
        <v>566</v>
      </c>
      <c r="E59" s="52">
        <v>0</v>
      </c>
      <c r="F59" s="54"/>
      <c r="G59" s="52">
        <v>0</v>
      </c>
      <c r="H59" s="54"/>
      <c r="I59" s="52">
        <v>0</v>
      </c>
      <c r="J59" s="54"/>
      <c r="K59" s="52">
        <v>0</v>
      </c>
      <c r="L59" s="54"/>
      <c r="M59" s="52">
        <v>71814.02</v>
      </c>
      <c r="N59" s="54"/>
      <c r="O59" s="52">
        <v>2603.38</v>
      </c>
      <c r="P59" s="54"/>
      <c r="Q59" s="52">
        <v>450.31</v>
      </c>
      <c r="R59" s="54"/>
      <c r="S59" s="52">
        <v>74867.710000000006</v>
      </c>
      <c r="T59" s="54"/>
      <c r="U59" s="193">
        <v>0.2</v>
      </c>
      <c r="V59" s="54"/>
      <c r="W59" s="52">
        <v>74867.710000000006</v>
      </c>
      <c r="X59" s="61">
        <v>20509.86</v>
      </c>
      <c r="Y59" s="52">
        <v>1247.8</v>
      </c>
      <c r="Z59" s="61">
        <v>21757.66</v>
      </c>
      <c r="AA59" s="52">
        <v>20202.240000000002</v>
      </c>
      <c r="AB59" s="61">
        <v>1229.08</v>
      </c>
      <c r="AC59" s="52">
        <v>21431.32</v>
      </c>
    </row>
    <row r="60" spans="1:29" ht="15" customHeight="1">
      <c r="A60" s="40"/>
      <c r="B60" s="54"/>
      <c r="C60" s="54" t="s">
        <v>565</v>
      </c>
      <c r="D60" s="54" t="s">
        <v>564</v>
      </c>
      <c r="E60" s="52">
        <v>0</v>
      </c>
      <c r="F60" s="54"/>
      <c r="G60" s="52">
        <v>0</v>
      </c>
      <c r="H60" s="54"/>
      <c r="I60" s="52">
        <v>0</v>
      </c>
      <c r="J60" s="54"/>
      <c r="K60" s="52">
        <v>38980.99</v>
      </c>
      <c r="L60" s="54"/>
      <c r="M60" s="52">
        <v>8408.1</v>
      </c>
      <c r="N60" s="54"/>
      <c r="O60" s="52">
        <v>0</v>
      </c>
      <c r="P60" s="54"/>
      <c r="Q60" s="52">
        <v>0</v>
      </c>
      <c r="R60" s="54"/>
      <c r="S60" s="52">
        <v>47389.09</v>
      </c>
      <c r="T60" s="54"/>
      <c r="U60" s="193">
        <v>0.2</v>
      </c>
      <c r="V60" s="54"/>
      <c r="W60" s="52">
        <v>47389.09</v>
      </c>
      <c r="X60" s="61">
        <v>23440.81</v>
      </c>
      <c r="Y60" s="52">
        <v>789.82</v>
      </c>
      <c r="Z60" s="61">
        <v>24230.63</v>
      </c>
      <c r="AA60" s="52">
        <v>23089.14</v>
      </c>
      <c r="AB60" s="61">
        <v>777.97</v>
      </c>
      <c r="AC60" s="52">
        <v>23867.11</v>
      </c>
    </row>
    <row r="61" spans="1:29" ht="15" customHeight="1">
      <c r="A61" s="40"/>
      <c r="B61" s="54"/>
      <c r="C61" s="54" t="s">
        <v>561</v>
      </c>
      <c r="D61" s="54" t="s">
        <v>560</v>
      </c>
      <c r="E61" s="54"/>
      <c r="F61" s="54"/>
      <c r="G61" s="54"/>
      <c r="H61" s="54"/>
      <c r="I61" s="54"/>
      <c r="J61" s="54"/>
      <c r="K61" s="54"/>
      <c r="L61" s="54"/>
      <c r="M61" s="54"/>
      <c r="N61" s="54"/>
      <c r="O61" s="52">
        <v>7445.61</v>
      </c>
      <c r="P61" s="54"/>
      <c r="Q61" s="52">
        <v>1731.04</v>
      </c>
      <c r="R61" s="54"/>
      <c r="S61" s="52">
        <v>9176.65</v>
      </c>
      <c r="T61" s="54"/>
      <c r="U61" s="193">
        <v>0.2</v>
      </c>
      <c r="V61" s="54"/>
      <c r="W61" s="52">
        <v>9176.65</v>
      </c>
      <c r="X61" s="61">
        <v>375.67</v>
      </c>
      <c r="Y61" s="52">
        <v>152.94</v>
      </c>
      <c r="Z61" s="61">
        <v>528.61</v>
      </c>
      <c r="AA61" s="52">
        <v>370.04</v>
      </c>
      <c r="AB61" s="61">
        <v>150.65</v>
      </c>
      <c r="AC61" s="52">
        <v>520.69000000000005</v>
      </c>
    </row>
    <row r="62" spans="1:29" ht="15" customHeight="1">
      <c r="A62" s="40"/>
      <c r="B62" s="54"/>
      <c r="C62" s="54" t="s">
        <v>563</v>
      </c>
      <c r="D62" s="54" t="s">
        <v>562</v>
      </c>
      <c r="E62" s="52">
        <v>0</v>
      </c>
      <c r="F62" s="54"/>
      <c r="G62" s="52">
        <v>0</v>
      </c>
      <c r="H62" s="54"/>
      <c r="I62" s="52">
        <v>0</v>
      </c>
      <c r="J62" s="54"/>
      <c r="K62" s="54"/>
      <c r="L62" s="54"/>
      <c r="M62" s="52">
        <v>50512.42</v>
      </c>
      <c r="N62" s="54"/>
      <c r="O62" s="52">
        <v>44274.85</v>
      </c>
      <c r="P62" s="54"/>
      <c r="Q62" s="52">
        <v>2006.18</v>
      </c>
      <c r="R62" s="54"/>
      <c r="S62" s="52">
        <v>96793.45</v>
      </c>
      <c r="T62" s="54"/>
      <c r="U62" s="193">
        <v>0.2</v>
      </c>
      <c r="V62" s="54"/>
      <c r="W62" s="52">
        <v>96793.45</v>
      </c>
      <c r="X62" s="61">
        <v>12756.37</v>
      </c>
      <c r="Y62" s="52">
        <v>1613.22</v>
      </c>
      <c r="Z62" s="61">
        <v>14369.59</v>
      </c>
      <c r="AA62" s="52">
        <v>12565.03</v>
      </c>
      <c r="AB62" s="61">
        <v>1589.02</v>
      </c>
      <c r="AC62" s="52">
        <v>14154.05</v>
      </c>
    </row>
    <row r="63" spans="1:29" ht="15" customHeight="1">
      <c r="A63" s="40" t="s">
        <v>640</v>
      </c>
      <c r="B63" s="54"/>
      <c r="C63" s="54" t="s">
        <v>637</v>
      </c>
      <c r="D63" s="54" t="s">
        <v>638</v>
      </c>
      <c r="E63" s="52">
        <v>0</v>
      </c>
      <c r="F63" s="54"/>
      <c r="G63" s="52">
        <v>0</v>
      </c>
      <c r="H63" s="54"/>
      <c r="I63" s="52">
        <v>0</v>
      </c>
      <c r="J63" s="54"/>
      <c r="K63" s="52">
        <v>0</v>
      </c>
      <c r="L63" s="54"/>
      <c r="M63" s="52">
        <v>0</v>
      </c>
      <c r="N63" s="54"/>
      <c r="O63" s="52">
        <v>0</v>
      </c>
      <c r="P63" s="54"/>
      <c r="Q63" s="52">
        <v>0</v>
      </c>
      <c r="R63" s="54"/>
      <c r="S63" s="52">
        <v>0</v>
      </c>
      <c r="T63" s="54"/>
      <c r="U63" s="193">
        <v>0.2</v>
      </c>
      <c r="V63" s="54"/>
      <c r="W63" s="52">
        <v>0</v>
      </c>
      <c r="X63" s="61">
        <v>0</v>
      </c>
      <c r="Y63" s="52">
        <v>0</v>
      </c>
      <c r="Z63" s="61">
        <v>0</v>
      </c>
      <c r="AA63" s="52">
        <v>0</v>
      </c>
      <c r="AB63" s="61">
        <v>0</v>
      </c>
      <c r="AC63" s="52">
        <v>0</v>
      </c>
    </row>
    <row r="64" spans="1:29" ht="15" customHeight="1">
      <c r="A64" s="40"/>
      <c r="B64" s="54"/>
      <c r="C64" s="54" t="s">
        <v>637</v>
      </c>
      <c r="D64" s="54" t="s">
        <v>636</v>
      </c>
      <c r="E64" s="52">
        <v>0</v>
      </c>
      <c r="F64" s="54"/>
      <c r="G64" s="52">
        <v>0</v>
      </c>
      <c r="H64" s="54"/>
      <c r="I64" s="52">
        <v>0</v>
      </c>
      <c r="J64" s="54"/>
      <c r="K64" s="52">
        <v>0</v>
      </c>
      <c r="L64" s="54"/>
      <c r="M64" s="52">
        <v>0</v>
      </c>
      <c r="N64" s="54"/>
      <c r="O64" s="52">
        <v>0</v>
      </c>
      <c r="P64" s="54"/>
      <c r="Q64" s="52">
        <v>0</v>
      </c>
      <c r="R64" s="54"/>
      <c r="S64" s="52">
        <v>0</v>
      </c>
      <c r="T64" s="54"/>
      <c r="U64" s="193">
        <v>0.2</v>
      </c>
      <c r="V64" s="54"/>
      <c r="W64" s="52">
        <v>0</v>
      </c>
      <c r="X64" s="61">
        <v>0</v>
      </c>
      <c r="Y64" s="52">
        <v>0</v>
      </c>
      <c r="Z64" s="61">
        <v>0</v>
      </c>
      <c r="AA64" s="52">
        <v>0</v>
      </c>
      <c r="AB64" s="61">
        <v>0</v>
      </c>
      <c r="AC64" s="52">
        <v>0</v>
      </c>
    </row>
    <row r="65" spans="1:29" ht="15" customHeight="1">
      <c r="A65" s="40"/>
      <c r="B65" s="54"/>
      <c r="C65" s="54" t="s">
        <v>635</v>
      </c>
      <c r="D65" s="54" t="s">
        <v>634</v>
      </c>
      <c r="E65" s="52">
        <v>0</v>
      </c>
      <c r="F65" s="54"/>
      <c r="G65" s="52">
        <v>0</v>
      </c>
      <c r="H65" s="54"/>
      <c r="I65" s="52">
        <v>0</v>
      </c>
      <c r="J65" s="54"/>
      <c r="K65" s="52">
        <v>0</v>
      </c>
      <c r="L65" s="54"/>
      <c r="M65" s="52">
        <v>0</v>
      </c>
      <c r="N65" s="54"/>
      <c r="O65" s="52">
        <v>0</v>
      </c>
      <c r="P65" s="54"/>
      <c r="Q65" s="52">
        <v>0</v>
      </c>
      <c r="R65" s="54"/>
      <c r="S65" s="52">
        <v>0</v>
      </c>
      <c r="T65" s="54"/>
      <c r="U65" s="193">
        <v>0.2</v>
      </c>
      <c r="V65" s="54"/>
      <c r="W65" s="52">
        <v>0</v>
      </c>
      <c r="X65" s="61">
        <v>0</v>
      </c>
      <c r="Y65" s="52">
        <v>0</v>
      </c>
      <c r="Z65" s="61">
        <v>0</v>
      </c>
      <c r="AA65" s="52">
        <v>0</v>
      </c>
      <c r="AB65" s="61">
        <v>0</v>
      </c>
      <c r="AC65" s="52">
        <v>0</v>
      </c>
    </row>
    <row r="66" spans="1:29" ht="15" customHeight="1">
      <c r="A66" s="40"/>
      <c r="B66" s="54"/>
      <c r="C66" s="54" t="s">
        <v>625</v>
      </c>
      <c r="D66" s="54" t="s">
        <v>633</v>
      </c>
      <c r="E66" s="52">
        <v>1240.18</v>
      </c>
      <c r="F66" s="54"/>
      <c r="G66" s="52">
        <v>0</v>
      </c>
      <c r="H66" s="54"/>
      <c r="I66" s="52">
        <v>0</v>
      </c>
      <c r="J66" s="54"/>
      <c r="K66" s="52">
        <v>0</v>
      </c>
      <c r="L66" s="54"/>
      <c r="M66" s="52">
        <v>0</v>
      </c>
      <c r="N66" s="54"/>
      <c r="O66" s="52">
        <v>0</v>
      </c>
      <c r="P66" s="54"/>
      <c r="Q66" s="52">
        <v>0</v>
      </c>
      <c r="R66" s="54"/>
      <c r="S66" s="52">
        <v>1240.18</v>
      </c>
      <c r="T66" s="54"/>
      <c r="U66" s="193">
        <v>0.2</v>
      </c>
      <c r="V66" s="54"/>
      <c r="W66" s="52">
        <v>1240.18</v>
      </c>
      <c r="X66" s="61">
        <v>1281.54</v>
      </c>
      <c r="Y66" s="52">
        <v>20.67</v>
      </c>
      <c r="Z66" s="61">
        <v>1302.21</v>
      </c>
      <c r="AA66" s="52">
        <v>1262.32</v>
      </c>
      <c r="AB66" s="61">
        <v>20.36</v>
      </c>
      <c r="AC66" s="52">
        <v>1282.68</v>
      </c>
    </row>
    <row r="67" spans="1:29" ht="15" customHeight="1">
      <c r="A67" s="40"/>
      <c r="B67" s="54"/>
      <c r="C67" s="54" t="s">
        <v>625</v>
      </c>
      <c r="D67" s="54" t="s">
        <v>632</v>
      </c>
      <c r="E67" s="52">
        <v>1666.32</v>
      </c>
      <c r="F67" s="54"/>
      <c r="G67" s="52">
        <v>0</v>
      </c>
      <c r="H67" s="54"/>
      <c r="I67" s="52">
        <v>0</v>
      </c>
      <c r="J67" s="54"/>
      <c r="K67" s="52">
        <v>0</v>
      </c>
      <c r="L67" s="54"/>
      <c r="M67" s="52">
        <v>0</v>
      </c>
      <c r="N67" s="54"/>
      <c r="O67" s="52">
        <v>0</v>
      </c>
      <c r="P67" s="54"/>
      <c r="Q67" s="52">
        <v>0</v>
      </c>
      <c r="R67" s="54"/>
      <c r="S67" s="52">
        <v>1666.32</v>
      </c>
      <c r="T67" s="54"/>
      <c r="U67" s="193">
        <v>0.2</v>
      </c>
      <c r="V67" s="54"/>
      <c r="W67" s="52">
        <v>1666.32</v>
      </c>
      <c r="X67" s="61">
        <v>1721.74</v>
      </c>
      <c r="Y67" s="52">
        <v>27.77</v>
      </c>
      <c r="Z67" s="61">
        <v>1749.51</v>
      </c>
      <c r="AA67" s="52">
        <v>1695.7</v>
      </c>
      <c r="AB67" s="61">
        <v>27.35</v>
      </c>
      <c r="AC67" s="52">
        <v>1723.05</v>
      </c>
    </row>
    <row r="68" spans="1:29" ht="15" customHeight="1">
      <c r="A68" s="40"/>
      <c r="B68" s="54"/>
      <c r="C68" s="54" t="s">
        <v>625</v>
      </c>
      <c r="D68" s="54" t="s">
        <v>631</v>
      </c>
      <c r="E68" s="52">
        <v>0</v>
      </c>
      <c r="F68" s="54"/>
      <c r="G68" s="52">
        <v>0</v>
      </c>
      <c r="H68" s="54"/>
      <c r="I68" s="52">
        <v>0</v>
      </c>
      <c r="J68" s="54"/>
      <c r="K68" s="52">
        <v>0</v>
      </c>
      <c r="L68" s="54"/>
      <c r="M68" s="52">
        <v>0</v>
      </c>
      <c r="N68" s="54"/>
      <c r="O68" s="52">
        <v>0</v>
      </c>
      <c r="P68" s="54"/>
      <c r="Q68" s="52">
        <v>0</v>
      </c>
      <c r="R68" s="54"/>
      <c r="S68" s="52">
        <v>0</v>
      </c>
      <c r="T68" s="54"/>
      <c r="U68" s="193">
        <v>0.2</v>
      </c>
      <c r="V68" s="54"/>
      <c r="W68" s="52">
        <v>0</v>
      </c>
      <c r="X68" s="61">
        <v>0</v>
      </c>
      <c r="Y68" s="52">
        <v>0</v>
      </c>
      <c r="Z68" s="61">
        <v>0</v>
      </c>
      <c r="AA68" s="52">
        <v>0</v>
      </c>
      <c r="AB68" s="61">
        <v>0</v>
      </c>
      <c r="AC68" s="52">
        <v>0</v>
      </c>
    </row>
    <row r="69" spans="1:29" ht="15" customHeight="1">
      <c r="A69" s="40"/>
      <c r="B69" s="54"/>
      <c r="C69" s="54" t="s">
        <v>625</v>
      </c>
      <c r="D69" s="54" t="s">
        <v>630</v>
      </c>
      <c r="E69" s="52">
        <v>0.39</v>
      </c>
      <c r="F69" s="54"/>
      <c r="G69" s="52">
        <v>0</v>
      </c>
      <c r="H69" s="54"/>
      <c r="I69" s="52">
        <v>0</v>
      </c>
      <c r="J69" s="54"/>
      <c r="K69" s="52">
        <v>0</v>
      </c>
      <c r="L69" s="54"/>
      <c r="M69" s="52">
        <v>0</v>
      </c>
      <c r="N69" s="54"/>
      <c r="O69" s="52">
        <v>0</v>
      </c>
      <c r="P69" s="54"/>
      <c r="Q69" s="52">
        <v>0</v>
      </c>
      <c r="R69" s="54"/>
      <c r="S69" s="52">
        <v>0.39</v>
      </c>
      <c r="T69" s="54"/>
      <c r="U69" s="193">
        <v>0.2</v>
      </c>
      <c r="V69" s="54"/>
      <c r="W69" s="52">
        <v>0.39</v>
      </c>
      <c r="X69" s="61">
        <v>0.62</v>
      </c>
      <c r="Y69" s="52">
        <v>0.01</v>
      </c>
      <c r="Z69" s="61">
        <v>0.63</v>
      </c>
      <c r="AA69" s="52">
        <v>0.62</v>
      </c>
      <c r="AB69" s="61">
        <v>0.01</v>
      </c>
      <c r="AC69" s="52">
        <v>0.63</v>
      </c>
    </row>
    <row r="70" spans="1:29" ht="15" customHeight="1">
      <c r="A70" s="40"/>
      <c r="B70" s="54"/>
      <c r="C70" s="54" t="s">
        <v>625</v>
      </c>
      <c r="D70" s="54" t="s">
        <v>629</v>
      </c>
      <c r="E70" s="52">
        <v>2331.2199999999998</v>
      </c>
      <c r="F70" s="54"/>
      <c r="G70" s="52">
        <v>0</v>
      </c>
      <c r="H70" s="54"/>
      <c r="I70" s="52">
        <v>0</v>
      </c>
      <c r="J70" s="54"/>
      <c r="K70" s="52">
        <v>0</v>
      </c>
      <c r="L70" s="54"/>
      <c r="M70" s="52">
        <v>0</v>
      </c>
      <c r="N70" s="54"/>
      <c r="O70" s="52">
        <v>0</v>
      </c>
      <c r="P70" s="54"/>
      <c r="Q70" s="52">
        <v>0</v>
      </c>
      <c r="R70" s="54"/>
      <c r="S70" s="52">
        <v>2331.2199999999998</v>
      </c>
      <c r="T70" s="54"/>
      <c r="U70" s="193">
        <v>0.2</v>
      </c>
      <c r="V70" s="54"/>
      <c r="W70" s="52">
        <v>2331.2199999999998</v>
      </c>
      <c r="X70" s="61">
        <v>2408.6999999999998</v>
      </c>
      <c r="Y70" s="52">
        <v>38.85</v>
      </c>
      <c r="Z70" s="61">
        <v>2447.5500000000002</v>
      </c>
      <c r="AA70" s="52">
        <v>2372.7399999999998</v>
      </c>
      <c r="AB70" s="61">
        <v>38.270000000000003</v>
      </c>
      <c r="AC70" s="52">
        <v>2411.0100000000002</v>
      </c>
    </row>
    <row r="71" spans="1:29" ht="15" customHeight="1">
      <c r="A71" s="40"/>
      <c r="B71" s="54"/>
      <c r="C71" s="54" t="s">
        <v>625</v>
      </c>
      <c r="D71" s="54" t="s">
        <v>628</v>
      </c>
      <c r="E71" s="52">
        <v>325.12</v>
      </c>
      <c r="F71" s="54"/>
      <c r="G71" s="52">
        <v>0</v>
      </c>
      <c r="H71" s="54"/>
      <c r="I71" s="52">
        <v>0</v>
      </c>
      <c r="J71" s="54"/>
      <c r="K71" s="52">
        <v>0</v>
      </c>
      <c r="L71" s="54"/>
      <c r="M71" s="52">
        <v>0</v>
      </c>
      <c r="N71" s="54"/>
      <c r="O71" s="52">
        <v>0</v>
      </c>
      <c r="P71" s="54"/>
      <c r="Q71" s="52">
        <v>0</v>
      </c>
      <c r="R71" s="54"/>
      <c r="S71" s="52">
        <v>325.12</v>
      </c>
      <c r="T71" s="54"/>
      <c r="U71" s="193">
        <v>0.2</v>
      </c>
      <c r="V71" s="54"/>
      <c r="W71" s="52">
        <v>325.12</v>
      </c>
      <c r="X71" s="61">
        <v>336.04</v>
      </c>
      <c r="Y71" s="52">
        <v>5.42</v>
      </c>
      <c r="Z71" s="61">
        <v>341.46</v>
      </c>
      <c r="AA71" s="52">
        <v>331.08</v>
      </c>
      <c r="AB71" s="61">
        <v>5.34</v>
      </c>
      <c r="AC71" s="52">
        <v>336.42</v>
      </c>
    </row>
    <row r="72" spans="1:29" ht="15" customHeight="1">
      <c r="A72" s="40"/>
      <c r="B72" s="54"/>
      <c r="C72" s="54" t="s">
        <v>625</v>
      </c>
      <c r="D72" s="54" t="s">
        <v>627</v>
      </c>
      <c r="E72" s="52">
        <v>212.26</v>
      </c>
      <c r="F72" s="54"/>
      <c r="G72" s="52">
        <v>0</v>
      </c>
      <c r="H72" s="54"/>
      <c r="I72" s="52">
        <v>0</v>
      </c>
      <c r="J72" s="54"/>
      <c r="K72" s="52">
        <v>0</v>
      </c>
      <c r="L72" s="54"/>
      <c r="M72" s="52">
        <v>0</v>
      </c>
      <c r="N72" s="54"/>
      <c r="O72" s="52">
        <v>0</v>
      </c>
      <c r="P72" s="54"/>
      <c r="Q72" s="52">
        <v>0</v>
      </c>
      <c r="R72" s="54"/>
      <c r="S72" s="52">
        <v>212.26</v>
      </c>
      <c r="T72" s="54"/>
      <c r="U72" s="193">
        <v>0.2</v>
      </c>
      <c r="V72" s="54"/>
      <c r="W72" s="52">
        <v>212.26</v>
      </c>
      <c r="X72" s="61">
        <v>219.48</v>
      </c>
      <c r="Y72" s="52">
        <v>3.54</v>
      </c>
      <c r="Z72" s="61">
        <v>223.02</v>
      </c>
      <c r="AA72" s="52">
        <v>216.38</v>
      </c>
      <c r="AB72" s="61">
        <v>3.49</v>
      </c>
      <c r="AC72" s="52">
        <v>219.87</v>
      </c>
    </row>
    <row r="73" spans="1:29" ht="15" customHeight="1">
      <c r="A73" s="40"/>
      <c r="B73" s="54"/>
      <c r="C73" s="54" t="s">
        <v>625</v>
      </c>
      <c r="D73" s="54" t="s">
        <v>626</v>
      </c>
      <c r="E73" s="52">
        <v>0</v>
      </c>
      <c r="F73" s="54"/>
      <c r="G73" s="52">
        <v>0</v>
      </c>
      <c r="H73" s="54"/>
      <c r="I73" s="52">
        <v>0</v>
      </c>
      <c r="J73" s="54"/>
      <c r="K73" s="52">
        <v>0</v>
      </c>
      <c r="L73" s="54"/>
      <c r="M73" s="52">
        <v>0</v>
      </c>
      <c r="N73" s="54"/>
      <c r="O73" s="52">
        <v>0</v>
      </c>
      <c r="P73" s="54"/>
      <c r="Q73" s="52">
        <v>0</v>
      </c>
      <c r="R73" s="54"/>
      <c r="S73" s="52">
        <v>0</v>
      </c>
      <c r="T73" s="54"/>
      <c r="U73" s="193">
        <v>0.2</v>
      </c>
      <c r="V73" s="54"/>
      <c r="W73" s="52">
        <v>0</v>
      </c>
      <c r="X73" s="61">
        <v>0</v>
      </c>
      <c r="Y73" s="52">
        <v>0</v>
      </c>
      <c r="Z73" s="61">
        <v>0</v>
      </c>
      <c r="AA73" s="52">
        <v>0</v>
      </c>
      <c r="AB73" s="61">
        <v>0</v>
      </c>
      <c r="AC73" s="52">
        <v>0</v>
      </c>
    </row>
    <row r="74" spans="1:29" ht="15" customHeight="1">
      <c r="A74" s="40"/>
      <c r="B74" s="54"/>
      <c r="C74" s="54" t="s">
        <v>625</v>
      </c>
      <c r="D74" s="54" t="s">
        <v>624</v>
      </c>
      <c r="E74" s="52">
        <v>0</v>
      </c>
      <c r="F74" s="54"/>
      <c r="G74" s="52">
        <v>0</v>
      </c>
      <c r="H74" s="54"/>
      <c r="I74" s="52">
        <v>0</v>
      </c>
      <c r="J74" s="54"/>
      <c r="K74" s="52">
        <v>0</v>
      </c>
      <c r="L74" s="54"/>
      <c r="M74" s="52">
        <v>0</v>
      </c>
      <c r="N74" s="54"/>
      <c r="O74" s="52">
        <v>0</v>
      </c>
      <c r="P74" s="54"/>
      <c r="Q74" s="52">
        <v>0</v>
      </c>
      <c r="R74" s="54"/>
      <c r="S74" s="52">
        <v>0</v>
      </c>
      <c r="T74" s="54"/>
      <c r="U74" s="193">
        <v>0.2</v>
      </c>
      <c r="V74" s="54"/>
      <c r="W74" s="52">
        <v>0</v>
      </c>
      <c r="X74" s="61">
        <v>0</v>
      </c>
      <c r="Y74" s="52">
        <v>0</v>
      </c>
      <c r="Z74" s="61">
        <v>0</v>
      </c>
      <c r="AA74" s="52">
        <v>0</v>
      </c>
      <c r="AB74" s="61">
        <v>0</v>
      </c>
      <c r="AC74" s="52">
        <v>0</v>
      </c>
    </row>
    <row r="75" spans="1:29" ht="15" customHeight="1">
      <c r="A75" s="40"/>
      <c r="B75" s="54"/>
      <c r="C75" s="54" t="s">
        <v>621</v>
      </c>
      <c r="D75" s="54" t="s">
        <v>623</v>
      </c>
      <c r="E75" s="52">
        <v>2849.48</v>
      </c>
      <c r="F75" s="54"/>
      <c r="G75" s="52">
        <v>6621.59</v>
      </c>
      <c r="H75" s="54"/>
      <c r="I75" s="52">
        <v>-0.41</v>
      </c>
      <c r="J75" s="54"/>
      <c r="K75" s="52">
        <v>0</v>
      </c>
      <c r="L75" s="54"/>
      <c r="M75" s="52">
        <v>0</v>
      </c>
      <c r="N75" s="54"/>
      <c r="O75" s="52">
        <v>0</v>
      </c>
      <c r="P75" s="54"/>
      <c r="Q75" s="52">
        <v>0</v>
      </c>
      <c r="R75" s="54"/>
      <c r="S75" s="52">
        <v>9470.66</v>
      </c>
      <c r="T75" s="54"/>
      <c r="U75" s="193">
        <v>0.2</v>
      </c>
      <c r="V75" s="54"/>
      <c r="W75" s="52">
        <v>9470.66</v>
      </c>
      <c r="X75" s="61">
        <v>9221.02</v>
      </c>
      <c r="Y75" s="52">
        <v>157.84</v>
      </c>
      <c r="Z75" s="61">
        <v>9378.86</v>
      </c>
      <c r="AA75" s="52">
        <v>9082.58</v>
      </c>
      <c r="AB75" s="61">
        <v>155.47</v>
      </c>
      <c r="AC75" s="52">
        <v>9238.0499999999993</v>
      </c>
    </row>
    <row r="76" spans="1:29" ht="15" customHeight="1">
      <c r="A76" s="40"/>
      <c r="B76" s="54"/>
      <c r="C76" s="54" t="s">
        <v>621</v>
      </c>
      <c r="D76" s="54" t="s">
        <v>622</v>
      </c>
      <c r="E76" s="52">
        <v>5611.3</v>
      </c>
      <c r="F76" s="54"/>
      <c r="G76" s="52">
        <v>15.7</v>
      </c>
      <c r="H76" s="54"/>
      <c r="I76" s="52">
        <v>0</v>
      </c>
      <c r="J76" s="54"/>
      <c r="K76" s="52">
        <v>0</v>
      </c>
      <c r="L76" s="54"/>
      <c r="M76" s="52">
        <v>0</v>
      </c>
      <c r="N76" s="54"/>
      <c r="O76" s="52">
        <v>0</v>
      </c>
      <c r="P76" s="54"/>
      <c r="Q76" s="52">
        <v>0</v>
      </c>
      <c r="R76" s="54"/>
      <c r="S76" s="52">
        <v>5627</v>
      </c>
      <c r="T76" s="54"/>
      <c r="U76" s="193">
        <v>0.2</v>
      </c>
      <c r="V76" s="54"/>
      <c r="W76" s="52">
        <v>5627</v>
      </c>
      <c r="X76" s="61">
        <v>5812.25</v>
      </c>
      <c r="Y76" s="52">
        <v>93.78</v>
      </c>
      <c r="Z76" s="61">
        <v>5906.03</v>
      </c>
      <c r="AA76" s="52">
        <v>5724.87</v>
      </c>
      <c r="AB76" s="61">
        <v>92.37</v>
      </c>
      <c r="AC76" s="52">
        <v>5817.24</v>
      </c>
    </row>
    <row r="77" spans="1:29" ht="15" customHeight="1">
      <c r="A77" s="40"/>
      <c r="B77" s="54"/>
      <c r="C77" s="54" t="s">
        <v>621</v>
      </c>
      <c r="D77" s="54" t="s">
        <v>620</v>
      </c>
      <c r="E77" s="52">
        <v>126.15</v>
      </c>
      <c r="F77" s="54"/>
      <c r="G77" s="52">
        <v>26.3</v>
      </c>
      <c r="H77" s="54"/>
      <c r="I77" s="52">
        <v>0</v>
      </c>
      <c r="J77" s="54"/>
      <c r="K77" s="52">
        <v>0</v>
      </c>
      <c r="L77" s="54"/>
      <c r="M77" s="52">
        <v>0</v>
      </c>
      <c r="N77" s="54"/>
      <c r="O77" s="52">
        <v>0</v>
      </c>
      <c r="P77" s="54"/>
      <c r="Q77" s="52">
        <v>0</v>
      </c>
      <c r="R77" s="54"/>
      <c r="S77" s="52">
        <v>152.44999999999999</v>
      </c>
      <c r="T77" s="54"/>
      <c r="U77" s="193">
        <v>0.2</v>
      </c>
      <c r="V77" s="54"/>
      <c r="W77" s="52">
        <v>152.44999999999999</v>
      </c>
      <c r="X77" s="61">
        <v>155.31</v>
      </c>
      <c r="Y77" s="52">
        <v>2.54</v>
      </c>
      <c r="Z77" s="61">
        <v>157.85</v>
      </c>
      <c r="AA77" s="52">
        <v>152.86000000000001</v>
      </c>
      <c r="AB77" s="61">
        <v>2.5</v>
      </c>
      <c r="AC77" s="52">
        <v>155.36000000000001</v>
      </c>
    </row>
    <row r="78" spans="1:29" ht="15" customHeight="1">
      <c r="A78" s="40"/>
      <c r="B78" s="54"/>
      <c r="C78" s="54" t="s">
        <v>619</v>
      </c>
      <c r="D78" s="54" t="s">
        <v>618</v>
      </c>
      <c r="E78" s="52">
        <v>20627.009999999998</v>
      </c>
      <c r="F78" s="54"/>
      <c r="G78" s="52">
        <v>2323.2199999999998</v>
      </c>
      <c r="H78" s="54"/>
      <c r="I78" s="52">
        <v>0</v>
      </c>
      <c r="J78" s="54"/>
      <c r="K78" s="52">
        <v>0</v>
      </c>
      <c r="L78" s="54"/>
      <c r="M78" s="52">
        <v>0</v>
      </c>
      <c r="N78" s="54"/>
      <c r="O78" s="52">
        <v>0</v>
      </c>
      <c r="P78" s="54"/>
      <c r="Q78" s="52">
        <v>0</v>
      </c>
      <c r="R78" s="54"/>
      <c r="S78" s="52">
        <v>22950.23</v>
      </c>
      <c r="T78" s="54"/>
      <c r="U78" s="193">
        <v>0.2</v>
      </c>
      <c r="V78" s="54"/>
      <c r="W78" s="52">
        <v>22950.23</v>
      </c>
      <c r="X78" s="61">
        <v>22493.13</v>
      </c>
      <c r="Y78" s="52">
        <v>382.5</v>
      </c>
      <c r="Z78" s="61">
        <v>22875.63</v>
      </c>
      <c r="AA78" s="52">
        <v>22155.599999999999</v>
      </c>
      <c r="AB78" s="61">
        <v>376.76</v>
      </c>
      <c r="AC78" s="52">
        <v>22532.36</v>
      </c>
    </row>
    <row r="79" spans="1:29" ht="15" customHeight="1">
      <c r="A79" s="40"/>
      <c r="B79" s="54"/>
      <c r="C79" s="54" t="s">
        <v>617</v>
      </c>
      <c r="D79" s="54" t="s">
        <v>616</v>
      </c>
      <c r="E79" s="52">
        <v>45446.76</v>
      </c>
      <c r="F79" s="54"/>
      <c r="G79" s="52">
        <v>16889.12</v>
      </c>
      <c r="H79" s="54"/>
      <c r="I79" s="52">
        <v>14018.74</v>
      </c>
      <c r="J79" s="54"/>
      <c r="K79" s="52">
        <v>202.27</v>
      </c>
      <c r="L79" s="54"/>
      <c r="M79" s="52">
        <v>85.54</v>
      </c>
      <c r="N79" s="54"/>
      <c r="O79" s="52">
        <v>0</v>
      </c>
      <c r="P79" s="54"/>
      <c r="Q79" s="52">
        <v>0</v>
      </c>
      <c r="R79" s="54"/>
      <c r="S79" s="52">
        <v>76642.429999999993</v>
      </c>
      <c r="T79" s="54"/>
      <c r="U79" s="193">
        <v>0.2</v>
      </c>
      <c r="V79" s="54"/>
      <c r="W79" s="52">
        <v>76642.429999999993</v>
      </c>
      <c r="X79" s="61">
        <v>71421.440000000002</v>
      </c>
      <c r="Y79" s="52">
        <v>1277.3699999999999</v>
      </c>
      <c r="Z79" s="61">
        <v>72698.81</v>
      </c>
      <c r="AA79" s="52">
        <v>70350.09</v>
      </c>
      <c r="AB79" s="61">
        <v>1258.21</v>
      </c>
      <c r="AC79" s="52">
        <v>71608.3</v>
      </c>
    </row>
    <row r="80" spans="1:29" ht="15" customHeight="1">
      <c r="A80" s="40"/>
      <c r="B80" s="54"/>
      <c r="C80" s="54" t="s">
        <v>615</v>
      </c>
      <c r="D80" s="54" t="s">
        <v>614</v>
      </c>
      <c r="E80" s="52">
        <v>94573.47</v>
      </c>
      <c r="F80" s="54"/>
      <c r="G80" s="52">
        <v>54650</v>
      </c>
      <c r="H80" s="54"/>
      <c r="I80" s="52">
        <v>57209.25</v>
      </c>
      <c r="J80" s="54"/>
      <c r="K80" s="52">
        <v>32380.82</v>
      </c>
      <c r="L80" s="54"/>
      <c r="M80" s="52">
        <v>30744.61</v>
      </c>
      <c r="N80" s="54"/>
      <c r="O80" s="52">
        <v>0</v>
      </c>
      <c r="P80" s="54"/>
      <c r="Q80" s="52">
        <v>0</v>
      </c>
      <c r="R80" s="54"/>
      <c r="S80" s="52">
        <v>269558.15000000002</v>
      </c>
      <c r="T80" s="54"/>
      <c r="U80" s="193">
        <v>0.2</v>
      </c>
      <c r="V80" s="54"/>
      <c r="W80" s="52">
        <v>269558.15000000002</v>
      </c>
      <c r="X80" s="61">
        <v>210890.63</v>
      </c>
      <c r="Y80" s="52">
        <v>4492.6400000000003</v>
      </c>
      <c r="Z80" s="61">
        <v>215383.27</v>
      </c>
      <c r="AA80" s="52">
        <v>207727.28</v>
      </c>
      <c r="AB80" s="61">
        <v>4425.25</v>
      </c>
      <c r="AC80" s="52">
        <v>212152.53</v>
      </c>
    </row>
    <row r="81" spans="1:29" ht="15" customHeight="1">
      <c r="A81" s="40"/>
      <c r="B81" s="54"/>
      <c r="C81" s="54" t="s">
        <v>613</v>
      </c>
      <c r="D81" s="54" t="s">
        <v>612</v>
      </c>
      <c r="E81" s="52">
        <v>0</v>
      </c>
      <c r="F81" s="54"/>
      <c r="G81" s="52">
        <v>3854.22</v>
      </c>
      <c r="H81" s="54"/>
      <c r="I81" s="52">
        <v>7911.27</v>
      </c>
      <c r="J81" s="54"/>
      <c r="K81" s="52">
        <v>3770.89</v>
      </c>
      <c r="L81" s="54"/>
      <c r="M81" s="52">
        <v>27.37</v>
      </c>
      <c r="N81" s="54"/>
      <c r="O81" s="52">
        <v>0</v>
      </c>
      <c r="P81" s="54"/>
      <c r="Q81" s="52">
        <v>0</v>
      </c>
      <c r="R81" s="54"/>
      <c r="S81" s="52">
        <v>15563.75</v>
      </c>
      <c r="T81" s="54"/>
      <c r="U81" s="193">
        <v>0.2</v>
      </c>
      <c r="V81" s="54"/>
      <c r="W81" s="52">
        <v>15563.75</v>
      </c>
      <c r="X81" s="61">
        <v>10632.93</v>
      </c>
      <c r="Y81" s="52">
        <v>259.39999999999998</v>
      </c>
      <c r="Z81" s="61">
        <v>10892.33</v>
      </c>
      <c r="AA81" s="52">
        <v>10473.51</v>
      </c>
      <c r="AB81" s="61">
        <v>255.51</v>
      </c>
      <c r="AC81" s="52">
        <v>10729.02</v>
      </c>
    </row>
    <row r="82" spans="1:29" ht="15" customHeight="1">
      <c r="A82" s="40"/>
      <c r="B82" s="54"/>
      <c r="C82" s="54" t="s">
        <v>611</v>
      </c>
      <c r="D82" s="54" t="s">
        <v>610</v>
      </c>
      <c r="E82" s="52">
        <v>0</v>
      </c>
      <c r="F82" s="54"/>
      <c r="G82" s="52">
        <v>19792.86</v>
      </c>
      <c r="H82" s="54"/>
      <c r="I82" s="52">
        <v>33813.22</v>
      </c>
      <c r="J82" s="54"/>
      <c r="K82" s="52">
        <v>1177.23</v>
      </c>
      <c r="L82" s="54"/>
      <c r="M82" s="52">
        <v>0</v>
      </c>
      <c r="N82" s="54"/>
      <c r="O82" s="52">
        <v>0</v>
      </c>
      <c r="P82" s="54"/>
      <c r="Q82" s="52">
        <v>0</v>
      </c>
      <c r="R82" s="54"/>
      <c r="S82" s="52">
        <v>54783.31</v>
      </c>
      <c r="T82" s="54"/>
      <c r="U82" s="193">
        <v>0.2</v>
      </c>
      <c r="V82" s="54"/>
      <c r="W82" s="52">
        <v>54783.31</v>
      </c>
      <c r="X82" s="61">
        <v>41527.870000000003</v>
      </c>
      <c r="Y82" s="52">
        <v>913.06</v>
      </c>
      <c r="Z82" s="61">
        <v>42440.93</v>
      </c>
      <c r="AA82" s="52">
        <v>40904.83</v>
      </c>
      <c r="AB82" s="61">
        <v>899.36</v>
      </c>
      <c r="AC82" s="52">
        <v>41804.19</v>
      </c>
    </row>
    <row r="83" spans="1:29" ht="15" customHeight="1">
      <c r="A83" s="40"/>
      <c r="B83" s="54"/>
      <c r="C83" s="54" t="s">
        <v>595</v>
      </c>
      <c r="D83" s="54" t="s">
        <v>609</v>
      </c>
      <c r="E83" s="52">
        <v>0</v>
      </c>
      <c r="F83" s="54"/>
      <c r="G83" s="52">
        <v>4497.2299999999996</v>
      </c>
      <c r="H83" s="54"/>
      <c r="I83" s="52">
        <v>2910.58</v>
      </c>
      <c r="J83" s="54"/>
      <c r="K83" s="52">
        <v>-368.15</v>
      </c>
      <c r="L83" s="54"/>
      <c r="M83" s="52">
        <v>0</v>
      </c>
      <c r="N83" s="54"/>
      <c r="O83" s="52">
        <v>0</v>
      </c>
      <c r="P83" s="54"/>
      <c r="Q83" s="52">
        <v>0</v>
      </c>
      <c r="R83" s="54"/>
      <c r="S83" s="52">
        <v>7039.66</v>
      </c>
      <c r="T83" s="54"/>
      <c r="U83" s="193">
        <v>0.2</v>
      </c>
      <c r="V83" s="54"/>
      <c r="W83" s="52">
        <v>7039.66</v>
      </c>
      <c r="X83" s="61">
        <v>5351.42</v>
      </c>
      <c r="Y83" s="52">
        <v>117.33</v>
      </c>
      <c r="Z83" s="61">
        <v>5468.75</v>
      </c>
      <c r="AA83" s="52">
        <v>5271.21</v>
      </c>
      <c r="AB83" s="61">
        <v>115.57</v>
      </c>
      <c r="AC83" s="52">
        <v>5386.78</v>
      </c>
    </row>
    <row r="84" spans="1:29" ht="15" customHeight="1">
      <c r="A84" s="40"/>
      <c r="B84" s="54"/>
      <c r="C84" s="54" t="s">
        <v>595</v>
      </c>
      <c r="D84" s="54" t="s">
        <v>608</v>
      </c>
      <c r="E84" s="52">
        <v>0</v>
      </c>
      <c r="F84" s="54"/>
      <c r="G84" s="52">
        <v>3574.85</v>
      </c>
      <c r="H84" s="54"/>
      <c r="I84" s="52">
        <v>10551.04</v>
      </c>
      <c r="J84" s="54"/>
      <c r="K84" s="52">
        <v>2258.89</v>
      </c>
      <c r="L84" s="54"/>
      <c r="M84" s="52">
        <v>18.95</v>
      </c>
      <c r="N84" s="54"/>
      <c r="O84" s="52">
        <v>0</v>
      </c>
      <c r="P84" s="54"/>
      <c r="Q84" s="52">
        <v>0</v>
      </c>
      <c r="R84" s="54"/>
      <c r="S84" s="52">
        <v>16403.73</v>
      </c>
      <c r="T84" s="54"/>
      <c r="U84" s="193">
        <v>0.2</v>
      </c>
      <c r="V84" s="54"/>
      <c r="W84" s="52">
        <v>16403.73</v>
      </c>
      <c r="X84" s="61">
        <v>11750.04</v>
      </c>
      <c r="Y84" s="52">
        <v>273.39999999999998</v>
      </c>
      <c r="Z84" s="61">
        <v>12023.44</v>
      </c>
      <c r="AA84" s="52">
        <v>11573.79</v>
      </c>
      <c r="AB84" s="61">
        <v>269.3</v>
      </c>
      <c r="AC84" s="52">
        <v>11843.09</v>
      </c>
    </row>
    <row r="85" spans="1:29" ht="15" customHeight="1">
      <c r="A85" s="40"/>
      <c r="B85" s="54"/>
      <c r="C85" s="54" t="s">
        <v>595</v>
      </c>
      <c r="D85" s="54" t="s">
        <v>607</v>
      </c>
      <c r="E85" s="52">
        <v>0</v>
      </c>
      <c r="F85" s="54"/>
      <c r="G85" s="52">
        <v>12764.19</v>
      </c>
      <c r="H85" s="54"/>
      <c r="I85" s="52">
        <v>7492.41</v>
      </c>
      <c r="J85" s="54"/>
      <c r="K85" s="52">
        <v>488.91</v>
      </c>
      <c r="L85" s="54"/>
      <c r="M85" s="52">
        <v>227.17</v>
      </c>
      <c r="N85" s="54"/>
      <c r="O85" s="52">
        <v>8976.61</v>
      </c>
      <c r="P85" s="54"/>
      <c r="Q85" s="52">
        <v>126.81</v>
      </c>
      <c r="R85" s="54"/>
      <c r="S85" s="52">
        <v>30076.1</v>
      </c>
      <c r="T85" s="54"/>
      <c r="U85" s="193">
        <v>0.2</v>
      </c>
      <c r="V85" s="54"/>
      <c r="W85" s="52">
        <v>30076.1</v>
      </c>
      <c r="X85" s="61">
        <v>18855.82</v>
      </c>
      <c r="Y85" s="52">
        <v>501.27</v>
      </c>
      <c r="Z85" s="61">
        <v>19357.09</v>
      </c>
      <c r="AA85" s="52">
        <v>18572.939999999999</v>
      </c>
      <c r="AB85" s="61">
        <v>493.75</v>
      </c>
      <c r="AC85" s="52">
        <v>19066.689999999999</v>
      </c>
    </row>
    <row r="86" spans="1:29" ht="15" customHeight="1">
      <c r="A86" s="40"/>
      <c r="B86" s="54"/>
      <c r="C86" s="54" t="s">
        <v>595</v>
      </c>
      <c r="D86" s="54" t="s">
        <v>606</v>
      </c>
      <c r="E86" s="52">
        <v>0</v>
      </c>
      <c r="F86" s="54"/>
      <c r="G86" s="52">
        <v>0</v>
      </c>
      <c r="H86" s="54"/>
      <c r="I86" s="52">
        <v>4950.43</v>
      </c>
      <c r="J86" s="54"/>
      <c r="K86" s="52">
        <v>0</v>
      </c>
      <c r="L86" s="54"/>
      <c r="M86" s="52">
        <v>0</v>
      </c>
      <c r="N86" s="54"/>
      <c r="O86" s="52">
        <v>0</v>
      </c>
      <c r="P86" s="54"/>
      <c r="Q86" s="52">
        <v>0</v>
      </c>
      <c r="R86" s="54"/>
      <c r="S86" s="52">
        <v>4950.43</v>
      </c>
      <c r="T86" s="54"/>
      <c r="U86" s="193">
        <v>0.2</v>
      </c>
      <c r="V86" s="54"/>
      <c r="W86" s="52">
        <v>4950.43</v>
      </c>
      <c r="X86" s="61">
        <v>3574.12</v>
      </c>
      <c r="Y86" s="52">
        <v>82.51</v>
      </c>
      <c r="Z86" s="61">
        <v>3656.63</v>
      </c>
      <c r="AA86" s="52">
        <v>3520.4</v>
      </c>
      <c r="AB86" s="61">
        <v>81.27</v>
      </c>
      <c r="AC86" s="52">
        <v>3601.67</v>
      </c>
    </row>
    <row r="87" spans="1:29" ht="15" customHeight="1">
      <c r="A87" s="40"/>
      <c r="B87" s="54"/>
      <c r="C87" s="54" t="s">
        <v>595</v>
      </c>
      <c r="D87" s="54" t="s">
        <v>605</v>
      </c>
      <c r="E87" s="52">
        <v>0</v>
      </c>
      <c r="F87" s="54"/>
      <c r="G87" s="52">
        <v>0</v>
      </c>
      <c r="H87" s="54"/>
      <c r="I87" s="52">
        <v>8502.15</v>
      </c>
      <c r="J87" s="54"/>
      <c r="K87" s="52">
        <v>4547.01</v>
      </c>
      <c r="L87" s="54"/>
      <c r="M87" s="52">
        <v>19.350000000000001</v>
      </c>
      <c r="N87" s="54"/>
      <c r="O87" s="52">
        <v>0</v>
      </c>
      <c r="P87" s="54"/>
      <c r="Q87" s="52">
        <v>0</v>
      </c>
      <c r="R87" s="54"/>
      <c r="S87" s="52">
        <v>13068.51</v>
      </c>
      <c r="T87" s="54"/>
      <c r="U87" s="193">
        <v>0.2</v>
      </c>
      <c r="V87" s="54"/>
      <c r="W87" s="52">
        <v>13068.51</v>
      </c>
      <c r="X87" s="61">
        <v>7725.3</v>
      </c>
      <c r="Y87" s="52">
        <v>217.81</v>
      </c>
      <c r="Z87" s="61">
        <v>7943.11</v>
      </c>
      <c r="AA87" s="52">
        <v>7609.39</v>
      </c>
      <c r="AB87" s="61">
        <v>214.54</v>
      </c>
      <c r="AC87" s="52">
        <v>7823.93</v>
      </c>
    </row>
    <row r="88" spans="1:29" ht="15" customHeight="1">
      <c r="A88" s="40"/>
      <c r="B88" s="54"/>
      <c r="C88" s="54" t="s">
        <v>595</v>
      </c>
      <c r="D88" s="54" t="s">
        <v>604</v>
      </c>
      <c r="E88" s="52">
        <v>0</v>
      </c>
      <c r="F88" s="54"/>
      <c r="G88" s="52">
        <v>0</v>
      </c>
      <c r="H88" s="54"/>
      <c r="I88" s="52">
        <v>0</v>
      </c>
      <c r="J88" s="54"/>
      <c r="K88" s="52">
        <v>0</v>
      </c>
      <c r="L88" s="54"/>
      <c r="M88" s="52">
        <v>8808.36</v>
      </c>
      <c r="N88" s="54"/>
      <c r="O88" s="52">
        <v>1859.51</v>
      </c>
      <c r="P88" s="54"/>
      <c r="Q88" s="52">
        <v>7.04</v>
      </c>
      <c r="R88" s="54"/>
      <c r="S88" s="52">
        <v>10674.91</v>
      </c>
      <c r="T88" s="54"/>
      <c r="U88" s="193">
        <v>0.2</v>
      </c>
      <c r="V88" s="54"/>
      <c r="W88" s="52">
        <v>10674.91</v>
      </c>
      <c r="X88" s="61">
        <v>2281.5500000000002</v>
      </c>
      <c r="Y88" s="52">
        <v>177.92</v>
      </c>
      <c r="Z88" s="61">
        <v>2459.4699999999998</v>
      </c>
      <c r="AA88" s="52">
        <v>2247.29</v>
      </c>
      <c r="AB88" s="61">
        <v>175.25</v>
      </c>
      <c r="AC88" s="52">
        <v>2422.54</v>
      </c>
    </row>
    <row r="89" spans="1:29" ht="15" customHeight="1">
      <c r="A89" s="40"/>
      <c r="B89" s="54"/>
      <c r="C89" s="54" t="s">
        <v>595</v>
      </c>
      <c r="D89" s="54" t="s">
        <v>603</v>
      </c>
      <c r="E89" s="52">
        <v>0</v>
      </c>
      <c r="F89" s="54"/>
      <c r="G89" s="52">
        <v>0</v>
      </c>
      <c r="H89" s="54"/>
      <c r="I89" s="52">
        <v>0</v>
      </c>
      <c r="J89" s="54"/>
      <c r="K89" s="52">
        <v>0</v>
      </c>
      <c r="L89" s="54"/>
      <c r="M89" s="52">
        <v>10021.56</v>
      </c>
      <c r="N89" s="54"/>
      <c r="O89" s="52">
        <v>52.21</v>
      </c>
      <c r="P89" s="54"/>
      <c r="Q89" s="52">
        <v>0</v>
      </c>
      <c r="R89" s="54"/>
      <c r="S89" s="52">
        <v>10073.77</v>
      </c>
      <c r="T89" s="54"/>
      <c r="U89" s="193">
        <v>0.2</v>
      </c>
      <c r="V89" s="54"/>
      <c r="W89" s="52">
        <v>10073.77</v>
      </c>
      <c r="X89" s="61">
        <v>2515.25</v>
      </c>
      <c r="Y89" s="52">
        <v>167.9</v>
      </c>
      <c r="Z89" s="61">
        <v>2683.15</v>
      </c>
      <c r="AA89" s="52">
        <v>2477.5</v>
      </c>
      <c r="AB89" s="61">
        <v>165.38</v>
      </c>
      <c r="AC89" s="52">
        <v>2642.88</v>
      </c>
    </row>
    <row r="90" spans="1:29" ht="15" customHeight="1">
      <c r="A90" s="40"/>
      <c r="B90" s="54"/>
      <c r="C90" s="54" t="s">
        <v>595</v>
      </c>
      <c r="D90" s="54" t="s">
        <v>602</v>
      </c>
      <c r="E90" s="52">
        <v>0</v>
      </c>
      <c r="F90" s="54"/>
      <c r="G90" s="52">
        <v>0</v>
      </c>
      <c r="H90" s="54"/>
      <c r="I90" s="52">
        <v>0</v>
      </c>
      <c r="J90" s="54"/>
      <c r="K90" s="52">
        <v>0</v>
      </c>
      <c r="L90" s="54"/>
      <c r="M90" s="52">
        <v>0</v>
      </c>
      <c r="N90" s="54"/>
      <c r="O90" s="52">
        <v>1574.31</v>
      </c>
      <c r="P90" s="54"/>
      <c r="Q90" s="52">
        <v>36.549999999999997</v>
      </c>
      <c r="R90" s="54"/>
      <c r="S90" s="52">
        <v>1610.86</v>
      </c>
      <c r="T90" s="54"/>
      <c r="U90" s="193">
        <v>0.2</v>
      </c>
      <c r="V90" s="54"/>
      <c r="W90" s="52">
        <v>1610.86</v>
      </c>
      <c r="X90" s="61">
        <v>176.57</v>
      </c>
      <c r="Y90" s="52">
        <v>26.85</v>
      </c>
      <c r="Z90" s="61">
        <v>203.42</v>
      </c>
      <c r="AA90" s="52">
        <v>173.93</v>
      </c>
      <c r="AB90" s="61">
        <v>26.45</v>
      </c>
      <c r="AC90" s="52">
        <v>200.38</v>
      </c>
    </row>
    <row r="91" spans="1:29" ht="15" customHeight="1">
      <c r="A91" s="40"/>
      <c r="B91" s="54"/>
      <c r="C91" s="54" t="s">
        <v>595</v>
      </c>
      <c r="D91" s="54" t="s">
        <v>601</v>
      </c>
      <c r="E91" s="54"/>
      <c r="F91" s="54"/>
      <c r="G91" s="54"/>
      <c r="H91" s="54"/>
      <c r="I91" s="54"/>
      <c r="J91" s="54"/>
      <c r="K91" s="54"/>
      <c r="L91" s="54"/>
      <c r="M91" s="52">
        <v>0</v>
      </c>
      <c r="N91" s="54"/>
      <c r="O91" s="52">
        <v>9118.9699999999993</v>
      </c>
      <c r="P91" s="54"/>
      <c r="Q91" s="52">
        <v>1.21</v>
      </c>
      <c r="R91" s="54"/>
      <c r="S91" s="52">
        <v>9120.18</v>
      </c>
      <c r="T91" s="54"/>
      <c r="U91" s="193">
        <v>0.2</v>
      </c>
      <c r="V91" s="54"/>
      <c r="W91" s="52">
        <v>9120.18</v>
      </c>
      <c r="X91" s="61">
        <v>1341.83</v>
      </c>
      <c r="Y91" s="52">
        <v>152</v>
      </c>
      <c r="Z91" s="61">
        <v>1493.83</v>
      </c>
      <c r="AA91" s="52">
        <v>1321.72</v>
      </c>
      <c r="AB91" s="61">
        <v>149.72</v>
      </c>
      <c r="AC91" s="52">
        <v>1471.44</v>
      </c>
    </row>
    <row r="92" spans="1:29" ht="15" customHeight="1">
      <c r="A92" s="40"/>
      <c r="B92" s="54"/>
      <c r="C92" s="54" t="s">
        <v>595</v>
      </c>
      <c r="D92" s="54" t="s">
        <v>600</v>
      </c>
      <c r="E92" s="54"/>
      <c r="F92" s="54"/>
      <c r="G92" s="54"/>
      <c r="H92" s="54"/>
      <c r="I92" s="54"/>
      <c r="J92" s="54"/>
      <c r="K92" s="54"/>
      <c r="L92" s="54"/>
      <c r="M92" s="52">
        <v>0</v>
      </c>
      <c r="N92" s="54"/>
      <c r="O92" s="52">
        <v>202.69</v>
      </c>
      <c r="P92" s="54"/>
      <c r="Q92" s="52">
        <v>0.67</v>
      </c>
      <c r="R92" s="54"/>
      <c r="S92" s="52">
        <v>203.36</v>
      </c>
      <c r="T92" s="54"/>
      <c r="U92" s="193">
        <v>0.2</v>
      </c>
      <c r="V92" s="54"/>
      <c r="W92" s="52">
        <v>203.36</v>
      </c>
      <c r="X92" s="61">
        <v>16.28</v>
      </c>
      <c r="Y92" s="52">
        <v>3.39</v>
      </c>
      <c r="Z92" s="61">
        <v>19.670000000000002</v>
      </c>
      <c r="AA92" s="52">
        <v>16.059999999999999</v>
      </c>
      <c r="AB92" s="61">
        <v>3.34</v>
      </c>
      <c r="AC92" s="52">
        <v>19.399999999999999</v>
      </c>
    </row>
    <row r="93" spans="1:29" ht="15" customHeight="1">
      <c r="A93" s="40"/>
      <c r="B93" s="54"/>
      <c r="C93" s="54" t="s">
        <v>595</v>
      </c>
      <c r="D93" s="54" t="s">
        <v>599</v>
      </c>
      <c r="E93" s="54"/>
      <c r="F93" s="54"/>
      <c r="G93" s="54"/>
      <c r="H93" s="54"/>
      <c r="I93" s="54"/>
      <c r="J93" s="54"/>
      <c r="K93" s="54"/>
      <c r="L93" s="54"/>
      <c r="M93" s="52">
        <v>0</v>
      </c>
      <c r="N93" s="54"/>
      <c r="O93" s="52">
        <v>575.71</v>
      </c>
      <c r="P93" s="54"/>
      <c r="Q93" s="52">
        <v>19.32</v>
      </c>
      <c r="R93" s="54"/>
      <c r="S93" s="52">
        <v>595.03</v>
      </c>
      <c r="T93" s="54"/>
      <c r="U93" s="193">
        <v>0.2</v>
      </c>
      <c r="V93" s="54"/>
      <c r="W93" s="52">
        <v>595.03</v>
      </c>
      <c r="X93" s="61">
        <v>46.24</v>
      </c>
      <c r="Y93" s="52">
        <v>9.92</v>
      </c>
      <c r="Z93" s="61">
        <v>56.16</v>
      </c>
      <c r="AA93" s="52">
        <v>45.55</v>
      </c>
      <c r="AB93" s="61">
        <v>9.77</v>
      </c>
      <c r="AC93" s="52">
        <v>55.32</v>
      </c>
    </row>
    <row r="94" spans="1:29" ht="15" customHeight="1">
      <c r="A94" s="40"/>
      <c r="B94" s="54"/>
      <c r="C94" s="54" t="s">
        <v>595</v>
      </c>
      <c r="D94" s="54" t="s">
        <v>598</v>
      </c>
      <c r="E94" s="54"/>
      <c r="F94" s="54"/>
      <c r="G94" s="54"/>
      <c r="H94" s="54"/>
      <c r="I94" s="54"/>
      <c r="J94" s="54"/>
      <c r="K94" s="54"/>
      <c r="L94" s="54"/>
      <c r="M94" s="54"/>
      <c r="N94" s="54"/>
      <c r="O94" s="52">
        <v>238.16</v>
      </c>
      <c r="P94" s="54"/>
      <c r="Q94" s="52">
        <v>42.98</v>
      </c>
      <c r="R94" s="54"/>
      <c r="S94" s="52">
        <v>281.14</v>
      </c>
      <c r="T94" s="54"/>
      <c r="U94" s="193">
        <v>0.2</v>
      </c>
      <c r="V94" s="54"/>
      <c r="W94" s="52">
        <v>281.14</v>
      </c>
      <c r="X94" s="61">
        <v>12.48</v>
      </c>
      <c r="Y94" s="52">
        <v>4.6900000000000004</v>
      </c>
      <c r="Z94" s="61">
        <v>17.170000000000002</v>
      </c>
      <c r="AA94" s="52">
        <v>12.29</v>
      </c>
      <c r="AB94" s="61">
        <v>4.62</v>
      </c>
      <c r="AC94" s="52">
        <v>16.91</v>
      </c>
    </row>
    <row r="95" spans="1:29" ht="15" customHeight="1">
      <c r="A95" s="40"/>
      <c r="B95" s="54"/>
      <c r="C95" s="54" t="s">
        <v>595</v>
      </c>
      <c r="D95" s="54" t="s">
        <v>597</v>
      </c>
      <c r="E95" s="54"/>
      <c r="F95" s="54"/>
      <c r="G95" s="54"/>
      <c r="H95" s="54"/>
      <c r="I95" s="54"/>
      <c r="J95" s="54"/>
      <c r="K95" s="54"/>
      <c r="L95" s="54"/>
      <c r="M95" s="54"/>
      <c r="N95" s="54"/>
      <c r="O95" s="52">
        <v>205.85</v>
      </c>
      <c r="P95" s="54"/>
      <c r="Q95" s="52">
        <v>9.59</v>
      </c>
      <c r="R95" s="54"/>
      <c r="S95" s="52">
        <v>215.44</v>
      </c>
      <c r="T95" s="54"/>
      <c r="U95" s="193">
        <v>0.2</v>
      </c>
      <c r="V95" s="54"/>
      <c r="W95" s="52">
        <v>215.44</v>
      </c>
      <c r="X95" s="61">
        <v>9.66</v>
      </c>
      <c r="Y95" s="52">
        <v>3.59</v>
      </c>
      <c r="Z95" s="61">
        <v>13.25</v>
      </c>
      <c r="AA95" s="52">
        <v>9.51</v>
      </c>
      <c r="AB95" s="61">
        <v>3.54</v>
      </c>
      <c r="AC95" s="52">
        <v>13.05</v>
      </c>
    </row>
    <row r="96" spans="1:29" ht="15" customHeight="1">
      <c r="A96" s="40"/>
      <c r="B96" s="54"/>
      <c r="C96" s="54" t="s">
        <v>595</v>
      </c>
      <c r="D96" s="54" t="s">
        <v>596</v>
      </c>
      <c r="E96" s="54"/>
      <c r="F96" s="54"/>
      <c r="G96" s="54"/>
      <c r="H96" s="54"/>
      <c r="I96" s="54"/>
      <c r="J96" s="54"/>
      <c r="K96" s="54"/>
      <c r="L96" s="54"/>
      <c r="M96" s="54"/>
      <c r="N96" s="54"/>
      <c r="O96" s="52">
        <v>631.34</v>
      </c>
      <c r="P96" s="54"/>
      <c r="Q96" s="52">
        <v>127.75</v>
      </c>
      <c r="R96" s="54"/>
      <c r="S96" s="52">
        <v>759.09</v>
      </c>
      <c r="T96" s="54"/>
      <c r="U96" s="193">
        <v>0.2</v>
      </c>
      <c r="V96" s="54"/>
      <c r="W96" s="52">
        <v>759.09</v>
      </c>
      <c r="X96" s="61">
        <v>10.77</v>
      </c>
      <c r="Y96" s="52">
        <v>12.65</v>
      </c>
      <c r="Z96" s="61">
        <v>23.42</v>
      </c>
      <c r="AA96" s="52">
        <v>10.61</v>
      </c>
      <c r="AB96" s="61">
        <v>12.46</v>
      </c>
      <c r="AC96" s="52">
        <v>23.07</v>
      </c>
    </row>
    <row r="97" spans="1:29" ht="15" customHeight="1">
      <c r="A97" s="40"/>
      <c r="B97" s="54"/>
      <c r="C97" s="54" t="s">
        <v>595</v>
      </c>
      <c r="D97" s="54" t="s">
        <v>594</v>
      </c>
      <c r="E97" s="54"/>
      <c r="F97" s="54"/>
      <c r="G97" s="54"/>
      <c r="H97" s="54"/>
      <c r="I97" s="52">
        <v>0</v>
      </c>
      <c r="J97" s="54"/>
      <c r="K97" s="52">
        <v>0</v>
      </c>
      <c r="L97" s="54"/>
      <c r="M97" s="52">
        <v>0</v>
      </c>
      <c r="N97" s="54"/>
      <c r="O97" s="52">
        <v>3380.81</v>
      </c>
      <c r="P97" s="54"/>
      <c r="Q97" s="52">
        <v>56.88</v>
      </c>
      <c r="R97" s="54"/>
      <c r="S97" s="52">
        <v>3437.69</v>
      </c>
      <c r="T97" s="54"/>
      <c r="U97" s="193">
        <v>0.2</v>
      </c>
      <c r="V97" s="54"/>
      <c r="W97" s="52">
        <v>3437.69</v>
      </c>
      <c r="X97" s="61">
        <v>322.13</v>
      </c>
      <c r="Y97" s="52">
        <v>57.29</v>
      </c>
      <c r="Z97" s="61">
        <v>379.42</v>
      </c>
      <c r="AA97" s="52">
        <v>317.29000000000002</v>
      </c>
      <c r="AB97" s="61">
        <v>56.43</v>
      </c>
      <c r="AC97" s="52">
        <v>373.72</v>
      </c>
    </row>
    <row r="98" spans="1:29" ht="15" customHeight="1">
      <c r="A98" s="40"/>
      <c r="B98" s="54"/>
      <c r="C98" s="54" t="s">
        <v>593</v>
      </c>
      <c r="D98" s="54" t="s">
        <v>592</v>
      </c>
      <c r="E98" s="52">
        <v>0</v>
      </c>
      <c r="F98" s="54"/>
      <c r="G98" s="52">
        <v>0</v>
      </c>
      <c r="H98" s="54"/>
      <c r="I98" s="52">
        <v>51512.01</v>
      </c>
      <c r="J98" s="54"/>
      <c r="K98" s="52">
        <v>1252.71</v>
      </c>
      <c r="L98" s="54"/>
      <c r="M98" s="52">
        <v>0</v>
      </c>
      <c r="N98" s="54"/>
      <c r="O98" s="52">
        <v>0</v>
      </c>
      <c r="P98" s="54"/>
      <c r="Q98" s="52">
        <v>0</v>
      </c>
      <c r="R98" s="54"/>
      <c r="S98" s="52">
        <v>52764.72</v>
      </c>
      <c r="T98" s="54"/>
      <c r="U98" s="193">
        <v>0.2</v>
      </c>
      <c r="V98" s="54"/>
      <c r="W98" s="52">
        <v>52764.72</v>
      </c>
      <c r="X98" s="61">
        <v>36495.89</v>
      </c>
      <c r="Y98" s="52">
        <v>879.41</v>
      </c>
      <c r="Z98" s="61">
        <v>37375.300000000003</v>
      </c>
      <c r="AA98" s="52">
        <v>35948.449999999997</v>
      </c>
      <c r="AB98" s="61">
        <v>866.22</v>
      </c>
      <c r="AC98" s="52">
        <v>36814.67</v>
      </c>
    </row>
    <row r="99" spans="1:29" ht="15" customHeight="1">
      <c r="A99" s="40"/>
      <c r="B99" s="54"/>
      <c r="C99" s="54" t="s">
        <v>591</v>
      </c>
      <c r="D99" s="54" t="s">
        <v>590</v>
      </c>
      <c r="E99" s="52">
        <v>0</v>
      </c>
      <c r="F99" s="54"/>
      <c r="G99" s="52">
        <v>0</v>
      </c>
      <c r="H99" s="54"/>
      <c r="I99" s="52">
        <v>46558.22</v>
      </c>
      <c r="J99" s="54"/>
      <c r="K99" s="52">
        <v>1933.56</v>
      </c>
      <c r="L99" s="54"/>
      <c r="M99" s="52">
        <v>1714.32</v>
      </c>
      <c r="N99" s="54"/>
      <c r="O99" s="52">
        <v>613.48</v>
      </c>
      <c r="P99" s="54"/>
      <c r="Q99" s="52">
        <v>0</v>
      </c>
      <c r="R99" s="54"/>
      <c r="S99" s="52">
        <v>50819.58</v>
      </c>
      <c r="T99" s="54"/>
      <c r="U99" s="193">
        <v>0.2</v>
      </c>
      <c r="V99" s="54"/>
      <c r="W99" s="52">
        <v>50819.58</v>
      </c>
      <c r="X99" s="61">
        <v>33967.47</v>
      </c>
      <c r="Y99" s="52">
        <v>846.99</v>
      </c>
      <c r="Z99" s="61">
        <v>34814.46</v>
      </c>
      <c r="AA99" s="52">
        <v>33457.93</v>
      </c>
      <c r="AB99" s="61">
        <v>834.29</v>
      </c>
      <c r="AC99" s="52">
        <v>34292.22</v>
      </c>
    </row>
    <row r="100" spans="1:29" ht="15" customHeight="1">
      <c r="A100" s="40"/>
      <c r="B100" s="54"/>
      <c r="C100" s="54" t="s">
        <v>589</v>
      </c>
      <c r="D100" s="54" t="s">
        <v>588</v>
      </c>
      <c r="E100" s="52">
        <v>0</v>
      </c>
      <c r="F100" s="54"/>
      <c r="G100" s="52">
        <v>0</v>
      </c>
      <c r="H100" s="54"/>
      <c r="I100" s="52">
        <v>29844.66</v>
      </c>
      <c r="J100" s="54"/>
      <c r="K100" s="52">
        <v>28478.34</v>
      </c>
      <c r="L100" s="54"/>
      <c r="M100" s="52">
        <v>33626.379999999997</v>
      </c>
      <c r="N100" s="54"/>
      <c r="O100" s="52">
        <v>5171.28</v>
      </c>
      <c r="P100" s="54"/>
      <c r="Q100" s="52">
        <v>0</v>
      </c>
      <c r="R100" s="54"/>
      <c r="S100" s="52">
        <v>97120.66</v>
      </c>
      <c r="T100" s="54"/>
      <c r="U100" s="193">
        <v>0.2</v>
      </c>
      <c r="V100" s="54"/>
      <c r="W100" s="52">
        <v>97120.66</v>
      </c>
      <c r="X100" s="61">
        <v>43067.16</v>
      </c>
      <c r="Y100" s="52">
        <v>1618.68</v>
      </c>
      <c r="Z100" s="61">
        <v>44685.84</v>
      </c>
      <c r="AA100" s="52">
        <v>42421.120000000003</v>
      </c>
      <c r="AB100" s="61">
        <v>1594.4</v>
      </c>
      <c r="AC100" s="52">
        <v>44015.519999999997</v>
      </c>
    </row>
    <row r="101" spans="1:29" ht="15" customHeight="1">
      <c r="A101" s="40"/>
      <c r="B101" s="54"/>
      <c r="C101" s="54" t="s">
        <v>587</v>
      </c>
      <c r="D101" s="54" t="s">
        <v>586</v>
      </c>
      <c r="E101" s="52">
        <v>0</v>
      </c>
      <c r="F101" s="54"/>
      <c r="G101" s="52">
        <v>0</v>
      </c>
      <c r="H101" s="54"/>
      <c r="I101" s="52">
        <v>29908.21</v>
      </c>
      <c r="J101" s="54"/>
      <c r="K101" s="52">
        <v>2025.12</v>
      </c>
      <c r="L101" s="54"/>
      <c r="M101" s="52">
        <v>2351.5</v>
      </c>
      <c r="N101" s="54"/>
      <c r="O101" s="52">
        <v>2608.83</v>
      </c>
      <c r="P101" s="54"/>
      <c r="Q101" s="52">
        <v>1.77</v>
      </c>
      <c r="R101" s="54"/>
      <c r="S101" s="52">
        <v>36895.43</v>
      </c>
      <c r="T101" s="54"/>
      <c r="U101" s="193">
        <v>0.2</v>
      </c>
      <c r="V101" s="54"/>
      <c r="W101" s="52">
        <v>36895.43</v>
      </c>
      <c r="X101" s="61">
        <v>20217.310000000001</v>
      </c>
      <c r="Y101" s="52">
        <v>614.91999999999996</v>
      </c>
      <c r="Z101" s="61">
        <v>20832.23</v>
      </c>
      <c r="AA101" s="52">
        <v>19914.03</v>
      </c>
      <c r="AB101" s="61">
        <v>605.70000000000005</v>
      </c>
      <c r="AC101" s="52">
        <v>20519.73</v>
      </c>
    </row>
    <row r="102" spans="1:29" ht="15" customHeight="1">
      <c r="A102" s="40"/>
      <c r="B102" s="54"/>
      <c r="C102" s="54" t="s">
        <v>585</v>
      </c>
      <c r="D102" s="54" t="s">
        <v>584</v>
      </c>
      <c r="E102" s="52">
        <v>0</v>
      </c>
      <c r="F102" s="54"/>
      <c r="G102" s="52">
        <v>0</v>
      </c>
      <c r="H102" s="54"/>
      <c r="I102" s="52">
        <v>68834.52</v>
      </c>
      <c r="J102" s="54"/>
      <c r="K102" s="52">
        <v>9812.82</v>
      </c>
      <c r="L102" s="54"/>
      <c r="M102" s="52">
        <v>149.31</v>
      </c>
      <c r="N102" s="54"/>
      <c r="O102" s="52">
        <v>0</v>
      </c>
      <c r="P102" s="54"/>
      <c r="Q102" s="52">
        <v>0</v>
      </c>
      <c r="R102" s="54"/>
      <c r="S102" s="52">
        <v>78796.649999999994</v>
      </c>
      <c r="T102" s="54"/>
      <c r="U102" s="193">
        <v>0.2</v>
      </c>
      <c r="V102" s="54"/>
      <c r="W102" s="52">
        <v>78796.649999999994</v>
      </c>
      <c r="X102" s="61">
        <v>51905.42</v>
      </c>
      <c r="Y102" s="52">
        <v>1313.28</v>
      </c>
      <c r="Z102" s="61">
        <v>53218.7</v>
      </c>
      <c r="AA102" s="52">
        <v>51126.85</v>
      </c>
      <c r="AB102" s="61">
        <v>1293.58</v>
      </c>
      <c r="AC102" s="52">
        <v>52420.43</v>
      </c>
    </row>
    <row r="103" spans="1:29" ht="15" customHeight="1">
      <c r="A103" s="40"/>
      <c r="B103" s="54"/>
      <c r="C103" s="54" t="s">
        <v>583</v>
      </c>
      <c r="D103" s="54" t="s">
        <v>582</v>
      </c>
      <c r="E103" s="52">
        <v>0</v>
      </c>
      <c r="F103" s="54"/>
      <c r="G103" s="52">
        <v>0</v>
      </c>
      <c r="H103" s="54"/>
      <c r="I103" s="52">
        <v>66170.77</v>
      </c>
      <c r="J103" s="54"/>
      <c r="K103" s="52">
        <v>22260.9</v>
      </c>
      <c r="L103" s="54"/>
      <c r="M103" s="52">
        <v>46204.08</v>
      </c>
      <c r="N103" s="54"/>
      <c r="O103" s="52">
        <v>5841.13</v>
      </c>
      <c r="P103" s="54"/>
      <c r="Q103" s="52">
        <v>1.33</v>
      </c>
      <c r="R103" s="54"/>
      <c r="S103" s="52">
        <v>140478.21</v>
      </c>
      <c r="T103" s="54"/>
      <c r="U103" s="193">
        <v>0.2</v>
      </c>
      <c r="V103" s="54"/>
      <c r="W103" s="52">
        <v>140478.21</v>
      </c>
      <c r="X103" s="61">
        <v>64835.9</v>
      </c>
      <c r="Y103" s="52">
        <v>2341.3000000000002</v>
      </c>
      <c r="Z103" s="61">
        <v>67177.2</v>
      </c>
      <c r="AA103" s="52">
        <v>63863.35</v>
      </c>
      <c r="AB103" s="61">
        <v>2306.1799999999998</v>
      </c>
      <c r="AC103" s="52">
        <v>66169.53</v>
      </c>
    </row>
    <row r="104" spans="1:29" ht="15" customHeight="1">
      <c r="A104" s="40"/>
      <c r="B104" s="54"/>
      <c r="C104" s="54" t="s">
        <v>581</v>
      </c>
      <c r="D104" s="54" t="s">
        <v>580</v>
      </c>
      <c r="E104" s="52">
        <v>0</v>
      </c>
      <c r="F104" s="54"/>
      <c r="G104" s="52">
        <v>0</v>
      </c>
      <c r="H104" s="54"/>
      <c r="I104" s="52">
        <v>11173.63</v>
      </c>
      <c r="J104" s="54"/>
      <c r="K104" s="52">
        <v>39175.86</v>
      </c>
      <c r="L104" s="54"/>
      <c r="M104" s="52">
        <v>3034.81</v>
      </c>
      <c r="N104" s="54"/>
      <c r="O104" s="52">
        <v>0</v>
      </c>
      <c r="P104" s="54"/>
      <c r="Q104" s="52">
        <v>0</v>
      </c>
      <c r="R104" s="54"/>
      <c r="S104" s="52">
        <v>53384.3</v>
      </c>
      <c r="T104" s="54"/>
      <c r="U104" s="193">
        <v>0.2</v>
      </c>
      <c r="V104" s="54"/>
      <c r="W104" s="52">
        <v>53384.3</v>
      </c>
      <c r="X104" s="61">
        <v>23827.26</v>
      </c>
      <c r="Y104" s="52">
        <v>889.74</v>
      </c>
      <c r="Z104" s="61">
        <v>24717</v>
      </c>
      <c r="AA104" s="52">
        <v>23469.77</v>
      </c>
      <c r="AB104" s="61">
        <v>876.39</v>
      </c>
      <c r="AC104" s="52">
        <v>24346.16</v>
      </c>
    </row>
    <row r="105" spans="1:29" ht="15" customHeight="1">
      <c r="A105" s="40"/>
      <c r="B105" s="54"/>
      <c r="C105" s="54" t="s">
        <v>579</v>
      </c>
      <c r="D105" s="54" t="s">
        <v>578</v>
      </c>
      <c r="E105" s="52">
        <v>0</v>
      </c>
      <c r="F105" s="54"/>
      <c r="G105" s="52">
        <v>0</v>
      </c>
      <c r="H105" s="54"/>
      <c r="I105" s="52">
        <v>0</v>
      </c>
      <c r="J105" s="54"/>
      <c r="K105" s="52">
        <v>43771.31</v>
      </c>
      <c r="L105" s="54"/>
      <c r="M105" s="52">
        <v>316.76</v>
      </c>
      <c r="N105" s="54"/>
      <c r="O105" s="52">
        <v>0</v>
      </c>
      <c r="P105" s="54"/>
      <c r="Q105" s="52">
        <v>0</v>
      </c>
      <c r="R105" s="54"/>
      <c r="S105" s="52">
        <v>44088.07</v>
      </c>
      <c r="T105" s="54"/>
      <c r="U105" s="193">
        <v>0.2</v>
      </c>
      <c r="V105" s="54"/>
      <c r="W105" s="52">
        <v>44088.07</v>
      </c>
      <c r="X105" s="61">
        <v>17958.810000000001</v>
      </c>
      <c r="Y105" s="52">
        <v>734.8</v>
      </c>
      <c r="Z105" s="61">
        <v>18693.61</v>
      </c>
      <c r="AA105" s="52">
        <v>17689.53</v>
      </c>
      <c r="AB105" s="61">
        <v>723.78</v>
      </c>
      <c r="AC105" s="52">
        <v>18413.310000000001</v>
      </c>
    </row>
    <row r="106" spans="1:29" ht="15" customHeight="1">
      <c r="A106" s="40"/>
      <c r="B106" s="54"/>
      <c r="C106" s="54" t="s">
        <v>577</v>
      </c>
      <c r="D106" s="54" t="s">
        <v>576</v>
      </c>
      <c r="E106" s="52">
        <v>0</v>
      </c>
      <c r="F106" s="54"/>
      <c r="G106" s="52">
        <v>0</v>
      </c>
      <c r="H106" s="54"/>
      <c r="I106" s="52">
        <v>0</v>
      </c>
      <c r="J106" s="54"/>
      <c r="K106" s="52">
        <v>181449.22</v>
      </c>
      <c r="L106" s="54"/>
      <c r="M106" s="52">
        <v>40048.199999999997</v>
      </c>
      <c r="N106" s="54"/>
      <c r="O106" s="52">
        <v>11856.45</v>
      </c>
      <c r="P106" s="54"/>
      <c r="Q106" s="52">
        <v>7.81</v>
      </c>
      <c r="R106" s="54"/>
      <c r="S106" s="52">
        <v>233361.68</v>
      </c>
      <c r="T106" s="54"/>
      <c r="U106" s="193">
        <v>0.2</v>
      </c>
      <c r="V106" s="54"/>
      <c r="W106" s="52">
        <v>233361.68</v>
      </c>
      <c r="X106" s="61">
        <v>121198.86</v>
      </c>
      <c r="Y106" s="52">
        <v>3889.36</v>
      </c>
      <c r="Z106" s="61">
        <v>125088.22</v>
      </c>
      <c r="AA106" s="52">
        <v>119380.89</v>
      </c>
      <c r="AB106" s="61">
        <v>3831.02</v>
      </c>
      <c r="AC106" s="52">
        <v>123211.91</v>
      </c>
    </row>
    <row r="107" spans="1:29" ht="15" customHeight="1">
      <c r="A107" s="40"/>
      <c r="B107" s="54"/>
      <c r="C107" s="54" t="s">
        <v>575</v>
      </c>
      <c r="D107" s="54" t="s">
        <v>574</v>
      </c>
      <c r="E107" s="52">
        <v>0</v>
      </c>
      <c r="F107" s="54"/>
      <c r="G107" s="52">
        <v>0</v>
      </c>
      <c r="H107" s="54"/>
      <c r="I107" s="52">
        <v>0</v>
      </c>
      <c r="J107" s="54"/>
      <c r="K107" s="52">
        <v>83550.25</v>
      </c>
      <c r="L107" s="54"/>
      <c r="M107" s="52">
        <v>56137.75</v>
      </c>
      <c r="N107" s="54"/>
      <c r="O107" s="52">
        <v>1009.25</v>
      </c>
      <c r="P107" s="54"/>
      <c r="Q107" s="52">
        <v>0</v>
      </c>
      <c r="R107" s="54"/>
      <c r="S107" s="52">
        <v>140697.25</v>
      </c>
      <c r="T107" s="54"/>
      <c r="U107" s="193">
        <v>0.2</v>
      </c>
      <c r="V107" s="54"/>
      <c r="W107" s="52">
        <v>140697.25</v>
      </c>
      <c r="X107" s="61">
        <v>54444.13</v>
      </c>
      <c r="Y107" s="52">
        <v>2344.9499999999998</v>
      </c>
      <c r="Z107" s="61">
        <v>56789.08</v>
      </c>
      <c r="AA107" s="52">
        <v>53627.5</v>
      </c>
      <c r="AB107" s="61">
        <v>2309.7800000000002</v>
      </c>
      <c r="AC107" s="52">
        <v>55937.279999999999</v>
      </c>
    </row>
    <row r="108" spans="1:29" ht="15" customHeight="1">
      <c r="A108" s="40"/>
      <c r="B108" s="54"/>
      <c r="C108" s="54" t="s">
        <v>573</v>
      </c>
      <c r="D108" s="54" t="s">
        <v>572</v>
      </c>
      <c r="E108" s="52">
        <v>0</v>
      </c>
      <c r="F108" s="54"/>
      <c r="G108" s="52">
        <v>0</v>
      </c>
      <c r="H108" s="54"/>
      <c r="I108" s="52">
        <v>0</v>
      </c>
      <c r="J108" s="54"/>
      <c r="K108" s="52">
        <v>157296.85</v>
      </c>
      <c r="L108" s="54"/>
      <c r="M108" s="52">
        <v>41923.4</v>
      </c>
      <c r="N108" s="54"/>
      <c r="O108" s="52">
        <v>1652.83</v>
      </c>
      <c r="P108" s="54"/>
      <c r="Q108" s="52">
        <v>0.49</v>
      </c>
      <c r="R108" s="54"/>
      <c r="S108" s="52">
        <v>200873.57</v>
      </c>
      <c r="T108" s="54"/>
      <c r="U108" s="193">
        <v>0.2</v>
      </c>
      <c r="V108" s="54"/>
      <c r="W108" s="52">
        <v>200873.57</v>
      </c>
      <c r="X108" s="61">
        <v>88171.63</v>
      </c>
      <c r="Y108" s="52">
        <v>3347.89</v>
      </c>
      <c r="Z108" s="61">
        <v>91519.52</v>
      </c>
      <c r="AA108" s="52">
        <v>86849.06</v>
      </c>
      <c r="AB108" s="61">
        <v>3297.67</v>
      </c>
      <c r="AC108" s="52">
        <v>90146.73</v>
      </c>
    </row>
    <row r="109" spans="1:29" ht="15" customHeight="1">
      <c r="A109" s="40"/>
      <c r="B109" s="54"/>
      <c r="C109" s="54" t="s">
        <v>569</v>
      </c>
      <c r="D109" s="54" t="s">
        <v>571</v>
      </c>
      <c r="E109" s="52">
        <v>0</v>
      </c>
      <c r="F109" s="54"/>
      <c r="G109" s="52">
        <v>0</v>
      </c>
      <c r="H109" s="54"/>
      <c r="I109" s="52">
        <v>0</v>
      </c>
      <c r="J109" s="54"/>
      <c r="K109" s="52">
        <v>0</v>
      </c>
      <c r="L109" s="54"/>
      <c r="M109" s="52">
        <v>10559.54</v>
      </c>
      <c r="N109" s="54"/>
      <c r="O109" s="52">
        <v>13540.89</v>
      </c>
      <c r="P109" s="54"/>
      <c r="Q109" s="52">
        <v>169.05</v>
      </c>
      <c r="R109" s="54"/>
      <c r="S109" s="52">
        <v>24269.48</v>
      </c>
      <c r="T109" s="54"/>
      <c r="U109" s="193">
        <v>0.2</v>
      </c>
      <c r="V109" s="54"/>
      <c r="W109" s="52">
        <v>24269.48</v>
      </c>
      <c r="X109" s="61">
        <v>4972.2299999999996</v>
      </c>
      <c r="Y109" s="52">
        <v>404.49</v>
      </c>
      <c r="Z109" s="61">
        <v>5376.72</v>
      </c>
      <c r="AA109" s="52">
        <v>4897.6400000000003</v>
      </c>
      <c r="AB109" s="61">
        <v>398.42</v>
      </c>
      <c r="AC109" s="52">
        <v>5296.06</v>
      </c>
    </row>
    <row r="110" spans="1:29" ht="15" customHeight="1">
      <c r="A110" s="40"/>
      <c r="B110" s="54"/>
      <c r="C110" s="54" t="s">
        <v>569</v>
      </c>
      <c r="D110" s="54" t="s">
        <v>570</v>
      </c>
      <c r="E110" s="52">
        <v>0</v>
      </c>
      <c r="F110" s="54"/>
      <c r="G110" s="52">
        <v>0</v>
      </c>
      <c r="H110" s="54"/>
      <c r="I110" s="52">
        <v>0</v>
      </c>
      <c r="J110" s="54"/>
      <c r="K110" s="52">
        <v>0</v>
      </c>
      <c r="L110" s="54"/>
      <c r="M110" s="52">
        <v>17238.509999999998</v>
      </c>
      <c r="N110" s="54"/>
      <c r="O110" s="52">
        <v>13908.05</v>
      </c>
      <c r="P110" s="54"/>
      <c r="Q110" s="52">
        <v>23.94</v>
      </c>
      <c r="R110" s="54"/>
      <c r="S110" s="52">
        <v>31170.5</v>
      </c>
      <c r="T110" s="54"/>
      <c r="U110" s="193">
        <v>0.2</v>
      </c>
      <c r="V110" s="54"/>
      <c r="W110" s="52">
        <v>31170.5</v>
      </c>
      <c r="X110" s="61">
        <v>7313.87</v>
      </c>
      <c r="Y110" s="52">
        <v>519.51</v>
      </c>
      <c r="Z110" s="61">
        <v>7833.38</v>
      </c>
      <c r="AA110" s="52">
        <v>7204.14</v>
      </c>
      <c r="AB110" s="61">
        <v>511.72</v>
      </c>
      <c r="AC110" s="52">
        <v>7715.86</v>
      </c>
    </row>
    <row r="111" spans="1:29" ht="15" customHeight="1">
      <c r="A111" s="40"/>
      <c r="B111" s="54"/>
      <c r="C111" s="54" t="s">
        <v>569</v>
      </c>
      <c r="D111" s="54" t="s">
        <v>568</v>
      </c>
      <c r="E111" s="52">
        <v>0</v>
      </c>
      <c r="F111" s="54"/>
      <c r="G111" s="52">
        <v>0</v>
      </c>
      <c r="H111" s="54"/>
      <c r="I111" s="52">
        <v>0</v>
      </c>
      <c r="J111" s="54"/>
      <c r="K111" s="52">
        <v>0</v>
      </c>
      <c r="L111" s="54"/>
      <c r="M111" s="52">
        <v>10406.61</v>
      </c>
      <c r="N111" s="54"/>
      <c r="O111" s="52">
        <v>7665.22</v>
      </c>
      <c r="P111" s="54"/>
      <c r="Q111" s="52">
        <v>48.44</v>
      </c>
      <c r="R111" s="54"/>
      <c r="S111" s="52">
        <v>18120.27</v>
      </c>
      <c r="T111" s="54"/>
      <c r="U111" s="193">
        <v>0.2</v>
      </c>
      <c r="V111" s="54"/>
      <c r="W111" s="52">
        <v>18120.27</v>
      </c>
      <c r="X111" s="61">
        <v>4164.6899999999996</v>
      </c>
      <c r="Y111" s="52">
        <v>302</v>
      </c>
      <c r="Z111" s="61">
        <v>4466.6899999999996</v>
      </c>
      <c r="AA111" s="52">
        <v>4102.22</v>
      </c>
      <c r="AB111" s="61">
        <v>297.47000000000003</v>
      </c>
      <c r="AC111" s="52">
        <v>4399.6899999999996</v>
      </c>
    </row>
    <row r="112" spans="1:29" ht="15" customHeight="1">
      <c r="A112" s="40"/>
      <c r="B112" s="54"/>
      <c r="C112" s="54" t="s">
        <v>567</v>
      </c>
      <c r="D112" s="54" t="s">
        <v>566</v>
      </c>
      <c r="E112" s="52">
        <v>0</v>
      </c>
      <c r="F112" s="54"/>
      <c r="G112" s="52">
        <v>0</v>
      </c>
      <c r="H112" s="54"/>
      <c r="I112" s="52">
        <v>0</v>
      </c>
      <c r="J112" s="54"/>
      <c r="K112" s="52">
        <v>0</v>
      </c>
      <c r="L112" s="54"/>
      <c r="M112" s="52">
        <v>148765.91</v>
      </c>
      <c r="N112" s="54"/>
      <c r="O112" s="52">
        <v>16184.53</v>
      </c>
      <c r="P112" s="54"/>
      <c r="Q112" s="52">
        <v>79.239999999999995</v>
      </c>
      <c r="R112" s="54"/>
      <c r="S112" s="52">
        <v>165029.68</v>
      </c>
      <c r="T112" s="54"/>
      <c r="U112" s="193">
        <v>0.2</v>
      </c>
      <c r="V112" s="54"/>
      <c r="W112" s="52">
        <v>165029.68</v>
      </c>
      <c r="X112" s="61">
        <v>43314.28</v>
      </c>
      <c r="Y112" s="52">
        <v>2750.49</v>
      </c>
      <c r="Z112" s="61">
        <v>46064.77</v>
      </c>
      <c r="AA112" s="52">
        <v>42664.58</v>
      </c>
      <c r="AB112" s="61">
        <v>2709.23</v>
      </c>
      <c r="AC112" s="52">
        <v>45373.81</v>
      </c>
    </row>
    <row r="113" spans="1:29" ht="15" customHeight="1">
      <c r="A113" s="40"/>
      <c r="B113" s="54"/>
      <c r="C113" s="54" t="s">
        <v>565</v>
      </c>
      <c r="D113" s="54" t="s">
        <v>564</v>
      </c>
      <c r="E113" s="52">
        <v>0</v>
      </c>
      <c r="F113" s="54"/>
      <c r="G113" s="52">
        <v>0</v>
      </c>
      <c r="H113" s="54"/>
      <c r="I113" s="52">
        <v>0</v>
      </c>
      <c r="J113" s="54"/>
      <c r="K113" s="52">
        <v>28913.38</v>
      </c>
      <c r="L113" s="54"/>
      <c r="M113" s="52">
        <v>5601.86</v>
      </c>
      <c r="N113" s="54"/>
      <c r="O113" s="52">
        <v>0</v>
      </c>
      <c r="P113" s="54"/>
      <c r="Q113" s="52">
        <v>0</v>
      </c>
      <c r="R113" s="54"/>
      <c r="S113" s="52">
        <v>34515.24</v>
      </c>
      <c r="T113" s="54"/>
      <c r="U113" s="193">
        <v>0.2</v>
      </c>
      <c r="V113" s="54"/>
      <c r="W113" s="52">
        <v>34515.24</v>
      </c>
      <c r="X113" s="61">
        <v>17077.11</v>
      </c>
      <c r="Y113" s="52">
        <v>575.25</v>
      </c>
      <c r="Z113" s="61">
        <v>17652.36</v>
      </c>
      <c r="AA113" s="52">
        <v>16820.95</v>
      </c>
      <c r="AB113" s="61">
        <v>566.62</v>
      </c>
      <c r="AC113" s="52">
        <v>17387.57</v>
      </c>
    </row>
    <row r="114" spans="1:29" ht="15" customHeight="1">
      <c r="A114" s="40"/>
      <c r="B114" s="54"/>
      <c r="C114" s="54" t="s">
        <v>561</v>
      </c>
      <c r="D114" s="54" t="s">
        <v>560</v>
      </c>
      <c r="E114" s="52">
        <v>0</v>
      </c>
      <c r="F114" s="52">
        <v>0</v>
      </c>
      <c r="G114" s="52">
        <v>0</v>
      </c>
      <c r="H114" s="54"/>
      <c r="I114" s="52">
        <v>0</v>
      </c>
      <c r="J114" s="54"/>
      <c r="K114" s="52">
        <v>0</v>
      </c>
      <c r="L114" s="54"/>
      <c r="M114" s="52">
        <v>0</v>
      </c>
      <c r="N114" s="54"/>
      <c r="O114" s="52">
        <v>3528.57</v>
      </c>
      <c r="P114" s="54"/>
      <c r="Q114" s="52">
        <v>304.67</v>
      </c>
      <c r="R114" s="54"/>
      <c r="S114" s="52">
        <v>3833.24</v>
      </c>
      <c r="T114" s="54"/>
      <c r="U114" s="193">
        <v>0.2</v>
      </c>
      <c r="V114" s="54"/>
      <c r="W114" s="52">
        <v>3833.24</v>
      </c>
      <c r="X114" s="61">
        <v>300.79000000000002</v>
      </c>
      <c r="Y114" s="52">
        <v>63.89</v>
      </c>
      <c r="Z114" s="61">
        <v>364.68</v>
      </c>
      <c r="AA114" s="52">
        <v>296.27999999999997</v>
      </c>
      <c r="AB114" s="61">
        <v>62.93</v>
      </c>
      <c r="AC114" s="52">
        <v>359.21</v>
      </c>
    </row>
    <row r="115" spans="1:29" ht="15" customHeight="1">
      <c r="A115" s="40"/>
      <c r="B115" s="54"/>
      <c r="C115" s="54" t="s">
        <v>563</v>
      </c>
      <c r="D115" s="54" t="s">
        <v>562</v>
      </c>
      <c r="E115" s="52">
        <v>0</v>
      </c>
      <c r="F115" s="54"/>
      <c r="G115" s="52">
        <v>0</v>
      </c>
      <c r="H115" s="54"/>
      <c r="I115" s="52">
        <v>0</v>
      </c>
      <c r="J115" s="54"/>
      <c r="K115" s="54"/>
      <c r="L115" s="54"/>
      <c r="M115" s="52">
        <v>103399.98</v>
      </c>
      <c r="N115" s="54"/>
      <c r="O115" s="52">
        <v>10880.91</v>
      </c>
      <c r="P115" s="54"/>
      <c r="Q115" s="52">
        <v>353.07</v>
      </c>
      <c r="R115" s="54"/>
      <c r="S115" s="52">
        <v>114633.96</v>
      </c>
      <c r="T115" s="54"/>
      <c r="U115" s="193">
        <v>0.2</v>
      </c>
      <c r="V115" s="54"/>
      <c r="W115" s="52">
        <v>114633.96</v>
      </c>
      <c r="X115" s="61">
        <v>22900.7</v>
      </c>
      <c r="Y115" s="52">
        <v>1910.57</v>
      </c>
      <c r="Z115" s="61">
        <v>24811.27</v>
      </c>
      <c r="AA115" s="52">
        <v>22557.18</v>
      </c>
      <c r="AB115" s="61">
        <v>1881.91</v>
      </c>
      <c r="AC115" s="52">
        <v>24439.09</v>
      </c>
    </row>
    <row r="116" spans="1:29" ht="15" customHeight="1">
      <c r="A116" s="40" t="s">
        <v>639</v>
      </c>
      <c r="B116" s="54"/>
      <c r="C116" s="54" t="s">
        <v>637</v>
      </c>
      <c r="D116" s="54" t="s">
        <v>638</v>
      </c>
      <c r="E116" s="52">
        <v>0</v>
      </c>
      <c r="F116" s="54"/>
      <c r="G116" s="52">
        <v>0</v>
      </c>
      <c r="H116" s="54"/>
      <c r="I116" s="52">
        <v>0</v>
      </c>
      <c r="J116" s="54"/>
      <c r="K116" s="52">
        <v>0</v>
      </c>
      <c r="L116" s="54"/>
      <c r="M116" s="52">
        <v>0</v>
      </c>
      <c r="N116" s="54"/>
      <c r="O116" s="52">
        <v>0</v>
      </c>
      <c r="P116" s="54"/>
      <c r="Q116" s="52">
        <v>0</v>
      </c>
      <c r="R116" s="54"/>
      <c r="S116" s="52">
        <v>0</v>
      </c>
      <c r="T116" s="54"/>
      <c r="U116" s="193">
        <v>0.2</v>
      </c>
      <c r="V116" s="54"/>
      <c r="W116" s="52">
        <v>0</v>
      </c>
      <c r="X116" s="61">
        <v>0</v>
      </c>
      <c r="Y116" s="52">
        <v>0</v>
      </c>
      <c r="Z116" s="61">
        <v>0</v>
      </c>
      <c r="AA116" s="52">
        <v>0</v>
      </c>
      <c r="AB116" s="61">
        <v>0</v>
      </c>
      <c r="AC116" s="52">
        <v>0</v>
      </c>
    </row>
    <row r="117" spans="1:29" ht="15" customHeight="1">
      <c r="A117" s="40"/>
      <c r="B117" s="54"/>
      <c r="C117" s="54" t="s">
        <v>637</v>
      </c>
      <c r="D117" s="54" t="s">
        <v>636</v>
      </c>
      <c r="E117" s="52">
        <v>0</v>
      </c>
      <c r="F117" s="54"/>
      <c r="G117" s="52">
        <v>0</v>
      </c>
      <c r="H117" s="54"/>
      <c r="I117" s="52">
        <v>0</v>
      </c>
      <c r="J117" s="54"/>
      <c r="K117" s="52">
        <v>0</v>
      </c>
      <c r="L117" s="54"/>
      <c r="M117" s="52">
        <v>0</v>
      </c>
      <c r="N117" s="54"/>
      <c r="O117" s="52">
        <v>0</v>
      </c>
      <c r="P117" s="54"/>
      <c r="Q117" s="52">
        <v>0</v>
      </c>
      <c r="R117" s="54"/>
      <c r="S117" s="52">
        <v>0</v>
      </c>
      <c r="T117" s="54"/>
      <c r="U117" s="193">
        <v>0.2</v>
      </c>
      <c r="V117" s="54"/>
      <c r="W117" s="52">
        <v>0</v>
      </c>
      <c r="X117" s="61">
        <v>0</v>
      </c>
      <c r="Y117" s="52">
        <v>0</v>
      </c>
      <c r="Z117" s="61">
        <v>0</v>
      </c>
      <c r="AA117" s="52">
        <v>0</v>
      </c>
      <c r="AB117" s="61">
        <v>0</v>
      </c>
      <c r="AC117" s="52">
        <v>0</v>
      </c>
    </row>
    <row r="118" spans="1:29" ht="15" customHeight="1">
      <c r="A118" s="40"/>
      <c r="B118" s="54"/>
      <c r="C118" s="54" t="s">
        <v>635</v>
      </c>
      <c r="D118" s="54" t="s">
        <v>634</v>
      </c>
      <c r="E118" s="52">
        <v>0</v>
      </c>
      <c r="F118" s="54"/>
      <c r="G118" s="52">
        <v>0</v>
      </c>
      <c r="H118" s="54"/>
      <c r="I118" s="52">
        <v>0</v>
      </c>
      <c r="J118" s="54"/>
      <c r="K118" s="52">
        <v>0</v>
      </c>
      <c r="L118" s="54"/>
      <c r="M118" s="52">
        <v>0</v>
      </c>
      <c r="N118" s="54"/>
      <c r="O118" s="52">
        <v>0</v>
      </c>
      <c r="P118" s="54"/>
      <c r="Q118" s="52">
        <v>0</v>
      </c>
      <c r="R118" s="54"/>
      <c r="S118" s="52">
        <v>0</v>
      </c>
      <c r="T118" s="54"/>
      <c r="U118" s="193">
        <v>0.2</v>
      </c>
      <c r="V118" s="54"/>
      <c r="W118" s="52">
        <v>0</v>
      </c>
      <c r="X118" s="61">
        <v>0</v>
      </c>
      <c r="Y118" s="52">
        <v>0</v>
      </c>
      <c r="Z118" s="61">
        <v>0</v>
      </c>
      <c r="AA118" s="52">
        <v>0</v>
      </c>
      <c r="AB118" s="61">
        <v>0</v>
      </c>
      <c r="AC118" s="52">
        <v>0</v>
      </c>
    </row>
    <row r="119" spans="1:29" ht="15" customHeight="1">
      <c r="A119" s="40"/>
      <c r="B119" s="54"/>
      <c r="C119" s="54" t="s">
        <v>625</v>
      </c>
      <c r="D119" s="54" t="s">
        <v>633</v>
      </c>
      <c r="E119" s="52">
        <v>282.93</v>
      </c>
      <c r="F119" s="54"/>
      <c r="G119" s="52">
        <v>0</v>
      </c>
      <c r="H119" s="54"/>
      <c r="I119" s="52">
        <v>0</v>
      </c>
      <c r="J119" s="54"/>
      <c r="K119" s="52">
        <v>0</v>
      </c>
      <c r="L119" s="54"/>
      <c r="M119" s="52">
        <v>0</v>
      </c>
      <c r="N119" s="54"/>
      <c r="O119" s="52">
        <v>0</v>
      </c>
      <c r="P119" s="54"/>
      <c r="Q119" s="52">
        <v>0</v>
      </c>
      <c r="R119" s="54"/>
      <c r="S119" s="52">
        <v>282.93</v>
      </c>
      <c r="T119" s="54"/>
      <c r="U119" s="193">
        <v>0.2</v>
      </c>
      <c r="V119" s="54"/>
      <c r="W119" s="52">
        <v>282.93</v>
      </c>
      <c r="X119" s="61">
        <v>292.64</v>
      </c>
      <c r="Y119" s="52">
        <v>4.72</v>
      </c>
      <c r="Z119" s="61">
        <v>297.36</v>
      </c>
      <c r="AA119" s="52">
        <v>288.3</v>
      </c>
      <c r="AB119" s="61">
        <v>4.6500000000000004</v>
      </c>
      <c r="AC119" s="52">
        <v>292.95</v>
      </c>
    </row>
    <row r="120" spans="1:29" ht="15" customHeight="1">
      <c r="A120" s="40"/>
      <c r="B120" s="54"/>
      <c r="C120" s="54" t="s">
        <v>625</v>
      </c>
      <c r="D120" s="54" t="s">
        <v>632</v>
      </c>
      <c r="E120" s="52">
        <v>380.61</v>
      </c>
      <c r="F120" s="54"/>
      <c r="G120" s="52">
        <v>0</v>
      </c>
      <c r="H120" s="54"/>
      <c r="I120" s="52">
        <v>0</v>
      </c>
      <c r="J120" s="54"/>
      <c r="K120" s="52">
        <v>0</v>
      </c>
      <c r="L120" s="54"/>
      <c r="M120" s="52">
        <v>0</v>
      </c>
      <c r="N120" s="54"/>
      <c r="O120" s="52">
        <v>0</v>
      </c>
      <c r="P120" s="54"/>
      <c r="Q120" s="52">
        <v>0</v>
      </c>
      <c r="R120" s="54"/>
      <c r="S120" s="52">
        <v>380.61</v>
      </c>
      <c r="T120" s="54"/>
      <c r="U120" s="193">
        <v>0.2</v>
      </c>
      <c r="V120" s="54"/>
      <c r="W120" s="52">
        <v>380.61</v>
      </c>
      <c r="X120" s="61">
        <v>393.08</v>
      </c>
      <c r="Y120" s="52">
        <v>6.34</v>
      </c>
      <c r="Z120" s="61">
        <v>399.42</v>
      </c>
      <c r="AA120" s="52">
        <v>386.88</v>
      </c>
      <c r="AB120" s="61">
        <v>6.24</v>
      </c>
      <c r="AC120" s="52">
        <v>393.12</v>
      </c>
    </row>
    <row r="121" spans="1:29" ht="15" customHeight="1">
      <c r="A121" s="40"/>
      <c r="B121" s="54"/>
      <c r="C121" s="54" t="s">
        <v>625</v>
      </c>
      <c r="D121" s="54" t="s">
        <v>631</v>
      </c>
      <c r="E121" s="52">
        <v>0</v>
      </c>
      <c r="F121" s="54"/>
      <c r="G121" s="52">
        <v>0</v>
      </c>
      <c r="H121" s="54"/>
      <c r="I121" s="52">
        <v>0</v>
      </c>
      <c r="J121" s="54"/>
      <c r="K121" s="52">
        <v>0</v>
      </c>
      <c r="L121" s="54"/>
      <c r="M121" s="52">
        <v>0</v>
      </c>
      <c r="N121" s="54"/>
      <c r="O121" s="52">
        <v>0</v>
      </c>
      <c r="P121" s="54"/>
      <c r="Q121" s="52">
        <v>0</v>
      </c>
      <c r="R121" s="54"/>
      <c r="S121" s="52">
        <v>0</v>
      </c>
      <c r="T121" s="54"/>
      <c r="U121" s="193">
        <v>0.2</v>
      </c>
      <c r="V121" s="54"/>
      <c r="W121" s="52">
        <v>0</v>
      </c>
      <c r="X121" s="61">
        <v>0</v>
      </c>
      <c r="Y121" s="52">
        <v>0</v>
      </c>
      <c r="Z121" s="61">
        <v>0</v>
      </c>
      <c r="AA121" s="52">
        <v>0</v>
      </c>
      <c r="AB121" s="61">
        <v>0</v>
      </c>
      <c r="AC121" s="52">
        <v>0</v>
      </c>
    </row>
    <row r="122" spans="1:29" ht="15" customHeight="1">
      <c r="A122" s="40"/>
      <c r="B122" s="54"/>
      <c r="C122" s="54" t="s">
        <v>625</v>
      </c>
      <c r="D122" s="54" t="s">
        <v>630</v>
      </c>
      <c r="E122" s="52">
        <v>0.09</v>
      </c>
      <c r="F122" s="54"/>
      <c r="G122" s="52">
        <v>0</v>
      </c>
      <c r="H122" s="54"/>
      <c r="I122" s="52">
        <v>0</v>
      </c>
      <c r="J122" s="54"/>
      <c r="K122" s="52">
        <v>0</v>
      </c>
      <c r="L122" s="54"/>
      <c r="M122" s="52">
        <v>0</v>
      </c>
      <c r="N122" s="54"/>
      <c r="O122" s="52">
        <v>0</v>
      </c>
      <c r="P122" s="54"/>
      <c r="Q122" s="52">
        <v>0</v>
      </c>
      <c r="R122" s="54"/>
      <c r="S122" s="52">
        <v>0.09</v>
      </c>
      <c r="T122" s="54"/>
      <c r="U122" s="193">
        <v>0.2</v>
      </c>
      <c r="V122" s="54"/>
      <c r="W122" s="52">
        <v>0.09</v>
      </c>
      <c r="X122" s="61">
        <v>0</v>
      </c>
      <c r="Y122" s="52">
        <v>0</v>
      </c>
      <c r="Z122" s="61">
        <v>0</v>
      </c>
      <c r="AA122" s="52">
        <v>0</v>
      </c>
      <c r="AB122" s="61">
        <v>0</v>
      </c>
      <c r="AC122" s="52">
        <v>0</v>
      </c>
    </row>
    <row r="123" spans="1:29" ht="15" customHeight="1">
      <c r="A123" s="40"/>
      <c r="B123" s="54"/>
      <c r="C123" s="54" t="s">
        <v>625</v>
      </c>
      <c r="D123" s="54" t="s">
        <v>629</v>
      </c>
      <c r="E123" s="52">
        <v>531.57000000000005</v>
      </c>
      <c r="F123" s="54"/>
      <c r="G123" s="52">
        <v>0</v>
      </c>
      <c r="H123" s="54"/>
      <c r="I123" s="52">
        <v>0</v>
      </c>
      <c r="J123" s="54"/>
      <c r="K123" s="52">
        <v>0</v>
      </c>
      <c r="L123" s="54"/>
      <c r="M123" s="52">
        <v>0</v>
      </c>
      <c r="N123" s="54"/>
      <c r="O123" s="52">
        <v>0</v>
      </c>
      <c r="P123" s="54"/>
      <c r="Q123" s="52">
        <v>0</v>
      </c>
      <c r="R123" s="54"/>
      <c r="S123" s="52">
        <v>531.57000000000005</v>
      </c>
      <c r="T123" s="54"/>
      <c r="U123" s="193">
        <v>0.2</v>
      </c>
      <c r="V123" s="54"/>
      <c r="W123" s="52">
        <v>531.57000000000005</v>
      </c>
      <c r="X123" s="61">
        <v>549.32000000000005</v>
      </c>
      <c r="Y123" s="52">
        <v>8.86</v>
      </c>
      <c r="Z123" s="61">
        <v>558.17999999999995</v>
      </c>
      <c r="AA123" s="52">
        <v>541.26</v>
      </c>
      <c r="AB123" s="61">
        <v>8.73</v>
      </c>
      <c r="AC123" s="52">
        <v>549.99</v>
      </c>
    </row>
    <row r="124" spans="1:29" ht="15" customHeight="1">
      <c r="A124" s="40"/>
      <c r="B124" s="54"/>
      <c r="C124" s="54" t="s">
        <v>625</v>
      </c>
      <c r="D124" s="54" t="s">
        <v>628</v>
      </c>
      <c r="E124" s="52">
        <v>74.02</v>
      </c>
      <c r="F124" s="54"/>
      <c r="G124" s="52">
        <v>0</v>
      </c>
      <c r="H124" s="54"/>
      <c r="I124" s="52">
        <v>0</v>
      </c>
      <c r="J124" s="54"/>
      <c r="K124" s="52">
        <v>0</v>
      </c>
      <c r="L124" s="54"/>
      <c r="M124" s="52">
        <v>0</v>
      </c>
      <c r="N124" s="54"/>
      <c r="O124" s="52">
        <v>0</v>
      </c>
      <c r="P124" s="54"/>
      <c r="Q124" s="52">
        <v>0</v>
      </c>
      <c r="R124" s="54"/>
      <c r="S124" s="52">
        <v>74.02</v>
      </c>
      <c r="T124" s="54"/>
      <c r="U124" s="193">
        <v>0.2</v>
      </c>
      <c r="V124" s="54"/>
      <c r="W124" s="52">
        <v>74.02</v>
      </c>
      <c r="X124" s="61">
        <v>76.260000000000005</v>
      </c>
      <c r="Y124" s="52">
        <v>1.23</v>
      </c>
      <c r="Z124" s="61">
        <v>77.489999999999995</v>
      </c>
      <c r="AA124" s="52">
        <v>75.02</v>
      </c>
      <c r="AB124" s="61">
        <v>1.21</v>
      </c>
      <c r="AC124" s="52">
        <v>76.23</v>
      </c>
    </row>
    <row r="125" spans="1:29" ht="15" customHeight="1">
      <c r="A125" s="40"/>
      <c r="B125" s="54"/>
      <c r="C125" s="54" t="s">
        <v>625</v>
      </c>
      <c r="D125" s="54" t="s">
        <v>627</v>
      </c>
      <c r="E125" s="52">
        <v>48.36</v>
      </c>
      <c r="F125" s="54"/>
      <c r="G125" s="52">
        <v>0</v>
      </c>
      <c r="H125" s="54"/>
      <c r="I125" s="52">
        <v>0</v>
      </c>
      <c r="J125" s="54"/>
      <c r="K125" s="52">
        <v>0</v>
      </c>
      <c r="L125" s="54"/>
      <c r="M125" s="52">
        <v>0</v>
      </c>
      <c r="N125" s="54"/>
      <c r="O125" s="52">
        <v>0</v>
      </c>
      <c r="P125" s="54"/>
      <c r="Q125" s="52">
        <v>0</v>
      </c>
      <c r="R125" s="54"/>
      <c r="S125" s="52">
        <v>48.36</v>
      </c>
      <c r="T125" s="54"/>
      <c r="U125" s="193">
        <v>0.2</v>
      </c>
      <c r="V125" s="54"/>
      <c r="W125" s="52">
        <v>48.36</v>
      </c>
      <c r="X125" s="61">
        <v>50.22</v>
      </c>
      <c r="Y125" s="52">
        <v>0.81</v>
      </c>
      <c r="Z125" s="61">
        <v>51.03</v>
      </c>
      <c r="AA125" s="52">
        <v>49.6</v>
      </c>
      <c r="AB125" s="61">
        <v>0.8</v>
      </c>
      <c r="AC125" s="52">
        <v>50.4</v>
      </c>
    </row>
    <row r="126" spans="1:29" ht="15" customHeight="1">
      <c r="A126" s="40"/>
      <c r="B126" s="54"/>
      <c r="C126" s="54" t="s">
        <v>625</v>
      </c>
      <c r="D126" s="54" t="s">
        <v>626</v>
      </c>
      <c r="E126" s="52">
        <v>0</v>
      </c>
      <c r="F126" s="54"/>
      <c r="G126" s="52">
        <v>0</v>
      </c>
      <c r="H126" s="54"/>
      <c r="I126" s="52">
        <v>0</v>
      </c>
      <c r="J126" s="54"/>
      <c r="K126" s="52">
        <v>0</v>
      </c>
      <c r="L126" s="54"/>
      <c r="M126" s="52">
        <v>0</v>
      </c>
      <c r="N126" s="54"/>
      <c r="O126" s="52">
        <v>0</v>
      </c>
      <c r="P126" s="54"/>
      <c r="Q126" s="52">
        <v>0</v>
      </c>
      <c r="R126" s="54"/>
      <c r="S126" s="52">
        <v>0</v>
      </c>
      <c r="T126" s="54"/>
      <c r="U126" s="193">
        <v>0.2</v>
      </c>
      <c r="V126" s="54"/>
      <c r="W126" s="52">
        <v>0</v>
      </c>
      <c r="X126" s="61">
        <v>0</v>
      </c>
      <c r="Y126" s="52">
        <v>0</v>
      </c>
      <c r="Z126" s="61">
        <v>0</v>
      </c>
      <c r="AA126" s="52">
        <v>0</v>
      </c>
      <c r="AB126" s="61">
        <v>0</v>
      </c>
      <c r="AC126" s="52">
        <v>0</v>
      </c>
    </row>
    <row r="127" spans="1:29" ht="15" customHeight="1">
      <c r="A127" s="40"/>
      <c r="B127" s="54"/>
      <c r="C127" s="54" t="s">
        <v>625</v>
      </c>
      <c r="D127" s="54" t="s">
        <v>624</v>
      </c>
      <c r="E127" s="52">
        <v>0</v>
      </c>
      <c r="F127" s="54"/>
      <c r="G127" s="52">
        <v>0</v>
      </c>
      <c r="H127" s="54"/>
      <c r="I127" s="52">
        <v>0</v>
      </c>
      <c r="J127" s="54"/>
      <c r="K127" s="52">
        <v>0</v>
      </c>
      <c r="L127" s="54"/>
      <c r="M127" s="52">
        <v>0</v>
      </c>
      <c r="N127" s="54"/>
      <c r="O127" s="52">
        <v>0</v>
      </c>
      <c r="P127" s="54"/>
      <c r="Q127" s="52">
        <v>0</v>
      </c>
      <c r="R127" s="54"/>
      <c r="S127" s="52">
        <v>0</v>
      </c>
      <c r="T127" s="54"/>
      <c r="U127" s="193">
        <v>0.2</v>
      </c>
      <c r="V127" s="54"/>
      <c r="W127" s="52">
        <v>0</v>
      </c>
      <c r="X127" s="61">
        <v>0</v>
      </c>
      <c r="Y127" s="52">
        <v>0</v>
      </c>
      <c r="Z127" s="61">
        <v>0</v>
      </c>
      <c r="AA127" s="52">
        <v>0</v>
      </c>
      <c r="AB127" s="61">
        <v>0</v>
      </c>
      <c r="AC127" s="52">
        <v>0</v>
      </c>
    </row>
    <row r="128" spans="1:29" ht="15" customHeight="1">
      <c r="A128" s="40"/>
      <c r="B128" s="54"/>
      <c r="C128" s="54" t="s">
        <v>621</v>
      </c>
      <c r="D128" s="54" t="s">
        <v>623</v>
      </c>
      <c r="E128" s="52">
        <v>748.1</v>
      </c>
      <c r="F128" s="54"/>
      <c r="G128" s="52">
        <v>1801.15</v>
      </c>
      <c r="H128" s="54"/>
      <c r="I128" s="52">
        <v>-0.12</v>
      </c>
      <c r="J128" s="54"/>
      <c r="K128" s="52">
        <v>0</v>
      </c>
      <c r="L128" s="54"/>
      <c r="M128" s="52">
        <v>0</v>
      </c>
      <c r="N128" s="54"/>
      <c r="O128" s="52">
        <v>0</v>
      </c>
      <c r="P128" s="54"/>
      <c r="Q128" s="52">
        <v>0</v>
      </c>
      <c r="R128" s="54"/>
      <c r="S128" s="52">
        <v>2549.13</v>
      </c>
      <c r="T128" s="54"/>
      <c r="U128" s="193">
        <v>0.2</v>
      </c>
      <c r="V128" s="54"/>
      <c r="W128" s="52">
        <v>2549.13</v>
      </c>
      <c r="X128" s="61">
        <v>2480.35</v>
      </c>
      <c r="Y128" s="52">
        <v>42.49</v>
      </c>
      <c r="Z128" s="61">
        <v>2522.84</v>
      </c>
      <c r="AA128" s="52">
        <v>2443.0100000000002</v>
      </c>
      <c r="AB128" s="61">
        <v>41.85</v>
      </c>
      <c r="AC128" s="52">
        <v>2484.86</v>
      </c>
    </row>
    <row r="129" spans="1:29" ht="15" customHeight="1">
      <c r="A129" s="40"/>
      <c r="B129" s="54"/>
      <c r="C129" s="54" t="s">
        <v>621</v>
      </c>
      <c r="D129" s="54" t="s">
        <v>622</v>
      </c>
      <c r="E129" s="52">
        <v>1471.81</v>
      </c>
      <c r="F129" s="54"/>
      <c r="G129" s="52">
        <v>4.2</v>
      </c>
      <c r="H129" s="54"/>
      <c r="I129" s="52">
        <v>0</v>
      </c>
      <c r="J129" s="54"/>
      <c r="K129" s="52">
        <v>0</v>
      </c>
      <c r="L129" s="54"/>
      <c r="M129" s="52">
        <v>0</v>
      </c>
      <c r="N129" s="54"/>
      <c r="O129" s="52">
        <v>0</v>
      </c>
      <c r="P129" s="54"/>
      <c r="Q129" s="52">
        <v>0</v>
      </c>
      <c r="R129" s="54"/>
      <c r="S129" s="52">
        <v>1476.01</v>
      </c>
      <c r="T129" s="54"/>
      <c r="U129" s="193">
        <v>0.2</v>
      </c>
      <c r="V129" s="54"/>
      <c r="W129" s="52">
        <v>1476.01</v>
      </c>
      <c r="X129" s="61">
        <v>1524.64</v>
      </c>
      <c r="Y129" s="52">
        <v>24.6</v>
      </c>
      <c r="Z129" s="61">
        <v>1549.24</v>
      </c>
      <c r="AA129" s="52">
        <v>1501.71</v>
      </c>
      <c r="AB129" s="61">
        <v>24.23</v>
      </c>
      <c r="AC129" s="52">
        <v>1525.94</v>
      </c>
    </row>
    <row r="130" spans="1:29" ht="15" customHeight="1">
      <c r="A130" s="40"/>
      <c r="B130" s="54"/>
      <c r="C130" s="54" t="s">
        <v>621</v>
      </c>
      <c r="D130" s="54" t="s">
        <v>620</v>
      </c>
      <c r="E130" s="52">
        <v>33.22</v>
      </c>
      <c r="F130" s="54"/>
      <c r="G130" s="52">
        <v>7.06</v>
      </c>
      <c r="H130" s="54"/>
      <c r="I130" s="52">
        <v>0</v>
      </c>
      <c r="J130" s="54"/>
      <c r="K130" s="52">
        <v>0</v>
      </c>
      <c r="L130" s="54"/>
      <c r="M130" s="52">
        <v>0</v>
      </c>
      <c r="N130" s="54"/>
      <c r="O130" s="52">
        <v>0</v>
      </c>
      <c r="P130" s="54"/>
      <c r="Q130" s="52">
        <v>0</v>
      </c>
      <c r="R130" s="54"/>
      <c r="S130" s="52">
        <v>40.28</v>
      </c>
      <c r="T130" s="54"/>
      <c r="U130" s="193">
        <v>0.2</v>
      </c>
      <c r="V130" s="54"/>
      <c r="W130" s="52">
        <v>40.28</v>
      </c>
      <c r="X130" s="61">
        <v>40.96</v>
      </c>
      <c r="Y130" s="52">
        <v>0.67</v>
      </c>
      <c r="Z130" s="61">
        <v>41.63</v>
      </c>
      <c r="AA130" s="52">
        <v>40.35</v>
      </c>
      <c r="AB130" s="61">
        <v>0.66</v>
      </c>
      <c r="AC130" s="52">
        <v>41.01</v>
      </c>
    </row>
    <row r="131" spans="1:29" ht="15" customHeight="1">
      <c r="A131" s="40"/>
      <c r="B131" s="54"/>
      <c r="C131" s="54" t="s">
        <v>619</v>
      </c>
      <c r="D131" s="54" t="s">
        <v>618</v>
      </c>
      <c r="E131" s="52">
        <v>5437.19</v>
      </c>
      <c r="F131" s="54"/>
      <c r="G131" s="52">
        <v>697.37</v>
      </c>
      <c r="H131" s="54"/>
      <c r="I131" s="52">
        <v>0</v>
      </c>
      <c r="J131" s="54"/>
      <c r="K131" s="52">
        <v>0</v>
      </c>
      <c r="L131" s="54"/>
      <c r="M131" s="52">
        <v>0</v>
      </c>
      <c r="N131" s="54"/>
      <c r="O131" s="52">
        <v>0</v>
      </c>
      <c r="P131" s="54"/>
      <c r="Q131" s="52">
        <v>0</v>
      </c>
      <c r="R131" s="54"/>
      <c r="S131" s="52">
        <v>6134.56</v>
      </c>
      <c r="T131" s="54"/>
      <c r="U131" s="193">
        <v>0.2</v>
      </c>
      <c r="V131" s="54"/>
      <c r="W131" s="52">
        <v>6134.56</v>
      </c>
      <c r="X131" s="61">
        <v>6007.74</v>
      </c>
      <c r="Y131" s="52">
        <v>102.24</v>
      </c>
      <c r="Z131" s="61">
        <v>6109.98</v>
      </c>
      <c r="AA131" s="52">
        <v>5917.82</v>
      </c>
      <c r="AB131" s="61">
        <v>100.71</v>
      </c>
      <c r="AC131" s="52">
        <v>6018.53</v>
      </c>
    </row>
    <row r="132" spans="1:29" ht="15" customHeight="1">
      <c r="A132" s="40"/>
      <c r="B132" s="54"/>
      <c r="C132" s="54" t="s">
        <v>617</v>
      </c>
      <c r="D132" s="54" t="s">
        <v>616</v>
      </c>
      <c r="E132" s="52">
        <v>11975.48</v>
      </c>
      <c r="F132" s="54"/>
      <c r="G132" s="52">
        <v>4648.6899999999996</v>
      </c>
      <c r="H132" s="54"/>
      <c r="I132" s="52">
        <v>4064.96</v>
      </c>
      <c r="J132" s="54"/>
      <c r="K132" s="52">
        <v>60.5</v>
      </c>
      <c r="L132" s="54"/>
      <c r="M132" s="52">
        <v>28.68</v>
      </c>
      <c r="N132" s="54"/>
      <c r="O132" s="52">
        <v>0</v>
      </c>
      <c r="P132" s="54"/>
      <c r="Q132" s="52">
        <v>0</v>
      </c>
      <c r="R132" s="54"/>
      <c r="S132" s="52">
        <v>20778.310000000001</v>
      </c>
      <c r="T132" s="54"/>
      <c r="U132" s="193">
        <v>0.2</v>
      </c>
      <c r="V132" s="54"/>
      <c r="W132" s="52">
        <v>20778.310000000001</v>
      </c>
      <c r="X132" s="61">
        <v>19248.689999999999</v>
      </c>
      <c r="Y132" s="52">
        <v>346.31</v>
      </c>
      <c r="Z132" s="61">
        <v>19595</v>
      </c>
      <c r="AA132" s="52">
        <v>18959.97</v>
      </c>
      <c r="AB132" s="61">
        <v>341.12</v>
      </c>
      <c r="AC132" s="52">
        <v>19301.09</v>
      </c>
    </row>
    <row r="133" spans="1:29" ht="15" customHeight="1">
      <c r="A133" s="40"/>
      <c r="B133" s="54"/>
      <c r="C133" s="54" t="s">
        <v>615</v>
      </c>
      <c r="D133" s="54" t="s">
        <v>614</v>
      </c>
      <c r="E133" s="52">
        <v>24929.05</v>
      </c>
      <c r="F133" s="54"/>
      <c r="G133" s="52">
        <v>14984.16</v>
      </c>
      <c r="H133" s="54"/>
      <c r="I133" s="52">
        <v>30012.85</v>
      </c>
      <c r="J133" s="54"/>
      <c r="K133" s="52">
        <v>10040.73</v>
      </c>
      <c r="L133" s="54"/>
      <c r="M133" s="52">
        <v>10173.1</v>
      </c>
      <c r="N133" s="54"/>
      <c r="O133" s="52">
        <v>0</v>
      </c>
      <c r="P133" s="54"/>
      <c r="Q133" s="52">
        <v>0</v>
      </c>
      <c r="R133" s="54"/>
      <c r="S133" s="52">
        <v>90139.89</v>
      </c>
      <c r="T133" s="54"/>
      <c r="U133" s="193">
        <v>0.2</v>
      </c>
      <c r="V133" s="54"/>
      <c r="W133" s="52">
        <v>90139.89</v>
      </c>
      <c r="X133" s="61">
        <v>68042.720000000001</v>
      </c>
      <c r="Y133" s="52">
        <v>1502.33</v>
      </c>
      <c r="Z133" s="61">
        <v>69545.05</v>
      </c>
      <c r="AA133" s="52">
        <v>67022.17</v>
      </c>
      <c r="AB133" s="61">
        <v>1479.8</v>
      </c>
      <c r="AC133" s="52">
        <v>68501.97</v>
      </c>
    </row>
    <row r="134" spans="1:29" ht="15" customHeight="1">
      <c r="A134" s="40"/>
      <c r="B134" s="54"/>
      <c r="C134" s="54" t="s">
        <v>613</v>
      </c>
      <c r="D134" s="54" t="s">
        <v>612</v>
      </c>
      <c r="E134" s="52">
        <v>0</v>
      </c>
      <c r="F134" s="54"/>
      <c r="G134" s="52">
        <v>1065.58</v>
      </c>
      <c r="H134" s="54"/>
      <c r="I134" s="52">
        <v>2269.71</v>
      </c>
      <c r="J134" s="54"/>
      <c r="K134" s="52">
        <v>1150.03</v>
      </c>
      <c r="L134" s="54"/>
      <c r="M134" s="52">
        <v>8.93</v>
      </c>
      <c r="N134" s="54"/>
      <c r="O134" s="52">
        <v>0</v>
      </c>
      <c r="P134" s="54"/>
      <c r="Q134" s="52">
        <v>0</v>
      </c>
      <c r="R134" s="54"/>
      <c r="S134" s="52">
        <v>4494.25</v>
      </c>
      <c r="T134" s="54"/>
      <c r="U134" s="193">
        <v>0.2</v>
      </c>
      <c r="V134" s="54"/>
      <c r="W134" s="52">
        <v>4494.25</v>
      </c>
      <c r="X134" s="61">
        <v>3041.64</v>
      </c>
      <c r="Y134" s="52">
        <v>74.900000000000006</v>
      </c>
      <c r="Z134" s="61">
        <v>3116.54</v>
      </c>
      <c r="AA134" s="52">
        <v>2996.09</v>
      </c>
      <c r="AB134" s="61">
        <v>73.78</v>
      </c>
      <c r="AC134" s="52">
        <v>3069.87</v>
      </c>
    </row>
    <row r="135" spans="1:29" ht="15" customHeight="1">
      <c r="A135" s="40"/>
      <c r="B135" s="54"/>
      <c r="C135" s="54" t="s">
        <v>611</v>
      </c>
      <c r="D135" s="54" t="s">
        <v>610</v>
      </c>
      <c r="E135" s="52">
        <v>0</v>
      </c>
      <c r="F135" s="54"/>
      <c r="G135" s="52">
        <v>5486.06</v>
      </c>
      <c r="H135" s="54"/>
      <c r="I135" s="52">
        <v>9747.43</v>
      </c>
      <c r="J135" s="54"/>
      <c r="K135" s="52">
        <v>351.95</v>
      </c>
      <c r="L135" s="54"/>
      <c r="M135" s="52">
        <v>0</v>
      </c>
      <c r="N135" s="54"/>
      <c r="O135" s="52">
        <v>0</v>
      </c>
      <c r="P135" s="54"/>
      <c r="Q135" s="52">
        <v>0</v>
      </c>
      <c r="R135" s="54"/>
      <c r="S135" s="52">
        <v>15585.44</v>
      </c>
      <c r="T135" s="54"/>
      <c r="U135" s="193">
        <v>0.2</v>
      </c>
      <c r="V135" s="54"/>
      <c r="W135" s="52">
        <v>15585.44</v>
      </c>
      <c r="X135" s="61">
        <v>11778.97</v>
      </c>
      <c r="Y135" s="52">
        <v>259.76</v>
      </c>
      <c r="Z135" s="61">
        <v>12038.73</v>
      </c>
      <c r="AA135" s="52">
        <v>11602.19</v>
      </c>
      <c r="AB135" s="61">
        <v>255.86</v>
      </c>
      <c r="AC135" s="52">
        <v>11858.05</v>
      </c>
    </row>
    <row r="136" spans="1:29" ht="15" customHeight="1">
      <c r="A136" s="40"/>
      <c r="B136" s="54"/>
      <c r="C136" s="54" t="s">
        <v>595</v>
      </c>
      <c r="D136" s="54" t="s">
        <v>609</v>
      </c>
      <c r="E136" s="52">
        <v>0</v>
      </c>
      <c r="F136" s="54"/>
      <c r="G136" s="52">
        <v>1253.3699999999999</v>
      </c>
      <c r="H136" s="54"/>
      <c r="I136" s="52">
        <v>864.78</v>
      </c>
      <c r="J136" s="54"/>
      <c r="K136" s="52">
        <v>-110.44</v>
      </c>
      <c r="L136" s="54"/>
      <c r="M136" s="52">
        <v>0</v>
      </c>
      <c r="N136" s="54"/>
      <c r="O136" s="52">
        <v>0</v>
      </c>
      <c r="P136" s="54"/>
      <c r="Q136" s="52">
        <v>0</v>
      </c>
      <c r="R136" s="54"/>
      <c r="S136" s="52">
        <v>2007.71</v>
      </c>
      <c r="T136" s="54"/>
      <c r="U136" s="193">
        <v>0.2</v>
      </c>
      <c r="V136" s="54"/>
      <c r="W136" s="52">
        <v>2007.71</v>
      </c>
      <c r="X136" s="61">
        <v>1522.49</v>
      </c>
      <c r="Y136" s="52">
        <v>33.46</v>
      </c>
      <c r="Z136" s="61">
        <v>1555.95</v>
      </c>
      <c r="AA136" s="52">
        <v>1499.74</v>
      </c>
      <c r="AB136" s="61">
        <v>32.96</v>
      </c>
      <c r="AC136" s="52">
        <v>1532.7</v>
      </c>
    </row>
    <row r="137" spans="1:29" ht="15" customHeight="1">
      <c r="A137" s="40"/>
      <c r="B137" s="54"/>
      <c r="C137" s="54" t="s">
        <v>595</v>
      </c>
      <c r="D137" s="54" t="s">
        <v>608</v>
      </c>
      <c r="E137" s="52">
        <v>0</v>
      </c>
      <c r="F137" s="54"/>
      <c r="G137" s="52">
        <v>990.19</v>
      </c>
      <c r="H137" s="54"/>
      <c r="I137" s="52">
        <v>3023.46</v>
      </c>
      <c r="J137" s="54"/>
      <c r="K137" s="52">
        <v>678.73</v>
      </c>
      <c r="L137" s="54"/>
      <c r="M137" s="52">
        <v>6.23</v>
      </c>
      <c r="N137" s="54"/>
      <c r="O137" s="52">
        <v>0</v>
      </c>
      <c r="P137" s="54"/>
      <c r="Q137" s="52">
        <v>0</v>
      </c>
      <c r="R137" s="54"/>
      <c r="S137" s="52">
        <v>4698.6099999999997</v>
      </c>
      <c r="T137" s="54"/>
      <c r="U137" s="193">
        <v>0.2</v>
      </c>
      <c r="V137" s="54"/>
      <c r="W137" s="52">
        <v>4698.6099999999997</v>
      </c>
      <c r="X137" s="61">
        <v>3348.98</v>
      </c>
      <c r="Y137" s="52">
        <v>78.31</v>
      </c>
      <c r="Z137" s="61">
        <v>3427.29</v>
      </c>
      <c r="AA137" s="52">
        <v>3298.82</v>
      </c>
      <c r="AB137" s="61">
        <v>77.14</v>
      </c>
      <c r="AC137" s="52">
        <v>3375.96</v>
      </c>
    </row>
    <row r="138" spans="1:29" ht="15" customHeight="1">
      <c r="A138" s="40"/>
      <c r="B138" s="54"/>
      <c r="C138" s="54" t="s">
        <v>595</v>
      </c>
      <c r="D138" s="54" t="s">
        <v>607</v>
      </c>
      <c r="E138" s="52">
        <v>0</v>
      </c>
      <c r="F138" s="54"/>
      <c r="G138" s="52">
        <v>3543.69</v>
      </c>
      <c r="H138" s="54"/>
      <c r="I138" s="52">
        <v>2165.0300000000002</v>
      </c>
      <c r="J138" s="54"/>
      <c r="K138" s="52">
        <v>136.19</v>
      </c>
      <c r="L138" s="54"/>
      <c r="M138" s="52">
        <v>74.94</v>
      </c>
      <c r="N138" s="54"/>
      <c r="O138" s="52">
        <v>6274.72</v>
      </c>
      <c r="P138" s="54"/>
      <c r="Q138" s="52">
        <v>507.55</v>
      </c>
      <c r="R138" s="54"/>
      <c r="S138" s="52">
        <v>12702.12</v>
      </c>
      <c r="T138" s="54"/>
      <c r="U138" s="193">
        <v>0.2</v>
      </c>
      <c r="V138" s="54"/>
      <c r="W138" s="52">
        <v>12702.12</v>
      </c>
      <c r="X138" s="61">
        <v>5521.58</v>
      </c>
      <c r="Y138" s="52">
        <v>211.7</v>
      </c>
      <c r="Z138" s="61">
        <v>5733.28</v>
      </c>
      <c r="AA138" s="52">
        <v>5438.73</v>
      </c>
      <c r="AB138" s="61">
        <v>208.52</v>
      </c>
      <c r="AC138" s="52">
        <v>5647.25</v>
      </c>
    </row>
    <row r="139" spans="1:29" ht="15" customHeight="1">
      <c r="A139" s="40"/>
      <c r="B139" s="54"/>
      <c r="C139" s="54" t="s">
        <v>595</v>
      </c>
      <c r="D139" s="54" t="s">
        <v>606</v>
      </c>
      <c r="E139" s="52">
        <v>0</v>
      </c>
      <c r="F139" s="54"/>
      <c r="G139" s="52">
        <v>0</v>
      </c>
      <c r="H139" s="54"/>
      <c r="I139" s="52">
        <v>1414.19</v>
      </c>
      <c r="J139" s="54"/>
      <c r="K139" s="52">
        <v>0</v>
      </c>
      <c r="L139" s="54"/>
      <c r="M139" s="52">
        <v>0</v>
      </c>
      <c r="N139" s="54"/>
      <c r="O139" s="52">
        <v>0</v>
      </c>
      <c r="P139" s="54"/>
      <c r="Q139" s="52">
        <v>0</v>
      </c>
      <c r="R139" s="54"/>
      <c r="S139" s="52">
        <v>1414.19</v>
      </c>
      <c r="T139" s="54"/>
      <c r="U139" s="193">
        <v>0.2</v>
      </c>
      <c r="V139" s="54"/>
      <c r="W139" s="52">
        <v>1414.19</v>
      </c>
      <c r="X139" s="61">
        <v>1020.96</v>
      </c>
      <c r="Y139" s="52">
        <v>23.57</v>
      </c>
      <c r="Z139" s="61">
        <v>1044.53</v>
      </c>
      <c r="AA139" s="52">
        <v>1005.8</v>
      </c>
      <c r="AB139" s="61">
        <v>23.22</v>
      </c>
      <c r="AC139" s="52">
        <v>1029.02</v>
      </c>
    </row>
    <row r="140" spans="1:29" ht="15" customHeight="1">
      <c r="A140" s="40"/>
      <c r="B140" s="54"/>
      <c r="C140" s="54" t="s">
        <v>595</v>
      </c>
      <c r="D140" s="54" t="s">
        <v>605</v>
      </c>
      <c r="E140" s="52">
        <v>0</v>
      </c>
      <c r="F140" s="54"/>
      <c r="G140" s="52">
        <v>0</v>
      </c>
      <c r="H140" s="54"/>
      <c r="I140" s="52">
        <v>2465.96</v>
      </c>
      <c r="J140" s="54"/>
      <c r="K140" s="52">
        <v>1399.08</v>
      </c>
      <c r="L140" s="54"/>
      <c r="M140" s="52">
        <v>6.15</v>
      </c>
      <c r="N140" s="54"/>
      <c r="O140" s="52">
        <v>0</v>
      </c>
      <c r="P140" s="54"/>
      <c r="Q140" s="52">
        <v>0</v>
      </c>
      <c r="R140" s="54"/>
      <c r="S140" s="52">
        <v>3871.19</v>
      </c>
      <c r="T140" s="54"/>
      <c r="U140" s="193">
        <v>0.2</v>
      </c>
      <c r="V140" s="54"/>
      <c r="W140" s="52">
        <v>3871.19</v>
      </c>
      <c r="X140" s="61">
        <v>2271.8200000000002</v>
      </c>
      <c r="Y140" s="52">
        <v>64.52</v>
      </c>
      <c r="Z140" s="61">
        <v>2336.34</v>
      </c>
      <c r="AA140" s="52">
        <v>2237.73</v>
      </c>
      <c r="AB140" s="61">
        <v>63.55</v>
      </c>
      <c r="AC140" s="52">
        <v>2301.2800000000002</v>
      </c>
    </row>
    <row r="141" spans="1:29" ht="15" customHeight="1">
      <c r="A141" s="40"/>
      <c r="B141" s="54"/>
      <c r="C141" s="54" t="s">
        <v>595</v>
      </c>
      <c r="D141" s="54" t="s">
        <v>604</v>
      </c>
      <c r="E141" s="52">
        <v>0</v>
      </c>
      <c r="F141" s="54"/>
      <c r="G141" s="52">
        <v>0</v>
      </c>
      <c r="H141" s="54"/>
      <c r="I141" s="52">
        <v>0</v>
      </c>
      <c r="J141" s="54"/>
      <c r="K141" s="52">
        <v>0</v>
      </c>
      <c r="L141" s="54"/>
      <c r="M141" s="52">
        <v>2964.22</v>
      </c>
      <c r="N141" s="54"/>
      <c r="O141" s="52">
        <v>3244.56</v>
      </c>
      <c r="P141" s="54"/>
      <c r="Q141" s="52">
        <v>28.02</v>
      </c>
      <c r="R141" s="54"/>
      <c r="S141" s="52">
        <v>6236.8</v>
      </c>
      <c r="T141" s="54"/>
      <c r="U141" s="193">
        <v>0.2</v>
      </c>
      <c r="V141" s="54"/>
      <c r="W141" s="52">
        <v>6236.8</v>
      </c>
      <c r="X141" s="61">
        <v>818.6</v>
      </c>
      <c r="Y141" s="52">
        <v>103.95</v>
      </c>
      <c r="Z141" s="61">
        <v>922.55</v>
      </c>
      <c r="AA141" s="52">
        <v>806.33</v>
      </c>
      <c r="AB141" s="61">
        <v>102.39</v>
      </c>
      <c r="AC141" s="52">
        <v>908.72</v>
      </c>
    </row>
    <row r="142" spans="1:29" ht="15" customHeight="1">
      <c r="A142" s="40"/>
      <c r="B142" s="54"/>
      <c r="C142" s="54" t="s">
        <v>595</v>
      </c>
      <c r="D142" s="54" t="s">
        <v>603</v>
      </c>
      <c r="E142" s="52">
        <v>0</v>
      </c>
      <c r="F142" s="54"/>
      <c r="G142" s="52">
        <v>0</v>
      </c>
      <c r="H142" s="54"/>
      <c r="I142" s="52">
        <v>0</v>
      </c>
      <c r="J142" s="54"/>
      <c r="K142" s="52">
        <v>0</v>
      </c>
      <c r="L142" s="54"/>
      <c r="M142" s="52">
        <v>3357.13</v>
      </c>
      <c r="N142" s="54"/>
      <c r="O142" s="52">
        <v>17.86</v>
      </c>
      <c r="P142" s="54"/>
      <c r="Q142" s="52">
        <v>0</v>
      </c>
      <c r="R142" s="54"/>
      <c r="S142" s="52">
        <v>3374.99</v>
      </c>
      <c r="T142" s="54"/>
      <c r="U142" s="193">
        <v>0.2</v>
      </c>
      <c r="V142" s="54"/>
      <c r="W142" s="52">
        <v>3374.99</v>
      </c>
      <c r="X142" s="61">
        <v>842.62</v>
      </c>
      <c r="Y142" s="52">
        <v>56.25</v>
      </c>
      <c r="Z142" s="61">
        <v>898.87</v>
      </c>
      <c r="AA142" s="52">
        <v>830.04</v>
      </c>
      <c r="AB142" s="61">
        <v>55.41</v>
      </c>
      <c r="AC142" s="52">
        <v>885.45</v>
      </c>
    </row>
    <row r="143" spans="1:29" ht="15" customHeight="1">
      <c r="A143" s="40"/>
      <c r="B143" s="54"/>
      <c r="C143" s="54" t="s">
        <v>595</v>
      </c>
      <c r="D143" s="54" t="s">
        <v>602</v>
      </c>
      <c r="E143" s="52">
        <v>0</v>
      </c>
      <c r="F143" s="54"/>
      <c r="G143" s="52">
        <v>0</v>
      </c>
      <c r="H143" s="54"/>
      <c r="I143" s="52">
        <v>0</v>
      </c>
      <c r="J143" s="54"/>
      <c r="K143" s="52">
        <v>0</v>
      </c>
      <c r="L143" s="54"/>
      <c r="M143" s="52">
        <v>0</v>
      </c>
      <c r="N143" s="54"/>
      <c r="O143" s="52">
        <v>728.34</v>
      </c>
      <c r="P143" s="54"/>
      <c r="Q143" s="52">
        <v>146.07</v>
      </c>
      <c r="R143" s="54"/>
      <c r="S143" s="52">
        <v>874.41</v>
      </c>
      <c r="T143" s="54"/>
      <c r="U143" s="193">
        <v>0.2</v>
      </c>
      <c r="V143" s="54"/>
      <c r="W143" s="52">
        <v>874.41</v>
      </c>
      <c r="X143" s="61">
        <v>67.12</v>
      </c>
      <c r="Y143" s="52">
        <v>14.57</v>
      </c>
      <c r="Z143" s="61">
        <v>81.69</v>
      </c>
      <c r="AA143" s="52">
        <v>66.11</v>
      </c>
      <c r="AB143" s="61">
        <v>14.35</v>
      </c>
      <c r="AC143" s="52">
        <v>80.459999999999994</v>
      </c>
    </row>
    <row r="144" spans="1:29" ht="15" customHeight="1">
      <c r="A144" s="40"/>
      <c r="B144" s="54"/>
      <c r="C144" s="54" t="s">
        <v>595</v>
      </c>
      <c r="D144" s="54" t="s">
        <v>601</v>
      </c>
      <c r="E144" s="52">
        <v>0</v>
      </c>
      <c r="F144" s="54"/>
      <c r="G144" s="52">
        <v>0</v>
      </c>
      <c r="H144" s="54"/>
      <c r="I144" s="52">
        <v>0</v>
      </c>
      <c r="J144" s="54"/>
      <c r="K144" s="52">
        <v>0</v>
      </c>
      <c r="L144" s="54"/>
      <c r="M144" s="52">
        <v>0</v>
      </c>
      <c r="N144" s="54"/>
      <c r="O144" s="52">
        <v>3367.33</v>
      </c>
      <c r="P144" s="54"/>
      <c r="Q144" s="52">
        <v>4.8099999999999996</v>
      </c>
      <c r="R144" s="54"/>
      <c r="S144" s="52">
        <v>3372.14</v>
      </c>
      <c r="T144" s="54"/>
      <c r="U144" s="193">
        <v>0.2</v>
      </c>
      <c r="V144" s="54"/>
      <c r="W144" s="52">
        <v>3372.14</v>
      </c>
      <c r="X144" s="61">
        <v>474.3</v>
      </c>
      <c r="Y144" s="52">
        <v>56.2</v>
      </c>
      <c r="Z144" s="61">
        <v>530.5</v>
      </c>
      <c r="AA144" s="52">
        <v>467.19</v>
      </c>
      <c r="AB144" s="61">
        <v>55.36</v>
      </c>
      <c r="AC144" s="52">
        <v>522.54999999999995</v>
      </c>
    </row>
    <row r="145" spans="1:29" ht="15" customHeight="1">
      <c r="A145" s="40"/>
      <c r="B145" s="54"/>
      <c r="C145" s="54" t="s">
        <v>595</v>
      </c>
      <c r="D145" s="54" t="s">
        <v>600</v>
      </c>
      <c r="E145" s="52">
        <v>0</v>
      </c>
      <c r="F145" s="54"/>
      <c r="G145" s="52">
        <v>0</v>
      </c>
      <c r="H145" s="54"/>
      <c r="I145" s="52">
        <v>0</v>
      </c>
      <c r="J145" s="54"/>
      <c r="K145" s="52">
        <v>0</v>
      </c>
      <c r="L145" s="54"/>
      <c r="M145" s="52">
        <v>0</v>
      </c>
      <c r="N145" s="54"/>
      <c r="O145" s="52">
        <v>299.3</v>
      </c>
      <c r="P145" s="54"/>
      <c r="Q145" s="52">
        <v>2.65</v>
      </c>
      <c r="R145" s="54"/>
      <c r="S145" s="52">
        <v>301.95</v>
      </c>
      <c r="T145" s="54"/>
      <c r="U145" s="193">
        <v>0.2</v>
      </c>
      <c r="V145" s="54"/>
      <c r="W145" s="52">
        <v>301.95</v>
      </c>
      <c r="X145" s="61">
        <v>13.18</v>
      </c>
      <c r="Y145" s="52">
        <v>5.03</v>
      </c>
      <c r="Z145" s="61">
        <v>18.21</v>
      </c>
      <c r="AA145" s="52">
        <v>12.99</v>
      </c>
      <c r="AB145" s="61">
        <v>4.95</v>
      </c>
      <c r="AC145" s="52">
        <v>17.940000000000001</v>
      </c>
    </row>
    <row r="146" spans="1:29" ht="15" customHeight="1">
      <c r="A146" s="40"/>
      <c r="B146" s="54"/>
      <c r="C146" s="54" t="s">
        <v>595</v>
      </c>
      <c r="D146" s="54" t="s">
        <v>599</v>
      </c>
      <c r="E146" s="52">
        <v>0</v>
      </c>
      <c r="F146" s="54"/>
      <c r="G146" s="52">
        <v>0</v>
      </c>
      <c r="H146" s="54"/>
      <c r="I146" s="52">
        <v>0</v>
      </c>
      <c r="J146" s="54"/>
      <c r="K146" s="52">
        <v>0</v>
      </c>
      <c r="L146" s="54"/>
      <c r="M146" s="52">
        <v>0</v>
      </c>
      <c r="N146" s="54"/>
      <c r="O146" s="52">
        <v>609.54</v>
      </c>
      <c r="P146" s="54"/>
      <c r="Q146" s="52">
        <v>77.209999999999994</v>
      </c>
      <c r="R146" s="54"/>
      <c r="S146" s="52">
        <v>686.75</v>
      </c>
      <c r="T146" s="54"/>
      <c r="U146" s="193">
        <v>0.2</v>
      </c>
      <c r="V146" s="54"/>
      <c r="W146" s="52">
        <v>686.75</v>
      </c>
      <c r="X146" s="61">
        <v>31.26</v>
      </c>
      <c r="Y146" s="52">
        <v>11.45</v>
      </c>
      <c r="Z146" s="61">
        <v>42.71</v>
      </c>
      <c r="AA146" s="52">
        <v>30.8</v>
      </c>
      <c r="AB146" s="61">
        <v>11.28</v>
      </c>
      <c r="AC146" s="52">
        <v>42.08</v>
      </c>
    </row>
    <row r="147" spans="1:29" ht="15" customHeight="1">
      <c r="A147" s="40"/>
      <c r="B147" s="54"/>
      <c r="C147" s="54" t="s">
        <v>595</v>
      </c>
      <c r="D147" s="54" t="s">
        <v>598</v>
      </c>
      <c r="E147" s="54"/>
      <c r="F147" s="54"/>
      <c r="G147" s="54"/>
      <c r="H147" s="54"/>
      <c r="I147" s="52">
        <v>0</v>
      </c>
      <c r="J147" s="54"/>
      <c r="K147" s="52">
        <v>0</v>
      </c>
      <c r="L147" s="54"/>
      <c r="M147" s="54"/>
      <c r="N147" s="54"/>
      <c r="O147" s="52">
        <v>539.84</v>
      </c>
      <c r="P147" s="54"/>
      <c r="Q147" s="52">
        <v>172.04</v>
      </c>
      <c r="R147" s="54"/>
      <c r="S147" s="52">
        <v>711.88</v>
      </c>
      <c r="T147" s="54"/>
      <c r="U147" s="193">
        <v>0.2</v>
      </c>
      <c r="V147" s="54"/>
      <c r="W147" s="52">
        <v>711.88</v>
      </c>
      <c r="X147" s="61">
        <v>15.95</v>
      </c>
      <c r="Y147" s="52">
        <v>11.86</v>
      </c>
      <c r="Z147" s="61">
        <v>27.81</v>
      </c>
      <c r="AA147" s="52">
        <v>15.72</v>
      </c>
      <c r="AB147" s="61">
        <v>11.68</v>
      </c>
      <c r="AC147" s="52">
        <v>27.4</v>
      </c>
    </row>
    <row r="148" spans="1:29" ht="15" customHeight="1">
      <c r="A148" s="40"/>
      <c r="B148" s="54"/>
      <c r="C148" s="54" t="s">
        <v>595</v>
      </c>
      <c r="D148" s="54" t="s">
        <v>597</v>
      </c>
      <c r="E148" s="54"/>
      <c r="F148" s="54"/>
      <c r="G148" s="54"/>
      <c r="H148" s="54"/>
      <c r="I148" s="54"/>
      <c r="J148" s="54"/>
      <c r="K148" s="54"/>
      <c r="L148" s="54"/>
      <c r="M148" s="54"/>
      <c r="N148" s="54"/>
      <c r="O148" s="52">
        <v>799.18</v>
      </c>
      <c r="P148" s="54"/>
      <c r="Q148" s="52">
        <v>38.07</v>
      </c>
      <c r="R148" s="54"/>
      <c r="S148" s="52">
        <v>837.25</v>
      </c>
      <c r="T148" s="54"/>
      <c r="U148" s="193">
        <v>0.2</v>
      </c>
      <c r="V148" s="54"/>
      <c r="W148" s="52">
        <v>837.25</v>
      </c>
      <c r="X148" s="61">
        <v>37.450000000000003</v>
      </c>
      <c r="Y148" s="52">
        <v>13.95</v>
      </c>
      <c r="Z148" s="61">
        <v>51.4</v>
      </c>
      <c r="AA148" s="52">
        <v>36.880000000000003</v>
      </c>
      <c r="AB148" s="61">
        <v>13.74</v>
      </c>
      <c r="AC148" s="52">
        <v>50.62</v>
      </c>
    </row>
    <row r="149" spans="1:29" ht="15" customHeight="1">
      <c r="A149" s="40"/>
      <c r="B149" s="54"/>
      <c r="C149" s="54" t="s">
        <v>595</v>
      </c>
      <c r="D149" s="54" t="s">
        <v>596</v>
      </c>
      <c r="E149" s="54"/>
      <c r="F149" s="54"/>
      <c r="G149" s="54"/>
      <c r="H149" s="54"/>
      <c r="I149" s="54"/>
      <c r="J149" s="54"/>
      <c r="K149" s="54"/>
      <c r="L149" s="54"/>
      <c r="M149" s="54"/>
      <c r="N149" s="54"/>
      <c r="O149" s="52">
        <v>2490.33</v>
      </c>
      <c r="P149" s="54"/>
      <c r="Q149" s="52">
        <v>511.33</v>
      </c>
      <c r="R149" s="54"/>
      <c r="S149" s="52">
        <v>3001.66</v>
      </c>
      <c r="T149" s="54"/>
      <c r="U149" s="193">
        <v>0.2</v>
      </c>
      <c r="V149" s="54"/>
      <c r="W149" s="52">
        <v>3001.66</v>
      </c>
      <c r="X149" s="61">
        <v>42.51</v>
      </c>
      <c r="Y149" s="52">
        <v>50.03</v>
      </c>
      <c r="Z149" s="61">
        <v>92.54</v>
      </c>
      <c r="AA149" s="52">
        <v>41.88</v>
      </c>
      <c r="AB149" s="61">
        <v>49.28</v>
      </c>
      <c r="AC149" s="52">
        <v>91.16</v>
      </c>
    </row>
    <row r="150" spans="1:29" ht="15" customHeight="1">
      <c r="A150" s="40"/>
      <c r="B150" s="54"/>
      <c r="C150" s="54" t="s">
        <v>595</v>
      </c>
      <c r="D150" s="54" t="s">
        <v>594</v>
      </c>
      <c r="E150" s="52">
        <v>0</v>
      </c>
      <c r="F150" s="54"/>
      <c r="G150" s="52">
        <v>0</v>
      </c>
      <c r="H150" s="54"/>
      <c r="I150" s="52">
        <v>0</v>
      </c>
      <c r="J150" s="54"/>
      <c r="K150" s="52">
        <v>0</v>
      </c>
      <c r="L150" s="54"/>
      <c r="M150" s="52">
        <v>0</v>
      </c>
      <c r="N150" s="54"/>
      <c r="O150" s="52">
        <v>2153.4499999999998</v>
      </c>
      <c r="P150" s="54"/>
      <c r="Q150" s="52">
        <v>227.54</v>
      </c>
      <c r="R150" s="54"/>
      <c r="S150" s="52">
        <v>2380.9899999999998</v>
      </c>
      <c r="T150" s="54"/>
      <c r="U150" s="193">
        <v>0.2</v>
      </c>
      <c r="V150" s="54"/>
      <c r="W150" s="52">
        <v>2380.9899999999998</v>
      </c>
      <c r="X150" s="61">
        <v>155.88999999999999</v>
      </c>
      <c r="Y150" s="52">
        <v>39.68</v>
      </c>
      <c r="Z150" s="61">
        <v>195.57</v>
      </c>
      <c r="AA150" s="52">
        <v>153.54</v>
      </c>
      <c r="AB150" s="61">
        <v>39.08</v>
      </c>
      <c r="AC150" s="52">
        <v>192.62</v>
      </c>
    </row>
    <row r="151" spans="1:29" ht="15" customHeight="1">
      <c r="A151" s="40"/>
      <c r="B151" s="54"/>
      <c r="C151" s="54" t="s">
        <v>593</v>
      </c>
      <c r="D151" s="54" t="s">
        <v>592</v>
      </c>
      <c r="E151" s="52">
        <v>0</v>
      </c>
      <c r="F151" s="54"/>
      <c r="G151" s="52">
        <v>0</v>
      </c>
      <c r="H151" s="54"/>
      <c r="I151" s="52">
        <v>14869.23</v>
      </c>
      <c r="J151" s="54"/>
      <c r="K151" s="52">
        <v>377.59</v>
      </c>
      <c r="L151" s="54"/>
      <c r="M151" s="52">
        <v>0</v>
      </c>
      <c r="N151" s="54"/>
      <c r="O151" s="52">
        <v>0</v>
      </c>
      <c r="P151" s="54"/>
      <c r="Q151" s="52">
        <v>0</v>
      </c>
      <c r="R151" s="54"/>
      <c r="S151" s="52">
        <v>15246.82</v>
      </c>
      <c r="T151" s="54"/>
      <c r="U151" s="193">
        <v>0.2</v>
      </c>
      <c r="V151" s="54"/>
      <c r="W151" s="52">
        <v>15246.82</v>
      </c>
      <c r="X151" s="61">
        <v>10540.81</v>
      </c>
      <c r="Y151" s="52">
        <v>254.11</v>
      </c>
      <c r="Z151" s="61">
        <v>10794.92</v>
      </c>
      <c r="AA151" s="52">
        <v>10382.799999999999</v>
      </c>
      <c r="AB151" s="61">
        <v>250.3</v>
      </c>
      <c r="AC151" s="52">
        <v>10633.1</v>
      </c>
    </row>
    <row r="152" spans="1:29" ht="15" customHeight="1">
      <c r="A152" s="40"/>
      <c r="B152" s="54"/>
      <c r="C152" s="54" t="s">
        <v>591</v>
      </c>
      <c r="D152" s="54" t="s">
        <v>590</v>
      </c>
      <c r="E152" s="52">
        <v>0</v>
      </c>
      <c r="F152" s="54"/>
      <c r="G152" s="52">
        <v>0</v>
      </c>
      <c r="H152" s="54"/>
      <c r="I152" s="52">
        <v>13436.74</v>
      </c>
      <c r="J152" s="54"/>
      <c r="K152" s="52">
        <v>597.76</v>
      </c>
      <c r="L152" s="54"/>
      <c r="M152" s="52">
        <v>560.54</v>
      </c>
      <c r="N152" s="54"/>
      <c r="O152" s="52">
        <v>261.06</v>
      </c>
      <c r="P152" s="54"/>
      <c r="Q152" s="52">
        <v>0</v>
      </c>
      <c r="R152" s="54"/>
      <c r="S152" s="52">
        <v>14856.1</v>
      </c>
      <c r="T152" s="54"/>
      <c r="U152" s="193">
        <v>0.2</v>
      </c>
      <c r="V152" s="54"/>
      <c r="W152" s="52">
        <v>14856.1</v>
      </c>
      <c r="X152" s="61">
        <v>9846.1</v>
      </c>
      <c r="Y152" s="52">
        <v>247.6</v>
      </c>
      <c r="Z152" s="61">
        <v>10093.700000000001</v>
      </c>
      <c r="AA152" s="52">
        <v>9698.4699999999993</v>
      </c>
      <c r="AB152" s="61">
        <v>243.89</v>
      </c>
      <c r="AC152" s="52">
        <v>9942.36</v>
      </c>
    </row>
    <row r="153" spans="1:29" ht="15" customHeight="1">
      <c r="A153" s="40"/>
      <c r="B153" s="54"/>
      <c r="C153" s="54" t="s">
        <v>589</v>
      </c>
      <c r="D153" s="54" t="s">
        <v>588</v>
      </c>
      <c r="E153" s="52">
        <v>0</v>
      </c>
      <c r="F153" s="54"/>
      <c r="G153" s="52">
        <v>0</v>
      </c>
      <c r="H153" s="54"/>
      <c r="I153" s="52">
        <v>8709.17</v>
      </c>
      <c r="J153" s="54"/>
      <c r="K153" s="52">
        <v>8819.49</v>
      </c>
      <c r="L153" s="54"/>
      <c r="M153" s="52">
        <v>11021.02</v>
      </c>
      <c r="N153" s="54"/>
      <c r="O153" s="52">
        <v>1776.92</v>
      </c>
      <c r="P153" s="54"/>
      <c r="Q153" s="52">
        <v>0</v>
      </c>
      <c r="R153" s="54"/>
      <c r="S153" s="52">
        <v>30326.6</v>
      </c>
      <c r="T153" s="54"/>
      <c r="U153" s="193">
        <v>0.2</v>
      </c>
      <c r="V153" s="54"/>
      <c r="W153" s="52">
        <v>30326.6</v>
      </c>
      <c r="X153" s="61">
        <v>13183.26</v>
      </c>
      <c r="Y153" s="52">
        <v>505.44</v>
      </c>
      <c r="Z153" s="61">
        <v>13688.7</v>
      </c>
      <c r="AA153" s="52">
        <v>12985.5</v>
      </c>
      <c r="AB153" s="61">
        <v>497.86</v>
      </c>
      <c r="AC153" s="52">
        <v>13483.36</v>
      </c>
    </row>
    <row r="154" spans="1:29" ht="15" customHeight="1">
      <c r="A154" s="40"/>
      <c r="B154" s="54"/>
      <c r="C154" s="54" t="s">
        <v>587</v>
      </c>
      <c r="D154" s="54" t="s">
        <v>586</v>
      </c>
      <c r="E154" s="52">
        <v>0</v>
      </c>
      <c r="F154" s="54"/>
      <c r="G154" s="52">
        <v>0</v>
      </c>
      <c r="H154" s="54"/>
      <c r="I154" s="52">
        <v>8889.24</v>
      </c>
      <c r="J154" s="54"/>
      <c r="K154" s="52">
        <v>627.99</v>
      </c>
      <c r="L154" s="54"/>
      <c r="M154" s="52">
        <v>766.92</v>
      </c>
      <c r="N154" s="54"/>
      <c r="O154" s="52">
        <v>1003.64</v>
      </c>
      <c r="P154" s="54"/>
      <c r="Q154" s="52">
        <v>7.12</v>
      </c>
      <c r="R154" s="54"/>
      <c r="S154" s="52">
        <v>11294.91</v>
      </c>
      <c r="T154" s="54"/>
      <c r="U154" s="193">
        <v>0.2</v>
      </c>
      <c r="V154" s="54"/>
      <c r="W154" s="52">
        <v>11294.91</v>
      </c>
      <c r="X154" s="61">
        <v>6059.03</v>
      </c>
      <c r="Y154" s="52">
        <v>188.25</v>
      </c>
      <c r="Z154" s="61">
        <v>6247.28</v>
      </c>
      <c r="AA154" s="52">
        <v>5968.1</v>
      </c>
      <c r="AB154" s="61">
        <v>185.43</v>
      </c>
      <c r="AC154" s="52">
        <v>6153.53</v>
      </c>
    </row>
    <row r="155" spans="1:29" ht="15" customHeight="1">
      <c r="A155" s="40"/>
      <c r="B155" s="54"/>
      <c r="C155" s="54" t="s">
        <v>585</v>
      </c>
      <c r="D155" s="54" t="s">
        <v>584</v>
      </c>
      <c r="E155" s="52">
        <v>0</v>
      </c>
      <c r="F155" s="54"/>
      <c r="G155" s="52">
        <v>0</v>
      </c>
      <c r="H155" s="54"/>
      <c r="I155" s="52">
        <v>20461.46</v>
      </c>
      <c r="J155" s="54"/>
      <c r="K155" s="52">
        <v>2915.79</v>
      </c>
      <c r="L155" s="54"/>
      <c r="M155" s="52">
        <v>48.45</v>
      </c>
      <c r="N155" s="54"/>
      <c r="O155" s="52">
        <v>0</v>
      </c>
      <c r="P155" s="54"/>
      <c r="Q155" s="52">
        <v>0</v>
      </c>
      <c r="R155" s="54"/>
      <c r="S155" s="52">
        <v>23425.7</v>
      </c>
      <c r="T155" s="54"/>
      <c r="U155" s="193">
        <v>0.2</v>
      </c>
      <c r="V155" s="54"/>
      <c r="W155" s="52">
        <v>23425.7</v>
      </c>
      <c r="X155" s="61">
        <v>15438.79</v>
      </c>
      <c r="Y155" s="52">
        <v>390.43</v>
      </c>
      <c r="Z155" s="61">
        <v>15829.22</v>
      </c>
      <c r="AA155" s="52">
        <v>15207.19</v>
      </c>
      <c r="AB155" s="61">
        <v>384.57</v>
      </c>
      <c r="AC155" s="52">
        <v>15591.76</v>
      </c>
    </row>
    <row r="156" spans="1:29" ht="15" customHeight="1">
      <c r="A156" s="40"/>
      <c r="B156" s="54"/>
      <c r="C156" s="54" t="s">
        <v>583</v>
      </c>
      <c r="D156" s="54" t="s">
        <v>582</v>
      </c>
      <c r="E156" s="52">
        <v>0</v>
      </c>
      <c r="F156" s="54"/>
      <c r="G156" s="52">
        <v>0</v>
      </c>
      <c r="H156" s="54"/>
      <c r="I156" s="52">
        <v>19672.25</v>
      </c>
      <c r="J156" s="54"/>
      <c r="K156" s="52">
        <v>6806.96</v>
      </c>
      <c r="L156" s="54"/>
      <c r="M156" s="52">
        <v>15258.68</v>
      </c>
      <c r="N156" s="54"/>
      <c r="O156" s="52">
        <v>2066.7800000000002</v>
      </c>
      <c r="P156" s="54"/>
      <c r="Q156" s="52">
        <v>5.2</v>
      </c>
      <c r="R156" s="54"/>
      <c r="S156" s="52">
        <v>43809.87</v>
      </c>
      <c r="T156" s="54"/>
      <c r="U156" s="193">
        <v>0.2</v>
      </c>
      <c r="V156" s="54"/>
      <c r="W156" s="52">
        <v>43809.87</v>
      </c>
      <c r="X156" s="61">
        <v>19824.91</v>
      </c>
      <c r="Y156" s="52">
        <v>730.16</v>
      </c>
      <c r="Z156" s="61">
        <v>20555.07</v>
      </c>
      <c r="AA156" s="52">
        <v>19527.61</v>
      </c>
      <c r="AB156" s="61">
        <v>719.21</v>
      </c>
      <c r="AC156" s="52">
        <v>20246.82</v>
      </c>
    </row>
    <row r="157" spans="1:29" ht="15" customHeight="1">
      <c r="A157" s="40"/>
      <c r="B157" s="54"/>
      <c r="C157" s="54" t="s">
        <v>581</v>
      </c>
      <c r="D157" s="54" t="s">
        <v>580</v>
      </c>
      <c r="E157" s="52">
        <v>0</v>
      </c>
      <c r="F157" s="54"/>
      <c r="G157" s="52">
        <v>0</v>
      </c>
      <c r="H157" s="54"/>
      <c r="I157" s="52">
        <v>3321.88</v>
      </c>
      <c r="J157" s="54"/>
      <c r="K157" s="52">
        <v>12049.5</v>
      </c>
      <c r="L157" s="54"/>
      <c r="M157" s="52">
        <v>970</v>
      </c>
      <c r="N157" s="54"/>
      <c r="O157" s="52">
        <v>0</v>
      </c>
      <c r="P157" s="54"/>
      <c r="Q157" s="52">
        <v>0</v>
      </c>
      <c r="R157" s="54"/>
      <c r="S157" s="52">
        <v>16341.38</v>
      </c>
      <c r="T157" s="54"/>
      <c r="U157" s="193">
        <v>0.2</v>
      </c>
      <c r="V157" s="54"/>
      <c r="W157" s="52">
        <v>16341.38</v>
      </c>
      <c r="X157" s="61">
        <v>7270.98</v>
      </c>
      <c r="Y157" s="52">
        <v>272.36</v>
      </c>
      <c r="Z157" s="61">
        <v>7543.34</v>
      </c>
      <c r="AA157" s="52">
        <v>7161.8</v>
      </c>
      <c r="AB157" s="61">
        <v>268.27</v>
      </c>
      <c r="AC157" s="52">
        <v>7430.07</v>
      </c>
    </row>
    <row r="158" spans="1:29" ht="15" customHeight="1">
      <c r="A158" s="40"/>
      <c r="B158" s="54"/>
      <c r="C158" s="54" t="s">
        <v>579</v>
      </c>
      <c r="D158" s="54" t="s">
        <v>578</v>
      </c>
      <c r="E158" s="52">
        <v>0</v>
      </c>
      <c r="F158" s="54"/>
      <c r="G158" s="52">
        <v>0</v>
      </c>
      <c r="H158" s="54"/>
      <c r="I158" s="52">
        <v>0</v>
      </c>
      <c r="J158" s="54"/>
      <c r="K158" s="52">
        <v>13481.19</v>
      </c>
      <c r="L158" s="54"/>
      <c r="M158" s="52">
        <v>100.56</v>
      </c>
      <c r="N158" s="54"/>
      <c r="O158" s="52">
        <v>0</v>
      </c>
      <c r="P158" s="54"/>
      <c r="Q158" s="52">
        <v>0</v>
      </c>
      <c r="R158" s="54"/>
      <c r="S158" s="52">
        <v>13581.75</v>
      </c>
      <c r="T158" s="54"/>
      <c r="U158" s="193">
        <v>0.2</v>
      </c>
      <c r="V158" s="54"/>
      <c r="W158" s="52">
        <v>13581.75</v>
      </c>
      <c r="X158" s="61">
        <v>5529.35</v>
      </c>
      <c r="Y158" s="52">
        <v>226.36</v>
      </c>
      <c r="Z158" s="61">
        <v>5755.71</v>
      </c>
      <c r="AA158" s="52">
        <v>5446.31</v>
      </c>
      <c r="AB158" s="61">
        <v>222.96</v>
      </c>
      <c r="AC158" s="52">
        <v>5669.27</v>
      </c>
    </row>
    <row r="159" spans="1:29" ht="15" customHeight="1">
      <c r="A159" s="40"/>
      <c r="B159" s="54"/>
      <c r="C159" s="54" t="s">
        <v>577</v>
      </c>
      <c r="D159" s="54" t="s">
        <v>576</v>
      </c>
      <c r="E159" s="52">
        <v>0</v>
      </c>
      <c r="F159" s="54"/>
      <c r="G159" s="52">
        <v>0</v>
      </c>
      <c r="H159" s="54"/>
      <c r="I159" s="52">
        <v>0</v>
      </c>
      <c r="J159" s="54"/>
      <c r="K159" s="52">
        <v>53724.17</v>
      </c>
      <c r="L159" s="54"/>
      <c r="M159" s="52">
        <v>13108.94</v>
      </c>
      <c r="N159" s="54"/>
      <c r="O159" s="52">
        <v>5458.93</v>
      </c>
      <c r="P159" s="54"/>
      <c r="Q159" s="52">
        <v>31.16</v>
      </c>
      <c r="R159" s="54"/>
      <c r="S159" s="52">
        <v>72323.199999999997</v>
      </c>
      <c r="T159" s="54"/>
      <c r="U159" s="193">
        <v>0.2</v>
      </c>
      <c r="V159" s="54"/>
      <c r="W159" s="52">
        <v>72323.199999999997</v>
      </c>
      <c r="X159" s="61">
        <v>38311.050000000003</v>
      </c>
      <c r="Y159" s="52">
        <v>1205.3900000000001</v>
      </c>
      <c r="Z159" s="61">
        <v>39516.44</v>
      </c>
      <c r="AA159" s="52">
        <v>37736.39</v>
      </c>
      <c r="AB159" s="61">
        <v>1187.31</v>
      </c>
      <c r="AC159" s="52">
        <v>38923.699999999997</v>
      </c>
    </row>
    <row r="160" spans="1:29" ht="15" customHeight="1">
      <c r="A160" s="40"/>
      <c r="B160" s="54"/>
      <c r="C160" s="54" t="s">
        <v>575</v>
      </c>
      <c r="D160" s="54" t="s">
        <v>574</v>
      </c>
      <c r="E160" s="52">
        <v>0</v>
      </c>
      <c r="F160" s="54"/>
      <c r="G160" s="52">
        <v>0</v>
      </c>
      <c r="H160" s="54"/>
      <c r="I160" s="52">
        <v>0</v>
      </c>
      <c r="J160" s="54"/>
      <c r="K160" s="52">
        <v>26119.11</v>
      </c>
      <c r="L160" s="54"/>
      <c r="M160" s="52">
        <v>18550.82</v>
      </c>
      <c r="N160" s="54"/>
      <c r="O160" s="52">
        <v>345.61</v>
      </c>
      <c r="P160" s="54"/>
      <c r="Q160" s="52">
        <v>0</v>
      </c>
      <c r="R160" s="54"/>
      <c r="S160" s="52">
        <v>45015.54</v>
      </c>
      <c r="T160" s="54"/>
      <c r="U160" s="193">
        <v>0.2</v>
      </c>
      <c r="V160" s="54"/>
      <c r="W160" s="52">
        <v>45015.54</v>
      </c>
      <c r="X160" s="61">
        <v>17278.580000000002</v>
      </c>
      <c r="Y160" s="52">
        <v>750.26</v>
      </c>
      <c r="Z160" s="61">
        <v>18028.84</v>
      </c>
      <c r="AA160" s="52">
        <v>17019.45</v>
      </c>
      <c r="AB160" s="61">
        <v>739.01</v>
      </c>
      <c r="AC160" s="52">
        <v>17758.46</v>
      </c>
    </row>
    <row r="161" spans="1:29" ht="15" customHeight="1">
      <c r="A161" s="40"/>
      <c r="B161" s="54"/>
      <c r="C161" s="54" t="s">
        <v>573</v>
      </c>
      <c r="D161" s="54" t="s">
        <v>572</v>
      </c>
      <c r="E161" s="52">
        <v>0</v>
      </c>
      <c r="F161" s="54"/>
      <c r="G161" s="52">
        <v>0</v>
      </c>
      <c r="H161" s="54"/>
      <c r="I161" s="52">
        <v>0</v>
      </c>
      <c r="J161" s="54"/>
      <c r="K161" s="52">
        <v>48997.2</v>
      </c>
      <c r="L161" s="54"/>
      <c r="M161" s="52">
        <v>13604.83</v>
      </c>
      <c r="N161" s="54"/>
      <c r="O161" s="52">
        <v>618</v>
      </c>
      <c r="P161" s="54"/>
      <c r="Q161" s="52">
        <v>2</v>
      </c>
      <c r="R161" s="54"/>
      <c r="S161" s="52">
        <v>63222.03</v>
      </c>
      <c r="T161" s="54"/>
      <c r="U161" s="193">
        <v>0.2</v>
      </c>
      <c r="V161" s="54"/>
      <c r="W161" s="52">
        <v>63222.03</v>
      </c>
      <c r="X161" s="61">
        <v>27633.9</v>
      </c>
      <c r="Y161" s="52">
        <v>1053.7</v>
      </c>
      <c r="Z161" s="61">
        <v>28687.599999999999</v>
      </c>
      <c r="AA161" s="52">
        <v>27219.4</v>
      </c>
      <c r="AB161" s="61">
        <v>1037.8900000000001</v>
      </c>
      <c r="AC161" s="52">
        <v>28257.29</v>
      </c>
    </row>
    <row r="162" spans="1:29" ht="15" customHeight="1">
      <c r="A162" s="40"/>
      <c r="B162" s="54"/>
      <c r="C162" s="54" t="s">
        <v>569</v>
      </c>
      <c r="D162" s="54" t="s">
        <v>571</v>
      </c>
      <c r="E162" s="52">
        <v>0</v>
      </c>
      <c r="F162" s="54"/>
      <c r="G162" s="52">
        <v>0</v>
      </c>
      <c r="H162" s="54"/>
      <c r="I162" s="52">
        <v>0</v>
      </c>
      <c r="J162" s="54"/>
      <c r="K162" s="52">
        <v>0</v>
      </c>
      <c r="L162" s="54"/>
      <c r="M162" s="52">
        <v>3424.97</v>
      </c>
      <c r="N162" s="54"/>
      <c r="O162" s="52">
        <v>10867.88</v>
      </c>
      <c r="P162" s="54"/>
      <c r="Q162" s="52">
        <v>676.63</v>
      </c>
      <c r="R162" s="54"/>
      <c r="S162" s="52">
        <v>14969.48</v>
      </c>
      <c r="T162" s="54"/>
      <c r="U162" s="193">
        <v>0.2</v>
      </c>
      <c r="V162" s="54"/>
      <c r="W162" s="52">
        <v>14969.48</v>
      </c>
      <c r="X162" s="61">
        <v>1896.89</v>
      </c>
      <c r="Y162" s="52">
        <v>249.49</v>
      </c>
      <c r="Z162" s="61">
        <v>2146.38</v>
      </c>
      <c r="AA162" s="52">
        <v>1868.44</v>
      </c>
      <c r="AB162" s="61">
        <v>245.75</v>
      </c>
      <c r="AC162" s="52">
        <v>2114.19</v>
      </c>
    </row>
    <row r="163" spans="1:29" ht="15" customHeight="1">
      <c r="A163" s="54"/>
      <c r="B163" s="54"/>
      <c r="C163" s="54" t="s">
        <v>569</v>
      </c>
      <c r="D163" s="54" t="s">
        <v>570</v>
      </c>
      <c r="E163" s="52">
        <v>0</v>
      </c>
      <c r="F163" s="54"/>
      <c r="G163" s="52">
        <v>0</v>
      </c>
      <c r="H163" s="54"/>
      <c r="I163" s="52">
        <v>0</v>
      </c>
      <c r="J163" s="54"/>
      <c r="K163" s="52">
        <v>0</v>
      </c>
      <c r="L163" s="54"/>
      <c r="M163" s="52">
        <v>5678.86</v>
      </c>
      <c r="N163" s="54"/>
      <c r="O163" s="52">
        <v>6800.74</v>
      </c>
      <c r="P163" s="54"/>
      <c r="Q163" s="52">
        <v>95.66</v>
      </c>
      <c r="R163" s="54"/>
      <c r="S163" s="52">
        <v>12575.26</v>
      </c>
      <c r="T163" s="54"/>
      <c r="U163" s="193">
        <v>0.2</v>
      </c>
      <c r="V163" s="54"/>
      <c r="W163" s="52">
        <v>12575.26</v>
      </c>
      <c r="X163" s="61">
        <v>2520.64</v>
      </c>
      <c r="Y163" s="52">
        <v>209.59</v>
      </c>
      <c r="Z163" s="61">
        <v>2730.23</v>
      </c>
      <c r="AA163" s="52">
        <v>2482.85</v>
      </c>
      <c r="AB163" s="61">
        <v>206.45</v>
      </c>
      <c r="AC163" s="52">
        <v>2689.3</v>
      </c>
    </row>
    <row r="164" spans="1:29" ht="15" customHeight="1">
      <c r="A164" s="54"/>
      <c r="B164" s="54"/>
      <c r="C164" s="54" t="s">
        <v>569</v>
      </c>
      <c r="D164" s="54" t="s">
        <v>568</v>
      </c>
      <c r="E164" s="52">
        <v>0</v>
      </c>
      <c r="F164" s="54"/>
      <c r="G164" s="52">
        <v>0</v>
      </c>
      <c r="H164" s="54"/>
      <c r="I164" s="52">
        <v>0</v>
      </c>
      <c r="J164" s="54"/>
      <c r="K164" s="52">
        <v>0</v>
      </c>
      <c r="L164" s="54"/>
      <c r="M164" s="52">
        <v>3427.58</v>
      </c>
      <c r="N164" s="54"/>
      <c r="O164" s="52">
        <v>3688.91</v>
      </c>
      <c r="P164" s="54"/>
      <c r="Q164" s="52">
        <v>193.87</v>
      </c>
      <c r="R164" s="54"/>
      <c r="S164" s="52">
        <v>7310.36</v>
      </c>
      <c r="T164" s="54"/>
      <c r="U164" s="193">
        <v>0.2</v>
      </c>
      <c r="V164" s="54"/>
      <c r="W164" s="52">
        <v>7310.36</v>
      </c>
      <c r="X164" s="61">
        <v>1428.2</v>
      </c>
      <c r="Y164" s="52">
        <v>121.84</v>
      </c>
      <c r="Z164" s="61">
        <v>1550.04</v>
      </c>
      <c r="AA164" s="52">
        <v>1406.75</v>
      </c>
      <c r="AB164" s="61">
        <v>120.01</v>
      </c>
      <c r="AC164" s="52">
        <v>1526.76</v>
      </c>
    </row>
    <row r="165" spans="1:29" ht="15" customHeight="1">
      <c r="A165" s="54"/>
      <c r="B165" s="54"/>
      <c r="C165" s="54" t="s">
        <v>567</v>
      </c>
      <c r="D165" s="54" t="s">
        <v>566</v>
      </c>
      <c r="E165" s="52">
        <v>0</v>
      </c>
      <c r="F165" s="54"/>
      <c r="G165" s="52">
        <v>0</v>
      </c>
      <c r="H165" s="54"/>
      <c r="I165" s="52">
        <v>0</v>
      </c>
      <c r="J165" s="54"/>
      <c r="K165" s="52">
        <v>0</v>
      </c>
      <c r="L165" s="54"/>
      <c r="M165" s="52">
        <v>49439.27</v>
      </c>
      <c r="N165" s="54"/>
      <c r="O165" s="52">
        <v>1834.47</v>
      </c>
      <c r="P165" s="54"/>
      <c r="Q165" s="52">
        <v>317.2</v>
      </c>
      <c r="R165" s="54"/>
      <c r="S165" s="52">
        <v>51590.94</v>
      </c>
      <c r="T165" s="54"/>
      <c r="U165" s="193">
        <v>0.2</v>
      </c>
      <c r="V165" s="54"/>
      <c r="W165" s="52">
        <v>51590.94</v>
      </c>
      <c r="X165" s="61">
        <v>14105.64</v>
      </c>
      <c r="Y165" s="52">
        <v>859.85</v>
      </c>
      <c r="Z165" s="61">
        <v>14965.49</v>
      </c>
      <c r="AA165" s="52">
        <v>13894.07</v>
      </c>
      <c r="AB165" s="61">
        <v>846.95</v>
      </c>
      <c r="AC165" s="52">
        <v>14741.02</v>
      </c>
    </row>
    <row r="166" spans="1:29" ht="15" customHeight="1">
      <c r="A166" s="54"/>
      <c r="B166" s="54"/>
      <c r="C166" s="54" t="s">
        <v>565</v>
      </c>
      <c r="D166" s="54" t="s">
        <v>564</v>
      </c>
      <c r="E166" s="52">
        <v>0</v>
      </c>
      <c r="F166" s="54"/>
      <c r="G166" s="52">
        <v>0</v>
      </c>
      <c r="H166" s="54"/>
      <c r="I166" s="52">
        <v>0</v>
      </c>
      <c r="J166" s="54"/>
      <c r="K166" s="52">
        <v>9158.82</v>
      </c>
      <c r="L166" s="54"/>
      <c r="M166" s="52">
        <v>1904.21</v>
      </c>
      <c r="N166" s="54"/>
      <c r="O166" s="52">
        <v>0</v>
      </c>
      <c r="P166" s="54"/>
      <c r="Q166" s="52">
        <v>0</v>
      </c>
      <c r="R166" s="54"/>
      <c r="S166" s="52">
        <v>11063.03</v>
      </c>
      <c r="T166" s="54"/>
      <c r="U166" s="193">
        <v>0.2</v>
      </c>
      <c r="V166" s="54"/>
      <c r="W166" s="52">
        <v>11063.03</v>
      </c>
      <c r="X166" s="61">
        <v>5544.23</v>
      </c>
      <c r="Y166" s="52">
        <v>184.38</v>
      </c>
      <c r="Z166" s="61">
        <v>5728.61</v>
      </c>
      <c r="AA166" s="52">
        <v>5460.98</v>
      </c>
      <c r="AB166" s="61">
        <v>181.61</v>
      </c>
      <c r="AC166" s="52">
        <v>5642.59</v>
      </c>
    </row>
    <row r="167" spans="1:29" ht="15" customHeight="1">
      <c r="A167" s="54"/>
      <c r="B167" s="54"/>
      <c r="C167" s="54" t="s">
        <v>563</v>
      </c>
      <c r="D167" s="54" t="s">
        <v>562</v>
      </c>
      <c r="E167" s="52">
        <v>0</v>
      </c>
      <c r="F167" s="54"/>
      <c r="G167" s="52">
        <v>0</v>
      </c>
      <c r="H167" s="54"/>
      <c r="I167" s="52">
        <v>0</v>
      </c>
      <c r="J167" s="54"/>
      <c r="K167" s="54"/>
      <c r="L167" s="54"/>
      <c r="M167" s="52">
        <v>35159.82</v>
      </c>
      <c r="N167" s="54"/>
      <c r="O167" s="52">
        <v>31112.3</v>
      </c>
      <c r="P167" s="54"/>
      <c r="Q167" s="52">
        <v>1413.15</v>
      </c>
      <c r="R167" s="54"/>
      <c r="S167" s="52">
        <v>67685.27</v>
      </c>
      <c r="T167" s="54"/>
      <c r="U167" s="193">
        <v>0.2</v>
      </c>
      <c r="V167" s="54"/>
      <c r="W167" s="52">
        <v>67685.27</v>
      </c>
      <c r="X167" s="61">
        <v>8890.4699999999993</v>
      </c>
      <c r="Y167" s="52">
        <v>1128.0899999999999</v>
      </c>
      <c r="Z167" s="61">
        <v>10018.56</v>
      </c>
      <c r="AA167" s="52">
        <v>8757.1</v>
      </c>
      <c r="AB167" s="61">
        <v>1111.17</v>
      </c>
      <c r="AC167" s="52">
        <v>9868.27</v>
      </c>
    </row>
    <row r="168" spans="1:29" ht="15" customHeight="1">
      <c r="A168" s="54"/>
      <c r="B168" s="54"/>
      <c r="C168" s="54" t="s">
        <v>561</v>
      </c>
      <c r="D168" s="54" t="s">
        <v>560</v>
      </c>
      <c r="E168" s="65"/>
      <c r="F168" s="54"/>
      <c r="G168" s="89">
        <v>0</v>
      </c>
      <c r="H168" s="54"/>
      <c r="I168" s="89">
        <v>0</v>
      </c>
      <c r="J168" s="54"/>
      <c r="K168" s="89">
        <v>0</v>
      </c>
      <c r="L168" s="54"/>
      <c r="M168" s="89">
        <v>0</v>
      </c>
      <c r="N168" s="54"/>
      <c r="O168" s="89">
        <v>5230.96</v>
      </c>
      <c r="P168" s="54"/>
      <c r="Q168" s="89">
        <v>1219.28</v>
      </c>
      <c r="R168" s="54"/>
      <c r="S168" s="89">
        <v>6450.24</v>
      </c>
      <c r="T168" s="54"/>
      <c r="U168" s="193">
        <v>0.2</v>
      </c>
      <c r="V168" s="54"/>
      <c r="W168" s="89">
        <v>6450.24</v>
      </c>
      <c r="X168" s="69">
        <v>263.45999999999998</v>
      </c>
      <c r="Y168" s="89">
        <v>107.5</v>
      </c>
      <c r="Z168" s="69">
        <v>370.96</v>
      </c>
      <c r="AA168" s="89">
        <v>259.51</v>
      </c>
      <c r="AB168" s="69">
        <v>105.89</v>
      </c>
      <c r="AC168" s="89">
        <v>365.4</v>
      </c>
    </row>
    <row r="169" spans="1:29" ht="15" customHeight="1" thickBot="1">
      <c r="A169" s="54"/>
      <c r="B169" s="54"/>
      <c r="C169" s="54" t="s">
        <v>158</v>
      </c>
      <c r="D169" s="54"/>
      <c r="E169" s="105">
        <f>SUM(E10:E168)</f>
        <v>288410.61999999994</v>
      </c>
      <c r="F169" s="54"/>
      <c r="G169" s="105">
        <f>SUM(G10:G168)</f>
        <v>209240.05000000002</v>
      </c>
      <c r="H169" s="54"/>
      <c r="I169" s="105">
        <f>SUM(I10:I168)</f>
        <v>788347.57999999984</v>
      </c>
      <c r="J169" s="54"/>
      <c r="K169" s="105">
        <f>SUM(K10:K168)</f>
        <v>1156549.5599999998</v>
      </c>
      <c r="L169" s="54"/>
      <c r="M169" s="105">
        <f>SUM(M10:M168)</f>
        <v>1042123.1599999999</v>
      </c>
      <c r="N169" s="54"/>
      <c r="O169" s="105">
        <f>SUM(O10:O168)</f>
        <v>343401.82999999996</v>
      </c>
      <c r="P169" s="54"/>
      <c r="Q169" s="105">
        <f>SUM(Q10:Q168)</f>
        <v>15154.39</v>
      </c>
      <c r="R169" s="54"/>
      <c r="S169" s="105">
        <f>SUM(S10:S168)</f>
        <v>3843227.19</v>
      </c>
      <c r="T169" s="54"/>
      <c r="U169" s="54"/>
      <c r="V169" s="54"/>
      <c r="W169" s="192">
        <f t="shared" ref="W169:AC169" si="0">SUM(W10:W168)</f>
        <v>3843227.19</v>
      </c>
      <c r="X169" s="192">
        <f t="shared" si="0"/>
        <v>1910672.48</v>
      </c>
      <c r="Y169" s="192">
        <f t="shared" si="0"/>
        <v>64053.779999999948</v>
      </c>
      <c r="Z169" s="192">
        <f t="shared" si="0"/>
        <v>1974726.2600000005</v>
      </c>
      <c r="AA169" s="105">
        <f t="shared" si="0"/>
        <v>1882012.7500000005</v>
      </c>
      <c r="AB169" s="105">
        <f t="shared" si="0"/>
        <v>63092.98</v>
      </c>
      <c r="AC169" s="105">
        <f t="shared" si="0"/>
        <v>1945105.7300000007</v>
      </c>
    </row>
    <row r="170" spans="1:29" ht="15" customHeight="1" thickTop="1">
      <c r="E170" s="63"/>
      <c r="G170" s="63"/>
      <c r="I170" s="63"/>
      <c r="K170" s="63"/>
      <c r="M170" s="63"/>
      <c r="O170" s="63"/>
      <c r="P170" s="213"/>
      <c r="Q170" s="228"/>
      <c r="R170" s="213"/>
      <c r="S170" s="228"/>
      <c r="T170" s="213"/>
      <c r="U170" s="213"/>
      <c r="V170" s="213"/>
      <c r="W170" s="228"/>
      <c r="X170" s="228"/>
      <c r="Y170" s="228"/>
      <c r="Z170" s="228"/>
      <c r="AA170" s="63"/>
      <c r="AB170" s="63"/>
      <c r="AC170" s="63"/>
    </row>
    <row r="171" spans="1:29" ht="15" customHeight="1">
      <c r="P171" s="814" t="s">
        <v>559</v>
      </c>
      <c r="Q171" s="744"/>
      <c r="R171" s="744"/>
      <c r="S171" s="744"/>
      <c r="T171" s="744"/>
      <c r="U171" s="814"/>
      <c r="V171" s="213"/>
      <c r="W171" s="224">
        <f>W169-Z169</f>
        <v>1868500.9299999995</v>
      </c>
      <c r="X171" s="209"/>
      <c r="Y171" s="209"/>
      <c r="Z171" s="209"/>
    </row>
    <row r="172" spans="1:29" ht="15" customHeight="1">
      <c r="A172" s="44" t="s">
        <v>2</v>
      </c>
      <c r="C172" s="44" t="s">
        <v>3</v>
      </c>
      <c r="D172" s="54"/>
      <c r="P172" s="213"/>
      <c r="Q172" s="213"/>
      <c r="R172" s="213"/>
      <c r="S172" s="213"/>
      <c r="T172" s="213"/>
      <c r="U172" s="213"/>
      <c r="V172" s="213"/>
      <c r="W172" s="213"/>
      <c r="X172" s="213"/>
      <c r="Y172" s="213"/>
      <c r="Z172" s="213"/>
    </row>
    <row r="173" spans="1:29" ht="15" customHeight="1"/>
  </sheetData>
  <mergeCells count="5">
    <mergeCell ref="A1:C1"/>
    <mergeCell ref="A3:G3"/>
    <mergeCell ref="A4:G4"/>
    <mergeCell ref="A2:I2"/>
    <mergeCell ref="P171:U17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2ADDE-0B36-4664-A060-698028F22F47}">
  <dimension ref="A1:J68"/>
  <sheetViews>
    <sheetView showRuler="0" workbookViewId="0">
      <selection sqref="A1:I1"/>
    </sheetView>
  </sheetViews>
  <sheetFormatPr defaultColWidth="13.7265625" defaultRowHeight="12.5"/>
  <cols>
    <col min="1" max="1" width="13.7265625" style="41"/>
    <col min="2" max="4" width="19.81640625" style="41" customWidth="1"/>
    <col min="5" max="5" width="4.7265625" style="41" customWidth="1"/>
    <col min="6" max="8" width="19.453125" style="41" customWidth="1"/>
    <col min="9" max="9" width="1.7265625" style="41" customWidth="1"/>
    <col min="10" max="16384" width="13.7265625" style="41"/>
  </cols>
  <sheetData>
    <row r="1" spans="1:9" ht="16.75" customHeight="1">
      <c r="A1" s="737" t="s">
        <v>0</v>
      </c>
      <c r="B1" s="737"/>
      <c r="C1" s="737"/>
      <c r="D1" s="737"/>
      <c r="E1" s="737"/>
      <c r="F1" s="737"/>
      <c r="G1" s="737"/>
      <c r="H1" s="737"/>
      <c r="I1" s="737"/>
    </row>
    <row r="2" spans="1:9" ht="16.75" customHeight="1">
      <c r="A2" s="818" t="s">
        <v>707</v>
      </c>
      <c r="B2" s="818"/>
      <c r="C2" s="818"/>
      <c r="D2" s="818"/>
      <c r="E2" s="818"/>
      <c r="F2" s="818"/>
      <c r="G2" s="818"/>
      <c r="H2" s="818"/>
      <c r="I2" s="818"/>
    </row>
    <row r="3" spans="1:9" ht="16.75" customHeight="1">
      <c r="A3" s="737" t="s">
        <v>706</v>
      </c>
      <c r="B3" s="709"/>
      <c r="C3" s="709"/>
      <c r="D3" s="709"/>
      <c r="E3" s="709"/>
      <c r="F3" s="709"/>
      <c r="G3" s="709"/>
      <c r="H3" s="709"/>
      <c r="I3" s="709"/>
    </row>
    <row r="4" spans="1:9" ht="16.75" customHeight="1">
      <c r="A4" s="737" t="s">
        <v>352</v>
      </c>
      <c r="B4" s="737"/>
      <c r="C4" s="737"/>
      <c r="D4" s="737"/>
      <c r="E4" s="737"/>
      <c r="F4" s="737"/>
      <c r="G4" s="737"/>
      <c r="H4" s="737"/>
      <c r="I4" s="737"/>
    </row>
    <row r="5" spans="1:9" ht="15" customHeight="1">
      <c r="A5" s="107"/>
      <c r="B5" s="107"/>
      <c r="C5" s="107"/>
      <c r="D5" s="107"/>
      <c r="E5" s="107"/>
      <c r="F5" s="107"/>
      <c r="G5" s="107"/>
      <c r="H5" s="107"/>
      <c r="I5" s="107"/>
    </row>
    <row r="6" spans="1:9" ht="15" customHeight="1"/>
    <row r="7" spans="1:9" ht="15" customHeight="1" thickBot="1">
      <c r="A7" s="708" t="s">
        <v>705</v>
      </c>
      <c r="B7" s="709"/>
      <c r="C7" s="198">
        <f>D27</f>
        <v>14720085.689999999</v>
      </c>
    </row>
    <row r="8" spans="1:9" ht="15" customHeight="1" thickTop="1">
      <c r="C8" s="63"/>
      <c r="D8" s="54"/>
    </row>
    <row r="9" spans="1:9" ht="27.65" customHeight="1" thickBot="1">
      <c r="A9" s="708" t="s">
        <v>704</v>
      </c>
      <c r="B9" s="709"/>
      <c r="C9" s="198">
        <f>((D27+D45+D63)-(D23+D24))/3</f>
        <v>1651936.0266666666</v>
      </c>
      <c r="D9" s="54"/>
    </row>
    <row r="10" spans="1:9" ht="15" customHeight="1" thickTop="1">
      <c r="C10" s="63"/>
    </row>
    <row r="11" spans="1:9" ht="15" customHeight="1">
      <c r="A11" s="54"/>
      <c r="B11" s="65"/>
      <c r="C11" s="65"/>
      <c r="D11" s="65"/>
      <c r="E11" s="54"/>
      <c r="F11" s="65"/>
      <c r="G11" s="65"/>
      <c r="H11" s="65"/>
      <c r="I11" s="54"/>
    </row>
    <row r="12" spans="1:9" ht="16.75" customHeight="1">
      <c r="A12" s="134"/>
      <c r="B12" s="734" t="s">
        <v>699</v>
      </c>
      <c r="C12" s="734"/>
      <c r="D12" s="734"/>
      <c r="E12" s="197"/>
      <c r="F12" s="815" t="s">
        <v>699</v>
      </c>
      <c r="G12" s="816"/>
      <c r="H12" s="817"/>
      <c r="I12" s="186"/>
    </row>
    <row r="13" spans="1:9" ht="16.75" customHeight="1">
      <c r="A13" s="195"/>
      <c r="B13" s="734" t="s">
        <v>703</v>
      </c>
      <c r="C13" s="734"/>
      <c r="D13" s="734"/>
      <c r="E13" s="197"/>
      <c r="F13" s="734" t="s">
        <v>702</v>
      </c>
      <c r="G13" s="734"/>
      <c r="H13" s="734"/>
      <c r="I13" s="186"/>
    </row>
    <row r="14" spans="1:9" ht="27.65" customHeight="1">
      <c r="A14" s="120" t="s">
        <v>697</v>
      </c>
      <c r="B14" s="67" t="s">
        <v>696</v>
      </c>
      <c r="C14" s="67" t="s">
        <v>695</v>
      </c>
      <c r="D14" s="67" t="s">
        <v>158</v>
      </c>
      <c r="E14" s="197"/>
      <c r="F14" s="67" t="s">
        <v>696</v>
      </c>
      <c r="G14" s="67" t="s">
        <v>695</v>
      </c>
      <c r="H14" s="67" t="s">
        <v>158</v>
      </c>
      <c r="I14" s="186"/>
    </row>
    <row r="15" spans="1:9" ht="16.75" customHeight="1">
      <c r="A15" s="58" t="s">
        <v>694</v>
      </c>
      <c r="B15" s="56">
        <v>0</v>
      </c>
      <c r="C15" s="56">
        <v>0</v>
      </c>
      <c r="D15" s="56">
        <v>0</v>
      </c>
      <c r="E15" s="54"/>
      <c r="F15" s="56">
        <v>-26585.49</v>
      </c>
      <c r="G15" s="56">
        <v>26585</v>
      </c>
      <c r="H15" s="56">
        <v>-0.49</v>
      </c>
      <c r="I15" s="54"/>
    </row>
    <row r="16" spans="1:9" ht="16.75" customHeight="1">
      <c r="A16" s="54" t="s">
        <v>693</v>
      </c>
      <c r="B16" s="54"/>
      <c r="C16" s="52">
        <v>45216.08</v>
      </c>
      <c r="D16" s="52">
        <v>45216.08</v>
      </c>
      <c r="E16" s="54"/>
      <c r="F16" s="54"/>
      <c r="G16" s="52">
        <v>10808</v>
      </c>
      <c r="H16" s="52">
        <v>10808</v>
      </c>
      <c r="I16" s="54"/>
    </row>
    <row r="17" spans="1:10" ht="16.75" customHeight="1">
      <c r="A17" s="54" t="s">
        <v>692</v>
      </c>
      <c r="B17" s="52">
        <v>208185.94</v>
      </c>
      <c r="C17" s="52">
        <v>254886.61</v>
      </c>
      <c r="D17" s="52">
        <v>463072.55</v>
      </c>
      <c r="E17" s="54"/>
      <c r="F17" s="52">
        <v>0</v>
      </c>
      <c r="G17" s="52">
        <v>8817</v>
      </c>
      <c r="H17" s="52">
        <v>8817</v>
      </c>
      <c r="I17" s="54"/>
    </row>
    <row r="18" spans="1:10" ht="16.75" customHeight="1">
      <c r="A18" s="54" t="s">
        <v>691</v>
      </c>
      <c r="B18" s="52">
        <v>-208185.94</v>
      </c>
      <c r="C18" s="52">
        <v>205220.8</v>
      </c>
      <c r="D18" s="52">
        <v>-2965.14</v>
      </c>
      <c r="E18" s="54"/>
      <c r="F18" s="52">
        <v>0</v>
      </c>
      <c r="G18" s="52">
        <v>0</v>
      </c>
      <c r="H18" s="52">
        <v>0</v>
      </c>
      <c r="I18" s="54"/>
    </row>
    <row r="19" spans="1:10" ht="16.75" customHeight="1">
      <c r="A19" s="54" t="s">
        <v>690</v>
      </c>
      <c r="B19" s="54"/>
      <c r="C19" s="52">
        <v>381205.42</v>
      </c>
      <c r="D19" s="52">
        <v>381205.42</v>
      </c>
      <c r="E19" s="54"/>
      <c r="F19" s="54"/>
      <c r="G19" s="52">
        <v>0</v>
      </c>
      <c r="H19" s="52">
        <v>0</v>
      </c>
      <c r="I19" s="54"/>
    </row>
    <row r="20" spans="1:10" ht="16.75" customHeight="1">
      <c r="A20" s="54" t="s">
        <v>689</v>
      </c>
      <c r="B20" s="52">
        <v>904633.86</v>
      </c>
      <c r="C20" s="52">
        <v>745497.04</v>
      </c>
      <c r="D20" s="52">
        <v>1650130.9</v>
      </c>
      <c r="E20" s="54"/>
      <c r="F20" s="52">
        <v>30760.2</v>
      </c>
      <c r="G20" s="52">
        <v>7556</v>
      </c>
      <c r="H20" s="52">
        <v>38316.199999999997</v>
      </c>
      <c r="I20" s="54"/>
    </row>
    <row r="21" spans="1:10" ht="16.75" customHeight="1">
      <c r="A21" s="54" t="s">
        <v>688</v>
      </c>
      <c r="B21" s="52">
        <v>-904633.86</v>
      </c>
      <c r="C21" s="52">
        <v>904633.86</v>
      </c>
      <c r="D21" s="52">
        <v>0</v>
      </c>
      <c r="E21" s="54"/>
      <c r="F21" s="52">
        <v>-30760.2</v>
      </c>
      <c r="G21" s="52">
        <v>30751</v>
      </c>
      <c r="H21" s="52">
        <v>-9.1999999999999993</v>
      </c>
      <c r="I21" s="54"/>
    </row>
    <row r="22" spans="1:10" ht="16.75" customHeight="1">
      <c r="A22" s="54" t="s">
        <v>687</v>
      </c>
      <c r="B22" s="54"/>
      <c r="C22" s="52">
        <v>259374.15</v>
      </c>
      <c r="D22" s="52">
        <v>259374.15</v>
      </c>
      <c r="E22" s="54"/>
      <c r="F22" s="54"/>
      <c r="G22" s="52">
        <v>1737</v>
      </c>
      <c r="H22" s="52">
        <v>1737</v>
      </c>
      <c r="I22" s="54"/>
    </row>
    <row r="23" spans="1:10" ht="16.75" customHeight="1">
      <c r="A23" s="54" t="s">
        <v>686</v>
      </c>
      <c r="B23" s="52">
        <v>11508489.24</v>
      </c>
      <c r="C23" s="52">
        <v>0</v>
      </c>
      <c r="D23" s="52">
        <v>11508489.24</v>
      </c>
      <c r="E23" s="54" t="s">
        <v>701</v>
      </c>
      <c r="F23" s="52">
        <v>39750.25</v>
      </c>
      <c r="G23" s="52">
        <v>63782</v>
      </c>
      <c r="H23" s="52">
        <v>103532.25</v>
      </c>
      <c r="I23" s="54"/>
    </row>
    <row r="24" spans="1:10" ht="16.75" customHeight="1">
      <c r="A24" s="54" t="s">
        <v>685</v>
      </c>
      <c r="B24" s="52">
        <v>-11508489.24</v>
      </c>
      <c r="C24" s="52">
        <v>11519695.470000001</v>
      </c>
      <c r="D24" s="52">
        <v>11206.23</v>
      </c>
      <c r="E24" s="54" t="s">
        <v>701</v>
      </c>
      <c r="F24" s="52">
        <v>-39750.25</v>
      </c>
      <c r="G24" s="52">
        <v>39750</v>
      </c>
      <c r="H24" s="52">
        <v>-0.25</v>
      </c>
      <c r="I24" s="54"/>
    </row>
    <row r="25" spans="1:10" ht="16.75" customHeight="1">
      <c r="A25" s="54" t="s">
        <v>684</v>
      </c>
      <c r="B25" s="54"/>
      <c r="C25" s="52">
        <v>38213.269999999997</v>
      </c>
      <c r="D25" s="52">
        <v>38213.269999999997</v>
      </c>
      <c r="E25" s="54"/>
      <c r="F25" s="54"/>
      <c r="G25" s="52">
        <v>10292</v>
      </c>
      <c r="H25" s="52">
        <v>10292</v>
      </c>
      <c r="I25" s="54"/>
    </row>
    <row r="26" spans="1:10" ht="16.75" customHeight="1">
      <c r="A26" s="54" t="s">
        <v>683</v>
      </c>
      <c r="B26" s="89">
        <v>88848.79</v>
      </c>
      <c r="C26" s="89">
        <v>277294.2</v>
      </c>
      <c r="D26" s="89">
        <v>366142.99</v>
      </c>
      <c r="E26" s="54"/>
      <c r="F26" s="89">
        <v>3390.14</v>
      </c>
      <c r="G26" s="89">
        <v>0</v>
      </c>
      <c r="H26" s="89">
        <v>3390.14</v>
      </c>
      <c r="I26" s="54"/>
    </row>
    <row r="27" spans="1:10" ht="16.75" customHeight="1" thickBot="1">
      <c r="A27" s="54" t="s">
        <v>158</v>
      </c>
      <c r="B27" s="105">
        <f>SUM(B15:B26)</f>
        <v>88848.79</v>
      </c>
      <c r="C27" s="105">
        <f>SUM(C15:C26)</f>
        <v>14631236.899999999</v>
      </c>
      <c r="D27" s="105">
        <f>SUM(D15:D26)</f>
        <v>14720085.689999999</v>
      </c>
      <c r="E27" s="54"/>
      <c r="F27" s="105">
        <f>SUM(F15:F26)</f>
        <v>-23195.350000000002</v>
      </c>
      <c r="G27" s="105">
        <f>SUM(G15:G26)</f>
        <v>200078</v>
      </c>
      <c r="H27" s="105">
        <f>SUM(H15:H26)</f>
        <v>176882.65000000002</v>
      </c>
      <c r="I27" s="54"/>
    </row>
    <row r="28" spans="1:10" ht="15" customHeight="1" thickTop="1">
      <c r="A28" s="54"/>
      <c r="B28" s="196"/>
      <c r="C28" s="196"/>
      <c r="D28" s="196"/>
      <c r="E28" s="54"/>
      <c r="F28" s="63"/>
      <c r="G28" s="63"/>
      <c r="H28" s="63"/>
      <c r="I28" s="54"/>
    </row>
    <row r="29" spans="1:10" ht="15" customHeight="1">
      <c r="A29" s="54"/>
      <c r="B29" s="65"/>
      <c r="C29" s="65"/>
      <c r="D29" s="65"/>
      <c r="E29" s="54"/>
      <c r="F29" s="54"/>
      <c r="G29" s="54"/>
      <c r="H29" s="54"/>
      <c r="I29" s="54"/>
      <c r="J29" s="54"/>
    </row>
    <row r="30" spans="1:10" ht="16.75" customHeight="1">
      <c r="A30" s="134"/>
      <c r="B30" s="815" t="s">
        <v>699</v>
      </c>
      <c r="C30" s="816"/>
      <c r="D30" s="817"/>
      <c r="E30" s="59"/>
      <c r="F30" s="54"/>
      <c r="G30" s="54"/>
      <c r="H30" s="54"/>
      <c r="I30" s="54"/>
    </row>
    <row r="31" spans="1:10" ht="16.75" customHeight="1">
      <c r="A31" s="195"/>
      <c r="B31" s="734" t="s">
        <v>700</v>
      </c>
      <c r="C31" s="734"/>
      <c r="D31" s="734"/>
      <c r="E31" s="59"/>
      <c r="F31" s="54"/>
      <c r="G31" s="54"/>
      <c r="H31" s="54"/>
      <c r="I31" s="54"/>
    </row>
    <row r="32" spans="1:10" ht="27.65" customHeight="1">
      <c r="A32" s="120" t="s">
        <v>697</v>
      </c>
      <c r="B32" s="67" t="s">
        <v>696</v>
      </c>
      <c r="C32" s="67" t="s">
        <v>695</v>
      </c>
      <c r="D32" s="67" t="s">
        <v>158</v>
      </c>
      <c r="E32" s="59"/>
      <c r="F32" s="54"/>
      <c r="G32" s="54"/>
      <c r="H32" s="54"/>
      <c r="I32" s="54"/>
    </row>
    <row r="33" spans="1:9" ht="16.75" customHeight="1">
      <c r="A33" s="58" t="s">
        <v>694</v>
      </c>
      <c r="B33" s="56">
        <v>-36584.03</v>
      </c>
      <c r="C33" s="56">
        <v>36239</v>
      </c>
      <c r="D33" s="56">
        <v>-345.03</v>
      </c>
      <c r="E33" s="54"/>
      <c r="F33" s="54"/>
      <c r="G33" s="54"/>
      <c r="H33" s="54"/>
      <c r="I33" s="54"/>
    </row>
    <row r="34" spans="1:9" ht="16.75" customHeight="1">
      <c r="A34" s="54" t="s">
        <v>693</v>
      </c>
      <c r="B34" s="54"/>
      <c r="C34" s="52">
        <v>2924</v>
      </c>
      <c r="D34" s="52">
        <v>2924</v>
      </c>
      <c r="E34" s="54"/>
      <c r="F34" s="54"/>
      <c r="G34" s="54"/>
      <c r="H34" s="54"/>
      <c r="I34" s="54"/>
    </row>
    <row r="35" spans="1:9" ht="16.75" customHeight="1">
      <c r="A35" s="54" t="s">
        <v>692</v>
      </c>
      <c r="B35" s="52">
        <v>0</v>
      </c>
      <c r="C35" s="52">
        <v>27541</v>
      </c>
      <c r="D35" s="52">
        <v>27541</v>
      </c>
      <c r="E35" s="54"/>
      <c r="F35" s="54"/>
      <c r="G35" s="54"/>
      <c r="H35" s="54"/>
      <c r="I35" s="54"/>
    </row>
    <row r="36" spans="1:9" ht="16.75" customHeight="1">
      <c r="A36" s="54" t="s">
        <v>691</v>
      </c>
      <c r="B36" s="52">
        <v>0</v>
      </c>
      <c r="C36" s="52">
        <v>0</v>
      </c>
      <c r="D36" s="52">
        <v>0</v>
      </c>
      <c r="E36" s="54"/>
      <c r="F36" s="54"/>
      <c r="G36" s="54"/>
      <c r="H36" s="54"/>
      <c r="I36" s="54"/>
    </row>
    <row r="37" spans="1:9" ht="16.75" customHeight="1">
      <c r="A37" s="54" t="s">
        <v>690</v>
      </c>
      <c r="B37" s="54"/>
      <c r="C37" s="52">
        <v>1355</v>
      </c>
      <c r="D37" s="52">
        <v>1355</v>
      </c>
      <c r="E37" s="54"/>
      <c r="F37" s="54"/>
      <c r="G37" s="54"/>
      <c r="H37" s="54"/>
      <c r="I37" s="54"/>
    </row>
    <row r="38" spans="1:9" ht="16.75" customHeight="1">
      <c r="A38" s="54" t="s">
        <v>689</v>
      </c>
      <c r="B38" s="52">
        <v>194378.85</v>
      </c>
      <c r="C38" s="52">
        <v>322570</v>
      </c>
      <c r="D38" s="52">
        <v>516948.85</v>
      </c>
      <c r="E38" s="54"/>
      <c r="F38" s="54"/>
      <c r="G38" s="54"/>
      <c r="H38" s="54"/>
      <c r="I38" s="54"/>
    </row>
    <row r="39" spans="1:9" ht="16.75" customHeight="1">
      <c r="A39" s="54" t="s">
        <v>688</v>
      </c>
      <c r="B39" s="52">
        <v>-194378.85</v>
      </c>
      <c r="C39" s="52">
        <v>32806</v>
      </c>
      <c r="D39" s="52">
        <v>-161572.85</v>
      </c>
      <c r="E39" s="54"/>
      <c r="F39" s="54"/>
      <c r="G39" s="54"/>
      <c r="H39" s="54"/>
      <c r="I39" s="54"/>
    </row>
    <row r="40" spans="1:9" ht="16.75" customHeight="1">
      <c r="A40" s="54" t="s">
        <v>687</v>
      </c>
      <c r="B40" s="54"/>
      <c r="C40" s="52">
        <v>29766</v>
      </c>
      <c r="D40" s="52">
        <v>29766</v>
      </c>
      <c r="E40" s="54"/>
      <c r="F40" s="54"/>
      <c r="G40" s="54"/>
      <c r="H40" s="54"/>
      <c r="I40" s="54"/>
    </row>
    <row r="41" spans="1:9" ht="16.75" customHeight="1">
      <c r="A41" s="54" t="s">
        <v>686</v>
      </c>
      <c r="B41" s="52">
        <v>79577.98</v>
      </c>
      <c r="C41" s="52">
        <v>443748</v>
      </c>
      <c r="D41" s="52">
        <v>523325.98</v>
      </c>
      <c r="E41" s="54"/>
      <c r="F41" s="54"/>
      <c r="G41" s="54"/>
      <c r="H41" s="54"/>
      <c r="I41" s="54"/>
    </row>
    <row r="42" spans="1:9" ht="16.75" customHeight="1">
      <c r="A42" s="54" t="s">
        <v>685</v>
      </c>
      <c r="B42" s="52">
        <v>-79577.98</v>
      </c>
      <c r="C42" s="52">
        <v>79578</v>
      </c>
      <c r="D42" s="52">
        <v>0.02</v>
      </c>
      <c r="E42" s="54"/>
      <c r="F42" s="54"/>
      <c r="G42" s="54"/>
      <c r="H42" s="54"/>
      <c r="I42" s="54"/>
    </row>
    <row r="43" spans="1:9" ht="16.75" customHeight="1">
      <c r="A43" s="54" t="s">
        <v>684</v>
      </c>
      <c r="B43" s="54"/>
      <c r="C43" s="52">
        <v>665115</v>
      </c>
      <c r="D43" s="52">
        <v>665115</v>
      </c>
      <c r="E43" s="54"/>
      <c r="F43" s="54"/>
      <c r="G43" s="54"/>
      <c r="H43" s="54"/>
      <c r="I43" s="54"/>
    </row>
    <row r="44" spans="1:9" ht="16.75" customHeight="1">
      <c r="A44" s="54" t="s">
        <v>683</v>
      </c>
      <c r="B44" s="89">
        <v>0</v>
      </c>
      <c r="C44" s="89">
        <v>51226</v>
      </c>
      <c r="D44" s="89">
        <v>51226</v>
      </c>
      <c r="E44" s="54"/>
      <c r="F44" s="54"/>
      <c r="G44" s="54"/>
      <c r="H44" s="54"/>
      <c r="I44" s="54"/>
    </row>
    <row r="45" spans="1:9" ht="16.75" customHeight="1" thickBot="1">
      <c r="A45" s="54" t="s">
        <v>158</v>
      </c>
      <c r="B45" s="105">
        <f>SUM(B33:B44)</f>
        <v>-36584.03</v>
      </c>
      <c r="C45" s="105">
        <f>SUM(C33:C44)</f>
        <v>1692868</v>
      </c>
      <c r="D45" s="105">
        <f>SUM(D33:D44)</f>
        <v>1656283.97</v>
      </c>
      <c r="E45" s="54"/>
      <c r="F45" s="54"/>
      <c r="G45" s="54"/>
      <c r="H45" s="54"/>
      <c r="I45" s="54"/>
    </row>
    <row r="46" spans="1:9" ht="15" customHeight="1" thickTop="1">
      <c r="A46" s="54"/>
      <c r="B46" s="63"/>
      <c r="C46" s="63"/>
      <c r="D46" s="63"/>
      <c r="E46" s="54"/>
      <c r="F46" s="54"/>
      <c r="G46" s="54"/>
      <c r="H46" s="54"/>
      <c r="I46" s="54"/>
    </row>
    <row r="47" spans="1:9" ht="15" customHeight="1">
      <c r="A47" s="40"/>
      <c r="B47" s="116"/>
      <c r="C47" s="116"/>
      <c r="D47" s="116"/>
      <c r="E47" s="54"/>
      <c r="F47" s="54"/>
      <c r="G47" s="54"/>
      <c r="H47" s="54"/>
      <c r="I47" s="54"/>
    </row>
    <row r="48" spans="1:9" ht="16.75" customHeight="1">
      <c r="A48" s="134"/>
      <c r="B48" s="815" t="s">
        <v>699</v>
      </c>
      <c r="C48" s="816"/>
      <c r="D48" s="817"/>
      <c r="E48" s="59"/>
      <c r="F48" s="54"/>
      <c r="G48" s="54"/>
      <c r="H48" s="54"/>
      <c r="I48" s="54"/>
    </row>
    <row r="49" spans="1:9" ht="16.75" customHeight="1">
      <c r="A49" s="195"/>
      <c r="B49" s="734" t="s">
        <v>698</v>
      </c>
      <c r="C49" s="734"/>
      <c r="D49" s="734"/>
      <c r="E49" s="59"/>
      <c r="F49" s="54"/>
      <c r="G49" s="54"/>
      <c r="H49" s="54"/>
      <c r="I49" s="54"/>
    </row>
    <row r="50" spans="1:9" ht="27.65" customHeight="1">
      <c r="A50" s="67" t="s">
        <v>697</v>
      </c>
      <c r="B50" s="67" t="s">
        <v>696</v>
      </c>
      <c r="C50" s="67" t="s">
        <v>695</v>
      </c>
      <c r="D50" s="67" t="s">
        <v>158</v>
      </c>
      <c r="E50" s="59"/>
      <c r="F50" s="54"/>
      <c r="G50" s="54"/>
      <c r="H50" s="54"/>
      <c r="I50" s="54"/>
    </row>
    <row r="51" spans="1:9" ht="16.75" customHeight="1">
      <c r="A51" s="58" t="s">
        <v>694</v>
      </c>
      <c r="B51" s="56">
        <v>-3390.14</v>
      </c>
      <c r="C51" s="56">
        <v>3391</v>
      </c>
      <c r="D51" s="56">
        <v>0.86</v>
      </c>
      <c r="E51" s="54"/>
      <c r="F51" s="54"/>
      <c r="G51" s="54"/>
      <c r="H51" s="54"/>
      <c r="I51" s="54"/>
    </row>
    <row r="52" spans="1:9" ht="16.75" customHeight="1">
      <c r="A52" s="54" t="s">
        <v>693</v>
      </c>
      <c r="B52" s="54"/>
      <c r="C52" s="52">
        <v>221</v>
      </c>
      <c r="D52" s="52">
        <v>221</v>
      </c>
      <c r="E52" s="54"/>
      <c r="F52" s="54"/>
      <c r="G52" s="54"/>
      <c r="H52" s="54"/>
      <c r="I52" s="54"/>
    </row>
    <row r="53" spans="1:9" ht="16.75" customHeight="1">
      <c r="A53" s="54" t="s">
        <v>692</v>
      </c>
      <c r="B53" s="52">
        <v>20915.86</v>
      </c>
      <c r="C53" s="52">
        <v>253</v>
      </c>
      <c r="D53" s="52">
        <v>21168.86</v>
      </c>
      <c r="E53" s="54"/>
      <c r="F53" s="54"/>
      <c r="G53" s="54"/>
      <c r="H53" s="54"/>
      <c r="I53" s="54"/>
    </row>
    <row r="54" spans="1:9" ht="16.75" customHeight="1">
      <c r="A54" s="54" t="s">
        <v>691</v>
      </c>
      <c r="B54" s="52">
        <v>-20915.86</v>
      </c>
      <c r="C54" s="52">
        <v>6500</v>
      </c>
      <c r="D54" s="52">
        <v>-14415.86</v>
      </c>
      <c r="E54" s="54"/>
      <c r="F54" s="54"/>
      <c r="G54" s="54"/>
      <c r="H54" s="54"/>
      <c r="I54" s="54"/>
    </row>
    <row r="55" spans="1:9" ht="16.75" customHeight="1">
      <c r="A55" s="54" t="s">
        <v>690</v>
      </c>
      <c r="B55" s="54"/>
      <c r="C55" s="52">
        <v>11031</v>
      </c>
      <c r="D55" s="52">
        <v>11031</v>
      </c>
      <c r="E55" s="54"/>
      <c r="F55" s="54"/>
      <c r="G55" s="54"/>
      <c r="H55" s="54"/>
      <c r="I55" s="54"/>
    </row>
    <row r="56" spans="1:9" ht="16.75" customHeight="1">
      <c r="A56" s="54" t="s">
        <v>689</v>
      </c>
      <c r="B56" s="52">
        <v>1949.39</v>
      </c>
      <c r="C56" s="52">
        <v>13064</v>
      </c>
      <c r="D56" s="52">
        <v>15013.39</v>
      </c>
      <c r="E56" s="54"/>
      <c r="F56" s="54"/>
      <c r="G56" s="54"/>
      <c r="H56" s="54"/>
      <c r="I56" s="54"/>
    </row>
    <row r="57" spans="1:9" ht="16.75" customHeight="1">
      <c r="A57" s="54" t="s">
        <v>688</v>
      </c>
      <c r="B57" s="52">
        <v>-1949.39</v>
      </c>
      <c r="C57" s="52">
        <v>1947</v>
      </c>
      <c r="D57" s="52">
        <v>-2.39</v>
      </c>
      <c r="E57" s="54"/>
      <c r="F57" s="54"/>
      <c r="G57" s="54"/>
      <c r="H57" s="54"/>
      <c r="I57" s="54"/>
    </row>
    <row r="58" spans="1:9" ht="16.75" customHeight="1">
      <c r="A58" s="54" t="s">
        <v>687</v>
      </c>
      <c r="B58" s="54"/>
      <c r="C58" s="52">
        <v>0</v>
      </c>
      <c r="D58" s="52">
        <v>0</v>
      </c>
      <c r="E58" s="54"/>
      <c r="F58" s="54"/>
      <c r="G58" s="54"/>
      <c r="H58" s="54"/>
      <c r="I58" s="54"/>
    </row>
    <row r="59" spans="1:9" ht="16.75" customHeight="1">
      <c r="A59" s="54" t="s">
        <v>686</v>
      </c>
      <c r="B59" s="52">
        <v>5193.26</v>
      </c>
      <c r="C59" s="52">
        <v>18169</v>
      </c>
      <c r="D59" s="52">
        <v>23362.26</v>
      </c>
      <c r="E59" s="54"/>
      <c r="F59" s="54"/>
      <c r="G59" s="54"/>
      <c r="H59" s="54"/>
      <c r="I59" s="54"/>
    </row>
    <row r="60" spans="1:9" ht="16.75" customHeight="1">
      <c r="A60" s="54" t="s">
        <v>685</v>
      </c>
      <c r="B60" s="52">
        <v>-5193.26</v>
      </c>
      <c r="C60" s="52">
        <v>5193</v>
      </c>
      <c r="D60" s="52">
        <v>-0.26</v>
      </c>
      <c r="E60" s="54"/>
      <c r="F60" s="54"/>
      <c r="G60" s="54"/>
      <c r="H60" s="54"/>
      <c r="I60" s="54"/>
    </row>
    <row r="61" spans="1:9" ht="16.75" customHeight="1">
      <c r="A61" s="54" t="s">
        <v>684</v>
      </c>
      <c r="B61" s="54"/>
      <c r="C61" s="52">
        <v>0</v>
      </c>
      <c r="D61" s="52">
        <v>0</v>
      </c>
      <c r="E61" s="54"/>
      <c r="F61" s="54"/>
      <c r="G61" s="54"/>
      <c r="H61" s="54"/>
      <c r="I61" s="54"/>
    </row>
    <row r="62" spans="1:9" ht="16.75" customHeight="1">
      <c r="A62" s="54" t="s">
        <v>683</v>
      </c>
      <c r="B62" s="89">
        <v>36584.03</v>
      </c>
      <c r="C62" s="89">
        <v>6171</v>
      </c>
      <c r="D62" s="89">
        <v>42755.03</v>
      </c>
      <c r="E62" s="54"/>
      <c r="F62" s="54"/>
      <c r="G62" s="54"/>
      <c r="H62" s="54"/>
      <c r="I62" s="54"/>
    </row>
    <row r="63" spans="1:9" ht="16.75" customHeight="1" thickBot="1">
      <c r="A63" s="54" t="s">
        <v>158</v>
      </c>
      <c r="B63" s="105">
        <f>SUM(B51:B62)</f>
        <v>33193.89</v>
      </c>
      <c r="C63" s="105">
        <f>SUM(C51:C62)</f>
        <v>65940</v>
      </c>
      <c r="D63" s="105">
        <f>SUM(D51:D62)</f>
        <v>99133.889999999985</v>
      </c>
      <c r="E63" s="54"/>
      <c r="F63" s="54"/>
      <c r="G63" s="54"/>
      <c r="H63" s="54"/>
      <c r="I63" s="54"/>
    </row>
    <row r="64" spans="1:9" ht="16.75" customHeight="1" thickTop="1">
      <c r="B64" s="63"/>
      <c r="C64" s="63"/>
      <c r="D64" s="63"/>
    </row>
    <row r="65" spans="1:4" ht="16.75" customHeight="1">
      <c r="A65" s="797" t="s">
        <v>682</v>
      </c>
      <c r="B65" s="709"/>
      <c r="C65" s="797"/>
      <c r="D65" s="52">
        <f>D23+D24</f>
        <v>11519695.470000001</v>
      </c>
    </row>
    <row r="66" spans="1:4" ht="16.75" customHeight="1">
      <c r="A66" s="797" t="s">
        <v>681</v>
      </c>
      <c r="B66" s="709"/>
      <c r="C66" s="797"/>
      <c r="D66" s="52">
        <f>D27-D65</f>
        <v>3200390.2199999988</v>
      </c>
    </row>
    <row r="67" spans="1:4" ht="16.75" customHeight="1"/>
    <row r="68" spans="1:4" ht="16.75" customHeight="1">
      <c r="A68" s="44" t="s">
        <v>2</v>
      </c>
      <c r="B68" s="44" t="s">
        <v>3</v>
      </c>
    </row>
  </sheetData>
  <mergeCells count="16">
    <mergeCell ref="A1:I1"/>
    <mergeCell ref="F12:H12"/>
    <mergeCell ref="F13:H13"/>
    <mergeCell ref="B12:D12"/>
    <mergeCell ref="B13:D13"/>
    <mergeCell ref="A7:B7"/>
    <mergeCell ref="A9:B9"/>
    <mergeCell ref="A4:I4"/>
    <mergeCell ref="A3:I3"/>
    <mergeCell ref="A2:I2"/>
    <mergeCell ref="A66:C66"/>
    <mergeCell ref="B31:D31"/>
    <mergeCell ref="B30:D30"/>
    <mergeCell ref="B48:D48"/>
    <mergeCell ref="B49:D49"/>
    <mergeCell ref="A65:C65"/>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BEF61-D89C-48E5-9ECE-50A649EFF221}">
  <dimension ref="A1:M67"/>
  <sheetViews>
    <sheetView showRuler="0" topLeftCell="E1" workbookViewId="0">
      <selection sqref="A1:I1"/>
    </sheetView>
  </sheetViews>
  <sheetFormatPr defaultColWidth="13.7265625" defaultRowHeight="12.5"/>
  <cols>
    <col min="1" max="2" width="24.81640625" style="41" customWidth="1"/>
    <col min="3" max="4" width="18.7265625" style="41" customWidth="1"/>
    <col min="5" max="5" width="2.81640625" style="41" customWidth="1"/>
    <col min="6" max="8" width="19.81640625" style="41" customWidth="1"/>
    <col min="9" max="9" width="4.1796875" style="41" customWidth="1"/>
    <col min="10" max="12" width="19.81640625" style="41" customWidth="1"/>
    <col min="13" max="16384" width="13.7265625" style="41"/>
  </cols>
  <sheetData>
    <row r="1" spans="1:13" ht="15" customHeight="1">
      <c r="A1" s="737" t="s">
        <v>0</v>
      </c>
      <c r="B1" s="737"/>
      <c r="C1" s="737"/>
      <c r="D1" s="737"/>
      <c r="E1" s="737"/>
      <c r="F1" s="737"/>
      <c r="G1" s="737"/>
      <c r="H1" s="737"/>
      <c r="I1" s="737"/>
      <c r="K1" s="54"/>
      <c r="L1" s="54"/>
    </row>
    <row r="2" spans="1:13" ht="15" customHeight="1">
      <c r="A2" s="818" t="s">
        <v>715</v>
      </c>
      <c r="B2" s="818"/>
      <c r="C2" s="818"/>
      <c r="D2" s="818"/>
      <c r="E2" s="818"/>
      <c r="F2" s="818"/>
      <c r="G2" s="818"/>
      <c r="H2" s="818"/>
      <c r="I2" s="818"/>
      <c r="K2" s="54"/>
      <c r="L2" s="54"/>
    </row>
    <row r="3" spans="1:13" ht="15" customHeight="1">
      <c r="A3" s="737" t="s">
        <v>706</v>
      </c>
      <c r="B3" s="737"/>
      <c r="C3" s="737"/>
      <c r="D3" s="737"/>
      <c r="E3" s="737"/>
      <c r="F3" s="737"/>
      <c r="G3" s="737"/>
      <c r="H3" s="737"/>
      <c r="I3" s="737"/>
      <c r="K3" s="54"/>
      <c r="L3" s="54"/>
    </row>
    <row r="4" spans="1:13" ht="15" customHeight="1">
      <c r="A4" s="737" t="s">
        <v>352</v>
      </c>
      <c r="B4" s="737"/>
      <c r="C4" s="737"/>
      <c r="D4" s="737"/>
      <c r="E4" s="737"/>
      <c r="F4" s="737"/>
      <c r="G4" s="737"/>
      <c r="H4" s="737"/>
      <c r="I4" s="737"/>
      <c r="K4" s="54"/>
      <c r="L4" s="54"/>
    </row>
    <row r="5" spans="1:13" ht="15" customHeight="1"/>
    <row r="6" spans="1:13" ht="15" customHeight="1">
      <c r="A6" s="797" t="s">
        <v>714</v>
      </c>
      <c r="B6" s="709"/>
      <c r="C6" s="77">
        <f>D27+D45+D63</f>
        <v>16475503.550000001</v>
      </c>
      <c r="F6" s="54"/>
    </row>
    <row r="7" spans="1:13" ht="27.65" customHeight="1">
      <c r="A7" s="797" t="s">
        <v>713</v>
      </c>
      <c r="B7" s="797"/>
      <c r="C7" s="52">
        <f>-(D23+D24)</f>
        <v>-11519695.470000001</v>
      </c>
      <c r="F7" s="54"/>
      <c r="G7" s="54"/>
    </row>
    <row r="8" spans="1:13" ht="39.25" customHeight="1">
      <c r="A8" s="797" t="s">
        <v>712</v>
      </c>
      <c r="B8" s="797"/>
      <c r="C8" s="89">
        <f>-(((H27/12)*26.5)+((L27/12)*9.5))</f>
        <v>-935753.45750000002</v>
      </c>
      <c r="F8" s="54"/>
      <c r="G8" s="54"/>
    </row>
    <row r="9" spans="1:13" ht="27.65" customHeight="1" thickBot="1">
      <c r="A9" s="797" t="s">
        <v>711</v>
      </c>
      <c r="B9" s="797"/>
      <c r="C9" s="73">
        <f>SUM(C6:C8)</f>
        <v>4020054.6225000001</v>
      </c>
      <c r="D9" s="54"/>
      <c r="F9" s="54"/>
      <c r="G9" s="54"/>
      <c r="J9" s="54"/>
    </row>
    <row r="10" spans="1:13" ht="15" customHeight="1" thickTop="1">
      <c r="C10" s="63"/>
    </row>
    <row r="11" spans="1:13" ht="15" customHeight="1">
      <c r="A11" s="54"/>
      <c r="B11" s="65"/>
      <c r="C11" s="65"/>
      <c r="D11" s="65"/>
      <c r="E11" s="137"/>
      <c r="F11" s="734" t="s">
        <v>710</v>
      </c>
      <c r="G11" s="734"/>
      <c r="H11" s="734"/>
      <c r="I11" s="197"/>
      <c r="J11" s="821" t="s">
        <v>709</v>
      </c>
      <c r="K11" s="822"/>
      <c r="L11" s="823"/>
      <c r="M11" s="59"/>
    </row>
    <row r="12" spans="1:13" ht="16.75" customHeight="1">
      <c r="A12" s="134"/>
      <c r="B12" s="815" t="s">
        <v>699</v>
      </c>
      <c r="C12" s="816"/>
      <c r="D12" s="817"/>
      <c r="E12" s="197"/>
      <c r="F12" s="815" t="s">
        <v>699</v>
      </c>
      <c r="G12" s="816"/>
      <c r="H12" s="817"/>
      <c r="I12" s="199"/>
      <c r="J12" s="815" t="s">
        <v>699</v>
      </c>
      <c r="K12" s="816"/>
      <c r="L12" s="817"/>
      <c r="M12" s="59"/>
    </row>
    <row r="13" spans="1:13" ht="16.75" customHeight="1">
      <c r="A13" s="195"/>
      <c r="B13" s="815" t="s">
        <v>703</v>
      </c>
      <c r="C13" s="819"/>
      <c r="D13" s="820"/>
      <c r="E13" s="197"/>
      <c r="F13" s="815" t="s">
        <v>702</v>
      </c>
      <c r="G13" s="819"/>
      <c r="H13" s="820"/>
      <c r="I13" s="199"/>
      <c r="J13" s="815" t="s">
        <v>708</v>
      </c>
      <c r="K13" s="819"/>
      <c r="L13" s="820"/>
      <c r="M13" s="59"/>
    </row>
    <row r="14" spans="1:13" ht="27.65" customHeight="1">
      <c r="A14" s="120" t="s">
        <v>697</v>
      </c>
      <c r="B14" s="67" t="s">
        <v>696</v>
      </c>
      <c r="C14" s="67" t="s">
        <v>695</v>
      </c>
      <c r="D14" s="67" t="s">
        <v>158</v>
      </c>
      <c r="E14" s="197"/>
      <c r="F14" s="67" t="s">
        <v>696</v>
      </c>
      <c r="G14" s="67" t="s">
        <v>695</v>
      </c>
      <c r="H14" s="67" t="s">
        <v>158</v>
      </c>
      <c r="I14" s="199"/>
      <c r="J14" s="67" t="s">
        <v>696</v>
      </c>
      <c r="K14" s="67" t="s">
        <v>695</v>
      </c>
      <c r="L14" s="67" t="s">
        <v>158</v>
      </c>
      <c r="M14" s="59"/>
    </row>
    <row r="15" spans="1:13" ht="16.75" customHeight="1">
      <c r="A15" s="58" t="s">
        <v>694</v>
      </c>
      <c r="B15" s="56">
        <v>0</v>
      </c>
      <c r="C15" s="56">
        <v>0</v>
      </c>
      <c r="D15" s="56">
        <v>0</v>
      </c>
      <c r="E15" s="54"/>
      <c r="F15" s="56">
        <v>-26585.49</v>
      </c>
      <c r="G15" s="56">
        <v>26585</v>
      </c>
      <c r="H15" s="56">
        <v>-0.49</v>
      </c>
      <c r="I15" s="54"/>
      <c r="J15" s="56">
        <v>-115957.47</v>
      </c>
      <c r="K15" s="56">
        <v>116163</v>
      </c>
      <c r="L15" s="56">
        <f>J15+K15</f>
        <v>205.52999999999884</v>
      </c>
      <c r="M15" s="54"/>
    </row>
    <row r="16" spans="1:13" ht="16.75" customHeight="1">
      <c r="A16" s="54" t="s">
        <v>693</v>
      </c>
      <c r="B16" s="54"/>
      <c r="C16" s="52">
        <v>45216.08</v>
      </c>
      <c r="D16" s="52">
        <v>45216.08</v>
      </c>
      <c r="E16" s="54"/>
      <c r="F16" s="54"/>
      <c r="G16" s="52">
        <v>10808</v>
      </c>
      <c r="H16" s="52">
        <v>10808</v>
      </c>
      <c r="I16" s="54"/>
      <c r="J16" s="54"/>
      <c r="K16" s="52">
        <v>261519.99</v>
      </c>
      <c r="L16" s="52">
        <v>261519.99</v>
      </c>
      <c r="M16" s="54"/>
    </row>
    <row r="17" spans="1:13" ht="16.75" customHeight="1">
      <c r="A17" s="54" t="s">
        <v>692</v>
      </c>
      <c r="B17" s="52">
        <v>208185.94</v>
      </c>
      <c r="C17" s="52">
        <v>254886.61</v>
      </c>
      <c r="D17" s="52">
        <v>463072.55</v>
      </c>
      <c r="E17" s="54"/>
      <c r="F17" s="52">
        <v>0</v>
      </c>
      <c r="G17" s="52">
        <v>8817</v>
      </c>
      <c r="H17" s="52">
        <v>8817</v>
      </c>
      <c r="I17" s="54"/>
      <c r="J17" s="52">
        <v>9031.3700000000008</v>
      </c>
      <c r="K17" s="52">
        <v>147634.32999999999</v>
      </c>
      <c r="L17" s="52">
        <v>156665.70000000001</v>
      </c>
      <c r="M17" s="54"/>
    </row>
    <row r="18" spans="1:13" ht="16.75" customHeight="1">
      <c r="A18" s="54" t="s">
        <v>691</v>
      </c>
      <c r="B18" s="52">
        <v>-208185.94</v>
      </c>
      <c r="C18" s="52">
        <v>205220.8</v>
      </c>
      <c r="D18" s="52">
        <v>-2965.14</v>
      </c>
      <c r="E18" s="54"/>
      <c r="F18" s="52">
        <v>0</v>
      </c>
      <c r="G18" s="52">
        <v>0</v>
      </c>
      <c r="H18" s="52">
        <v>0</v>
      </c>
      <c r="I18" s="54"/>
      <c r="J18" s="52">
        <v>-214353.37</v>
      </c>
      <c r="K18" s="52">
        <v>9031.3700000000008</v>
      </c>
      <c r="L18" s="52">
        <v>-205322</v>
      </c>
      <c r="M18" s="54"/>
    </row>
    <row r="19" spans="1:13" ht="16.75" customHeight="1">
      <c r="A19" s="54" t="s">
        <v>690</v>
      </c>
      <c r="B19" s="54"/>
      <c r="C19" s="52">
        <v>381205.42</v>
      </c>
      <c r="D19" s="52">
        <v>381205.42</v>
      </c>
      <c r="E19" s="54"/>
      <c r="F19" s="54"/>
      <c r="G19" s="52">
        <v>0</v>
      </c>
      <c r="H19" s="52">
        <v>0</v>
      </c>
      <c r="I19" s="54"/>
      <c r="J19" s="54"/>
      <c r="K19" s="52">
        <v>0</v>
      </c>
      <c r="L19" s="52">
        <v>0</v>
      </c>
      <c r="M19" s="54"/>
    </row>
    <row r="20" spans="1:13" ht="16.75" customHeight="1">
      <c r="A20" s="54" t="s">
        <v>689</v>
      </c>
      <c r="B20" s="52">
        <v>904633.86</v>
      </c>
      <c r="C20" s="52">
        <v>745497.04</v>
      </c>
      <c r="D20" s="52">
        <v>1650130.9</v>
      </c>
      <c r="E20" s="54"/>
      <c r="F20" s="52">
        <v>30760.2</v>
      </c>
      <c r="G20" s="52">
        <v>7556</v>
      </c>
      <c r="H20" s="52">
        <v>38316.199999999997</v>
      </c>
      <c r="I20" s="54"/>
      <c r="J20" s="52">
        <v>76376.86</v>
      </c>
      <c r="K20" s="52">
        <v>16702.45</v>
      </c>
      <c r="L20" s="52">
        <v>93079.31</v>
      </c>
      <c r="M20" s="54"/>
    </row>
    <row r="21" spans="1:13" ht="16.75" customHeight="1">
      <c r="A21" s="54" t="s">
        <v>688</v>
      </c>
      <c r="B21" s="52">
        <v>-904633.86</v>
      </c>
      <c r="C21" s="52">
        <v>904633.86</v>
      </c>
      <c r="D21" s="52">
        <v>0</v>
      </c>
      <c r="E21" s="54"/>
      <c r="F21" s="52">
        <v>-30760.2</v>
      </c>
      <c r="G21" s="52">
        <v>30751</v>
      </c>
      <c r="H21" s="52">
        <v>-9.1999999999999993</v>
      </c>
      <c r="I21" s="54"/>
      <c r="J21" s="52">
        <v>-76376.86</v>
      </c>
      <c r="K21" s="52">
        <v>75732.83</v>
      </c>
      <c r="L21" s="52">
        <v>-644.03</v>
      </c>
      <c r="M21" s="54"/>
    </row>
    <row r="22" spans="1:13" ht="16.75" customHeight="1">
      <c r="A22" s="54" t="s">
        <v>687</v>
      </c>
      <c r="B22" s="54"/>
      <c r="C22" s="52">
        <v>259374.15</v>
      </c>
      <c r="D22" s="52">
        <v>259374.15</v>
      </c>
      <c r="E22" s="54"/>
      <c r="F22" s="54"/>
      <c r="G22" s="52">
        <v>1737</v>
      </c>
      <c r="H22" s="52">
        <v>1737</v>
      </c>
      <c r="I22" s="54"/>
      <c r="J22" s="54"/>
      <c r="K22" s="52">
        <v>0</v>
      </c>
      <c r="L22" s="52">
        <v>0</v>
      </c>
      <c r="M22" s="54"/>
    </row>
    <row r="23" spans="1:13" ht="16.75" customHeight="1">
      <c r="A23" s="54" t="s">
        <v>686</v>
      </c>
      <c r="B23" s="52">
        <v>11508489.24</v>
      </c>
      <c r="C23" s="52">
        <v>0</v>
      </c>
      <c r="D23" s="52">
        <v>11508489.24</v>
      </c>
      <c r="E23" s="54" t="s">
        <v>701</v>
      </c>
      <c r="F23" s="52">
        <v>39750.25</v>
      </c>
      <c r="G23" s="52">
        <v>63782</v>
      </c>
      <c r="H23" s="52">
        <v>103532.25</v>
      </c>
      <c r="I23" s="54"/>
      <c r="J23" s="52">
        <v>2639.79</v>
      </c>
      <c r="K23" s="52">
        <v>18.739999999999998</v>
      </c>
      <c r="L23" s="52">
        <v>2658.53</v>
      </c>
      <c r="M23" s="54"/>
    </row>
    <row r="24" spans="1:13" ht="16.75" customHeight="1">
      <c r="A24" s="54" t="s">
        <v>685</v>
      </c>
      <c r="B24" s="52">
        <v>-11508489.24</v>
      </c>
      <c r="C24" s="52">
        <v>11519695.470000001</v>
      </c>
      <c r="D24" s="52">
        <v>11206.23</v>
      </c>
      <c r="E24" s="54" t="s">
        <v>701</v>
      </c>
      <c r="F24" s="52">
        <v>-39750.25</v>
      </c>
      <c r="G24" s="52">
        <v>39750</v>
      </c>
      <c r="H24" s="52">
        <v>-0.25</v>
      </c>
      <c r="I24" s="54"/>
      <c r="J24" s="52">
        <v>-2639.79</v>
      </c>
      <c r="K24" s="52">
        <v>2640.15</v>
      </c>
      <c r="L24" s="52">
        <v>0.36</v>
      </c>
      <c r="M24" s="54"/>
    </row>
    <row r="25" spans="1:13" ht="16.75" customHeight="1">
      <c r="A25" s="54" t="s">
        <v>684</v>
      </c>
      <c r="B25" s="54"/>
      <c r="C25" s="52">
        <v>38213.269999999997</v>
      </c>
      <c r="D25" s="52">
        <v>38213.269999999997</v>
      </c>
      <c r="E25" s="54"/>
      <c r="F25" s="54"/>
      <c r="G25" s="52">
        <v>10292</v>
      </c>
      <c r="H25" s="52">
        <v>10292</v>
      </c>
      <c r="I25" s="54"/>
      <c r="J25" s="54"/>
      <c r="K25" s="52">
        <v>6682.49</v>
      </c>
      <c r="L25" s="52">
        <v>6682.49</v>
      </c>
      <c r="M25" s="54"/>
    </row>
    <row r="26" spans="1:13" ht="16.75" customHeight="1">
      <c r="A26" s="54" t="s">
        <v>683</v>
      </c>
      <c r="B26" s="89">
        <v>88848.79</v>
      </c>
      <c r="C26" s="89">
        <v>277294.2</v>
      </c>
      <c r="D26" s="89">
        <v>366142.99</v>
      </c>
      <c r="E26" s="54"/>
      <c r="F26" s="89">
        <v>3390.14</v>
      </c>
      <c r="G26" s="89">
        <v>0</v>
      </c>
      <c r="H26" s="89">
        <v>3390.14</v>
      </c>
      <c r="I26" s="54"/>
      <c r="J26" s="89">
        <v>115957.47</v>
      </c>
      <c r="K26" s="89">
        <v>257791.52</v>
      </c>
      <c r="L26" s="89">
        <v>373748.99</v>
      </c>
      <c r="M26" s="54"/>
    </row>
    <row r="27" spans="1:13" ht="16.75" customHeight="1" thickBot="1">
      <c r="A27" s="54" t="s">
        <v>158</v>
      </c>
      <c r="B27" s="105">
        <f>SUM(B15:B26)</f>
        <v>88848.79</v>
      </c>
      <c r="C27" s="105">
        <f>SUM(C15:C26)</f>
        <v>14631236.899999999</v>
      </c>
      <c r="D27" s="105">
        <f>SUM(D15:D26)</f>
        <v>14720085.689999999</v>
      </c>
      <c r="E27" s="54"/>
      <c r="F27" s="105">
        <f>SUM(F15:F26)</f>
        <v>-23195.350000000002</v>
      </c>
      <c r="G27" s="105">
        <f>SUM(G15:G26)</f>
        <v>200078</v>
      </c>
      <c r="H27" s="105">
        <f>SUM(H15:H26)</f>
        <v>176882.65000000002</v>
      </c>
      <c r="I27" s="54"/>
      <c r="J27" s="105">
        <f>SUM(J15:J26)</f>
        <v>-205321.99999999997</v>
      </c>
      <c r="K27" s="105">
        <f>SUM(K15:K26)</f>
        <v>893916.86999999988</v>
      </c>
      <c r="L27" s="105">
        <f>SUM(L15:L26)</f>
        <v>688594.86999999988</v>
      </c>
    </row>
    <row r="28" spans="1:13" ht="15" customHeight="1" thickTop="1">
      <c r="A28" s="54"/>
      <c r="B28" s="63"/>
      <c r="C28" s="63"/>
      <c r="D28" s="63"/>
      <c r="E28" s="54"/>
      <c r="F28" s="63"/>
      <c r="G28" s="63"/>
      <c r="H28" s="63"/>
      <c r="I28" s="54"/>
      <c r="J28" s="63"/>
      <c r="K28" s="63"/>
      <c r="L28" s="63"/>
    </row>
    <row r="29" spans="1:13" ht="15" customHeight="1">
      <c r="A29" s="54"/>
      <c r="B29" s="65"/>
      <c r="C29" s="65"/>
      <c r="D29" s="65"/>
      <c r="E29" s="54"/>
      <c r="F29" s="54"/>
      <c r="G29" s="54"/>
      <c r="H29" s="54"/>
      <c r="I29" s="54"/>
    </row>
    <row r="30" spans="1:13" ht="16.75" customHeight="1">
      <c r="A30" s="134"/>
      <c r="B30" s="815" t="s">
        <v>699</v>
      </c>
      <c r="C30" s="816"/>
      <c r="D30" s="817"/>
      <c r="E30" s="59"/>
      <c r="F30" s="54"/>
      <c r="G30" s="54"/>
      <c r="H30" s="54"/>
      <c r="I30" s="54"/>
    </row>
    <row r="31" spans="1:13" ht="16.75" customHeight="1">
      <c r="A31" s="195"/>
      <c r="B31" s="815" t="s">
        <v>700</v>
      </c>
      <c r="C31" s="819"/>
      <c r="D31" s="820"/>
      <c r="E31" s="59"/>
      <c r="F31" s="54"/>
      <c r="G31" s="54"/>
      <c r="H31" s="54"/>
      <c r="I31" s="54"/>
    </row>
    <row r="32" spans="1:13" ht="27.65" customHeight="1">
      <c r="A32" s="120" t="s">
        <v>697</v>
      </c>
      <c r="B32" s="67" t="s">
        <v>696</v>
      </c>
      <c r="C32" s="67" t="s">
        <v>695</v>
      </c>
      <c r="D32" s="67" t="s">
        <v>158</v>
      </c>
      <c r="E32" s="59"/>
      <c r="F32" s="54"/>
      <c r="G32" s="54"/>
      <c r="H32" s="54"/>
      <c r="I32" s="54"/>
    </row>
    <row r="33" spans="1:9" ht="16.75" customHeight="1">
      <c r="A33" s="58" t="s">
        <v>694</v>
      </c>
      <c r="B33" s="56">
        <v>-36584.03</v>
      </c>
      <c r="C33" s="56">
        <v>36239</v>
      </c>
      <c r="D33" s="56">
        <v>-345.03</v>
      </c>
      <c r="E33" s="54"/>
      <c r="F33" s="54"/>
      <c r="G33" s="54"/>
      <c r="H33" s="54"/>
      <c r="I33" s="54"/>
    </row>
    <row r="34" spans="1:9" ht="16.75" customHeight="1">
      <c r="A34" s="54" t="s">
        <v>693</v>
      </c>
      <c r="B34" s="54"/>
      <c r="C34" s="52">
        <v>2924</v>
      </c>
      <c r="D34" s="52">
        <v>2924</v>
      </c>
      <c r="E34" s="54"/>
      <c r="F34" s="54"/>
      <c r="G34" s="54"/>
      <c r="H34" s="54"/>
      <c r="I34" s="54"/>
    </row>
    <row r="35" spans="1:9" ht="16.75" customHeight="1">
      <c r="A35" s="54" t="s">
        <v>692</v>
      </c>
      <c r="B35" s="52">
        <v>0</v>
      </c>
      <c r="C35" s="52">
        <v>27541</v>
      </c>
      <c r="D35" s="52">
        <v>27541</v>
      </c>
      <c r="E35" s="54"/>
      <c r="F35" s="54"/>
      <c r="G35" s="54"/>
      <c r="H35" s="54"/>
      <c r="I35" s="54"/>
    </row>
    <row r="36" spans="1:9" ht="16.75" customHeight="1">
      <c r="A36" s="54" t="s">
        <v>691</v>
      </c>
      <c r="B36" s="52">
        <v>0</v>
      </c>
      <c r="C36" s="52">
        <v>0</v>
      </c>
      <c r="D36" s="52">
        <v>0</v>
      </c>
      <c r="E36" s="54"/>
      <c r="F36" s="54"/>
      <c r="G36" s="54"/>
      <c r="H36" s="54"/>
      <c r="I36" s="54"/>
    </row>
    <row r="37" spans="1:9" ht="16.75" customHeight="1">
      <c r="A37" s="54" t="s">
        <v>690</v>
      </c>
      <c r="B37" s="54"/>
      <c r="C37" s="52">
        <v>1355</v>
      </c>
      <c r="D37" s="52">
        <v>1355</v>
      </c>
      <c r="E37" s="54"/>
      <c r="F37" s="54"/>
      <c r="G37" s="54"/>
      <c r="H37" s="54"/>
      <c r="I37" s="54"/>
    </row>
    <row r="38" spans="1:9" ht="16.75" customHeight="1">
      <c r="A38" s="54" t="s">
        <v>689</v>
      </c>
      <c r="B38" s="52">
        <v>194378.85</v>
      </c>
      <c r="C38" s="52">
        <v>322570</v>
      </c>
      <c r="D38" s="52">
        <v>516948.85</v>
      </c>
      <c r="E38" s="54"/>
      <c r="F38" s="54"/>
      <c r="G38" s="54"/>
      <c r="H38" s="54"/>
      <c r="I38" s="54"/>
    </row>
    <row r="39" spans="1:9" ht="16.75" customHeight="1">
      <c r="A39" s="54" t="s">
        <v>688</v>
      </c>
      <c r="B39" s="52">
        <v>-194378.85</v>
      </c>
      <c r="C39" s="52">
        <v>32806</v>
      </c>
      <c r="D39" s="52">
        <v>-161572.85</v>
      </c>
      <c r="E39" s="54"/>
      <c r="F39" s="54"/>
      <c r="G39" s="54"/>
      <c r="H39" s="54"/>
      <c r="I39" s="54"/>
    </row>
    <row r="40" spans="1:9" ht="16.75" customHeight="1">
      <c r="A40" s="54" t="s">
        <v>687</v>
      </c>
      <c r="B40" s="54"/>
      <c r="C40" s="52">
        <v>29766</v>
      </c>
      <c r="D40" s="52">
        <v>29766</v>
      </c>
      <c r="E40" s="54"/>
      <c r="F40" s="54"/>
      <c r="G40" s="54"/>
      <c r="H40" s="54"/>
      <c r="I40" s="54"/>
    </row>
    <row r="41" spans="1:9" ht="16.75" customHeight="1">
      <c r="A41" s="54" t="s">
        <v>686</v>
      </c>
      <c r="B41" s="52">
        <v>79577.98</v>
      </c>
      <c r="C41" s="52">
        <v>443748</v>
      </c>
      <c r="D41" s="52">
        <v>523325.98</v>
      </c>
      <c r="E41" s="54"/>
      <c r="F41" s="54"/>
      <c r="G41" s="54"/>
      <c r="H41" s="54"/>
      <c r="I41" s="54"/>
    </row>
    <row r="42" spans="1:9" ht="16.75" customHeight="1">
      <c r="A42" s="54" t="s">
        <v>685</v>
      </c>
      <c r="B42" s="52">
        <v>-79577.98</v>
      </c>
      <c r="C42" s="52">
        <v>79578</v>
      </c>
      <c r="D42" s="52">
        <v>0.02</v>
      </c>
      <c r="E42" s="54"/>
      <c r="F42" s="54"/>
      <c r="G42" s="54"/>
      <c r="H42" s="54"/>
      <c r="I42" s="54"/>
    </row>
    <row r="43" spans="1:9" ht="16.75" customHeight="1">
      <c r="A43" s="54" t="s">
        <v>684</v>
      </c>
      <c r="B43" s="54"/>
      <c r="C43" s="52">
        <v>665115</v>
      </c>
      <c r="D43" s="52">
        <v>665115</v>
      </c>
      <c r="E43" s="54"/>
      <c r="F43" s="54"/>
      <c r="G43" s="54"/>
      <c r="H43" s="54"/>
      <c r="I43" s="54"/>
    </row>
    <row r="44" spans="1:9" ht="16.75" customHeight="1">
      <c r="A44" s="54" t="s">
        <v>683</v>
      </c>
      <c r="B44" s="89">
        <v>0</v>
      </c>
      <c r="C44" s="89">
        <v>51226</v>
      </c>
      <c r="D44" s="89">
        <v>51226</v>
      </c>
      <c r="E44" s="54"/>
      <c r="F44" s="54"/>
      <c r="G44" s="54"/>
      <c r="H44" s="54"/>
      <c r="I44" s="54"/>
    </row>
    <row r="45" spans="1:9" ht="16.75" customHeight="1" thickBot="1">
      <c r="A45" s="54" t="s">
        <v>158</v>
      </c>
      <c r="B45" s="105">
        <f>SUM(B33:B44)</f>
        <v>-36584.03</v>
      </c>
      <c r="C45" s="105">
        <f>SUM(C33:C44)</f>
        <v>1692868</v>
      </c>
      <c r="D45" s="105">
        <f>SUM(D33:D44)</f>
        <v>1656283.97</v>
      </c>
      <c r="E45" s="54"/>
      <c r="F45" s="54"/>
      <c r="G45" s="54"/>
      <c r="H45" s="54"/>
      <c r="I45" s="54"/>
    </row>
    <row r="46" spans="1:9" ht="15" customHeight="1" thickTop="1">
      <c r="A46" s="54"/>
      <c r="B46" s="63"/>
      <c r="C46" s="63"/>
      <c r="D46" s="63"/>
      <c r="E46" s="54"/>
      <c r="F46" s="54"/>
      <c r="G46" s="54"/>
      <c r="H46" s="54"/>
      <c r="I46" s="54"/>
    </row>
    <row r="47" spans="1:9" ht="15" customHeight="1">
      <c r="A47" s="40"/>
      <c r="B47" s="116"/>
      <c r="C47" s="116"/>
      <c r="D47" s="116"/>
      <c r="E47" s="54"/>
      <c r="F47" s="54"/>
      <c r="G47" s="54"/>
      <c r="H47" s="54"/>
      <c r="I47" s="54"/>
    </row>
    <row r="48" spans="1:9" ht="16.75" customHeight="1">
      <c r="A48" s="134"/>
      <c r="B48" s="815" t="s">
        <v>699</v>
      </c>
      <c r="C48" s="816"/>
      <c r="D48" s="817"/>
      <c r="E48" s="59"/>
      <c r="F48" s="54"/>
      <c r="G48" s="54"/>
      <c r="H48" s="54"/>
      <c r="I48" s="54"/>
    </row>
    <row r="49" spans="1:9" ht="16.75" customHeight="1">
      <c r="A49" s="195"/>
      <c r="B49" s="815" t="s">
        <v>698</v>
      </c>
      <c r="C49" s="819"/>
      <c r="D49" s="820"/>
      <c r="E49" s="59"/>
      <c r="F49" s="54"/>
      <c r="G49" s="54"/>
      <c r="H49" s="54"/>
      <c r="I49" s="54"/>
    </row>
    <row r="50" spans="1:9" ht="27.65" customHeight="1">
      <c r="A50" s="67" t="s">
        <v>697</v>
      </c>
      <c r="B50" s="67" t="s">
        <v>696</v>
      </c>
      <c r="C50" s="67" t="s">
        <v>695</v>
      </c>
      <c r="D50" s="67" t="s">
        <v>158</v>
      </c>
      <c r="E50" s="59"/>
      <c r="F50" s="54"/>
      <c r="G50" s="54"/>
      <c r="H50" s="54"/>
      <c r="I50" s="54"/>
    </row>
    <row r="51" spans="1:9" ht="16.75" customHeight="1">
      <c r="A51" s="58" t="s">
        <v>694</v>
      </c>
      <c r="B51" s="56">
        <v>-3390.14</v>
      </c>
      <c r="C51" s="56">
        <v>3391</v>
      </c>
      <c r="D51" s="56">
        <v>0.86</v>
      </c>
      <c r="E51" s="54"/>
      <c r="F51" s="54"/>
      <c r="G51" s="54"/>
      <c r="H51" s="54"/>
      <c r="I51" s="54"/>
    </row>
    <row r="52" spans="1:9" ht="16.75" customHeight="1">
      <c r="A52" s="54" t="s">
        <v>693</v>
      </c>
      <c r="B52" s="54"/>
      <c r="C52" s="52">
        <v>221</v>
      </c>
      <c r="D52" s="52">
        <v>221</v>
      </c>
      <c r="E52" s="54"/>
      <c r="F52" s="54"/>
      <c r="G52" s="54"/>
      <c r="H52" s="54"/>
      <c r="I52" s="54"/>
    </row>
    <row r="53" spans="1:9" ht="16.75" customHeight="1">
      <c r="A53" s="54" t="s">
        <v>692</v>
      </c>
      <c r="B53" s="52">
        <v>20915.86</v>
      </c>
      <c r="C53" s="52">
        <v>253</v>
      </c>
      <c r="D53" s="52">
        <v>21168.86</v>
      </c>
      <c r="E53" s="54"/>
      <c r="F53" s="54"/>
      <c r="G53" s="54"/>
      <c r="H53" s="54"/>
      <c r="I53" s="54"/>
    </row>
    <row r="54" spans="1:9" ht="16.75" customHeight="1">
      <c r="A54" s="54" t="s">
        <v>691</v>
      </c>
      <c r="B54" s="52">
        <v>-20915.86</v>
      </c>
      <c r="C54" s="52">
        <v>6500</v>
      </c>
      <c r="D54" s="52">
        <v>-14415.86</v>
      </c>
      <c r="E54" s="54"/>
      <c r="F54" s="54"/>
      <c r="G54" s="54"/>
      <c r="H54" s="54"/>
      <c r="I54" s="54"/>
    </row>
    <row r="55" spans="1:9" ht="16.75" customHeight="1">
      <c r="A55" s="54" t="s">
        <v>690</v>
      </c>
      <c r="B55" s="54"/>
      <c r="C55" s="52">
        <v>11031</v>
      </c>
      <c r="D55" s="52">
        <v>11031</v>
      </c>
      <c r="E55" s="54"/>
      <c r="F55" s="54"/>
      <c r="G55" s="54"/>
      <c r="H55" s="54"/>
      <c r="I55" s="54"/>
    </row>
    <row r="56" spans="1:9" ht="16.75" customHeight="1">
      <c r="A56" s="54" t="s">
        <v>689</v>
      </c>
      <c r="B56" s="52">
        <v>1949.39</v>
      </c>
      <c r="C56" s="52">
        <v>13064</v>
      </c>
      <c r="D56" s="52">
        <v>15013.39</v>
      </c>
      <c r="E56" s="54"/>
      <c r="F56" s="54"/>
      <c r="G56" s="54"/>
      <c r="H56" s="54"/>
      <c r="I56" s="54"/>
    </row>
    <row r="57" spans="1:9" ht="16.75" customHeight="1">
      <c r="A57" s="54" t="s">
        <v>688</v>
      </c>
      <c r="B57" s="52">
        <v>-1949.39</v>
      </c>
      <c r="C57" s="52">
        <v>1947</v>
      </c>
      <c r="D57" s="52">
        <v>-2.39</v>
      </c>
      <c r="E57" s="54"/>
      <c r="F57" s="54"/>
      <c r="G57" s="54"/>
      <c r="H57" s="54"/>
      <c r="I57" s="54"/>
    </row>
    <row r="58" spans="1:9" ht="16.75" customHeight="1">
      <c r="A58" s="54" t="s">
        <v>687</v>
      </c>
      <c r="B58" s="54"/>
      <c r="C58" s="52">
        <v>0</v>
      </c>
      <c r="D58" s="52">
        <v>0</v>
      </c>
      <c r="E58" s="54"/>
      <c r="F58" s="54"/>
      <c r="G58" s="54"/>
      <c r="H58" s="54"/>
      <c r="I58" s="54"/>
    </row>
    <row r="59" spans="1:9" ht="16.75" customHeight="1">
      <c r="A59" s="54" t="s">
        <v>686</v>
      </c>
      <c r="B59" s="52">
        <v>5193.26</v>
      </c>
      <c r="C59" s="52">
        <v>18169</v>
      </c>
      <c r="D59" s="52">
        <v>23362.26</v>
      </c>
      <c r="E59" s="54"/>
      <c r="F59" s="54"/>
      <c r="G59" s="54"/>
      <c r="H59" s="54"/>
      <c r="I59" s="54"/>
    </row>
    <row r="60" spans="1:9" ht="16.75" customHeight="1">
      <c r="A60" s="54" t="s">
        <v>685</v>
      </c>
      <c r="B60" s="52">
        <v>-5193.26</v>
      </c>
      <c r="C60" s="52">
        <v>5193</v>
      </c>
      <c r="D60" s="52">
        <v>-0.26</v>
      </c>
      <c r="E60" s="54"/>
      <c r="F60" s="54"/>
      <c r="G60" s="54"/>
      <c r="H60" s="54"/>
      <c r="I60" s="54"/>
    </row>
    <row r="61" spans="1:9" ht="16.75" customHeight="1">
      <c r="A61" s="54" t="s">
        <v>684</v>
      </c>
      <c r="B61" s="54"/>
      <c r="C61" s="52">
        <v>0</v>
      </c>
      <c r="D61" s="52">
        <v>0</v>
      </c>
      <c r="E61" s="54"/>
      <c r="F61" s="54"/>
      <c r="G61" s="54"/>
      <c r="H61" s="54"/>
      <c r="I61" s="54"/>
    </row>
    <row r="62" spans="1:9" ht="16.75" customHeight="1">
      <c r="A62" s="54" t="s">
        <v>683</v>
      </c>
      <c r="B62" s="89">
        <v>36584.03</v>
      </c>
      <c r="C62" s="89">
        <v>6171</v>
      </c>
      <c r="D62" s="89">
        <v>42755.03</v>
      </c>
      <c r="E62" s="54"/>
      <c r="F62" s="54"/>
      <c r="G62" s="54"/>
      <c r="H62" s="54"/>
      <c r="I62" s="54"/>
    </row>
    <row r="63" spans="1:9" ht="16.75" customHeight="1" thickBot="1">
      <c r="A63" s="54" t="s">
        <v>158</v>
      </c>
      <c r="B63" s="105">
        <f>SUM(B51:B62)</f>
        <v>33193.89</v>
      </c>
      <c r="C63" s="105">
        <f>SUM(C51:C62)</f>
        <v>65940</v>
      </c>
      <c r="D63" s="105">
        <f>SUM(D51:D62)</f>
        <v>99133.889999999985</v>
      </c>
      <c r="E63" s="54"/>
      <c r="F63" s="54"/>
      <c r="G63" s="54"/>
      <c r="H63" s="54"/>
      <c r="I63" s="54"/>
    </row>
    <row r="64" spans="1:9" ht="15" customHeight="1" thickTop="1">
      <c r="A64" s="54"/>
      <c r="B64" s="63"/>
      <c r="C64" s="63"/>
      <c r="D64" s="63"/>
      <c r="E64" s="54"/>
      <c r="F64" s="54"/>
      <c r="G64" s="54"/>
      <c r="H64" s="54"/>
      <c r="I64" s="54"/>
    </row>
    <row r="65" spans="1:9" ht="15" customHeight="1">
      <c r="A65" s="54"/>
      <c r="B65" s="54"/>
      <c r="C65" s="54"/>
      <c r="D65" s="54"/>
      <c r="E65" s="54"/>
      <c r="F65" s="54"/>
      <c r="G65" s="54"/>
      <c r="H65" s="54"/>
      <c r="I65" s="54"/>
    </row>
    <row r="66" spans="1:9" ht="15" customHeight="1">
      <c r="A66" s="44" t="s">
        <v>2</v>
      </c>
      <c r="B66" s="44" t="s">
        <v>3</v>
      </c>
      <c r="C66" s="54"/>
      <c r="D66" s="54"/>
      <c r="E66" s="54"/>
      <c r="F66" s="54"/>
      <c r="G66" s="54"/>
      <c r="H66" s="54"/>
      <c r="I66" s="54"/>
    </row>
    <row r="67" spans="1:9" ht="15" customHeight="1">
      <c r="A67" s="54"/>
      <c r="B67" s="54"/>
      <c r="C67" s="54"/>
      <c r="D67" s="54"/>
      <c r="E67" s="54"/>
      <c r="F67" s="54"/>
      <c r="G67" s="54"/>
      <c r="H67" s="54"/>
      <c r="I67" s="54"/>
    </row>
  </sheetData>
  <mergeCells count="20">
    <mergeCell ref="J12:L12"/>
    <mergeCell ref="J13:L13"/>
    <mergeCell ref="F12:H12"/>
    <mergeCell ref="F13:H13"/>
    <mergeCell ref="F11:H11"/>
    <mergeCell ref="J11:L11"/>
    <mergeCell ref="B31:D31"/>
    <mergeCell ref="B30:D30"/>
    <mergeCell ref="B48:D48"/>
    <mergeCell ref="B49:D49"/>
    <mergeCell ref="A2:I2"/>
    <mergeCell ref="A7:B7"/>
    <mergeCell ref="A8:B8"/>
    <mergeCell ref="A4:I4"/>
    <mergeCell ref="A3:I3"/>
    <mergeCell ref="A1:I1"/>
    <mergeCell ref="B12:D12"/>
    <mergeCell ref="B13:D13"/>
    <mergeCell ref="A9:B9"/>
    <mergeCell ref="A6:B6"/>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7E8CE-AB6C-4128-BBAE-29257AB24D3B}">
  <dimension ref="A1:F24"/>
  <sheetViews>
    <sheetView showRuler="0" workbookViewId="0">
      <selection sqref="A1:D1"/>
    </sheetView>
  </sheetViews>
  <sheetFormatPr defaultColWidth="13.7265625" defaultRowHeight="12.5"/>
  <cols>
    <col min="1" max="1" width="29.54296875" style="41" customWidth="1"/>
    <col min="2" max="2" width="28.7265625" style="41" customWidth="1"/>
    <col min="3" max="3" width="14.81640625" style="41" customWidth="1"/>
    <col min="4" max="4" width="23.7265625" style="41" customWidth="1"/>
    <col min="5" max="16384" width="13.7265625" style="41"/>
  </cols>
  <sheetData>
    <row r="1" spans="1:6" ht="16.75" customHeight="1">
      <c r="A1" s="711" t="s">
        <v>0</v>
      </c>
      <c r="B1" s="711"/>
      <c r="C1" s="711"/>
      <c r="D1" s="54"/>
      <c r="E1" s="54"/>
      <c r="F1" s="54"/>
    </row>
    <row r="2" spans="1:6" ht="16.75" customHeight="1">
      <c r="A2" s="712" t="s">
        <v>719</v>
      </c>
      <c r="B2" s="712"/>
      <c r="C2" s="712"/>
      <c r="D2" s="712"/>
      <c r="E2" s="712"/>
      <c r="F2" s="54"/>
    </row>
    <row r="3" spans="1:6" ht="16.75" customHeight="1">
      <c r="A3" s="712" t="s">
        <v>718</v>
      </c>
      <c r="B3" s="712"/>
      <c r="C3" s="712"/>
      <c r="D3" s="712"/>
      <c r="E3" s="712"/>
      <c r="F3" s="712"/>
    </row>
    <row r="4" spans="1:6" ht="16.75" customHeight="1">
      <c r="A4" s="711" t="s">
        <v>119</v>
      </c>
      <c r="B4" s="711"/>
      <c r="C4" s="711"/>
      <c r="D4" s="711"/>
      <c r="E4" s="54"/>
      <c r="F4" s="54"/>
    </row>
    <row r="5" spans="1:6" ht="15" customHeight="1"/>
    <row r="6" spans="1:6" ht="16.75" customHeight="1">
      <c r="A6" s="93" t="s">
        <v>347</v>
      </c>
      <c r="B6" s="93" t="s">
        <v>349</v>
      </c>
      <c r="C6" s="59"/>
      <c r="D6" s="54"/>
      <c r="E6" s="54"/>
    </row>
    <row r="7" spans="1:6" ht="16.75" customHeight="1">
      <c r="A7" s="93" t="s">
        <v>260</v>
      </c>
      <c r="B7" s="93" t="s">
        <v>259</v>
      </c>
      <c r="C7" s="59"/>
      <c r="D7" s="54"/>
      <c r="E7" s="54"/>
    </row>
    <row r="8" spans="1:6" ht="15" customHeight="1">
      <c r="A8" s="48"/>
      <c r="B8" s="58"/>
      <c r="C8" s="54"/>
      <c r="D8" s="54"/>
      <c r="E8" s="54"/>
    </row>
    <row r="9" spans="1:6" ht="16.75" customHeight="1">
      <c r="A9" s="93" t="s">
        <v>179</v>
      </c>
      <c r="B9" s="109"/>
      <c r="C9" s="65"/>
      <c r="D9" s="65"/>
      <c r="E9" s="65"/>
    </row>
    <row r="10" spans="1:6" ht="16.75" customHeight="1">
      <c r="A10" s="93" t="s">
        <v>177</v>
      </c>
      <c r="B10" s="93" t="s">
        <v>717</v>
      </c>
      <c r="C10" s="93" t="s">
        <v>306</v>
      </c>
      <c r="D10" s="93" t="s">
        <v>407</v>
      </c>
      <c r="E10" s="93" t="s">
        <v>158</v>
      </c>
      <c r="F10" s="59"/>
    </row>
    <row r="11" spans="1:6" ht="16.75" customHeight="1">
      <c r="A11" s="117">
        <v>1823078</v>
      </c>
      <c r="B11" s="93" t="s">
        <v>716</v>
      </c>
      <c r="C11" s="117">
        <v>2022</v>
      </c>
      <c r="D11" s="165">
        <v>4</v>
      </c>
      <c r="E11" s="56">
        <v>-172213.24</v>
      </c>
    </row>
    <row r="12" spans="1:6" ht="16.75" customHeight="1">
      <c r="A12" s="58"/>
      <c r="B12" s="58"/>
      <c r="C12" s="58"/>
      <c r="D12" s="61">
        <v>5</v>
      </c>
      <c r="E12" s="52">
        <v>-172213.24</v>
      </c>
    </row>
    <row r="13" spans="1:6" ht="16.75" customHeight="1">
      <c r="A13" s="54"/>
      <c r="B13" s="54"/>
      <c r="C13" s="54"/>
      <c r="D13" s="61">
        <v>6</v>
      </c>
      <c r="E13" s="52">
        <v>-172213.24</v>
      </c>
    </row>
    <row r="14" spans="1:6" ht="16.75" customHeight="1">
      <c r="A14" s="54"/>
      <c r="B14" s="54"/>
      <c r="C14" s="54"/>
      <c r="D14" s="61">
        <v>7</v>
      </c>
      <c r="E14" s="52">
        <v>-172213.24</v>
      </c>
    </row>
    <row r="15" spans="1:6" ht="16.75" customHeight="1">
      <c r="A15" s="54"/>
      <c r="B15" s="54"/>
      <c r="C15" s="54"/>
      <c r="D15" s="61">
        <v>8</v>
      </c>
      <c r="E15" s="52">
        <v>-172213.24</v>
      </c>
    </row>
    <row r="16" spans="1:6" ht="16.75" customHeight="1">
      <c r="A16" s="54"/>
      <c r="B16" s="54"/>
      <c r="C16" s="54"/>
      <c r="D16" s="61">
        <v>9</v>
      </c>
      <c r="E16" s="52">
        <v>-172213.24</v>
      </c>
    </row>
    <row r="17" spans="1:5" ht="16.75" customHeight="1">
      <c r="A17" s="54"/>
      <c r="B17" s="54"/>
      <c r="C17" s="54"/>
      <c r="D17" s="61">
        <v>10</v>
      </c>
      <c r="E17" s="52">
        <v>-172213.24</v>
      </c>
    </row>
    <row r="18" spans="1:5" ht="16.75" customHeight="1">
      <c r="A18" s="54"/>
      <c r="B18" s="54"/>
      <c r="C18" s="54"/>
      <c r="D18" s="61">
        <v>11</v>
      </c>
      <c r="E18" s="52">
        <v>-172213.24</v>
      </c>
    </row>
    <row r="19" spans="1:5" ht="16.75" customHeight="1">
      <c r="A19" s="54"/>
      <c r="B19" s="54"/>
      <c r="C19" s="65"/>
      <c r="D19" s="61">
        <v>12</v>
      </c>
      <c r="E19" s="52">
        <v>-172213.24</v>
      </c>
    </row>
    <row r="20" spans="1:5" ht="16.75" customHeight="1">
      <c r="A20" s="54"/>
      <c r="B20" s="137"/>
      <c r="C20" s="117">
        <v>2023</v>
      </c>
      <c r="D20" s="181">
        <v>1</v>
      </c>
      <c r="E20" s="89">
        <v>-99994.559999999998</v>
      </c>
    </row>
    <row r="21" spans="1:5" ht="16.75" customHeight="1" thickBot="1">
      <c r="A21" s="54" t="s">
        <v>172</v>
      </c>
      <c r="B21" s="54"/>
      <c r="C21" s="58"/>
      <c r="D21" s="54"/>
      <c r="E21" s="105">
        <f>SUM(E11:E20)</f>
        <v>-1649913.72</v>
      </c>
    </row>
    <row r="22" spans="1:5" ht="15" customHeight="1" thickTop="1">
      <c r="A22" s="54"/>
      <c r="B22" s="54"/>
      <c r="C22" s="54"/>
      <c r="D22" s="54"/>
      <c r="E22" s="63"/>
    </row>
    <row r="23" spans="1:5" ht="15" customHeight="1">
      <c r="A23" s="72" t="s">
        <v>2</v>
      </c>
      <c r="B23" s="44" t="s">
        <v>3</v>
      </c>
      <c r="E23" s="54"/>
    </row>
    <row r="24" spans="1:5" ht="15" customHeight="1"/>
  </sheetData>
  <mergeCells count="4">
    <mergeCell ref="A1:C1"/>
    <mergeCell ref="A2:E2"/>
    <mergeCell ref="A3:F3"/>
    <mergeCell ref="A4:D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74C66-4B0F-4FDC-BB46-5E027424A3B5}">
  <sheetPr>
    <pageSetUpPr autoPageBreaks="0"/>
  </sheetPr>
  <dimension ref="A1:S70"/>
  <sheetViews>
    <sheetView zoomScale="80" zoomScaleNormal="80" workbookViewId="0">
      <pane xSplit="3" ySplit="6" topLeftCell="D7" activePane="bottomRight" state="frozen"/>
      <selection activeCell="D31" sqref="D31"/>
      <selection pane="topRight" activeCell="D31" sqref="D31"/>
      <selection pane="bottomLeft" activeCell="D31" sqref="D31"/>
      <selection pane="bottomRight" activeCell="A70" sqref="A70:B70"/>
    </sheetView>
  </sheetViews>
  <sheetFormatPr defaultColWidth="9.1796875" defaultRowHeight="15.5"/>
  <cols>
    <col min="1" max="1" width="27.26953125" style="291" bestFit="1" customWidth="1"/>
    <col min="2" max="2" width="13.81640625" style="291" bestFit="1" customWidth="1"/>
    <col min="3" max="3" width="100.1796875" style="253" bestFit="1" customWidth="1"/>
    <col min="4" max="4" width="15.7265625" style="253" bestFit="1" customWidth="1"/>
    <col min="5" max="7" width="15.1796875" style="253" customWidth="1"/>
    <col min="8" max="8" width="15.81640625" style="253" customWidth="1"/>
    <col min="9" max="9" width="15.7265625" style="253" bestFit="1" customWidth="1"/>
    <col min="10" max="14" width="15.81640625" style="253" customWidth="1"/>
    <col min="15" max="15" width="16.7265625" style="253" customWidth="1"/>
    <col min="16" max="16" width="9.1796875" style="291"/>
    <col min="17" max="17" width="16.7265625" style="253" bestFit="1" customWidth="1"/>
    <col min="18" max="18" width="69.7265625" style="291" bestFit="1" customWidth="1"/>
    <col min="19" max="19" width="18.54296875" style="291" bestFit="1" customWidth="1"/>
    <col min="20" max="16384" width="9.1796875" style="291"/>
  </cols>
  <sheetData>
    <row r="1" spans="1:18">
      <c r="A1" s="327" t="str">
        <f>W09_PG_1_of_5!A1</f>
        <v>Kentucky Power Company</v>
      </c>
      <c r="D1" s="276"/>
    </row>
    <row r="2" spans="1:18">
      <c r="A2" s="327" t="str">
        <f>W09_PG_1_of_5!A2</f>
        <v>W09-Remove Tariff P.P.A. Revenues and Non-Transmission Expenses Recovered Through Tariff P.P.A.</v>
      </c>
      <c r="D2" s="276"/>
    </row>
    <row r="3" spans="1:18">
      <c r="A3" s="328" t="s">
        <v>873</v>
      </c>
      <c r="G3" s="293"/>
    </row>
    <row r="4" spans="1:18" ht="16" thickBot="1">
      <c r="A4" s="327" t="str">
        <f>W09_PG_1_of_5!A4</f>
        <v>For the Twelve Months Ended March 31, 2023</v>
      </c>
    </row>
    <row r="5" spans="1:18" ht="16" thickBot="1">
      <c r="D5" s="253" t="s">
        <v>872</v>
      </c>
      <c r="E5" s="253" t="s">
        <v>872</v>
      </c>
      <c r="F5" s="253" t="s">
        <v>872</v>
      </c>
      <c r="G5" s="253" t="s">
        <v>872</v>
      </c>
      <c r="H5" s="253" t="s">
        <v>872</v>
      </c>
      <c r="I5" s="253" t="s">
        <v>872</v>
      </c>
      <c r="J5" s="253" t="s">
        <v>872</v>
      </c>
      <c r="K5" s="253" t="s">
        <v>872</v>
      </c>
      <c r="L5" s="253" t="s">
        <v>872</v>
      </c>
      <c r="M5" s="253" t="s">
        <v>872</v>
      </c>
      <c r="N5" s="253" t="s">
        <v>872</v>
      </c>
      <c r="O5" s="253" t="s">
        <v>872</v>
      </c>
      <c r="Q5" s="326" t="s">
        <v>871</v>
      </c>
      <c r="R5" s="326" t="s">
        <v>870</v>
      </c>
    </row>
    <row r="6" spans="1:18">
      <c r="A6" s="253"/>
      <c r="B6" s="253"/>
      <c r="C6" s="322" t="s">
        <v>869</v>
      </c>
      <c r="D6" s="325" t="s">
        <v>868</v>
      </c>
      <c r="E6" s="325" t="s">
        <v>867</v>
      </c>
      <c r="F6" s="325" t="s">
        <v>866</v>
      </c>
      <c r="G6" s="325" t="s">
        <v>865</v>
      </c>
      <c r="H6" s="325" t="s">
        <v>864</v>
      </c>
      <c r="I6" s="325" t="s">
        <v>863</v>
      </c>
      <c r="J6" s="325" t="s">
        <v>862</v>
      </c>
      <c r="K6" s="325" t="s">
        <v>861</v>
      </c>
      <c r="L6" s="325" t="s">
        <v>860</v>
      </c>
      <c r="M6" s="325" t="s">
        <v>859</v>
      </c>
      <c r="N6" s="325" t="s">
        <v>858</v>
      </c>
      <c r="O6" s="325" t="s">
        <v>857</v>
      </c>
      <c r="Q6" s="325"/>
    </row>
    <row r="7" spans="1:18">
      <c r="A7" s="322" t="s">
        <v>856</v>
      </c>
      <c r="B7" s="253"/>
      <c r="C7" s="253" t="s">
        <v>855</v>
      </c>
      <c r="D7" s="311">
        <v>1673075.8793657273</v>
      </c>
      <c r="E7" s="311">
        <v>2367588.9361905558</v>
      </c>
      <c r="F7" s="311">
        <v>1296906.833727228</v>
      </c>
      <c r="G7" s="311">
        <v>2064759.9504260356</v>
      </c>
      <c r="H7" s="311">
        <v>2094328.275417163</v>
      </c>
      <c r="I7" s="311">
        <v>1499758.5436829729</v>
      </c>
      <c r="J7" s="311">
        <v>2069823.7260345204</v>
      </c>
      <c r="K7" s="311">
        <v>2471163.4662212539</v>
      </c>
      <c r="L7" s="311">
        <v>2550904.0075359563</v>
      </c>
      <c r="M7" s="311">
        <v>615145.72922417207</v>
      </c>
      <c r="N7" s="311">
        <v>1191823.6534255105</v>
      </c>
      <c r="O7" s="311">
        <v>1126676.1449328808</v>
      </c>
      <c r="Q7" s="311">
        <f>SUM(D7:P7)</f>
        <v>21021955.146183975</v>
      </c>
      <c r="R7" s="295"/>
    </row>
    <row r="8" spans="1:18">
      <c r="A8" s="253"/>
      <c r="B8" s="253"/>
      <c r="C8" s="276"/>
      <c r="D8" s="324">
        <v>1673075.8793657273</v>
      </c>
      <c r="E8" s="324">
        <v>2367588.9361905558</v>
      </c>
      <c r="F8" s="324">
        <v>1296906.833727228</v>
      </c>
      <c r="G8" s="324">
        <v>2064759.9504260356</v>
      </c>
      <c r="H8" s="324">
        <v>2094328.275417163</v>
      </c>
      <c r="I8" s="324">
        <v>1499758.5436829729</v>
      </c>
      <c r="J8" s="324">
        <v>2069823.7260345204</v>
      </c>
      <c r="K8" s="324">
        <v>2471163.4662212539</v>
      </c>
      <c r="L8" s="324">
        <v>2550904.0075359563</v>
      </c>
      <c r="M8" s="324">
        <v>615145.72922417207</v>
      </c>
      <c r="N8" s="324">
        <v>1191823.6534255105</v>
      </c>
      <c r="O8" s="324">
        <v>1126676.1449328808</v>
      </c>
      <c r="Q8" s="324">
        <f>SUM(D8:P8)</f>
        <v>21021955.146183975</v>
      </c>
      <c r="R8" s="291" t="s">
        <v>816</v>
      </c>
    </row>
    <row r="9" spans="1:18">
      <c r="A9" s="253"/>
      <c r="B9" s="253"/>
      <c r="C9" s="322"/>
    </row>
    <row r="10" spans="1:18">
      <c r="A10" s="322" t="s">
        <v>854</v>
      </c>
      <c r="B10" s="306"/>
      <c r="C10" s="276" t="s">
        <v>853</v>
      </c>
      <c r="D10" s="310">
        <v>8074708</v>
      </c>
      <c r="E10" s="310">
        <v>8074708</v>
      </c>
      <c r="F10" s="310">
        <v>8074708</v>
      </c>
      <c r="G10" s="310">
        <v>8074708</v>
      </c>
      <c r="H10" s="310">
        <v>8074708</v>
      </c>
      <c r="I10" s="310">
        <v>8074708</v>
      </c>
      <c r="J10" s="310">
        <v>8074708</v>
      </c>
      <c r="K10" s="310">
        <v>8074708</v>
      </c>
      <c r="L10" s="310">
        <v>8074708</v>
      </c>
      <c r="M10" s="310">
        <v>8074708</v>
      </c>
      <c r="N10" s="310">
        <v>8074708</v>
      </c>
      <c r="O10" s="310">
        <v>8074708</v>
      </c>
      <c r="Q10" s="310">
        <f>SUM(D10:P10)</f>
        <v>96896496</v>
      </c>
      <c r="R10" s="323"/>
    </row>
    <row r="11" spans="1:18">
      <c r="A11" s="253"/>
      <c r="B11" s="253"/>
      <c r="C11" s="322"/>
    </row>
    <row r="12" spans="1:18">
      <c r="A12" s="322" t="s">
        <v>852</v>
      </c>
      <c r="B12" s="285" t="s">
        <v>851</v>
      </c>
      <c r="C12" s="322" t="s">
        <v>367</v>
      </c>
    </row>
    <row r="13" spans="1:18">
      <c r="A13" s="253"/>
      <c r="B13" s="262">
        <v>5650021</v>
      </c>
      <c r="C13" s="263" t="s">
        <v>850</v>
      </c>
      <c r="D13" s="320">
        <v>52467.009999999995</v>
      </c>
      <c r="E13" s="320">
        <v>47722.450000000004</v>
      </c>
      <c r="F13" s="320">
        <v>62516.5</v>
      </c>
      <c r="G13" s="320">
        <v>48810.52</v>
      </c>
      <c r="H13" s="320">
        <v>48965.799999999996</v>
      </c>
      <c r="I13" s="320">
        <v>48965.829999999994</v>
      </c>
      <c r="J13" s="320">
        <v>48810.539999999994</v>
      </c>
      <c r="K13" s="320">
        <v>153302.78</v>
      </c>
      <c r="L13" s="320">
        <v>53623.65</v>
      </c>
      <c r="M13" s="320">
        <v>58323.19999999999</v>
      </c>
      <c r="N13" s="320">
        <v>52578.16</v>
      </c>
      <c r="O13" s="320">
        <v>52717.58</v>
      </c>
      <c r="Q13" s="310">
        <f t="shared" ref="Q13:Q23" si="0">SUM(D13:P13)</f>
        <v>728804.0199999999</v>
      </c>
      <c r="R13" s="321"/>
    </row>
    <row r="14" spans="1:18">
      <c r="A14" s="253"/>
      <c r="B14" s="262">
        <v>5650015</v>
      </c>
      <c r="C14" s="263" t="s">
        <v>849</v>
      </c>
      <c r="D14" s="320">
        <v>8399.619999999999</v>
      </c>
      <c r="E14" s="320">
        <v>8925.5</v>
      </c>
      <c r="F14" s="320">
        <v>9744.11</v>
      </c>
      <c r="G14" s="320">
        <v>10422.92</v>
      </c>
      <c r="H14" s="320">
        <v>10189.969999999999</v>
      </c>
      <c r="I14" s="320">
        <v>8752.68</v>
      </c>
      <c r="J14" s="320">
        <v>8767.4600000000009</v>
      </c>
      <c r="K14" s="320">
        <v>9559.27</v>
      </c>
      <c r="L14" s="320">
        <v>11646.95</v>
      </c>
      <c r="M14" s="320">
        <v>-178.15000000000146</v>
      </c>
      <c r="N14" s="320">
        <v>-8308.08</v>
      </c>
      <c r="O14" s="320">
        <v>-4089.22</v>
      </c>
      <c r="Q14" s="310">
        <f t="shared" si="0"/>
        <v>73833.029999999984</v>
      </c>
      <c r="R14" s="321"/>
    </row>
    <row r="15" spans="1:18">
      <c r="A15" s="253"/>
      <c r="B15" s="262">
        <v>4561005</v>
      </c>
      <c r="C15" s="263" t="s">
        <v>848</v>
      </c>
      <c r="D15" s="320">
        <v>-111775.2</v>
      </c>
      <c r="E15" s="320">
        <v>-142778.95000000001</v>
      </c>
      <c r="F15" s="320">
        <v>-146668.54999999996</v>
      </c>
      <c r="G15" s="320">
        <v>-129430.99000000005</v>
      </c>
      <c r="H15" s="320">
        <v>-174479.76999999996</v>
      </c>
      <c r="I15" s="320">
        <v>-115083.12000000001</v>
      </c>
      <c r="J15" s="320">
        <v>-147612.88</v>
      </c>
      <c r="K15" s="320">
        <v>-173200.35</v>
      </c>
      <c r="L15" s="320">
        <v>-153785.87999999995</v>
      </c>
      <c r="M15" s="320">
        <v>360570.88999999996</v>
      </c>
      <c r="N15" s="320">
        <v>-448234.32</v>
      </c>
      <c r="O15" s="320">
        <v>108279.69000000003</v>
      </c>
      <c r="Q15" s="310">
        <f t="shared" si="0"/>
        <v>-1274199.4300000002</v>
      </c>
      <c r="R15" s="321"/>
    </row>
    <row r="16" spans="1:18">
      <c r="A16" s="253"/>
      <c r="B16" s="262">
        <v>4561002</v>
      </c>
      <c r="C16" s="263" t="s">
        <v>847</v>
      </c>
      <c r="D16" s="320">
        <v>0</v>
      </c>
      <c r="E16" s="320">
        <v>0</v>
      </c>
      <c r="F16" s="320">
        <v>0</v>
      </c>
      <c r="G16" s="320">
        <v>0</v>
      </c>
      <c r="H16" s="320">
        <v>0</v>
      </c>
      <c r="I16" s="320">
        <v>0</v>
      </c>
      <c r="J16" s="320">
        <v>0</v>
      </c>
      <c r="K16" s="320">
        <v>0</v>
      </c>
      <c r="L16" s="320">
        <v>0</v>
      </c>
      <c r="M16" s="320">
        <v>0</v>
      </c>
      <c r="N16" s="320">
        <v>0</v>
      </c>
      <c r="O16" s="320">
        <v>0</v>
      </c>
      <c r="Q16" s="310">
        <f t="shared" si="0"/>
        <v>0</v>
      </c>
      <c r="R16" s="321"/>
    </row>
    <row r="17" spans="1:19">
      <c r="A17" s="253"/>
      <c r="B17" s="262">
        <v>5550155</v>
      </c>
      <c r="C17" s="263" t="s">
        <v>846</v>
      </c>
      <c r="D17" s="320">
        <v>0</v>
      </c>
      <c r="E17" s="320">
        <v>0</v>
      </c>
      <c r="F17" s="320">
        <v>0</v>
      </c>
      <c r="G17" s="320">
        <v>0</v>
      </c>
      <c r="H17" s="320">
        <v>0</v>
      </c>
      <c r="I17" s="320">
        <v>0</v>
      </c>
      <c r="J17" s="320">
        <v>0</v>
      </c>
      <c r="K17" s="320">
        <v>0</v>
      </c>
      <c r="L17" s="320">
        <v>0</v>
      </c>
      <c r="M17" s="320">
        <v>0</v>
      </c>
      <c r="N17" s="320">
        <v>0</v>
      </c>
      <c r="O17" s="320">
        <v>0</v>
      </c>
      <c r="Q17" s="310">
        <f t="shared" si="0"/>
        <v>0</v>
      </c>
      <c r="R17" s="321"/>
    </row>
    <row r="18" spans="1:19">
      <c r="A18" s="253"/>
      <c r="B18" s="262">
        <v>4561035</v>
      </c>
      <c r="C18" s="253" t="s">
        <v>845</v>
      </c>
      <c r="D18" s="320">
        <v>4119297.08</v>
      </c>
      <c r="E18" s="320">
        <v>4276274.03</v>
      </c>
      <c r="F18" s="320">
        <v>4136348.86</v>
      </c>
      <c r="G18" s="320">
        <v>4275185.9000000004</v>
      </c>
      <c r="H18" s="320">
        <v>4275185.9000000004</v>
      </c>
      <c r="I18" s="320">
        <v>4136348.86</v>
      </c>
      <c r="J18" s="320">
        <v>4275185.9000000004</v>
      </c>
      <c r="K18" s="320">
        <v>4136348.86</v>
      </c>
      <c r="L18" s="320">
        <v>4275185.9000000004</v>
      </c>
      <c r="M18" s="320">
        <v>5007494.6999999993</v>
      </c>
      <c r="N18" s="320">
        <v>4483759.47</v>
      </c>
      <c r="O18" s="320">
        <v>4922291.51</v>
      </c>
      <c r="Q18" s="310">
        <f t="shared" si="0"/>
        <v>52318906.969999991</v>
      </c>
      <c r="R18" s="321"/>
    </row>
    <row r="19" spans="1:19">
      <c r="A19" s="253"/>
      <c r="B19" s="262">
        <v>4561036</v>
      </c>
      <c r="C19" s="263" t="s">
        <v>844</v>
      </c>
      <c r="D19" s="320">
        <v>-23181.29</v>
      </c>
      <c r="E19" s="320">
        <v>-24632.63</v>
      </c>
      <c r="F19" s="320">
        <v>-26891.85</v>
      </c>
      <c r="G19" s="320">
        <v>-28765.19</v>
      </c>
      <c r="H19" s="320">
        <v>-28122.32</v>
      </c>
      <c r="I19" s="320">
        <v>-24155.67</v>
      </c>
      <c r="J19" s="320">
        <v>-24196.47</v>
      </c>
      <c r="K19" s="320">
        <v>-26381.7</v>
      </c>
      <c r="L19" s="320">
        <v>-32143.29</v>
      </c>
      <c r="M19" s="320">
        <v>7351.130000000001</v>
      </c>
      <c r="N19" s="320">
        <v>5986.0000000000009</v>
      </c>
      <c r="O19" s="320">
        <v>6371.579999999999</v>
      </c>
      <c r="Q19" s="310">
        <f t="shared" si="0"/>
        <v>-218761.70000000004</v>
      </c>
      <c r="R19" s="321"/>
    </row>
    <row r="20" spans="1:19">
      <c r="A20" s="253"/>
      <c r="B20" s="262">
        <v>4561060</v>
      </c>
      <c r="C20" s="263" t="s">
        <v>842</v>
      </c>
      <c r="D20" s="320">
        <v>98683.34</v>
      </c>
      <c r="E20" s="320">
        <v>98683.34</v>
      </c>
      <c r="F20" s="320">
        <v>98683.34</v>
      </c>
      <c r="G20" s="320">
        <v>98683.34</v>
      </c>
      <c r="H20" s="320">
        <v>98683.34</v>
      </c>
      <c r="I20" s="320">
        <v>98683.34</v>
      </c>
      <c r="J20" s="320">
        <v>98683.34</v>
      </c>
      <c r="K20" s="320">
        <v>98683.34</v>
      </c>
      <c r="L20" s="320">
        <v>98683.34</v>
      </c>
      <c r="M20" s="320">
        <v>97473.13</v>
      </c>
      <c r="N20" s="320">
        <v>96665.58</v>
      </c>
      <c r="O20" s="320">
        <v>95858.03</v>
      </c>
      <c r="Q20" s="310">
        <f t="shared" si="0"/>
        <v>1178146.7999999998</v>
      </c>
      <c r="R20" s="321"/>
    </row>
    <row r="21" spans="1:19">
      <c r="A21" s="253"/>
      <c r="B21" s="262">
        <v>5650012</v>
      </c>
      <c r="C21" s="263" t="s">
        <v>842</v>
      </c>
      <c r="D21" s="320">
        <v>146309.83000000013</v>
      </c>
      <c r="E21" s="320">
        <v>144433.91000000029</v>
      </c>
      <c r="F21" s="320">
        <v>123767.03999999938</v>
      </c>
      <c r="G21" s="320">
        <v>169818.77000000016</v>
      </c>
      <c r="H21" s="320">
        <v>147643.78000000003</v>
      </c>
      <c r="I21" s="320">
        <v>147676.12999999983</v>
      </c>
      <c r="J21" s="320">
        <v>147643.75</v>
      </c>
      <c r="K21" s="320">
        <v>157291.84999999998</v>
      </c>
      <c r="L21" s="320">
        <v>147646.47999999995</v>
      </c>
      <c r="M21" s="320">
        <v>160388.01</v>
      </c>
      <c r="N21" s="320">
        <v>136771.84000000003</v>
      </c>
      <c r="O21" s="320">
        <v>139978.86000000004</v>
      </c>
      <c r="Q21" s="310">
        <f t="shared" si="0"/>
        <v>1769370.2500000002</v>
      </c>
      <c r="R21" s="321"/>
    </row>
    <row r="22" spans="1:19">
      <c r="A22" s="253"/>
      <c r="B22" s="262">
        <v>5650016</v>
      </c>
      <c r="C22" s="253" t="s">
        <v>843</v>
      </c>
      <c r="D22" s="320">
        <v>4912291.07</v>
      </c>
      <c r="E22" s="320">
        <v>5076547.0999999996</v>
      </c>
      <c r="F22" s="320">
        <v>4912291.07</v>
      </c>
      <c r="G22" s="320">
        <v>5076547.0999999996</v>
      </c>
      <c r="H22" s="320">
        <v>5076547.0999999996</v>
      </c>
      <c r="I22" s="320">
        <v>4912291.07</v>
      </c>
      <c r="J22" s="320">
        <v>5076547.0999999996</v>
      </c>
      <c r="K22" s="320">
        <v>4912291.07</v>
      </c>
      <c r="L22" s="320">
        <v>5076547.0999999996</v>
      </c>
      <c r="M22" s="320">
        <v>6072803.6699999999</v>
      </c>
      <c r="N22" s="320">
        <v>5384711.4000000004</v>
      </c>
      <c r="O22" s="320">
        <v>5854407.6800000006</v>
      </c>
      <c r="Q22" s="310">
        <f t="shared" si="0"/>
        <v>62343822.530000001</v>
      </c>
      <c r="R22" s="321"/>
    </row>
    <row r="23" spans="1:19">
      <c r="A23" s="253"/>
      <c r="B23" s="262">
        <v>5650019</v>
      </c>
      <c r="C23" s="263" t="s">
        <v>842</v>
      </c>
      <c r="D23" s="320">
        <v>429585.91000000003</v>
      </c>
      <c r="E23" s="320">
        <v>429585.89999999997</v>
      </c>
      <c r="F23" s="320">
        <v>429585.9</v>
      </c>
      <c r="G23" s="320">
        <v>429585.91</v>
      </c>
      <c r="H23" s="320">
        <v>429585.9</v>
      </c>
      <c r="I23" s="320">
        <v>429585.91000000003</v>
      </c>
      <c r="J23" s="320">
        <v>429585.9</v>
      </c>
      <c r="K23" s="320">
        <v>429585.9</v>
      </c>
      <c r="L23" s="320">
        <v>429585.9</v>
      </c>
      <c r="M23" s="320">
        <v>456996.24</v>
      </c>
      <c r="N23" s="320">
        <v>452584.95</v>
      </c>
      <c r="O23" s="320">
        <v>448173.69</v>
      </c>
      <c r="Q23" s="310">
        <f t="shared" si="0"/>
        <v>5224028.0100000007</v>
      </c>
      <c r="R23" s="313"/>
    </row>
    <row r="24" spans="1:19">
      <c r="A24" s="253"/>
      <c r="B24" s="262"/>
      <c r="C24" s="294"/>
      <c r="D24" s="320"/>
      <c r="E24" s="320"/>
      <c r="F24" s="320"/>
      <c r="G24" s="320"/>
      <c r="H24" s="320"/>
      <c r="I24" s="320"/>
      <c r="J24" s="320"/>
      <c r="K24" s="320"/>
      <c r="L24" s="320"/>
      <c r="M24" s="320"/>
      <c r="N24" s="320"/>
      <c r="O24" s="320"/>
      <c r="Q24" s="310"/>
    </row>
    <row r="25" spans="1:19">
      <c r="A25" s="253"/>
      <c r="B25" s="253"/>
      <c r="C25" s="276"/>
      <c r="D25" s="319">
        <v>9632077.370000001</v>
      </c>
      <c r="E25" s="319">
        <v>9914760.6500000004</v>
      </c>
      <c r="F25" s="319">
        <v>9599376.4199999999</v>
      </c>
      <c r="G25" s="319">
        <v>9950858.2800000012</v>
      </c>
      <c r="H25" s="319">
        <v>9884199.7000000011</v>
      </c>
      <c r="I25" s="319">
        <v>9643065.0300000012</v>
      </c>
      <c r="J25" s="319">
        <v>9913414.6400000006</v>
      </c>
      <c r="K25" s="319">
        <v>9697481.0200000014</v>
      </c>
      <c r="L25" s="319">
        <v>9906990.1500000004</v>
      </c>
      <c r="M25" s="319">
        <v>12221222.819999998</v>
      </c>
      <c r="N25" s="319">
        <v>10156515</v>
      </c>
      <c r="O25" s="319">
        <v>11623989.4</v>
      </c>
      <c r="Q25" s="319">
        <f>SUM(Q13:Q24)</f>
        <v>122143950.47999999</v>
      </c>
      <c r="R25" s="313"/>
    </row>
    <row r="26" spans="1:19">
      <c r="A26" s="253"/>
      <c r="B26" s="262"/>
      <c r="C26" s="315"/>
      <c r="Q26" s="317"/>
      <c r="S26" s="318"/>
    </row>
    <row r="27" spans="1:19">
      <c r="A27" s="253"/>
      <c r="B27" s="262"/>
      <c r="C27" s="276" t="s">
        <v>841</v>
      </c>
      <c r="D27" s="314">
        <v>1557369.370000001</v>
      </c>
      <c r="E27" s="314">
        <v>1840052.6500000004</v>
      </c>
      <c r="F27" s="314">
        <v>1524668.42</v>
      </c>
      <c r="G27" s="314">
        <v>1876150.2800000012</v>
      </c>
      <c r="H27" s="314">
        <v>1809491.7000000011</v>
      </c>
      <c r="I27" s="314">
        <v>1568357.0300000012</v>
      </c>
      <c r="J27" s="314">
        <v>1838706.6400000006</v>
      </c>
      <c r="K27" s="314">
        <v>1622773.0200000014</v>
      </c>
      <c r="L27" s="314">
        <v>1832282.1500000004</v>
      </c>
      <c r="M27" s="314">
        <v>4146514.8199999984</v>
      </c>
      <c r="N27" s="314">
        <v>2081807</v>
      </c>
      <c r="O27" s="314">
        <v>3549281.4000000004</v>
      </c>
      <c r="Q27" s="310">
        <f>Q25-Q10</f>
        <v>25247454.479999989</v>
      </c>
      <c r="R27" s="291" t="s">
        <v>816</v>
      </c>
      <c r="S27" s="318"/>
    </row>
    <row r="28" spans="1:19">
      <c r="A28" s="306"/>
      <c r="B28" s="306"/>
      <c r="C28" s="315"/>
    </row>
    <row r="29" spans="1:19">
      <c r="A29" s="306"/>
      <c r="B29" s="306"/>
      <c r="C29" s="276" t="s">
        <v>840</v>
      </c>
      <c r="D29" s="307">
        <v>33926.342302877529</v>
      </c>
      <c r="E29" s="307">
        <v>33926.342302877529</v>
      </c>
      <c r="F29" s="307">
        <v>33926.342302877529</v>
      </c>
      <c r="G29" s="307">
        <v>33926.342302877529</v>
      </c>
      <c r="H29" s="307">
        <v>33926.342302877529</v>
      </c>
      <c r="I29" s="307">
        <v>33926.342302877529</v>
      </c>
      <c r="J29" s="307">
        <v>33926.342302877529</v>
      </c>
      <c r="K29" s="307">
        <v>33926.342302877529</v>
      </c>
      <c r="L29" s="307">
        <v>33926.342302877529</v>
      </c>
      <c r="M29" s="307">
        <v>34005.292251195679</v>
      </c>
      <c r="N29" s="307">
        <v>34005.292251195679</v>
      </c>
      <c r="O29" s="307">
        <v>34005.292251195679</v>
      </c>
      <c r="Q29" s="310">
        <f>SUM(D29:P29)</f>
        <v>407352.95747948479</v>
      </c>
      <c r="R29" s="291" t="s">
        <v>816</v>
      </c>
    </row>
    <row r="30" spans="1:19">
      <c r="A30" s="306"/>
      <c r="B30" s="306"/>
      <c r="C30" s="315"/>
    </row>
    <row r="31" spans="1:19">
      <c r="A31" s="306"/>
      <c r="B31" s="306"/>
      <c r="C31" s="276" t="s">
        <v>839</v>
      </c>
      <c r="D31" s="302">
        <v>833333.33</v>
      </c>
      <c r="E31" s="302">
        <v>833333.33</v>
      </c>
      <c r="F31" s="302">
        <v>833333.33</v>
      </c>
      <c r="G31" s="302">
        <v>833333.33</v>
      </c>
      <c r="H31" s="302">
        <v>833333.33</v>
      </c>
      <c r="I31" s="302">
        <v>833333.33</v>
      </c>
      <c r="J31" s="302">
        <v>833333.33</v>
      </c>
      <c r="K31" s="302">
        <v>833333.33</v>
      </c>
      <c r="L31" s="302">
        <v>215053.76</v>
      </c>
      <c r="Q31" s="310">
        <f>SUM(D31:P31)</f>
        <v>6881720.3999999994</v>
      </c>
      <c r="R31" s="291" t="s">
        <v>838</v>
      </c>
    </row>
    <row r="32" spans="1:19">
      <c r="A32" s="306"/>
      <c r="B32" s="306"/>
      <c r="C32" s="276"/>
    </row>
    <row r="33" spans="1:19">
      <c r="A33" s="306"/>
      <c r="B33" s="306"/>
      <c r="C33" s="276" t="s">
        <v>823</v>
      </c>
      <c r="D33" s="307">
        <v>0</v>
      </c>
      <c r="E33" s="307">
        <v>0</v>
      </c>
      <c r="F33" s="307">
        <v>0</v>
      </c>
      <c r="G33" s="307">
        <v>0</v>
      </c>
      <c r="H33" s="307">
        <v>0</v>
      </c>
      <c r="I33" s="307">
        <v>0</v>
      </c>
      <c r="J33" s="307">
        <v>0</v>
      </c>
      <c r="K33" s="307">
        <v>0</v>
      </c>
      <c r="L33" s="307">
        <v>837120.22</v>
      </c>
      <c r="M33" s="307">
        <v>1128292.47</v>
      </c>
      <c r="N33" s="307">
        <v>1128292.47</v>
      </c>
      <c r="O33" s="307">
        <v>1128292.47</v>
      </c>
      <c r="Q33" s="310">
        <f>SUM(D33:P33)</f>
        <v>4221997.63</v>
      </c>
      <c r="R33" s="297" t="s">
        <v>822</v>
      </c>
    </row>
    <row r="34" spans="1:19">
      <c r="A34" s="306"/>
      <c r="B34" s="306"/>
      <c r="C34" s="276"/>
    </row>
    <row r="35" spans="1:19">
      <c r="A35" s="306"/>
      <c r="B35" s="306"/>
      <c r="C35" s="276" t="s">
        <v>799</v>
      </c>
      <c r="D35" s="307">
        <v>0</v>
      </c>
      <c r="E35" s="307">
        <v>0</v>
      </c>
      <c r="F35" s="307">
        <v>0</v>
      </c>
      <c r="G35" s="307">
        <v>0</v>
      </c>
      <c r="H35" s="307">
        <v>0</v>
      </c>
      <c r="I35" s="307">
        <v>0</v>
      </c>
      <c r="J35" s="307">
        <v>0</v>
      </c>
      <c r="K35" s="307">
        <v>0</v>
      </c>
      <c r="L35" s="307">
        <v>1408789.8975806453</v>
      </c>
      <c r="M35" s="307">
        <v>1898803.78</v>
      </c>
      <c r="N35" s="307">
        <v>1898803.78</v>
      </c>
      <c r="O35" s="307">
        <v>1898803.78</v>
      </c>
      <c r="Q35" s="310">
        <f>SUM(D35:P35)</f>
        <v>7105201.2375806458</v>
      </c>
      <c r="R35" s="291" t="s">
        <v>824</v>
      </c>
    </row>
    <row r="36" spans="1:19">
      <c r="A36" s="306"/>
      <c r="B36" s="306"/>
      <c r="C36" s="276"/>
    </row>
    <row r="37" spans="1:19">
      <c r="A37" s="306"/>
      <c r="B37" s="306"/>
      <c r="C37" s="276" t="s">
        <v>837</v>
      </c>
      <c r="D37" s="307">
        <v>0</v>
      </c>
      <c r="E37" s="307">
        <v>0</v>
      </c>
      <c r="F37" s="307">
        <v>0</v>
      </c>
      <c r="G37" s="307">
        <v>0</v>
      </c>
      <c r="H37" s="307">
        <v>0</v>
      </c>
      <c r="I37" s="307">
        <v>0</v>
      </c>
      <c r="J37" s="307">
        <v>0</v>
      </c>
      <c r="K37" s="307">
        <v>0</v>
      </c>
      <c r="L37" s="307">
        <v>-2524506.0363709675</v>
      </c>
      <c r="M37" s="307">
        <v>-3402595.09</v>
      </c>
      <c r="N37" s="307">
        <v>-3402595.09</v>
      </c>
      <c r="O37" s="307">
        <v>-3402595.09</v>
      </c>
      <c r="Q37" s="310">
        <f>SUM(D37:P37)</f>
        <v>-12732291.306370966</v>
      </c>
      <c r="R37" s="291" t="s">
        <v>836</v>
      </c>
    </row>
    <row r="38" spans="1:19">
      <c r="A38" s="306"/>
      <c r="B38" s="306"/>
      <c r="C38" s="276"/>
      <c r="Q38" s="317"/>
    </row>
    <row r="39" spans="1:19">
      <c r="A39" s="306"/>
      <c r="B39" s="306"/>
      <c r="C39" s="276" t="s">
        <v>794</v>
      </c>
      <c r="D39" s="292">
        <v>54175.82</v>
      </c>
      <c r="E39" s="292">
        <v>54175.82</v>
      </c>
      <c r="F39" s="292">
        <v>54175.82</v>
      </c>
      <c r="G39" s="292">
        <v>54175.82</v>
      </c>
      <c r="H39" s="292">
        <v>54175.82</v>
      </c>
      <c r="I39" s="292">
        <v>54175.82</v>
      </c>
      <c r="J39" s="292"/>
      <c r="K39" s="292"/>
      <c r="L39" s="292"/>
      <c r="Q39" s="310">
        <f>SUM(D39:P39)</f>
        <v>325054.92</v>
      </c>
      <c r="R39" s="291" t="s">
        <v>825</v>
      </c>
    </row>
    <row r="40" spans="1:19">
      <c r="A40" s="306"/>
      <c r="B40" s="306"/>
      <c r="C40" s="276"/>
      <c r="Q40" s="317"/>
    </row>
    <row r="41" spans="1:19">
      <c r="A41" s="306"/>
      <c r="B41" s="306"/>
      <c r="C41" s="276" t="s">
        <v>835</v>
      </c>
      <c r="D41" s="316">
        <v>105767</v>
      </c>
      <c r="E41" s="316">
        <v>105767</v>
      </c>
      <c r="F41" s="316">
        <v>105767</v>
      </c>
      <c r="G41" s="316">
        <v>105767</v>
      </c>
      <c r="H41" s="316">
        <v>105767</v>
      </c>
      <c r="I41" s="316">
        <v>105767</v>
      </c>
      <c r="J41" s="316">
        <v>105767</v>
      </c>
      <c r="K41" s="316">
        <v>105767</v>
      </c>
      <c r="L41" s="316">
        <v>105767</v>
      </c>
      <c r="M41" s="316">
        <v>105767</v>
      </c>
      <c r="N41" s="316">
        <v>105767</v>
      </c>
      <c r="O41" s="316">
        <v>105767</v>
      </c>
      <c r="Q41" s="310">
        <f>SUM(D41:P41)</f>
        <v>1269204</v>
      </c>
      <c r="R41" s="313"/>
    </row>
    <row r="42" spans="1:19">
      <c r="A42" s="306"/>
      <c r="B42" s="306"/>
      <c r="C42" s="315"/>
      <c r="Q42" s="311"/>
    </row>
    <row r="43" spans="1:19">
      <c r="A43" s="253"/>
      <c r="B43" s="262"/>
      <c r="C43" s="315" t="s">
        <v>834</v>
      </c>
      <c r="D43" s="314">
        <v>89868.52</v>
      </c>
      <c r="E43" s="314">
        <v>426653.57</v>
      </c>
      <c r="F43" s="314">
        <v>94990.399999999994</v>
      </c>
      <c r="G43" s="314">
        <v>891306.23</v>
      </c>
      <c r="H43" s="314">
        <v>1779426.9</v>
      </c>
      <c r="I43" s="314">
        <v>56771.46</v>
      </c>
      <c r="J43" s="314">
        <v>50180.1</v>
      </c>
      <c r="K43" s="314">
        <v>88592.4</v>
      </c>
      <c r="L43" s="314">
        <v>62804.65</v>
      </c>
      <c r="M43" s="314">
        <v>1317352.44</v>
      </c>
      <c r="N43" s="314">
        <v>75205.399999999994</v>
      </c>
      <c r="O43" s="314">
        <v>321338.40000000002</v>
      </c>
      <c r="Q43" s="310">
        <f>SUM(D43:P43)</f>
        <v>5254490.4700000007</v>
      </c>
      <c r="R43" s="313"/>
    </row>
    <row r="44" spans="1:19">
      <c r="A44" s="253"/>
      <c r="B44" s="262"/>
      <c r="C44" s="315" t="s">
        <v>833</v>
      </c>
      <c r="D44" s="314">
        <v>-1471362.47</v>
      </c>
      <c r="E44" s="314">
        <v>-89868.52</v>
      </c>
      <c r="F44" s="314">
        <v>-426653.57</v>
      </c>
      <c r="G44" s="314">
        <v>-94990.399999999994</v>
      </c>
      <c r="H44" s="314">
        <v>-891306.23</v>
      </c>
      <c r="I44" s="314">
        <v>-1779426.9</v>
      </c>
      <c r="J44" s="314">
        <v>-56771.46</v>
      </c>
      <c r="K44" s="314">
        <v>-50180.1</v>
      </c>
      <c r="L44" s="314">
        <v>-88592.4</v>
      </c>
      <c r="M44" s="314">
        <v>-62804.65</v>
      </c>
      <c r="N44" s="314">
        <v>-1317352.44</v>
      </c>
      <c r="O44" s="314">
        <v>-75205.399999999994</v>
      </c>
      <c r="Q44" s="310">
        <f>SUM(D44:P44)</f>
        <v>-6404514.540000001</v>
      </c>
      <c r="R44" s="313"/>
      <c r="S44" s="312"/>
    </row>
    <row r="45" spans="1:19">
      <c r="A45" s="253"/>
      <c r="B45" s="262"/>
      <c r="C45" s="253" t="s">
        <v>832</v>
      </c>
      <c r="D45" s="314">
        <v>1472747.51</v>
      </c>
      <c r="E45" s="314">
        <v>89931.71</v>
      </c>
      <c r="F45" s="314">
        <v>427568.92</v>
      </c>
      <c r="G45" s="314">
        <v>94716.55</v>
      </c>
      <c r="H45" s="314">
        <v>889964.28</v>
      </c>
      <c r="I45" s="314">
        <v>1782738.92</v>
      </c>
      <c r="J45" s="314">
        <v>56788.98</v>
      </c>
      <c r="K45" s="314">
        <v>50218.15</v>
      </c>
      <c r="L45" s="314">
        <v>88510.09</v>
      </c>
      <c r="M45" s="314">
        <v>62647.45</v>
      </c>
      <c r="N45" s="314">
        <v>1317581.07</v>
      </c>
      <c r="O45" s="314">
        <v>75063.88</v>
      </c>
      <c r="Q45" s="310">
        <f>SUM(D45:P45)</f>
        <v>6408477.5100000007</v>
      </c>
      <c r="R45" s="313"/>
    </row>
    <row r="46" spans="1:19">
      <c r="A46" s="253"/>
      <c r="B46" s="262"/>
      <c r="C46" s="253" t="s">
        <v>831</v>
      </c>
      <c r="D46" s="314">
        <v>91253.560000000056</v>
      </c>
      <c r="E46" s="314">
        <v>426716.76</v>
      </c>
      <c r="F46" s="314">
        <v>95905.749999999942</v>
      </c>
      <c r="G46" s="314">
        <v>891032.38</v>
      </c>
      <c r="H46" s="314">
        <v>1778084.95</v>
      </c>
      <c r="I46" s="314">
        <v>60083.479999999981</v>
      </c>
      <c r="J46" s="314">
        <v>50197.62</v>
      </c>
      <c r="K46" s="314">
        <v>88630.45</v>
      </c>
      <c r="L46" s="314">
        <v>62722.340000000004</v>
      </c>
      <c r="M46" s="314">
        <v>1317195.24</v>
      </c>
      <c r="N46" s="314">
        <v>75434.030000000028</v>
      </c>
      <c r="O46" s="314">
        <v>321196.88</v>
      </c>
      <c r="Q46" s="310">
        <f>SUM(D46:P46)</f>
        <v>5258453.4400000004</v>
      </c>
      <c r="R46" s="313"/>
      <c r="S46" s="312"/>
    </row>
    <row r="47" spans="1:19">
      <c r="A47" s="253"/>
      <c r="B47" s="253"/>
    </row>
    <row r="48" spans="1:19">
      <c r="A48" s="253"/>
      <c r="B48" s="253"/>
      <c r="C48" s="253" t="s">
        <v>830</v>
      </c>
      <c r="D48" s="311">
        <v>-14513.439999999944</v>
      </c>
      <c r="E48" s="311">
        <v>320949.76000000001</v>
      </c>
      <c r="F48" s="311">
        <v>-9861.2500000000582</v>
      </c>
      <c r="G48" s="311">
        <v>785265.38</v>
      </c>
      <c r="H48" s="311">
        <v>1672317.95</v>
      </c>
      <c r="I48" s="311">
        <v>-45683.520000000019</v>
      </c>
      <c r="J48" s="311">
        <v>-55569.38</v>
      </c>
      <c r="K48" s="311">
        <v>-17136.550000000003</v>
      </c>
      <c r="L48" s="311">
        <v>-43044.659999999996</v>
      </c>
      <c r="M48" s="311">
        <v>1211428.24</v>
      </c>
      <c r="N48" s="311">
        <v>-30332.969999999972</v>
      </c>
      <c r="O48" s="311">
        <v>215429.88</v>
      </c>
      <c r="Q48" s="310">
        <f>Q46-Q41</f>
        <v>3989249.4400000004</v>
      </c>
      <c r="R48" s="291" t="s">
        <v>816</v>
      </c>
    </row>
    <row r="49" spans="1:18">
      <c r="A49" s="253"/>
      <c r="B49" s="253"/>
    </row>
    <row r="50" spans="1:18" ht="16" thickBot="1">
      <c r="A50" s="306"/>
      <c r="B50" s="306"/>
      <c r="C50" s="276" t="s">
        <v>829</v>
      </c>
      <c r="D50" s="309">
        <f t="shared" ref="D50:O50" si="1">(D27-D29)+D33+D35+D37+D39+D48</f>
        <v>1563105.4076971237</v>
      </c>
      <c r="E50" s="309">
        <f t="shared" si="1"/>
        <v>2181251.887697123</v>
      </c>
      <c r="F50" s="309">
        <f t="shared" si="1"/>
        <v>1535056.6476971225</v>
      </c>
      <c r="G50" s="309">
        <f t="shared" si="1"/>
        <v>2681665.1376971239</v>
      </c>
      <c r="H50" s="309">
        <f t="shared" si="1"/>
        <v>3502059.1276971237</v>
      </c>
      <c r="I50" s="309">
        <f t="shared" si="1"/>
        <v>1542922.9876971238</v>
      </c>
      <c r="J50" s="309">
        <f t="shared" si="1"/>
        <v>1749210.9176971233</v>
      </c>
      <c r="K50" s="309">
        <f t="shared" si="1"/>
        <v>1571710.1276971239</v>
      </c>
      <c r="L50" s="309">
        <f t="shared" si="1"/>
        <v>1476715.2289068003</v>
      </c>
      <c r="M50" s="309">
        <f t="shared" si="1"/>
        <v>4948438.927748803</v>
      </c>
      <c r="N50" s="309">
        <f t="shared" si="1"/>
        <v>1641969.8977488044</v>
      </c>
      <c r="O50" s="309">
        <f t="shared" si="1"/>
        <v>3355207.1477488047</v>
      </c>
      <c r="Q50" s="309">
        <f>(Q27-Q29)+Q33+Q35+Q37+Q39+Q48</f>
        <v>27749313.443730187</v>
      </c>
      <c r="R50" s="295"/>
    </row>
    <row r="51" spans="1:18" ht="16" thickTop="1">
      <c r="A51" s="306"/>
      <c r="B51" s="306"/>
      <c r="C51" s="276"/>
      <c r="R51" s="308" t="s">
        <v>828</v>
      </c>
    </row>
    <row r="52" spans="1:18">
      <c r="A52" s="306"/>
      <c r="B52" s="306"/>
      <c r="C52" s="306" t="s">
        <v>827</v>
      </c>
      <c r="D52" s="307">
        <f t="shared" ref="D52:O52" si="2">D50-D8</f>
        <v>-109970.4716686036</v>
      </c>
      <c r="E52" s="307">
        <f t="shared" si="2"/>
        <v>-186337.04849343281</v>
      </c>
      <c r="F52" s="307">
        <f t="shared" si="2"/>
        <v>238149.81396989455</v>
      </c>
      <c r="G52" s="307">
        <f t="shared" si="2"/>
        <v>616905.18727108836</v>
      </c>
      <c r="H52" s="307">
        <f t="shared" si="2"/>
        <v>1407730.8522799606</v>
      </c>
      <c r="I52" s="307">
        <f t="shared" si="2"/>
        <v>43164.444014150882</v>
      </c>
      <c r="J52" s="307">
        <f t="shared" si="2"/>
        <v>-320612.80833739717</v>
      </c>
      <c r="K52" s="307">
        <f t="shared" si="2"/>
        <v>-899453.33852412994</v>
      </c>
      <c r="L52" s="307">
        <f t="shared" si="2"/>
        <v>-1074188.7786291561</v>
      </c>
      <c r="M52" s="307">
        <f t="shared" si="2"/>
        <v>4333293.1985246306</v>
      </c>
      <c r="N52" s="307">
        <f t="shared" si="2"/>
        <v>450146.24432329391</v>
      </c>
      <c r="O52" s="307">
        <f t="shared" si="2"/>
        <v>2228531.0028159237</v>
      </c>
      <c r="Q52" s="307">
        <f>Q50-Q8</f>
        <v>6727358.2975462116</v>
      </c>
      <c r="R52" s="291" t="s">
        <v>816</v>
      </c>
    </row>
    <row r="53" spans="1:18">
      <c r="A53" s="253"/>
      <c r="B53" s="253"/>
    </row>
    <row r="54" spans="1:18">
      <c r="A54" s="306"/>
      <c r="B54" s="306"/>
      <c r="C54" s="276"/>
    </row>
    <row r="55" spans="1:18">
      <c r="A55" s="305"/>
      <c r="B55" s="304"/>
      <c r="C55" s="303" t="s">
        <v>826</v>
      </c>
      <c r="D55" s="302">
        <v>32289824.525676489</v>
      </c>
      <c r="E55" s="302">
        <v>32936820.807183053</v>
      </c>
      <c r="F55" s="302">
        <v>34008303.951152951</v>
      </c>
      <c r="G55" s="302">
        <v>35458542.468424037</v>
      </c>
      <c r="H55" s="302">
        <v>37699606.650703996</v>
      </c>
      <c r="I55" s="302">
        <v>38576104.424718149</v>
      </c>
      <c r="J55" s="302">
        <v>39088824.946380749</v>
      </c>
      <c r="K55" s="302">
        <v>39022704.937856615</v>
      </c>
      <c r="L55" s="302">
        <v>38163569.919227459</v>
      </c>
      <c r="M55" s="302">
        <v>42496863.118524633</v>
      </c>
      <c r="N55" s="302">
        <v>42947009.362847924</v>
      </c>
      <c r="O55" s="302">
        <v>45175540.365663849</v>
      </c>
      <c r="Q55" s="301">
        <f>+Q52+Q31+Q66</f>
        <v>45175540.359546214</v>
      </c>
    </row>
    <row r="58" spans="1:18">
      <c r="P58" s="299" t="s">
        <v>798</v>
      </c>
      <c r="Q58" s="257">
        <f>SUM(W09_PG_5_of_5!N77:N80)</f>
        <v>557769.89</v>
      </c>
      <c r="R58" s="291" t="s">
        <v>825</v>
      </c>
    </row>
    <row r="59" spans="1:18">
      <c r="P59" s="299" t="s">
        <v>797</v>
      </c>
      <c r="Q59" s="257">
        <f>SUM(W09_PG_5_of_5!O77:O80)</f>
        <v>551944.61</v>
      </c>
      <c r="R59" s="291" t="s">
        <v>824</v>
      </c>
    </row>
    <row r="60" spans="1:18">
      <c r="P60" s="299" t="s">
        <v>823</v>
      </c>
      <c r="Q60" s="300">
        <f>W09_PG_4_of_5!B8+W09_PG_4_of_5!B9+W09_PG_4_of_5!B10+W09_PG_4_of_5!B11</f>
        <v>2631871.3359381687</v>
      </c>
      <c r="R60" s="291" t="s">
        <v>816</v>
      </c>
    </row>
    <row r="61" spans="1:18">
      <c r="P61" s="299" t="s">
        <v>796</v>
      </c>
      <c r="Q61" s="300">
        <f>W09_PG_4_of_5!E8+W09_PG_4_of_5!E9+W09_PG_4_of_5!E10+W09_PG_4_of_5!E11</f>
        <v>245701.75276715861</v>
      </c>
      <c r="R61" s="291" t="s">
        <v>825</v>
      </c>
    </row>
    <row r="62" spans="1:18">
      <c r="P62" s="299" t="s">
        <v>795</v>
      </c>
      <c r="Q62" s="257">
        <f>SUM(W09_PG_5_of_5!W77:W80)</f>
        <v>234710.02895521774</v>
      </c>
      <c r="R62" s="291" t="s">
        <v>824</v>
      </c>
    </row>
    <row r="63" spans="1:18">
      <c r="P63" s="299" t="s">
        <v>823</v>
      </c>
      <c r="Q63" s="298">
        <f>SUM(Q58:Q62)</f>
        <v>4221997.6176605448</v>
      </c>
      <c r="R63" s="297" t="s">
        <v>822</v>
      </c>
    </row>
    <row r="64" spans="1:18">
      <c r="Q64" s="296"/>
      <c r="R64" s="295"/>
    </row>
    <row r="65" spans="1:18">
      <c r="Q65" s="294" t="s">
        <v>821</v>
      </c>
    </row>
    <row r="66" spans="1:18">
      <c r="Q66" s="293">
        <v>31566461.662</v>
      </c>
      <c r="R66" s="291" t="s">
        <v>820</v>
      </c>
    </row>
    <row r="67" spans="1:18">
      <c r="Q67" s="293">
        <f>Q52</f>
        <v>6727358.2975462116</v>
      </c>
      <c r="R67" s="291" t="s">
        <v>819</v>
      </c>
    </row>
    <row r="68" spans="1:18">
      <c r="Q68" s="293">
        <f>Q31</f>
        <v>6881720.3999999994</v>
      </c>
      <c r="R68" s="291" t="s">
        <v>818</v>
      </c>
    </row>
    <row r="69" spans="1:18">
      <c r="Q69" s="292">
        <f>SUM(Q66:Q68)</f>
        <v>45175540.359546207</v>
      </c>
      <c r="R69" s="291" t="s">
        <v>817</v>
      </c>
    </row>
    <row r="70" spans="1:18">
      <c r="A70" s="44" t="s">
        <v>2</v>
      </c>
      <c r="B70" s="44" t="s">
        <v>3</v>
      </c>
      <c r="Q70" s="292"/>
    </row>
  </sheetData>
  <pageMargins left="0.7" right="0.7" top="0.75" bottom="0.75" header="0.3" footer="0.3"/>
  <pageSetup orientation="portrait" horizontalDpi="300" verticalDpi="1200"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9F92C-86D2-4FFA-A145-E9BA77189370}">
  <dimension ref="A1:F35"/>
  <sheetViews>
    <sheetView showRuler="0" workbookViewId="0">
      <selection sqref="A1:D1"/>
    </sheetView>
  </sheetViews>
  <sheetFormatPr defaultColWidth="13.7265625" defaultRowHeight="12.5"/>
  <cols>
    <col min="1" max="1" width="29.54296875" style="41" customWidth="1"/>
    <col min="2" max="2" width="19.81640625" style="41" customWidth="1"/>
    <col min="3" max="3" width="14.81640625" style="41" customWidth="1"/>
    <col min="4" max="4" width="23.7265625" style="41" customWidth="1"/>
    <col min="5" max="16384" width="13.7265625" style="41"/>
  </cols>
  <sheetData>
    <row r="1" spans="1:6" ht="16.75" customHeight="1">
      <c r="A1" s="711" t="s">
        <v>0</v>
      </c>
      <c r="B1" s="711"/>
      <c r="C1" s="711"/>
      <c r="D1" s="54"/>
      <c r="E1" s="54"/>
      <c r="F1" s="54"/>
    </row>
    <row r="2" spans="1:6" ht="16.75" customHeight="1">
      <c r="A2" s="712" t="s">
        <v>719</v>
      </c>
      <c r="B2" s="712"/>
      <c r="C2" s="712"/>
      <c r="D2" s="712"/>
      <c r="E2" s="712"/>
      <c r="F2" s="54"/>
    </row>
    <row r="3" spans="1:6" ht="16.75" customHeight="1">
      <c r="A3" s="712" t="s">
        <v>722</v>
      </c>
      <c r="B3" s="712"/>
      <c r="C3" s="712"/>
      <c r="D3" s="712"/>
      <c r="E3" s="712"/>
      <c r="F3" s="712"/>
    </row>
    <row r="4" spans="1:6" ht="16.75" customHeight="1">
      <c r="A4" s="711" t="s">
        <v>119</v>
      </c>
      <c r="B4" s="711"/>
      <c r="C4" s="711"/>
      <c r="D4" s="711"/>
      <c r="E4" s="54"/>
      <c r="F4" s="54"/>
    </row>
    <row r="5" spans="1:6" ht="15" customHeight="1"/>
    <row r="6" spans="1:6" ht="15" customHeight="1">
      <c r="A6" s="93" t="s">
        <v>260</v>
      </c>
      <c r="B6" s="93" t="s">
        <v>259</v>
      </c>
      <c r="C6" s="59"/>
      <c r="D6" s="54"/>
      <c r="E6" s="54"/>
    </row>
    <row r="7" spans="1:6" ht="15" customHeight="1">
      <c r="A7" s="48"/>
      <c r="B7" s="58"/>
      <c r="C7" s="54"/>
      <c r="D7" s="54"/>
      <c r="E7" s="54"/>
    </row>
    <row r="8" spans="1:6" ht="15" customHeight="1">
      <c r="A8" s="93" t="s">
        <v>179</v>
      </c>
      <c r="B8" s="109"/>
      <c r="C8" s="65"/>
      <c r="D8" s="65"/>
      <c r="E8" s="65"/>
    </row>
    <row r="9" spans="1:6" ht="15" customHeight="1">
      <c r="A9" s="93" t="s">
        <v>177</v>
      </c>
      <c r="B9" s="93" t="s">
        <v>717</v>
      </c>
      <c r="C9" s="93" t="s">
        <v>306</v>
      </c>
      <c r="D9" s="93" t="s">
        <v>407</v>
      </c>
      <c r="E9" s="93" t="s">
        <v>158</v>
      </c>
      <c r="F9" s="59"/>
    </row>
    <row r="10" spans="1:6" ht="15" customHeight="1">
      <c r="A10" s="117">
        <v>1823196</v>
      </c>
      <c r="B10" s="93" t="s">
        <v>721</v>
      </c>
      <c r="C10" s="117">
        <v>2022</v>
      </c>
      <c r="D10" s="165">
        <v>6</v>
      </c>
      <c r="E10" s="56">
        <v>-4112.75</v>
      </c>
    </row>
    <row r="11" spans="1:6" ht="15" customHeight="1">
      <c r="A11" s="58"/>
      <c r="B11" s="58"/>
      <c r="C11" s="58"/>
      <c r="D11" s="61">
        <v>9</v>
      </c>
      <c r="E11" s="52">
        <v>-4112.75</v>
      </c>
    </row>
    <row r="12" spans="1:6" ht="15" customHeight="1">
      <c r="A12" s="54"/>
      <c r="B12" s="54"/>
      <c r="C12" s="65"/>
      <c r="D12" s="61">
        <v>12</v>
      </c>
      <c r="E12" s="52">
        <v>-4112.75</v>
      </c>
    </row>
    <row r="13" spans="1:6" ht="15" customHeight="1">
      <c r="A13" s="54"/>
      <c r="B13" s="137"/>
      <c r="C13" s="117">
        <v>2023</v>
      </c>
      <c r="D13" s="181">
        <v>3</v>
      </c>
      <c r="E13" s="89">
        <v>-4112.75</v>
      </c>
    </row>
    <row r="14" spans="1:6" ht="15" customHeight="1" thickBot="1">
      <c r="A14" s="54" t="s">
        <v>172</v>
      </c>
      <c r="B14" s="54"/>
      <c r="C14" s="58"/>
      <c r="D14" s="54"/>
      <c r="E14" s="105">
        <f>SUM(E10:E13)</f>
        <v>-16451</v>
      </c>
    </row>
    <row r="15" spans="1:6" ht="15" customHeight="1" thickTop="1">
      <c r="E15" s="63"/>
    </row>
    <row r="16" spans="1:6" ht="15" customHeight="1"/>
    <row r="17" spans="1:6" ht="15" customHeight="1">
      <c r="A17" s="93" t="s">
        <v>260</v>
      </c>
      <c r="B17" s="93" t="s">
        <v>259</v>
      </c>
      <c r="C17" s="59"/>
      <c r="D17" s="54"/>
      <c r="E17" s="54"/>
    </row>
    <row r="18" spans="1:6" ht="15" customHeight="1">
      <c r="A18" s="48"/>
      <c r="B18" s="58"/>
      <c r="C18" s="54"/>
      <c r="D18" s="54"/>
      <c r="E18" s="54"/>
    </row>
    <row r="19" spans="1:6" ht="15" customHeight="1">
      <c r="A19" s="93" t="s">
        <v>179</v>
      </c>
      <c r="B19" s="109"/>
      <c r="C19" s="65"/>
      <c r="D19" s="65"/>
      <c r="E19" s="65"/>
    </row>
    <row r="20" spans="1:6" ht="15" customHeight="1">
      <c r="A20" s="93" t="s">
        <v>177</v>
      </c>
      <c r="B20" s="93" t="s">
        <v>717</v>
      </c>
      <c r="C20" s="93" t="s">
        <v>306</v>
      </c>
      <c r="D20" s="93" t="s">
        <v>407</v>
      </c>
      <c r="E20" s="93" t="s">
        <v>158</v>
      </c>
      <c r="F20" s="59"/>
    </row>
    <row r="21" spans="1:6" ht="39.25" customHeight="1">
      <c r="A21" s="117">
        <v>1823571</v>
      </c>
      <c r="B21" s="93" t="s">
        <v>720</v>
      </c>
      <c r="C21" s="117">
        <v>2022</v>
      </c>
      <c r="D21" s="165">
        <v>4</v>
      </c>
      <c r="E21" s="56">
        <v>-8429.3799999999992</v>
      </c>
    </row>
    <row r="22" spans="1:6" ht="15" customHeight="1">
      <c r="A22" s="58"/>
      <c r="B22" s="58"/>
      <c r="C22" s="58"/>
      <c r="D22" s="61">
        <v>5</v>
      </c>
      <c r="E22" s="52">
        <v>-8429.3799999999992</v>
      </c>
    </row>
    <row r="23" spans="1:6" ht="15" customHeight="1">
      <c r="A23" s="54"/>
      <c r="B23" s="54"/>
      <c r="C23" s="54"/>
      <c r="D23" s="61">
        <v>6</v>
      </c>
      <c r="E23" s="52">
        <v>-8429.3799999999992</v>
      </c>
    </row>
    <row r="24" spans="1:6" ht="15" customHeight="1">
      <c r="A24" s="54"/>
      <c r="B24" s="54"/>
      <c r="C24" s="54"/>
      <c r="D24" s="61">
        <v>7</v>
      </c>
      <c r="E24" s="52">
        <v>-8429.3799999999992</v>
      </c>
    </row>
    <row r="25" spans="1:6" ht="15" customHeight="1">
      <c r="A25" s="54"/>
      <c r="B25" s="54"/>
      <c r="C25" s="54"/>
      <c r="D25" s="61">
        <v>8</v>
      </c>
      <c r="E25" s="52">
        <v>-8429.3799999999992</v>
      </c>
    </row>
    <row r="26" spans="1:6" ht="15" customHeight="1">
      <c r="A26" s="54"/>
      <c r="B26" s="54"/>
      <c r="C26" s="54"/>
      <c r="D26" s="61">
        <v>9</v>
      </c>
      <c r="E26" s="52">
        <v>-8429.3799999999992</v>
      </c>
    </row>
    <row r="27" spans="1:6" ht="15" customHeight="1">
      <c r="A27" s="54"/>
      <c r="B27" s="54"/>
      <c r="C27" s="54"/>
      <c r="D27" s="61">
        <v>10</v>
      </c>
      <c r="E27" s="52">
        <v>-8429.3799999999992</v>
      </c>
    </row>
    <row r="28" spans="1:6" ht="15" customHeight="1">
      <c r="A28" s="54"/>
      <c r="B28" s="54"/>
      <c r="C28" s="54"/>
      <c r="D28" s="61">
        <v>11</v>
      </c>
      <c r="E28" s="52">
        <v>-8429.3799999999992</v>
      </c>
    </row>
    <row r="29" spans="1:6" ht="15" customHeight="1">
      <c r="A29" s="54"/>
      <c r="B29" s="54"/>
      <c r="C29" s="65"/>
      <c r="D29" s="61">
        <v>12</v>
      </c>
      <c r="E29" s="52">
        <v>-8429.3799999999992</v>
      </c>
    </row>
    <row r="30" spans="1:6" ht="15" customHeight="1">
      <c r="A30" s="54"/>
      <c r="B30" s="137"/>
      <c r="C30" s="117">
        <v>2023</v>
      </c>
      <c r="D30" s="181">
        <v>1</v>
      </c>
      <c r="E30" s="52">
        <v>-8429.3799999999992</v>
      </c>
    </row>
    <row r="31" spans="1:6" ht="15" customHeight="1">
      <c r="A31" s="54"/>
      <c r="B31" s="54"/>
      <c r="C31" s="58"/>
      <c r="D31" s="61">
        <v>2</v>
      </c>
      <c r="E31" s="52">
        <v>-8429.3799999999992</v>
      </c>
    </row>
    <row r="32" spans="1:6" ht="15" customHeight="1">
      <c r="A32" s="54"/>
      <c r="B32" s="54"/>
      <c r="C32" s="54"/>
      <c r="D32" s="61">
        <v>3</v>
      </c>
      <c r="E32" s="89">
        <v>-8429.3799999999992</v>
      </c>
    </row>
    <row r="33" spans="1:5" ht="15" customHeight="1" thickBot="1">
      <c r="A33" s="54" t="s">
        <v>172</v>
      </c>
      <c r="B33" s="54"/>
      <c r="C33" s="54"/>
      <c r="D33" s="54"/>
      <c r="E33" s="105">
        <f>SUM(E21:E32)</f>
        <v>-101152.56000000001</v>
      </c>
    </row>
    <row r="34" spans="1:5" ht="15" customHeight="1" thickTop="1">
      <c r="A34" s="54"/>
      <c r="B34" s="54"/>
      <c r="C34" s="54"/>
      <c r="D34" s="54"/>
      <c r="E34" s="63"/>
    </row>
    <row r="35" spans="1:5" ht="15" customHeight="1">
      <c r="A35" s="72" t="s">
        <v>2</v>
      </c>
      <c r="B35" s="44" t="s">
        <v>3</v>
      </c>
    </row>
  </sheetData>
  <mergeCells count="4">
    <mergeCell ref="A1:C1"/>
    <mergeCell ref="A2:E2"/>
    <mergeCell ref="A3:F3"/>
    <mergeCell ref="A4:D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82E94-CF2D-4753-823C-683A8D6F4F4F}">
  <dimension ref="A1:H26"/>
  <sheetViews>
    <sheetView showRuler="0" workbookViewId="0">
      <selection sqref="A1:D1"/>
    </sheetView>
  </sheetViews>
  <sheetFormatPr defaultColWidth="13.7265625" defaultRowHeight="12.5"/>
  <cols>
    <col min="1" max="1" width="29.54296875" style="41" customWidth="1"/>
    <col min="2" max="2" width="16" style="41" customWidth="1"/>
    <col min="3" max="3" width="14.81640625" style="41" customWidth="1"/>
    <col min="4" max="4" width="23.7265625" style="41" customWidth="1"/>
    <col min="5" max="5" width="29" style="41" customWidth="1"/>
    <col min="6" max="6" width="30.7265625" style="41" customWidth="1"/>
    <col min="7" max="7" width="13.54296875" style="41" customWidth="1"/>
    <col min="8" max="16384" width="13.7265625" style="41"/>
  </cols>
  <sheetData>
    <row r="1" spans="1:8" ht="16.75" customHeight="1">
      <c r="A1" s="711" t="s">
        <v>0</v>
      </c>
      <c r="B1" s="711"/>
      <c r="C1" s="711"/>
      <c r="D1" s="54"/>
      <c r="E1" s="54"/>
      <c r="F1" s="54"/>
      <c r="G1" s="54"/>
    </row>
    <row r="2" spans="1:8" ht="16.75" customHeight="1">
      <c r="A2" s="712" t="s">
        <v>719</v>
      </c>
      <c r="B2" s="712"/>
      <c r="C2" s="712"/>
      <c r="D2" s="712"/>
      <c r="E2" s="712"/>
      <c r="F2" s="54"/>
      <c r="G2" s="54"/>
    </row>
    <row r="3" spans="1:8" ht="16.75" customHeight="1">
      <c r="A3" s="712" t="s">
        <v>726</v>
      </c>
      <c r="B3" s="712"/>
      <c r="C3" s="712"/>
      <c r="D3" s="712"/>
      <c r="E3" s="712"/>
      <c r="F3" s="712"/>
      <c r="G3" s="712"/>
    </row>
    <row r="4" spans="1:8" ht="16.75" customHeight="1">
      <c r="A4" s="711" t="s">
        <v>119</v>
      </c>
      <c r="B4" s="711"/>
      <c r="C4" s="711"/>
      <c r="D4" s="711"/>
      <c r="E4" s="54"/>
      <c r="F4" s="54"/>
      <c r="G4" s="54"/>
    </row>
    <row r="5" spans="1:8" ht="15" customHeight="1"/>
    <row r="6" spans="1:8" ht="15" customHeight="1"/>
    <row r="7" spans="1:8" ht="15" customHeight="1">
      <c r="A7" s="93" t="s">
        <v>260</v>
      </c>
      <c r="B7" s="93" t="s">
        <v>259</v>
      </c>
      <c r="C7" s="59"/>
      <c r="D7" s="54"/>
      <c r="E7" s="54"/>
      <c r="F7" s="54"/>
      <c r="G7" s="54"/>
    </row>
    <row r="8" spans="1:8" ht="15" customHeight="1">
      <c r="A8" s="93" t="s">
        <v>178</v>
      </c>
      <c r="B8" s="93" t="s">
        <v>349</v>
      </c>
      <c r="C8" s="59"/>
      <c r="D8" s="54"/>
      <c r="E8" s="54"/>
      <c r="F8" s="54"/>
      <c r="G8" s="54"/>
    </row>
    <row r="9" spans="1:8" ht="15" customHeight="1">
      <c r="A9" s="48"/>
      <c r="B9" s="58"/>
      <c r="C9" s="54"/>
      <c r="D9" s="54"/>
      <c r="E9" s="65"/>
      <c r="F9" s="54"/>
      <c r="G9" s="54"/>
    </row>
    <row r="10" spans="1:8" ht="15" customHeight="1">
      <c r="A10" s="93" t="s">
        <v>179</v>
      </c>
      <c r="B10" s="109"/>
      <c r="C10" s="65"/>
      <c r="D10" s="129"/>
      <c r="E10" s="93" t="s">
        <v>351</v>
      </c>
      <c r="F10" s="109"/>
      <c r="G10" s="65"/>
    </row>
    <row r="11" spans="1:8" ht="15" customHeight="1">
      <c r="A11" s="93" t="s">
        <v>177</v>
      </c>
      <c r="B11" s="93" t="s">
        <v>717</v>
      </c>
      <c r="C11" s="93" t="s">
        <v>306</v>
      </c>
      <c r="D11" s="93" t="s">
        <v>407</v>
      </c>
      <c r="E11" s="93" t="s">
        <v>725</v>
      </c>
      <c r="F11" s="93" t="s">
        <v>724</v>
      </c>
      <c r="G11" s="93" t="s">
        <v>172</v>
      </c>
      <c r="H11" s="59"/>
    </row>
    <row r="12" spans="1:8" ht="15" customHeight="1">
      <c r="A12" s="117">
        <v>1823685</v>
      </c>
      <c r="B12" s="93" t="s">
        <v>723</v>
      </c>
      <c r="C12" s="117">
        <v>2022</v>
      </c>
      <c r="D12" s="165">
        <v>5</v>
      </c>
      <c r="E12" s="56">
        <v>-60291.6</v>
      </c>
      <c r="F12" s="56">
        <v>1446998.35</v>
      </c>
      <c r="G12" s="56">
        <v>1386706.75</v>
      </c>
    </row>
    <row r="13" spans="1:8" ht="15" customHeight="1">
      <c r="A13" s="58"/>
      <c r="B13" s="58"/>
      <c r="C13" s="58"/>
      <c r="D13" s="61">
        <v>6</v>
      </c>
      <c r="E13" s="52">
        <v>-60291.6</v>
      </c>
      <c r="F13" s="52">
        <v>0</v>
      </c>
      <c r="G13" s="52">
        <v>-60291.6</v>
      </c>
    </row>
    <row r="14" spans="1:8" ht="15" customHeight="1">
      <c r="A14" s="54"/>
      <c r="B14" s="54"/>
      <c r="C14" s="54"/>
      <c r="D14" s="61">
        <v>7</v>
      </c>
      <c r="E14" s="52">
        <v>-60291.6</v>
      </c>
      <c r="F14" s="54"/>
      <c r="G14" s="52">
        <v>-60291.6</v>
      </c>
    </row>
    <row r="15" spans="1:8" ht="15" customHeight="1">
      <c r="A15" s="54"/>
      <c r="B15" s="54"/>
      <c r="C15" s="54"/>
      <c r="D15" s="61">
        <v>8</v>
      </c>
      <c r="E15" s="52">
        <v>-60291.6</v>
      </c>
      <c r="F15" s="54"/>
      <c r="G15" s="52">
        <v>-60291.6</v>
      </c>
    </row>
    <row r="16" spans="1:8" ht="15" customHeight="1">
      <c r="A16" s="54"/>
      <c r="B16" s="54"/>
      <c r="C16" s="54"/>
      <c r="D16" s="61">
        <v>9</v>
      </c>
      <c r="E16" s="52">
        <v>-60291.6</v>
      </c>
      <c r="F16" s="54"/>
      <c r="G16" s="52">
        <v>-60291.6</v>
      </c>
    </row>
    <row r="17" spans="1:7" ht="15" customHeight="1">
      <c r="A17" s="54"/>
      <c r="B17" s="54"/>
      <c r="C17" s="54"/>
      <c r="D17" s="61">
        <v>10</v>
      </c>
      <c r="E17" s="52">
        <v>-60291.6</v>
      </c>
      <c r="F17" s="54"/>
      <c r="G17" s="52">
        <v>-60291.6</v>
      </c>
    </row>
    <row r="18" spans="1:7" ht="15" customHeight="1">
      <c r="A18" s="54"/>
      <c r="B18" s="54"/>
      <c r="C18" s="54"/>
      <c r="D18" s="61">
        <v>11</v>
      </c>
      <c r="E18" s="52">
        <v>-60291.6</v>
      </c>
      <c r="F18" s="54"/>
      <c r="G18" s="52">
        <v>-60291.6</v>
      </c>
    </row>
    <row r="19" spans="1:7" ht="15" customHeight="1">
      <c r="A19" s="54"/>
      <c r="B19" s="54"/>
      <c r="C19" s="65"/>
      <c r="D19" s="61">
        <v>12</v>
      </c>
      <c r="E19" s="52">
        <v>-60291.6</v>
      </c>
      <c r="F19" s="54"/>
      <c r="G19" s="52">
        <v>-60291.6</v>
      </c>
    </row>
    <row r="20" spans="1:7" ht="15" customHeight="1">
      <c r="A20" s="54"/>
      <c r="B20" s="137"/>
      <c r="C20" s="117">
        <v>2023</v>
      </c>
      <c r="D20" s="181">
        <v>1</v>
      </c>
      <c r="E20" s="52">
        <v>-60291.6</v>
      </c>
      <c r="F20" s="54"/>
      <c r="G20" s="52">
        <v>-60291.6</v>
      </c>
    </row>
    <row r="21" spans="1:7" ht="15" customHeight="1">
      <c r="A21" s="54"/>
      <c r="B21" s="54"/>
      <c r="C21" s="58"/>
      <c r="D21" s="61">
        <v>2</v>
      </c>
      <c r="E21" s="52">
        <v>-60291.6</v>
      </c>
      <c r="F21" s="54"/>
      <c r="G21" s="52">
        <v>-60291.6</v>
      </c>
    </row>
    <row r="22" spans="1:7" ht="15" customHeight="1">
      <c r="A22" s="54"/>
      <c r="B22" s="54"/>
      <c r="C22" s="54"/>
      <c r="D22" s="61">
        <v>3</v>
      </c>
      <c r="E22" s="89">
        <v>-60291.6</v>
      </c>
      <c r="F22" s="65"/>
      <c r="G22" s="89">
        <v>-60291.6</v>
      </c>
    </row>
    <row r="23" spans="1:7" ht="15" customHeight="1" thickBot="1">
      <c r="A23" s="54" t="s">
        <v>172</v>
      </c>
      <c r="B23" s="54"/>
      <c r="C23" s="54"/>
      <c r="D23" s="54"/>
      <c r="E23" s="105">
        <f>SUM(E12:E22)</f>
        <v>-663207.59999999986</v>
      </c>
      <c r="F23" s="105">
        <f>SUM(F12:F22)</f>
        <v>1446998.35</v>
      </c>
      <c r="G23" s="105">
        <f>SUM(G12:G22)</f>
        <v>783790.74999999965</v>
      </c>
    </row>
    <row r="24" spans="1:7" ht="15" customHeight="1" thickTop="1">
      <c r="A24" s="54"/>
      <c r="B24" s="54"/>
      <c r="C24" s="54"/>
      <c r="D24" s="54"/>
      <c r="E24" s="63"/>
      <c r="F24" s="63"/>
      <c r="G24" s="63"/>
    </row>
    <row r="25" spans="1:7" ht="15" customHeight="1">
      <c r="A25" s="72" t="s">
        <v>2</v>
      </c>
      <c r="B25" s="44" t="s">
        <v>3</v>
      </c>
    </row>
    <row r="26" spans="1:7" ht="15" customHeight="1"/>
  </sheetData>
  <mergeCells count="4">
    <mergeCell ref="A1:C1"/>
    <mergeCell ref="A2:E2"/>
    <mergeCell ref="A3:G3"/>
    <mergeCell ref="A4:D4"/>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F9244-54D5-46D4-AE7C-EA12256E90D0}">
  <dimension ref="A1:F27"/>
  <sheetViews>
    <sheetView showRuler="0" workbookViewId="0">
      <selection activeCell="I16" sqref="I16"/>
    </sheetView>
  </sheetViews>
  <sheetFormatPr defaultColWidth="13.7265625" defaultRowHeight="12.5"/>
  <cols>
    <col min="1" max="1" width="14.81640625" style="41" customWidth="1"/>
    <col min="2" max="2" width="26.453125" style="41" customWidth="1"/>
    <col min="3" max="3" width="14.81640625" style="41" customWidth="1"/>
    <col min="4" max="4" width="12.81640625" style="41" customWidth="1"/>
    <col min="5" max="5" width="13.7265625" style="41"/>
    <col min="6" max="6" width="13" style="41" customWidth="1"/>
    <col min="7" max="16384" width="13.7265625" style="41"/>
  </cols>
  <sheetData>
    <row r="1" spans="1:6" ht="16.75" customHeight="1">
      <c r="A1" s="711" t="s">
        <v>0</v>
      </c>
      <c r="B1" s="709"/>
      <c r="C1" s="709"/>
      <c r="D1" s="54"/>
      <c r="E1" s="54"/>
    </row>
    <row r="2" spans="1:6" ht="16.75" customHeight="1">
      <c r="A2" s="712" t="s">
        <v>719</v>
      </c>
      <c r="B2" s="709"/>
      <c r="C2" s="709"/>
      <c r="D2" s="709"/>
      <c r="E2" s="709"/>
    </row>
    <row r="3" spans="1:6" ht="16.75" customHeight="1">
      <c r="A3" s="712" t="s">
        <v>729</v>
      </c>
      <c r="B3" s="709"/>
      <c r="C3" s="709"/>
      <c r="D3" s="709"/>
      <c r="E3" s="709"/>
    </row>
    <row r="4" spans="1:6" ht="16.75" customHeight="1">
      <c r="A4" s="711" t="s">
        <v>119</v>
      </c>
      <c r="B4" s="709"/>
      <c r="C4" s="709"/>
      <c r="D4" s="709"/>
      <c r="E4" s="54"/>
    </row>
    <row r="5" spans="1:6" ht="15" customHeight="1"/>
    <row r="6" spans="1:6" ht="16.75" customHeight="1">
      <c r="A6" s="71" t="s">
        <v>260</v>
      </c>
      <c r="B6" s="71" t="s">
        <v>259</v>
      </c>
      <c r="C6" s="99"/>
      <c r="D6" s="107"/>
      <c r="E6" s="107"/>
      <c r="F6" s="107"/>
    </row>
    <row r="7" spans="1:6" ht="15" customHeight="1">
      <c r="A7" s="48"/>
      <c r="B7" s="58"/>
      <c r="C7" s="54"/>
      <c r="D7" s="54"/>
      <c r="E7" s="65"/>
    </row>
    <row r="8" spans="1:6" ht="39.25" customHeight="1">
      <c r="A8" s="93" t="s">
        <v>179</v>
      </c>
      <c r="B8" s="109"/>
      <c r="C8" s="65"/>
      <c r="D8" s="129"/>
      <c r="E8" s="249" t="s">
        <v>178</v>
      </c>
      <c r="F8" s="59"/>
    </row>
    <row r="9" spans="1:6" ht="27.65" customHeight="1">
      <c r="A9" s="93" t="s">
        <v>177</v>
      </c>
      <c r="B9" s="93" t="s">
        <v>717</v>
      </c>
      <c r="C9" s="93" t="s">
        <v>306</v>
      </c>
      <c r="D9" s="200" t="s">
        <v>407</v>
      </c>
      <c r="E9" s="251" t="s">
        <v>370</v>
      </c>
      <c r="F9" s="248" t="s">
        <v>466</v>
      </c>
    </row>
    <row r="10" spans="1:6" ht="27.65" customHeight="1">
      <c r="A10" s="117">
        <v>1823108</v>
      </c>
      <c r="B10" s="93" t="s">
        <v>728</v>
      </c>
      <c r="C10" s="117">
        <v>2022</v>
      </c>
      <c r="D10" s="165">
        <v>4</v>
      </c>
      <c r="E10" s="250">
        <v>-9354.5300000000007</v>
      </c>
    </row>
    <row r="11" spans="1:6" ht="16.75" customHeight="1">
      <c r="A11" s="58"/>
      <c r="B11" s="58"/>
      <c r="C11" s="58"/>
      <c r="D11" s="61">
        <v>5</v>
      </c>
      <c r="E11" s="52">
        <v>-9354.5300000000007</v>
      </c>
    </row>
    <row r="12" spans="1:6" ht="16.75" customHeight="1">
      <c r="A12" s="54"/>
      <c r="B12" s="54"/>
      <c r="C12" s="54"/>
      <c r="D12" s="61">
        <v>6</v>
      </c>
      <c r="E12" s="52">
        <v>-9354.5300000000007</v>
      </c>
    </row>
    <row r="13" spans="1:6" ht="16.75" customHeight="1">
      <c r="A13" s="54"/>
      <c r="B13" s="54"/>
      <c r="C13" s="54"/>
      <c r="D13" s="61">
        <v>7</v>
      </c>
      <c r="E13" s="52">
        <v>-9354.5300000000007</v>
      </c>
    </row>
    <row r="14" spans="1:6" ht="16.75" customHeight="1">
      <c r="A14" s="54"/>
      <c r="B14" s="54"/>
      <c r="C14" s="54"/>
      <c r="D14" s="61">
        <v>8</v>
      </c>
      <c r="E14" s="52">
        <v>-9354.5300000000007</v>
      </c>
      <c r="F14" s="54"/>
    </row>
    <row r="15" spans="1:6" ht="16.75" customHeight="1">
      <c r="A15" s="54"/>
      <c r="B15" s="54"/>
      <c r="C15" s="54"/>
      <c r="D15" s="61">
        <v>9</v>
      </c>
      <c r="E15" s="52">
        <v>-9354.5300000000007</v>
      </c>
      <c r="F15" s="54"/>
    </row>
    <row r="16" spans="1:6" ht="16.75" customHeight="1">
      <c r="A16" s="54"/>
      <c r="B16" s="54"/>
      <c r="C16" s="54"/>
      <c r="D16" s="61">
        <v>10</v>
      </c>
      <c r="E16" s="52">
        <v>-9354.5300000000007</v>
      </c>
      <c r="F16" s="54"/>
    </row>
    <row r="17" spans="1:6" ht="16.75" customHeight="1">
      <c r="A17" s="54"/>
      <c r="B17" s="54"/>
      <c r="C17" s="54"/>
      <c r="D17" s="61">
        <v>11</v>
      </c>
      <c r="E17" s="52">
        <v>-9354.5300000000007</v>
      </c>
      <c r="F17" s="54"/>
    </row>
    <row r="18" spans="1:6" ht="16.75" customHeight="1">
      <c r="A18" s="54"/>
      <c r="B18" s="54"/>
      <c r="C18" s="65"/>
      <c r="D18" s="61">
        <v>12</v>
      </c>
      <c r="E18" s="52">
        <v>-9354.5300000000007</v>
      </c>
      <c r="F18" s="54"/>
    </row>
    <row r="19" spans="1:6" ht="16.75" customHeight="1">
      <c r="A19" s="54"/>
      <c r="B19" s="137"/>
      <c r="C19" s="117">
        <v>2023</v>
      </c>
      <c r="D19" s="181">
        <v>1</v>
      </c>
      <c r="E19" s="52">
        <v>-9354.5300000000007</v>
      </c>
      <c r="F19" s="54"/>
    </row>
    <row r="20" spans="1:6" ht="16.75" customHeight="1">
      <c r="A20" s="54"/>
      <c r="B20" s="54"/>
      <c r="C20" s="58"/>
      <c r="D20" s="61">
        <v>2</v>
      </c>
      <c r="E20" s="52">
        <v>-9354.5300000000007</v>
      </c>
      <c r="F20" s="54"/>
    </row>
    <row r="21" spans="1:6" ht="16.75" customHeight="1">
      <c r="A21" s="54"/>
      <c r="B21" s="54"/>
      <c r="C21" s="54"/>
      <c r="D21" s="61">
        <v>3</v>
      </c>
      <c r="E21" s="89">
        <v>-9354.5300000000007</v>
      </c>
      <c r="F21" s="54"/>
    </row>
    <row r="22" spans="1:6" ht="16.75" customHeight="1" thickBot="1">
      <c r="A22" s="54" t="s">
        <v>172</v>
      </c>
      <c r="B22" s="54"/>
      <c r="C22" s="54"/>
      <c r="D22" s="54"/>
      <c r="E22" s="105">
        <f>SUM(E10:E21)</f>
        <v>-112254.36</v>
      </c>
      <c r="F22" s="54"/>
    </row>
    <row r="23" spans="1:6" ht="15" customHeight="1" thickTop="1">
      <c r="A23" s="54"/>
      <c r="B23" s="54"/>
      <c r="C23" s="54"/>
      <c r="D23" s="54"/>
      <c r="E23" s="63"/>
      <c r="F23" s="54"/>
    </row>
    <row r="24" spans="1:6" ht="50.15" customHeight="1">
      <c r="A24" s="247" t="s">
        <v>466</v>
      </c>
      <c r="B24" s="824" t="s">
        <v>727</v>
      </c>
      <c r="C24" s="825"/>
      <c r="D24" s="825"/>
      <c r="E24" s="825"/>
    </row>
    <row r="25" spans="1:6" ht="15" customHeight="1"/>
    <row r="26" spans="1:6" ht="16.75" customHeight="1">
      <c r="A26" s="44" t="s">
        <v>2</v>
      </c>
      <c r="B26" s="44" t="s">
        <v>3</v>
      </c>
    </row>
    <row r="27" spans="1:6" ht="15" customHeight="1"/>
  </sheetData>
  <mergeCells count="5">
    <mergeCell ref="A1:C1"/>
    <mergeCell ref="A2:E2"/>
    <mergeCell ref="A3:E3"/>
    <mergeCell ref="A4:D4"/>
    <mergeCell ref="B24:E2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52F0-F822-46A4-94C8-E308069E36FF}">
  <dimension ref="A1:C18"/>
  <sheetViews>
    <sheetView showRuler="0" workbookViewId="0">
      <selection sqref="A1:D1"/>
    </sheetView>
  </sheetViews>
  <sheetFormatPr defaultColWidth="13.7265625" defaultRowHeight="12.5"/>
  <cols>
    <col min="1" max="1" width="60.1796875" style="41" customWidth="1"/>
    <col min="2" max="2" width="14.81640625" style="41" customWidth="1"/>
    <col min="3" max="16384" width="13.7265625" style="41"/>
  </cols>
  <sheetData>
    <row r="1" spans="1:3" ht="15" customHeight="1">
      <c r="A1" s="107" t="s">
        <v>0</v>
      </c>
      <c r="B1" s="107"/>
      <c r="C1" s="107"/>
    </row>
    <row r="2" spans="1:3" ht="15" customHeight="1">
      <c r="A2" s="107" t="s">
        <v>732</v>
      </c>
      <c r="B2" s="107"/>
      <c r="C2" s="107"/>
    </row>
    <row r="3" spans="1:3" ht="15" customHeight="1">
      <c r="A3" s="107" t="s">
        <v>731</v>
      </c>
      <c r="B3" s="107"/>
      <c r="C3" s="107"/>
    </row>
    <row r="4" spans="1:3" ht="15" customHeight="1">
      <c r="A4" s="107" t="s">
        <v>352</v>
      </c>
      <c r="B4" s="107"/>
      <c r="C4" s="107"/>
    </row>
    <row r="5" spans="1:3" ht="15" customHeight="1"/>
    <row r="6" spans="1:3" ht="15" customHeight="1"/>
    <row r="7" spans="1:3" ht="15" customHeight="1">
      <c r="A7" s="65"/>
      <c r="B7" s="65"/>
    </row>
    <row r="8" spans="1:3" ht="15" customHeight="1">
      <c r="A8" s="93" t="s">
        <v>260</v>
      </c>
      <c r="B8" s="93" t="s">
        <v>259</v>
      </c>
      <c r="C8" s="59"/>
    </row>
    <row r="9" spans="1:3" ht="15" customHeight="1">
      <c r="A9" s="48"/>
      <c r="B9" s="48"/>
    </row>
    <row r="10" spans="1:3" ht="15" customHeight="1">
      <c r="A10" s="93" t="s">
        <v>179</v>
      </c>
      <c r="B10" s="93" t="s">
        <v>371</v>
      </c>
      <c r="C10" s="59"/>
    </row>
    <row r="11" spans="1:3" ht="15" customHeight="1">
      <c r="A11" s="93" t="s">
        <v>164</v>
      </c>
      <c r="B11" s="93" t="s">
        <v>730</v>
      </c>
      <c r="C11" s="59"/>
    </row>
    <row r="12" spans="1:3" ht="15" customHeight="1">
      <c r="A12" s="175">
        <v>408101922</v>
      </c>
      <c r="B12" s="92">
        <v>28888.38</v>
      </c>
      <c r="C12" s="59"/>
    </row>
    <row r="13" spans="1:3" ht="15" customHeight="1">
      <c r="A13" s="175">
        <v>408101923</v>
      </c>
      <c r="B13" s="92">
        <v>10273.36</v>
      </c>
      <c r="C13" s="59"/>
    </row>
    <row r="14" spans="1:3" ht="15" customHeight="1">
      <c r="A14" s="93" t="s">
        <v>172</v>
      </c>
      <c r="B14" s="92">
        <v>39161.74</v>
      </c>
      <c r="C14" s="59"/>
    </row>
    <row r="15" spans="1:3" ht="15" customHeight="1">
      <c r="A15" s="58"/>
      <c r="B15" s="58"/>
    </row>
    <row r="16" spans="1:3" ht="15" customHeight="1"/>
    <row r="17" spans="1:2" ht="15" customHeight="1">
      <c r="A17" s="44" t="s">
        <v>2</v>
      </c>
      <c r="B17" s="44" t="s">
        <v>3</v>
      </c>
    </row>
    <row r="18" spans="1:2" ht="15" customHeight="1"/>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8DC76-E3B6-423B-A0BE-FCE72CB203C2}">
  <dimension ref="A1:D23"/>
  <sheetViews>
    <sheetView showRuler="0" workbookViewId="0">
      <selection sqref="A1:D1"/>
    </sheetView>
  </sheetViews>
  <sheetFormatPr defaultColWidth="13.7265625" defaultRowHeight="12.5"/>
  <cols>
    <col min="1" max="1" width="8.1796875" style="41" customWidth="1"/>
    <col min="2" max="2" width="41" style="41" customWidth="1"/>
    <col min="3" max="3" width="21.453125" style="41" customWidth="1"/>
    <col min="4" max="16384" width="13.7265625" style="41"/>
  </cols>
  <sheetData>
    <row r="1" spans="1:4" ht="15" customHeight="1">
      <c r="A1" s="737" t="s">
        <v>0</v>
      </c>
      <c r="B1" s="709"/>
      <c r="C1" s="709"/>
      <c r="D1" s="709"/>
    </row>
    <row r="2" spans="1:4" ht="15" customHeight="1">
      <c r="A2" s="737" t="s">
        <v>732</v>
      </c>
      <c r="B2" s="709"/>
      <c r="C2" s="709"/>
      <c r="D2" s="709"/>
    </row>
    <row r="3" spans="1:4" ht="15" customHeight="1">
      <c r="A3" s="737" t="s">
        <v>741</v>
      </c>
      <c r="B3" s="709"/>
      <c r="C3" s="709"/>
      <c r="D3" s="709"/>
    </row>
    <row r="4" spans="1:4" ht="15" customHeight="1">
      <c r="A4" s="737" t="s">
        <v>352</v>
      </c>
      <c r="B4" s="709"/>
      <c r="C4" s="709"/>
      <c r="D4" s="709"/>
    </row>
    <row r="5" spans="1:4" ht="15" customHeight="1"/>
    <row r="6" spans="1:4" ht="15" customHeight="1"/>
    <row r="7" spans="1:4" ht="16.75" customHeight="1">
      <c r="A7" s="712" t="s">
        <v>740</v>
      </c>
      <c r="B7" s="712"/>
      <c r="C7" s="712"/>
    </row>
    <row r="8" spans="1:4" ht="15" customHeight="1">
      <c r="A8" s="65"/>
      <c r="B8" s="65"/>
      <c r="C8" s="65"/>
    </row>
    <row r="9" spans="1:4" ht="27.65" customHeight="1">
      <c r="A9" s="71" t="s">
        <v>418</v>
      </c>
      <c r="B9" s="71" t="s">
        <v>739</v>
      </c>
      <c r="C9" s="71" t="s">
        <v>738</v>
      </c>
      <c r="D9" s="59"/>
    </row>
    <row r="10" spans="1:4" ht="15" customHeight="1">
      <c r="A10" s="58"/>
      <c r="B10" s="58"/>
      <c r="C10" s="58"/>
    </row>
    <row r="11" spans="1:4" ht="15" customHeight="1">
      <c r="A11" s="61">
        <v>1</v>
      </c>
      <c r="B11" s="54" t="s">
        <v>737</v>
      </c>
      <c r="C11" s="77">
        <f>W61_PG_3_of_7!Y47</f>
        <v>3989467.9938356164</v>
      </c>
    </row>
    <row r="12" spans="1:4" ht="15" customHeight="1">
      <c r="A12" s="61">
        <v>2</v>
      </c>
      <c r="B12" s="54"/>
      <c r="C12" s="54"/>
    </row>
    <row r="13" spans="1:4" ht="15" customHeight="1">
      <c r="A13" s="61">
        <v>3</v>
      </c>
      <c r="B13" s="54" t="s">
        <v>736</v>
      </c>
      <c r="C13" s="52">
        <f>-W61_PG_4_of_7!D9</f>
        <v>-1161461.698520951</v>
      </c>
    </row>
    <row r="14" spans="1:4" ht="15" customHeight="1">
      <c r="A14" s="61">
        <v>4</v>
      </c>
      <c r="B14" s="54"/>
      <c r="C14" s="54"/>
    </row>
    <row r="15" spans="1:4" ht="15" customHeight="1">
      <c r="A15" s="61">
        <v>5</v>
      </c>
      <c r="B15" s="54" t="s">
        <v>735</v>
      </c>
      <c r="C15" s="52">
        <f>-W61_PG_4_of_7!D7</f>
        <v>-353662.11741954222</v>
      </c>
    </row>
    <row r="16" spans="1:4" ht="15" customHeight="1">
      <c r="A16" s="61">
        <v>6</v>
      </c>
      <c r="B16" s="54"/>
      <c r="C16" s="54"/>
    </row>
    <row r="17" spans="1:3" ht="15" customHeight="1">
      <c r="A17" s="61">
        <v>7</v>
      </c>
      <c r="B17" s="54" t="s">
        <v>734</v>
      </c>
      <c r="C17" s="52">
        <f>-W61_PG_4_of_7!D8</f>
        <v>-1368391.0074794546</v>
      </c>
    </row>
    <row r="18" spans="1:3" ht="15" customHeight="1">
      <c r="A18" s="61">
        <v>8</v>
      </c>
      <c r="B18" s="54"/>
      <c r="C18" s="65"/>
    </row>
    <row r="19" spans="1:3" ht="15" customHeight="1" thickBot="1">
      <c r="A19" s="61">
        <v>9</v>
      </c>
      <c r="B19" s="54" t="s">
        <v>733</v>
      </c>
      <c r="C19" s="73">
        <f>ROUND(SUM(C11:C17),0)</f>
        <v>1105953</v>
      </c>
    </row>
    <row r="20" spans="1:3" ht="15" customHeight="1" thickTop="1">
      <c r="A20" s="54"/>
      <c r="B20" s="54"/>
      <c r="C20" s="63"/>
    </row>
    <row r="21" spans="1:3" ht="15" customHeight="1">
      <c r="A21" s="54"/>
      <c r="B21" s="54"/>
      <c r="C21" s="54"/>
    </row>
    <row r="22" spans="1:3" ht="15" customHeight="1">
      <c r="A22" s="44" t="s">
        <v>2</v>
      </c>
      <c r="B22" s="44" t="s">
        <v>3</v>
      </c>
    </row>
    <row r="23" spans="1:3" ht="15" customHeight="1"/>
  </sheetData>
  <mergeCells count="5">
    <mergeCell ref="A2:D2"/>
    <mergeCell ref="A1:D1"/>
    <mergeCell ref="A4:D4"/>
    <mergeCell ref="A3:D3"/>
    <mergeCell ref="A7:C7"/>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7C49E-C63D-43E7-9D95-43EC66BC041F}">
  <dimension ref="A1:Y48"/>
  <sheetViews>
    <sheetView showRuler="0" workbookViewId="0">
      <selection sqref="A1:D1"/>
    </sheetView>
  </sheetViews>
  <sheetFormatPr defaultColWidth="13.7265625" defaultRowHeight="12.5"/>
  <cols>
    <col min="1" max="16384" width="13.7265625" style="41"/>
  </cols>
  <sheetData>
    <row r="1" spans="1:25" ht="15" customHeight="1">
      <c r="A1" s="737" t="s">
        <v>0</v>
      </c>
      <c r="B1" s="737"/>
      <c r="C1" s="737"/>
      <c r="D1" s="737"/>
    </row>
    <row r="2" spans="1:25" ht="15" customHeight="1">
      <c r="A2" s="737" t="s">
        <v>732</v>
      </c>
      <c r="B2" s="737"/>
      <c r="C2" s="737"/>
      <c r="D2" s="737"/>
    </row>
    <row r="3" spans="1:25" ht="15" customHeight="1">
      <c r="A3" s="737" t="s">
        <v>745</v>
      </c>
      <c r="B3" s="737"/>
      <c r="C3" s="737"/>
      <c r="D3" s="737"/>
    </row>
    <row r="4" spans="1:25" ht="15" customHeight="1">
      <c r="A4" s="737" t="s">
        <v>352</v>
      </c>
      <c r="B4" s="737"/>
      <c r="C4" s="737"/>
      <c r="D4" s="737"/>
    </row>
    <row r="5" spans="1:25" ht="15" customHeight="1">
      <c r="A5" s="54"/>
      <c r="B5" s="54"/>
      <c r="C5" s="54"/>
      <c r="D5" s="54"/>
    </row>
    <row r="6" spans="1:25" ht="15" customHeight="1">
      <c r="A6" s="54"/>
      <c r="B6" s="54"/>
      <c r="C6" s="54"/>
      <c r="D6" s="54"/>
      <c r="E6" s="54"/>
      <c r="F6" s="54"/>
      <c r="G6" s="54"/>
      <c r="H6" s="54"/>
      <c r="I6" s="54"/>
      <c r="J6" s="54"/>
      <c r="K6" s="54"/>
      <c r="L6" s="54"/>
      <c r="M6" s="54"/>
      <c r="N6" s="54"/>
      <c r="O6" s="54"/>
      <c r="P6" s="54"/>
      <c r="Q6" s="54"/>
      <c r="R6" s="54"/>
      <c r="S6" s="54"/>
      <c r="T6" s="54"/>
      <c r="U6" s="54"/>
      <c r="V6" s="54"/>
      <c r="W6" s="54"/>
      <c r="X6" s="54"/>
      <c r="Y6" s="54"/>
    </row>
    <row r="7" spans="1:25" ht="15" customHeight="1">
      <c r="A7" s="54"/>
      <c r="B7" s="54"/>
      <c r="C7" s="40" t="s">
        <v>233</v>
      </c>
      <c r="D7" s="40"/>
      <c r="E7" s="40"/>
      <c r="F7" s="40"/>
      <c r="G7" s="40"/>
      <c r="H7" s="40"/>
      <c r="I7" s="40"/>
      <c r="J7" s="40"/>
      <c r="K7" s="40"/>
      <c r="L7" s="40"/>
      <c r="M7" s="40"/>
      <c r="N7" s="40"/>
      <c r="O7" s="40"/>
      <c r="P7" s="40"/>
      <c r="Q7" s="40"/>
      <c r="R7" s="40"/>
      <c r="S7" s="40"/>
      <c r="T7" s="40"/>
      <c r="U7" s="40"/>
      <c r="V7" s="40"/>
      <c r="W7" s="40"/>
      <c r="X7" s="40"/>
      <c r="Y7" s="40"/>
    </row>
    <row r="8" spans="1:25" ht="15" customHeight="1">
      <c r="A8" s="40" t="s">
        <v>744</v>
      </c>
      <c r="B8" s="54"/>
      <c r="C8" s="40" t="s">
        <v>201</v>
      </c>
      <c r="D8" s="40"/>
      <c r="E8" s="40" t="s">
        <v>200</v>
      </c>
      <c r="F8" s="40"/>
      <c r="G8" s="40" t="s">
        <v>199</v>
      </c>
      <c r="H8" s="40"/>
      <c r="I8" s="40" t="s">
        <v>198</v>
      </c>
      <c r="J8" s="40"/>
      <c r="K8" s="40" t="s">
        <v>197</v>
      </c>
      <c r="L8" s="40"/>
      <c r="M8" s="40" t="s">
        <v>196</v>
      </c>
      <c r="N8" s="40"/>
      <c r="O8" s="40" t="s">
        <v>195</v>
      </c>
      <c r="P8" s="40"/>
      <c r="Q8" s="40" t="s">
        <v>194</v>
      </c>
      <c r="R8" s="40"/>
      <c r="S8" s="40" t="s">
        <v>193</v>
      </c>
      <c r="T8" s="40"/>
      <c r="U8" s="40" t="s">
        <v>192</v>
      </c>
      <c r="V8" s="40"/>
      <c r="W8" s="40" t="s">
        <v>191</v>
      </c>
      <c r="X8" s="40"/>
      <c r="Y8" s="40" t="s">
        <v>190</v>
      </c>
    </row>
    <row r="9" spans="1:25" ht="15" customHeight="1">
      <c r="A9" s="141">
        <v>1</v>
      </c>
      <c r="B9" s="202">
        <v>44652</v>
      </c>
      <c r="C9" s="77">
        <v>580141.22</v>
      </c>
      <c r="D9" s="202">
        <v>44682</v>
      </c>
      <c r="E9" s="77">
        <v>577310.03</v>
      </c>
      <c r="F9" s="202">
        <v>44713</v>
      </c>
      <c r="G9" s="77">
        <v>6273731.8700000001</v>
      </c>
      <c r="H9" s="202">
        <v>44743</v>
      </c>
      <c r="I9" s="77">
        <v>19400832.440000001</v>
      </c>
      <c r="J9" s="202">
        <v>44774</v>
      </c>
      <c r="K9" s="77">
        <v>13867707.01</v>
      </c>
      <c r="L9" s="202">
        <v>44805</v>
      </c>
      <c r="M9" s="77">
        <v>961460.54</v>
      </c>
      <c r="N9" s="202">
        <v>44835</v>
      </c>
      <c r="O9" s="77">
        <v>1221606.4099999999</v>
      </c>
      <c r="P9" s="202">
        <v>44866</v>
      </c>
      <c r="Q9" s="77">
        <v>1693384.24</v>
      </c>
      <c r="R9" s="202">
        <v>44896</v>
      </c>
      <c r="S9" s="77">
        <v>1344654.84</v>
      </c>
      <c r="T9" s="202">
        <v>44927</v>
      </c>
      <c r="U9" s="77">
        <v>1270154.79</v>
      </c>
      <c r="V9" s="202">
        <v>44958</v>
      </c>
      <c r="W9" s="77">
        <v>2528156.23</v>
      </c>
      <c r="X9" s="202">
        <v>44986</v>
      </c>
      <c r="Y9" s="77">
        <v>2085304.6</v>
      </c>
    </row>
    <row r="10" spans="1:25" ht="15" customHeight="1">
      <c r="A10" s="141">
        <v>2</v>
      </c>
      <c r="B10" s="202">
        <v>44653</v>
      </c>
      <c r="C10" s="52">
        <v>580141.22</v>
      </c>
      <c r="D10" s="202">
        <v>44683</v>
      </c>
      <c r="E10" s="52">
        <v>956224.16</v>
      </c>
      <c r="F10" s="202">
        <v>44714</v>
      </c>
      <c r="G10" s="52">
        <v>6353723.6399999997</v>
      </c>
      <c r="H10" s="202">
        <v>44744</v>
      </c>
      <c r="I10" s="52">
        <v>19400832.440000001</v>
      </c>
      <c r="J10" s="202">
        <v>44775</v>
      </c>
      <c r="K10" s="52">
        <v>15171347.98</v>
      </c>
      <c r="L10" s="202">
        <v>44806</v>
      </c>
      <c r="M10" s="52">
        <v>1322531.02</v>
      </c>
      <c r="N10" s="202">
        <v>44836</v>
      </c>
      <c r="O10" s="52">
        <v>1221606.4099999999</v>
      </c>
      <c r="P10" s="202">
        <v>44867</v>
      </c>
      <c r="Q10" s="52">
        <v>1276651.8</v>
      </c>
      <c r="R10" s="202">
        <v>44897</v>
      </c>
      <c r="S10" s="52">
        <v>1332645.55</v>
      </c>
      <c r="T10" s="202">
        <v>44928</v>
      </c>
      <c r="U10" s="52">
        <v>1270154.79</v>
      </c>
      <c r="V10" s="202">
        <v>44959</v>
      </c>
      <c r="W10" s="52">
        <v>1991260.1</v>
      </c>
      <c r="X10" s="202">
        <v>44987</v>
      </c>
      <c r="Y10" s="52">
        <v>2032911.84</v>
      </c>
    </row>
    <row r="11" spans="1:25" ht="15" customHeight="1">
      <c r="A11" s="141">
        <v>3</v>
      </c>
      <c r="B11" s="202">
        <v>44654</v>
      </c>
      <c r="C11" s="52">
        <v>580141.22</v>
      </c>
      <c r="D11" s="202">
        <v>44684</v>
      </c>
      <c r="E11" s="52">
        <v>1294408.79</v>
      </c>
      <c r="F11" s="202">
        <v>44715</v>
      </c>
      <c r="G11" s="52">
        <v>6575252.0999999996</v>
      </c>
      <c r="H11" s="202">
        <v>44745</v>
      </c>
      <c r="I11" s="52">
        <v>19400832.440000001</v>
      </c>
      <c r="J11" s="202">
        <v>44776</v>
      </c>
      <c r="K11" s="52">
        <v>15384897.1</v>
      </c>
      <c r="L11" s="202">
        <v>44807</v>
      </c>
      <c r="M11" s="52">
        <v>1322531.02</v>
      </c>
      <c r="N11" s="202">
        <v>44837</v>
      </c>
      <c r="O11" s="52">
        <v>2179653.1800000002</v>
      </c>
      <c r="P11" s="202">
        <v>44868</v>
      </c>
      <c r="Q11" s="52">
        <v>1726153.18</v>
      </c>
      <c r="R11" s="202">
        <v>44898</v>
      </c>
      <c r="S11" s="52">
        <v>1332645.55</v>
      </c>
      <c r="T11" s="202">
        <v>44929</v>
      </c>
      <c r="U11" s="52">
        <v>2496898.0299999998</v>
      </c>
      <c r="V11" s="202">
        <v>44960</v>
      </c>
      <c r="W11" s="52">
        <v>1748212.25</v>
      </c>
      <c r="X11" s="202">
        <v>44988</v>
      </c>
      <c r="Y11" s="52">
        <v>1558935.67</v>
      </c>
    </row>
    <row r="12" spans="1:25" ht="15" customHeight="1">
      <c r="A12" s="141">
        <v>4</v>
      </c>
      <c r="B12" s="202">
        <v>44655</v>
      </c>
      <c r="C12" s="52">
        <v>1130620.78</v>
      </c>
      <c r="D12" s="202">
        <v>44685</v>
      </c>
      <c r="E12" s="52">
        <v>821415.58</v>
      </c>
      <c r="F12" s="202">
        <v>44716</v>
      </c>
      <c r="G12" s="52">
        <v>6575252.0999999996</v>
      </c>
      <c r="H12" s="202">
        <v>44746</v>
      </c>
      <c r="I12" s="52">
        <v>19400832.440000001</v>
      </c>
      <c r="J12" s="202">
        <v>44777</v>
      </c>
      <c r="K12" s="52">
        <v>16186802.77</v>
      </c>
      <c r="L12" s="202">
        <v>44808</v>
      </c>
      <c r="M12" s="52">
        <v>1322531.02</v>
      </c>
      <c r="N12" s="202">
        <v>44838</v>
      </c>
      <c r="O12" s="52">
        <v>2348404.0699999998</v>
      </c>
      <c r="P12" s="202">
        <v>44869</v>
      </c>
      <c r="Q12" s="52">
        <v>1446702.28</v>
      </c>
      <c r="R12" s="202">
        <v>44899</v>
      </c>
      <c r="S12" s="52">
        <v>1332645.55</v>
      </c>
      <c r="T12" s="202">
        <v>44930</v>
      </c>
      <c r="U12" s="52">
        <v>3348061.08</v>
      </c>
      <c r="V12" s="202">
        <v>44961</v>
      </c>
      <c r="W12" s="52">
        <v>1748212.25</v>
      </c>
      <c r="X12" s="202">
        <v>44989</v>
      </c>
      <c r="Y12" s="52">
        <v>1558935.67</v>
      </c>
    </row>
    <row r="13" spans="1:25" ht="15" customHeight="1">
      <c r="A13" s="141">
        <v>5</v>
      </c>
      <c r="B13" s="202">
        <v>44656</v>
      </c>
      <c r="C13" s="52">
        <v>1487814.63</v>
      </c>
      <c r="D13" s="202">
        <v>44686</v>
      </c>
      <c r="E13" s="52">
        <v>621848.53</v>
      </c>
      <c r="F13" s="202">
        <v>44717</v>
      </c>
      <c r="G13" s="52">
        <v>6575252.0999999996</v>
      </c>
      <c r="H13" s="202">
        <v>44747</v>
      </c>
      <c r="I13" s="52">
        <v>20410834.390000001</v>
      </c>
      <c r="J13" s="202">
        <v>44778</v>
      </c>
      <c r="K13" s="52">
        <v>16214776.73</v>
      </c>
      <c r="L13" s="202">
        <v>44809</v>
      </c>
      <c r="M13" s="52">
        <v>1322531.02</v>
      </c>
      <c r="N13" s="202">
        <v>44839</v>
      </c>
      <c r="O13" s="52">
        <v>2750525.23</v>
      </c>
      <c r="P13" s="202">
        <v>44870</v>
      </c>
      <c r="Q13" s="52">
        <v>1446702.28</v>
      </c>
      <c r="R13" s="202">
        <v>44900</v>
      </c>
      <c r="S13" s="52">
        <v>1153450.72</v>
      </c>
      <c r="T13" s="202">
        <v>44931</v>
      </c>
      <c r="U13" s="52">
        <v>1702286.19</v>
      </c>
      <c r="V13" s="202">
        <v>44962</v>
      </c>
      <c r="W13" s="52">
        <v>1748212.25</v>
      </c>
      <c r="X13" s="202">
        <v>44990</v>
      </c>
      <c r="Y13" s="52">
        <v>1558935.67</v>
      </c>
    </row>
    <row r="14" spans="1:25" ht="15" customHeight="1">
      <c r="A14" s="141">
        <v>6</v>
      </c>
      <c r="B14" s="202">
        <v>44657</v>
      </c>
      <c r="C14" s="52">
        <v>551931.31000000006</v>
      </c>
      <c r="D14" s="202">
        <v>44687</v>
      </c>
      <c r="E14" s="52">
        <v>575377.75</v>
      </c>
      <c r="F14" s="202">
        <v>44718</v>
      </c>
      <c r="G14" s="52">
        <v>7535871.1200000001</v>
      </c>
      <c r="H14" s="202">
        <v>44748</v>
      </c>
      <c r="I14" s="52">
        <v>21266235.27</v>
      </c>
      <c r="J14" s="202">
        <v>44779</v>
      </c>
      <c r="K14" s="52">
        <v>16214776.73</v>
      </c>
      <c r="L14" s="202">
        <v>44810</v>
      </c>
      <c r="M14" s="52">
        <v>2034573.36</v>
      </c>
      <c r="N14" s="202">
        <v>44840</v>
      </c>
      <c r="O14" s="52">
        <v>1005976.66</v>
      </c>
      <c r="P14" s="202">
        <v>44871</v>
      </c>
      <c r="Q14" s="52">
        <v>1446702.28</v>
      </c>
      <c r="R14" s="202">
        <v>44901</v>
      </c>
      <c r="S14" s="52">
        <v>2242721.1800000002</v>
      </c>
      <c r="T14" s="202">
        <v>44932</v>
      </c>
      <c r="U14" s="52">
        <v>1110066.6299999999</v>
      </c>
      <c r="V14" s="202">
        <v>44963</v>
      </c>
      <c r="W14" s="52">
        <v>2041774.49</v>
      </c>
      <c r="X14" s="202">
        <v>44991</v>
      </c>
      <c r="Y14" s="52">
        <v>2123850.1800000002</v>
      </c>
    </row>
    <row r="15" spans="1:25" ht="15" customHeight="1">
      <c r="A15" s="141">
        <v>7</v>
      </c>
      <c r="B15" s="202">
        <v>44658</v>
      </c>
      <c r="C15" s="52">
        <v>497666.75</v>
      </c>
      <c r="D15" s="202">
        <v>44688</v>
      </c>
      <c r="E15" s="52">
        <v>575377.75</v>
      </c>
      <c r="F15" s="202">
        <v>44719</v>
      </c>
      <c r="G15" s="52">
        <v>8036225.7000000002</v>
      </c>
      <c r="H15" s="202">
        <v>44749</v>
      </c>
      <c r="I15" s="52">
        <v>20387666.84</v>
      </c>
      <c r="J15" s="202">
        <v>44780</v>
      </c>
      <c r="K15" s="52">
        <v>16214776.73</v>
      </c>
      <c r="L15" s="202">
        <v>44811</v>
      </c>
      <c r="M15" s="52">
        <v>2587670.77</v>
      </c>
      <c r="N15" s="202">
        <v>44841</v>
      </c>
      <c r="O15" s="52">
        <v>775744.39</v>
      </c>
      <c r="P15" s="202">
        <v>44872</v>
      </c>
      <c r="Q15" s="52">
        <v>1258908.93</v>
      </c>
      <c r="R15" s="202">
        <v>44902</v>
      </c>
      <c r="S15" s="52">
        <v>1893007.07</v>
      </c>
      <c r="T15" s="202">
        <v>44933</v>
      </c>
      <c r="U15" s="52">
        <v>1110066.6299999999</v>
      </c>
      <c r="V15" s="202">
        <v>44964</v>
      </c>
      <c r="W15" s="52">
        <v>2749707.02</v>
      </c>
      <c r="X15" s="202">
        <v>44992</v>
      </c>
      <c r="Y15" s="52">
        <v>3099535.97</v>
      </c>
    </row>
    <row r="16" spans="1:25" ht="15" customHeight="1">
      <c r="A16" s="141">
        <v>8</v>
      </c>
      <c r="B16" s="202">
        <v>44659</v>
      </c>
      <c r="C16" s="52">
        <v>489733.27</v>
      </c>
      <c r="D16" s="202">
        <v>44689</v>
      </c>
      <c r="E16" s="52">
        <v>575377.75</v>
      </c>
      <c r="F16" s="202">
        <v>44720</v>
      </c>
      <c r="G16" s="52">
        <v>7710597.1500000004</v>
      </c>
      <c r="H16" s="202">
        <v>44750</v>
      </c>
      <c r="I16" s="52">
        <v>20611898.510000002</v>
      </c>
      <c r="J16" s="202">
        <v>44781</v>
      </c>
      <c r="K16" s="52">
        <v>17709867.039999999</v>
      </c>
      <c r="L16" s="202">
        <v>44812</v>
      </c>
      <c r="M16" s="52">
        <v>1512557.9</v>
      </c>
      <c r="N16" s="202">
        <v>44842</v>
      </c>
      <c r="O16" s="52">
        <v>775744.39</v>
      </c>
      <c r="P16" s="202">
        <v>44873</v>
      </c>
      <c r="Q16" s="52">
        <v>1709446.28</v>
      </c>
      <c r="R16" s="202">
        <v>44903</v>
      </c>
      <c r="S16" s="52">
        <v>1127737.55</v>
      </c>
      <c r="T16" s="202">
        <v>44934</v>
      </c>
      <c r="U16" s="52">
        <v>1110066.6299999999</v>
      </c>
      <c r="V16" s="202">
        <v>44965</v>
      </c>
      <c r="W16" s="52">
        <v>1727588.83</v>
      </c>
      <c r="X16" s="202">
        <v>44993</v>
      </c>
      <c r="Y16" s="52">
        <v>1359494.04</v>
      </c>
    </row>
    <row r="17" spans="1:25" ht="15" customHeight="1">
      <c r="A17" s="141">
        <v>9</v>
      </c>
      <c r="B17" s="202">
        <v>44660</v>
      </c>
      <c r="C17" s="52">
        <v>489733.27</v>
      </c>
      <c r="D17" s="202">
        <v>44690</v>
      </c>
      <c r="E17" s="52">
        <v>710910.52</v>
      </c>
      <c r="F17" s="202">
        <v>44721</v>
      </c>
      <c r="G17" s="52">
        <v>8296383.0199999996</v>
      </c>
      <c r="H17" s="202">
        <v>44751</v>
      </c>
      <c r="I17" s="52">
        <v>20611898.510000002</v>
      </c>
      <c r="J17" s="202">
        <v>44782</v>
      </c>
      <c r="K17" s="52">
        <v>19913092.18</v>
      </c>
      <c r="L17" s="202">
        <v>44813</v>
      </c>
      <c r="M17" s="52">
        <v>1402436.34</v>
      </c>
      <c r="N17" s="202">
        <v>44843</v>
      </c>
      <c r="O17" s="52">
        <v>775744.39</v>
      </c>
      <c r="P17" s="202">
        <v>44874</v>
      </c>
      <c r="Q17" s="52">
        <v>1334653.94</v>
      </c>
      <c r="R17" s="202">
        <v>44904</v>
      </c>
      <c r="S17" s="52">
        <v>1610970.21</v>
      </c>
      <c r="T17" s="202">
        <v>44935</v>
      </c>
      <c r="U17" s="52">
        <v>2185945.2200000002</v>
      </c>
      <c r="V17" s="202">
        <v>44966</v>
      </c>
      <c r="W17" s="52">
        <v>1940424.78</v>
      </c>
      <c r="X17" s="202">
        <v>44994</v>
      </c>
      <c r="Y17" s="52">
        <v>1182327.93</v>
      </c>
    </row>
    <row r="18" spans="1:25" ht="15" customHeight="1">
      <c r="A18" s="141">
        <v>10</v>
      </c>
      <c r="B18" s="202">
        <v>44661</v>
      </c>
      <c r="C18" s="52">
        <v>489733.27</v>
      </c>
      <c r="D18" s="202">
        <v>44691</v>
      </c>
      <c r="E18" s="52">
        <v>964589.71</v>
      </c>
      <c r="F18" s="202">
        <v>44722</v>
      </c>
      <c r="G18" s="52">
        <v>8794983.5299999993</v>
      </c>
      <c r="H18" s="202">
        <v>44752</v>
      </c>
      <c r="I18" s="52">
        <v>20611898.510000002</v>
      </c>
      <c r="J18" s="202">
        <v>44783</v>
      </c>
      <c r="K18" s="52">
        <v>20121106.579999998</v>
      </c>
      <c r="L18" s="202">
        <v>44814</v>
      </c>
      <c r="M18" s="52">
        <v>1402436.34</v>
      </c>
      <c r="N18" s="202">
        <v>44844</v>
      </c>
      <c r="O18" s="52">
        <v>775744.39</v>
      </c>
      <c r="P18" s="202">
        <v>44875</v>
      </c>
      <c r="Q18" s="52">
        <v>731785.58</v>
      </c>
      <c r="R18" s="202">
        <v>44905</v>
      </c>
      <c r="S18" s="52">
        <v>1610970.21</v>
      </c>
      <c r="T18" s="202">
        <v>44936</v>
      </c>
      <c r="U18" s="52">
        <v>2344957.0699999998</v>
      </c>
      <c r="V18" s="202">
        <v>44967</v>
      </c>
      <c r="W18" s="52">
        <v>1623836.07</v>
      </c>
      <c r="X18" s="202">
        <v>44995</v>
      </c>
      <c r="Y18" s="52">
        <v>1399338.33</v>
      </c>
    </row>
    <row r="19" spans="1:25" ht="15" customHeight="1">
      <c r="A19" s="141">
        <v>11</v>
      </c>
      <c r="B19" s="202">
        <v>44662</v>
      </c>
      <c r="C19" s="52">
        <v>679556.15</v>
      </c>
      <c r="D19" s="202">
        <v>44692</v>
      </c>
      <c r="E19" s="52">
        <v>456036.63</v>
      </c>
      <c r="F19" s="202">
        <v>44723</v>
      </c>
      <c r="G19" s="52">
        <v>8794983.5299999993</v>
      </c>
      <c r="H19" s="202">
        <v>44753</v>
      </c>
      <c r="I19" s="52">
        <v>21678611.079999998</v>
      </c>
      <c r="J19" s="202">
        <v>44784</v>
      </c>
      <c r="K19" s="52">
        <v>20591284.059999999</v>
      </c>
      <c r="L19" s="202">
        <v>44815</v>
      </c>
      <c r="M19" s="52">
        <v>1402436.34</v>
      </c>
      <c r="N19" s="202">
        <v>44845</v>
      </c>
      <c r="O19" s="52">
        <v>3197420.38</v>
      </c>
      <c r="P19" s="202">
        <v>44876</v>
      </c>
      <c r="Q19" s="52">
        <v>731785.58</v>
      </c>
      <c r="R19" s="202">
        <v>44906</v>
      </c>
      <c r="S19" s="52">
        <v>1610970.21</v>
      </c>
      <c r="T19" s="202">
        <v>44937</v>
      </c>
      <c r="U19" s="52">
        <v>1850717.46</v>
      </c>
      <c r="V19" s="202">
        <v>44968</v>
      </c>
      <c r="W19" s="52">
        <v>1623836.07</v>
      </c>
      <c r="X19" s="202">
        <v>44996</v>
      </c>
      <c r="Y19" s="52">
        <v>1399338.33</v>
      </c>
    </row>
    <row r="20" spans="1:25" ht="15" customHeight="1">
      <c r="A20" s="141">
        <v>12</v>
      </c>
      <c r="B20" s="202">
        <v>44663</v>
      </c>
      <c r="C20" s="52">
        <v>937439.5</v>
      </c>
      <c r="D20" s="202">
        <v>44693</v>
      </c>
      <c r="E20" s="52">
        <v>504970.89</v>
      </c>
      <c r="F20" s="202">
        <v>44724</v>
      </c>
      <c r="G20" s="52">
        <v>8794983.5299999993</v>
      </c>
      <c r="H20" s="202">
        <v>44754</v>
      </c>
      <c r="I20" s="52">
        <v>22765495.890000001</v>
      </c>
      <c r="J20" s="202">
        <v>44785</v>
      </c>
      <c r="K20" s="52">
        <v>21077021.579999998</v>
      </c>
      <c r="L20" s="202">
        <v>44816</v>
      </c>
      <c r="M20" s="52">
        <v>1403807.4</v>
      </c>
      <c r="N20" s="202">
        <v>44846</v>
      </c>
      <c r="O20" s="52">
        <v>2215861.5</v>
      </c>
      <c r="P20" s="202">
        <v>44877</v>
      </c>
      <c r="Q20" s="52">
        <v>731785.58</v>
      </c>
      <c r="R20" s="202">
        <v>44907</v>
      </c>
      <c r="S20" s="52">
        <v>1525609.19</v>
      </c>
      <c r="T20" s="202">
        <v>44938</v>
      </c>
      <c r="U20" s="52">
        <v>1597081.52</v>
      </c>
      <c r="V20" s="202">
        <v>44969</v>
      </c>
      <c r="W20" s="52">
        <v>1623836.07</v>
      </c>
      <c r="X20" s="202">
        <v>44997</v>
      </c>
      <c r="Y20" s="52">
        <v>1399338.33</v>
      </c>
    </row>
    <row r="21" spans="1:25" ht="15" customHeight="1">
      <c r="A21" s="141">
        <v>13</v>
      </c>
      <c r="B21" s="202">
        <v>44664</v>
      </c>
      <c r="C21" s="52">
        <v>445080.74</v>
      </c>
      <c r="D21" s="202">
        <v>44694</v>
      </c>
      <c r="E21" s="52">
        <v>610543.84</v>
      </c>
      <c r="F21" s="202">
        <v>44725</v>
      </c>
      <c r="G21" s="52">
        <v>9595486.8100000005</v>
      </c>
      <c r="H21" s="202">
        <v>44755</v>
      </c>
      <c r="I21" s="52">
        <v>23915144.850000001</v>
      </c>
      <c r="J21" s="202">
        <v>44786</v>
      </c>
      <c r="K21" s="52">
        <v>21077021.579999998</v>
      </c>
      <c r="L21" s="202">
        <v>44817</v>
      </c>
      <c r="M21" s="52">
        <v>1962913.64</v>
      </c>
      <c r="N21" s="202">
        <v>44847</v>
      </c>
      <c r="O21" s="52">
        <v>1259023.3799999999</v>
      </c>
      <c r="P21" s="202">
        <v>44878</v>
      </c>
      <c r="Q21" s="52">
        <v>731785.58</v>
      </c>
      <c r="R21" s="202">
        <v>44908</v>
      </c>
      <c r="S21" s="52">
        <v>1546495.49</v>
      </c>
      <c r="T21" s="202">
        <v>44939</v>
      </c>
      <c r="U21" s="52">
        <v>1081845.6599999999</v>
      </c>
      <c r="V21" s="202">
        <v>44970</v>
      </c>
      <c r="W21" s="52">
        <v>1646825.16</v>
      </c>
      <c r="X21" s="202">
        <v>44998</v>
      </c>
      <c r="Y21" s="52">
        <v>1492669</v>
      </c>
    </row>
    <row r="22" spans="1:25" ht="15" customHeight="1">
      <c r="A22" s="141">
        <v>14</v>
      </c>
      <c r="B22" s="202">
        <v>44665</v>
      </c>
      <c r="C22" s="52">
        <v>501026.53</v>
      </c>
      <c r="D22" s="202">
        <v>44695</v>
      </c>
      <c r="E22" s="52">
        <v>610543.84</v>
      </c>
      <c r="F22" s="202">
        <v>44726</v>
      </c>
      <c r="G22" s="52">
        <v>10603304.300000001</v>
      </c>
      <c r="H22" s="202">
        <v>44756</v>
      </c>
      <c r="I22" s="52">
        <v>25170623.100000001</v>
      </c>
      <c r="J22" s="202">
        <v>44787</v>
      </c>
      <c r="K22" s="52">
        <v>21077021.579999998</v>
      </c>
      <c r="L22" s="202">
        <v>44818</v>
      </c>
      <c r="M22" s="52">
        <v>1848458.9</v>
      </c>
      <c r="N22" s="202">
        <v>44848</v>
      </c>
      <c r="O22" s="52">
        <v>1101858.1200000001</v>
      </c>
      <c r="P22" s="202">
        <v>44879</v>
      </c>
      <c r="Q22" s="52">
        <v>2527417.59</v>
      </c>
      <c r="R22" s="202">
        <v>44909</v>
      </c>
      <c r="S22" s="52">
        <v>1002537.88</v>
      </c>
      <c r="T22" s="202">
        <v>44940</v>
      </c>
      <c r="U22" s="52">
        <v>1081845.6599999999</v>
      </c>
      <c r="V22" s="202">
        <v>44971</v>
      </c>
      <c r="W22" s="52">
        <v>2321095.2999999998</v>
      </c>
      <c r="X22" s="202">
        <v>44999</v>
      </c>
      <c r="Y22" s="52">
        <v>3079282.44</v>
      </c>
    </row>
    <row r="23" spans="1:25" ht="15" customHeight="1">
      <c r="A23" s="141">
        <v>15</v>
      </c>
      <c r="B23" s="202">
        <v>44666</v>
      </c>
      <c r="C23" s="52">
        <v>568903.14</v>
      </c>
      <c r="D23" s="202">
        <v>44696</v>
      </c>
      <c r="E23" s="52">
        <v>610543.84</v>
      </c>
      <c r="F23" s="202">
        <v>44727</v>
      </c>
      <c r="G23" s="52">
        <v>10613084.24</v>
      </c>
      <c r="H23" s="202">
        <v>44757</v>
      </c>
      <c r="I23" s="52">
        <v>1533415.39</v>
      </c>
      <c r="J23" s="202">
        <v>44788</v>
      </c>
      <c r="K23" s="52">
        <v>1304187.0900000001</v>
      </c>
      <c r="L23" s="202">
        <v>44819</v>
      </c>
      <c r="M23" s="52">
        <v>1003664.08</v>
      </c>
      <c r="N23" s="202">
        <v>44849</v>
      </c>
      <c r="O23" s="52">
        <v>1101858.1200000001</v>
      </c>
      <c r="P23" s="202">
        <v>44880</v>
      </c>
      <c r="Q23" s="52">
        <v>2486742.9300000002</v>
      </c>
      <c r="R23" s="202">
        <v>44910</v>
      </c>
      <c r="S23" s="52">
        <v>1360098.54</v>
      </c>
      <c r="T23" s="202">
        <v>44941</v>
      </c>
      <c r="U23" s="52">
        <v>1081845.6599999999</v>
      </c>
      <c r="V23" s="202">
        <v>44972</v>
      </c>
      <c r="W23" s="52">
        <v>2012548.25</v>
      </c>
      <c r="X23" s="202">
        <v>45000</v>
      </c>
      <c r="Y23" s="52">
        <v>1372950.29</v>
      </c>
    </row>
    <row r="24" spans="1:25" ht="15" customHeight="1">
      <c r="A24" s="141">
        <v>16</v>
      </c>
      <c r="B24" s="202">
        <v>44667</v>
      </c>
      <c r="C24" s="52">
        <v>568903.14</v>
      </c>
      <c r="D24" s="202">
        <v>44697</v>
      </c>
      <c r="E24" s="52">
        <v>889836.55</v>
      </c>
      <c r="F24" s="202">
        <v>44728</v>
      </c>
      <c r="G24" s="52">
        <v>11160635.02</v>
      </c>
      <c r="H24" s="202">
        <v>44758</v>
      </c>
      <c r="I24" s="52">
        <v>1533415.39</v>
      </c>
      <c r="J24" s="202">
        <v>44789</v>
      </c>
      <c r="K24" s="52">
        <v>1928272.8</v>
      </c>
      <c r="L24" s="202">
        <v>44820</v>
      </c>
      <c r="M24" s="52">
        <v>1965387.62</v>
      </c>
      <c r="N24" s="202">
        <v>44850</v>
      </c>
      <c r="O24" s="52">
        <v>1101858.1200000001</v>
      </c>
      <c r="P24" s="202">
        <v>44881</v>
      </c>
      <c r="Q24" s="52">
        <v>1553840.3</v>
      </c>
      <c r="R24" s="202">
        <v>44911</v>
      </c>
      <c r="S24" s="52">
        <v>2000363.33</v>
      </c>
      <c r="T24" s="202">
        <v>44942</v>
      </c>
      <c r="U24" s="52">
        <v>1081845.6599999999</v>
      </c>
      <c r="V24" s="202">
        <v>44973</v>
      </c>
      <c r="W24" s="52">
        <v>1733790.71</v>
      </c>
      <c r="X24" s="202">
        <v>45001</v>
      </c>
      <c r="Y24" s="52">
        <v>1176712.1599999999</v>
      </c>
    </row>
    <row r="25" spans="1:25" ht="15" customHeight="1">
      <c r="A25" s="141">
        <v>17</v>
      </c>
      <c r="B25" s="202">
        <v>44668</v>
      </c>
      <c r="C25" s="52">
        <v>568903.14</v>
      </c>
      <c r="D25" s="202">
        <v>44698</v>
      </c>
      <c r="E25" s="52">
        <v>1222061.3</v>
      </c>
      <c r="F25" s="202">
        <v>44729</v>
      </c>
      <c r="G25" s="52">
        <v>11681541.33</v>
      </c>
      <c r="H25" s="202">
        <v>44759</v>
      </c>
      <c r="I25" s="52">
        <v>1533415.39</v>
      </c>
      <c r="J25" s="202">
        <v>44790</v>
      </c>
      <c r="K25" s="52">
        <v>1266579.81</v>
      </c>
      <c r="L25" s="202">
        <v>44821</v>
      </c>
      <c r="M25" s="52">
        <v>1965387.62</v>
      </c>
      <c r="N25" s="202">
        <v>44851</v>
      </c>
      <c r="O25" s="52">
        <v>1438487.98</v>
      </c>
      <c r="P25" s="202">
        <v>44882</v>
      </c>
      <c r="Q25" s="52">
        <v>1527060.73</v>
      </c>
      <c r="R25" s="202">
        <v>44912</v>
      </c>
      <c r="S25" s="52">
        <v>2000363.33</v>
      </c>
      <c r="T25" s="202">
        <v>44943</v>
      </c>
      <c r="U25" s="52">
        <v>2150734.27</v>
      </c>
      <c r="V25" s="202">
        <v>44974</v>
      </c>
      <c r="W25" s="52">
        <v>1770086.17</v>
      </c>
      <c r="X25" s="202">
        <v>45002</v>
      </c>
      <c r="Y25" s="52">
        <v>1440289.51</v>
      </c>
    </row>
    <row r="26" spans="1:25" ht="15" customHeight="1">
      <c r="A26" s="141">
        <v>18</v>
      </c>
      <c r="B26" s="202">
        <v>44669</v>
      </c>
      <c r="C26" s="52">
        <v>632224.97</v>
      </c>
      <c r="D26" s="202">
        <v>44699</v>
      </c>
      <c r="E26" s="52">
        <v>808666.9</v>
      </c>
      <c r="F26" s="202">
        <v>44730</v>
      </c>
      <c r="G26" s="52">
        <v>11681541.33</v>
      </c>
      <c r="H26" s="202">
        <v>44760</v>
      </c>
      <c r="I26" s="52">
        <v>2740815.36</v>
      </c>
      <c r="J26" s="202">
        <v>44791</v>
      </c>
      <c r="K26" s="52">
        <v>1050351.43</v>
      </c>
      <c r="L26" s="202">
        <v>44822</v>
      </c>
      <c r="M26" s="52">
        <v>1965387.62</v>
      </c>
      <c r="N26" s="202">
        <v>44852</v>
      </c>
      <c r="O26" s="52">
        <v>2257096.29</v>
      </c>
      <c r="P26" s="202">
        <v>44883</v>
      </c>
      <c r="Q26" s="52">
        <v>2108360.56</v>
      </c>
      <c r="R26" s="202">
        <v>44913</v>
      </c>
      <c r="S26" s="52">
        <v>2000363.33</v>
      </c>
      <c r="T26" s="202">
        <v>44944</v>
      </c>
      <c r="U26" s="52">
        <v>2850819.96</v>
      </c>
      <c r="V26" s="202">
        <v>44975</v>
      </c>
      <c r="W26" s="52">
        <v>1770086.17</v>
      </c>
      <c r="X26" s="202">
        <v>45003</v>
      </c>
      <c r="Y26" s="52">
        <v>1440289.51</v>
      </c>
    </row>
    <row r="27" spans="1:25" ht="15" customHeight="1">
      <c r="A27" s="141">
        <v>19</v>
      </c>
      <c r="B27" s="202">
        <v>44670</v>
      </c>
      <c r="C27" s="52">
        <v>950020.51</v>
      </c>
      <c r="D27" s="202">
        <v>44700</v>
      </c>
      <c r="E27" s="52">
        <v>1220970.06</v>
      </c>
      <c r="F27" s="202">
        <v>44731</v>
      </c>
      <c r="G27" s="52">
        <v>11681541.33</v>
      </c>
      <c r="H27" s="202">
        <v>44761</v>
      </c>
      <c r="I27" s="52">
        <v>4428688.4800000004</v>
      </c>
      <c r="J27" s="202">
        <v>44792</v>
      </c>
      <c r="K27" s="52">
        <v>1037740.77</v>
      </c>
      <c r="L27" s="202">
        <v>44823</v>
      </c>
      <c r="M27" s="52">
        <v>2053291.4</v>
      </c>
      <c r="N27" s="202">
        <v>44853</v>
      </c>
      <c r="O27" s="52">
        <v>1007189.94</v>
      </c>
      <c r="P27" s="202">
        <v>44884</v>
      </c>
      <c r="Q27" s="52">
        <v>2108360.56</v>
      </c>
      <c r="R27" s="202">
        <v>44914</v>
      </c>
      <c r="S27" s="52">
        <v>1594290.79</v>
      </c>
      <c r="T27" s="202">
        <v>44945</v>
      </c>
      <c r="U27" s="52">
        <v>2004772.88</v>
      </c>
      <c r="V27" s="202">
        <v>44976</v>
      </c>
      <c r="W27" s="52">
        <v>1770086.17</v>
      </c>
      <c r="X27" s="202">
        <v>45004</v>
      </c>
      <c r="Y27" s="52">
        <v>1440289.51</v>
      </c>
    </row>
    <row r="28" spans="1:25" ht="15" customHeight="1">
      <c r="A28" s="141">
        <v>20</v>
      </c>
      <c r="B28" s="202">
        <v>44671</v>
      </c>
      <c r="C28" s="52">
        <v>447153.17</v>
      </c>
      <c r="D28" s="202">
        <v>44701</v>
      </c>
      <c r="E28" s="52">
        <v>1404443.75</v>
      </c>
      <c r="F28" s="202">
        <v>44732</v>
      </c>
      <c r="G28" s="52">
        <v>11681541.33</v>
      </c>
      <c r="H28" s="202">
        <v>44762</v>
      </c>
      <c r="I28" s="52">
        <v>5228820.5999999996</v>
      </c>
      <c r="J28" s="202">
        <v>44793</v>
      </c>
      <c r="K28" s="52">
        <v>1037740.77</v>
      </c>
      <c r="L28" s="202">
        <v>44824</v>
      </c>
      <c r="M28" s="52">
        <v>1330614.08</v>
      </c>
      <c r="N28" s="202">
        <v>44854</v>
      </c>
      <c r="O28" s="52">
        <v>1620821.15</v>
      </c>
      <c r="P28" s="202">
        <v>44885</v>
      </c>
      <c r="Q28" s="52">
        <v>2108360.56</v>
      </c>
      <c r="R28" s="202">
        <v>44915</v>
      </c>
      <c r="S28" s="52">
        <v>2283638.54</v>
      </c>
      <c r="T28" s="202">
        <v>44946</v>
      </c>
      <c r="U28" s="52">
        <v>1595586.74</v>
      </c>
      <c r="V28" s="202">
        <v>44977</v>
      </c>
      <c r="W28" s="52">
        <v>1770086.17</v>
      </c>
      <c r="X28" s="202">
        <v>45005</v>
      </c>
      <c r="Y28" s="52">
        <v>2141800.9</v>
      </c>
    </row>
    <row r="29" spans="1:25" ht="15" customHeight="1">
      <c r="A29" s="141">
        <v>21</v>
      </c>
      <c r="B29" s="202">
        <v>44672</v>
      </c>
      <c r="C29" s="52">
        <v>522664.58</v>
      </c>
      <c r="D29" s="202">
        <v>44702</v>
      </c>
      <c r="E29" s="52">
        <v>1404443.75</v>
      </c>
      <c r="F29" s="202">
        <v>44733</v>
      </c>
      <c r="G29" s="52">
        <v>12434140.02</v>
      </c>
      <c r="H29" s="202">
        <v>44763</v>
      </c>
      <c r="I29" s="52">
        <v>6470807.1200000001</v>
      </c>
      <c r="J29" s="202">
        <v>44794</v>
      </c>
      <c r="K29" s="52">
        <v>1037740.77</v>
      </c>
      <c r="L29" s="202">
        <v>44825</v>
      </c>
      <c r="M29" s="52">
        <v>1128960.1100000001</v>
      </c>
      <c r="N29" s="202">
        <v>44855</v>
      </c>
      <c r="O29" s="52">
        <v>1245426.52</v>
      </c>
      <c r="P29" s="202">
        <v>44886</v>
      </c>
      <c r="Q29" s="52">
        <v>1344923.28</v>
      </c>
      <c r="R29" s="202">
        <v>44916</v>
      </c>
      <c r="S29" s="52">
        <v>2619572.94</v>
      </c>
      <c r="T29" s="202">
        <v>44947</v>
      </c>
      <c r="U29" s="52">
        <v>1595586.74</v>
      </c>
      <c r="V29" s="202">
        <v>44978</v>
      </c>
      <c r="W29" s="52">
        <v>2253952.48</v>
      </c>
      <c r="X29" s="202">
        <v>45006</v>
      </c>
      <c r="Y29" s="52">
        <v>2244321.94</v>
      </c>
    </row>
    <row r="30" spans="1:25" ht="15" customHeight="1">
      <c r="A30" s="141">
        <v>22</v>
      </c>
      <c r="B30" s="202">
        <v>44673</v>
      </c>
      <c r="C30" s="52">
        <v>552815.77</v>
      </c>
      <c r="D30" s="202">
        <v>44703</v>
      </c>
      <c r="E30" s="52">
        <v>1404443.75</v>
      </c>
      <c r="F30" s="202">
        <v>44734</v>
      </c>
      <c r="G30" s="52">
        <v>14901029.029999999</v>
      </c>
      <c r="H30" s="202">
        <v>44764</v>
      </c>
      <c r="I30" s="52">
        <v>7228919.8300000001</v>
      </c>
      <c r="J30" s="202">
        <v>44795</v>
      </c>
      <c r="K30" s="52">
        <v>2469395.38</v>
      </c>
      <c r="L30" s="202">
        <v>44826</v>
      </c>
      <c r="M30" s="52">
        <v>2214847.4300000002</v>
      </c>
      <c r="N30" s="202">
        <v>44856</v>
      </c>
      <c r="O30" s="52">
        <v>1245426.52</v>
      </c>
      <c r="P30" s="202">
        <v>44887</v>
      </c>
      <c r="Q30" s="52">
        <v>2130560.7000000002</v>
      </c>
      <c r="R30" s="202">
        <v>44917</v>
      </c>
      <c r="S30" s="52">
        <v>1721891.57</v>
      </c>
      <c r="T30" s="202">
        <v>44948</v>
      </c>
      <c r="U30" s="52">
        <v>1595586.74</v>
      </c>
      <c r="V30" s="202">
        <v>44979</v>
      </c>
      <c r="W30" s="52">
        <v>3359989.63</v>
      </c>
      <c r="X30" s="202">
        <v>45007</v>
      </c>
      <c r="Y30" s="52">
        <v>1283998.53</v>
      </c>
    </row>
    <row r="31" spans="1:25" ht="15" customHeight="1">
      <c r="A31" s="141">
        <v>23</v>
      </c>
      <c r="B31" s="202">
        <v>44674</v>
      </c>
      <c r="C31" s="52">
        <v>552815.77</v>
      </c>
      <c r="D31" s="202">
        <v>44704</v>
      </c>
      <c r="E31" s="52">
        <v>2787356.43</v>
      </c>
      <c r="F31" s="202">
        <v>44735</v>
      </c>
      <c r="G31" s="52">
        <v>14679075.57</v>
      </c>
      <c r="H31" s="202">
        <v>44765</v>
      </c>
      <c r="I31" s="52">
        <v>7228919.8300000001</v>
      </c>
      <c r="J31" s="202">
        <v>44796</v>
      </c>
      <c r="K31" s="52">
        <v>2610919.69</v>
      </c>
      <c r="L31" s="202">
        <v>44827</v>
      </c>
      <c r="M31" s="52">
        <v>2167892.71</v>
      </c>
      <c r="N31" s="202">
        <v>44857</v>
      </c>
      <c r="O31" s="52">
        <v>1245426.52</v>
      </c>
      <c r="P31" s="202">
        <v>44888</v>
      </c>
      <c r="Q31" s="52">
        <v>1317442.94</v>
      </c>
      <c r="R31" s="202">
        <v>44918</v>
      </c>
      <c r="S31" s="52">
        <v>1005735.92</v>
      </c>
      <c r="T31" s="202">
        <v>44949</v>
      </c>
      <c r="U31" s="52">
        <v>1762411.84</v>
      </c>
      <c r="V31" s="202">
        <v>44980</v>
      </c>
      <c r="W31" s="52">
        <v>1632279.45</v>
      </c>
      <c r="X31" s="202">
        <v>45008</v>
      </c>
      <c r="Y31" s="52">
        <v>854735.71</v>
      </c>
    </row>
    <row r="32" spans="1:25" ht="15" customHeight="1">
      <c r="A32" s="141">
        <v>24</v>
      </c>
      <c r="B32" s="202">
        <v>44675</v>
      </c>
      <c r="C32" s="52">
        <v>552815.77</v>
      </c>
      <c r="D32" s="202">
        <v>44705</v>
      </c>
      <c r="E32" s="52">
        <v>3433371.84</v>
      </c>
      <c r="F32" s="202">
        <v>44736</v>
      </c>
      <c r="G32" s="52">
        <v>15320924.5</v>
      </c>
      <c r="H32" s="202">
        <v>44766</v>
      </c>
      <c r="I32" s="52">
        <v>7228919.8300000001</v>
      </c>
      <c r="J32" s="202">
        <v>44797</v>
      </c>
      <c r="K32" s="52">
        <v>2777887.96</v>
      </c>
      <c r="L32" s="202">
        <v>44828</v>
      </c>
      <c r="M32" s="52">
        <v>2167892.71</v>
      </c>
      <c r="N32" s="202">
        <v>44858</v>
      </c>
      <c r="O32" s="52">
        <v>1641160.99</v>
      </c>
      <c r="P32" s="202">
        <v>44889</v>
      </c>
      <c r="Q32" s="52">
        <v>1317442.94</v>
      </c>
      <c r="R32" s="202">
        <v>44919</v>
      </c>
      <c r="S32" s="52">
        <v>1005735.92</v>
      </c>
      <c r="T32" s="202">
        <v>44950</v>
      </c>
      <c r="U32" s="52">
        <v>3130584.68</v>
      </c>
      <c r="V32" s="202">
        <v>44981</v>
      </c>
      <c r="W32" s="52">
        <v>2030297.76</v>
      </c>
      <c r="X32" s="202">
        <v>45009</v>
      </c>
      <c r="Y32" s="52">
        <v>1167310.33</v>
      </c>
    </row>
    <row r="33" spans="1:25" ht="15" customHeight="1">
      <c r="A33" s="141">
        <v>25</v>
      </c>
      <c r="B33" s="202">
        <v>44676</v>
      </c>
      <c r="C33" s="52">
        <v>622899.34</v>
      </c>
      <c r="D33" s="202">
        <v>44706</v>
      </c>
      <c r="E33" s="52">
        <v>3466380.99</v>
      </c>
      <c r="F33" s="202">
        <v>44737</v>
      </c>
      <c r="G33" s="52">
        <v>15320924.5</v>
      </c>
      <c r="H33" s="202">
        <v>44767</v>
      </c>
      <c r="I33" s="52">
        <v>7891512.0300000003</v>
      </c>
      <c r="J33" s="202">
        <v>44798</v>
      </c>
      <c r="K33" s="52">
        <v>1602343.53</v>
      </c>
      <c r="L33" s="202">
        <v>44829</v>
      </c>
      <c r="M33" s="52">
        <v>2167892.71</v>
      </c>
      <c r="N33" s="202">
        <v>44859</v>
      </c>
      <c r="O33" s="52">
        <v>2691282.95</v>
      </c>
      <c r="P33" s="202">
        <v>44890</v>
      </c>
      <c r="Q33" s="52">
        <v>1209500.3700000001</v>
      </c>
      <c r="R33" s="202">
        <v>44920</v>
      </c>
      <c r="S33" s="52">
        <v>1005735.92</v>
      </c>
      <c r="T33" s="202">
        <v>44951</v>
      </c>
      <c r="U33" s="52">
        <v>1049594.3400000001</v>
      </c>
      <c r="V33" s="202">
        <v>44982</v>
      </c>
      <c r="W33" s="52">
        <v>2030297.76</v>
      </c>
      <c r="X33" s="202">
        <v>45010</v>
      </c>
      <c r="Y33" s="52">
        <v>1167310.33</v>
      </c>
    </row>
    <row r="34" spans="1:25" ht="15" customHeight="1">
      <c r="A34" s="141">
        <v>26</v>
      </c>
      <c r="B34" s="202">
        <v>44677</v>
      </c>
      <c r="C34" s="52">
        <v>954597.62</v>
      </c>
      <c r="D34" s="202">
        <v>44707</v>
      </c>
      <c r="E34" s="52">
        <v>4235000.92</v>
      </c>
      <c r="F34" s="202">
        <v>44738</v>
      </c>
      <c r="G34" s="52">
        <v>15320924.5</v>
      </c>
      <c r="H34" s="202">
        <v>44768</v>
      </c>
      <c r="I34" s="52">
        <v>9349198.0299999993</v>
      </c>
      <c r="J34" s="202">
        <v>44799</v>
      </c>
      <c r="K34" s="52">
        <v>1667507.68</v>
      </c>
      <c r="L34" s="202">
        <v>44830</v>
      </c>
      <c r="M34" s="52">
        <v>1315168.9099999999</v>
      </c>
      <c r="N34" s="202">
        <v>44860</v>
      </c>
      <c r="O34" s="52">
        <v>1225126.45</v>
      </c>
      <c r="P34" s="202">
        <v>44891</v>
      </c>
      <c r="Q34" s="52">
        <v>1209500.3700000001</v>
      </c>
      <c r="R34" s="202">
        <v>44921</v>
      </c>
      <c r="S34" s="52">
        <v>1005735.92</v>
      </c>
      <c r="T34" s="202">
        <v>44952</v>
      </c>
      <c r="U34" s="52">
        <v>2380140.12</v>
      </c>
      <c r="V34" s="202">
        <v>44983</v>
      </c>
      <c r="W34" s="52">
        <v>2030297.76</v>
      </c>
      <c r="X34" s="202">
        <v>45011</v>
      </c>
      <c r="Y34" s="52">
        <v>1167310.33</v>
      </c>
    </row>
    <row r="35" spans="1:25" ht="15" customHeight="1">
      <c r="A35" s="141">
        <v>27</v>
      </c>
      <c r="B35" s="202">
        <v>44678</v>
      </c>
      <c r="C35" s="52">
        <v>459210.93</v>
      </c>
      <c r="D35" s="202">
        <v>44708</v>
      </c>
      <c r="E35" s="52">
        <v>4666007.25</v>
      </c>
      <c r="F35" s="202">
        <v>44739</v>
      </c>
      <c r="G35" s="52">
        <v>16116074.859999999</v>
      </c>
      <c r="H35" s="202">
        <v>44769</v>
      </c>
      <c r="I35" s="52">
        <v>10291060.15</v>
      </c>
      <c r="J35" s="202">
        <v>44800</v>
      </c>
      <c r="K35" s="52">
        <v>1667507.68</v>
      </c>
      <c r="L35" s="202">
        <v>44831</v>
      </c>
      <c r="M35" s="52">
        <v>2478627.8199999998</v>
      </c>
      <c r="N35" s="202">
        <v>44861</v>
      </c>
      <c r="O35" s="52">
        <v>1312801.3899999999</v>
      </c>
      <c r="P35" s="202">
        <v>44892</v>
      </c>
      <c r="Q35" s="52">
        <v>1209500.3700000001</v>
      </c>
      <c r="R35" s="202">
        <v>44922</v>
      </c>
      <c r="S35" s="52">
        <v>1249665.05</v>
      </c>
      <c r="T35" s="202">
        <v>44953</v>
      </c>
      <c r="U35" s="52">
        <v>1437881.15</v>
      </c>
      <c r="V35" s="202">
        <v>44984</v>
      </c>
      <c r="W35" s="52">
        <v>1784843.9</v>
      </c>
      <c r="X35" s="202">
        <v>45012</v>
      </c>
      <c r="Y35" s="52">
        <v>1721363.43</v>
      </c>
    </row>
    <row r="36" spans="1:25" ht="15" customHeight="1">
      <c r="A36" s="141">
        <v>28</v>
      </c>
      <c r="B36" s="202">
        <v>44679</v>
      </c>
      <c r="C36" s="52">
        <v>449573.73</v>
      </c>
      <c r="D36" s="202">
        <v>44709</v>
      </c>
      <c r="E36" s="52">
        <v>4666007.25</v>
      </c>
      <c r="F36" s="202">
        <v>44740</v>
      </c>
      <c r="G36" s="52">
        <v>17099557.41</v>
      </c>
      <c r="H36" s="202">
        <v>44770</v>
      </c>
      <c r="I36" s="52">
        <v>11511696.130000001</v>
      </c>
      <c r="J36" s="202">
        <v>44801</v>
      </c>
      <c r="K36" s="52">
        <v>1667507.68</v>
      </c>
      <c r="L36" s="202">
        <v>44832</v>
      </c>
      <c r="M36" s="52">
        <v>1288516.6000000001</v>
      </c>
      <c r="N36" s="202">
        <v>44862</v>
      </c>
      <c r="O36" s="52">
        <v>1120145.29</v>
      </c>
      <c r="P36" s="202">
        <v>44893</v>
      </c>
      <c r="Q36" s="52">
        <v>1303634.1399999999</v>
      </c>
      <c r="R36" s="202">
        <v>44923</v>
      </c>
      <c r="S36" s="52">
        <v>2715651.45</v>
      </c>
      <c r="T36" s="202">
        <v>44954</v>
      </c>
      <c r="U36" s="52">
        <v>1437881.15</v>
      </c>
      <c r="V36" s="202">
        <v>44985</v>
      </c>
      <c r="W36" s="52">
        <v>2826818.67</v>
      </c>
      <c r="X36" s="202">
        <v>45013</v>
      </c>
      <c r="Y36" s="52">
        <v>2241556.58</v>
      </c>
    </row>
    <row r="37" spans="1:25" ht="15" customHeight="1">
      <c r="A37" s="141">
        <v>29</v>
      </c>
      <c r="B37" s="202">
        <v>44680</v>
      </c>
      <c r="C37" s="52">
        <v>577310.03</v>
      </c>
      <c r="D37" s="202">
        <v>44710</v>
      </c>
      <c r="E37" s="52">
        <v>4666007.25</v>
      </c>
      <c r="F37" s="202">
        <v>44741</v>
      </c>
      <c r="G37" s="52">
        <v>17395919.370000001</v>
      </c>
      <c r="H37" s="202">
        <v>44771</v>
      </c>
      <c r="I37" s="52">
        <v>12872803.43</v>
      </c>
      <c r="J37" s="202">
        <v>44802</v>
      </c>
      <c r="K37" s="52">
        <v>1707427.11</v>
      </c>
      <c r="L37" s="202">
        <v>44833</v>
      </c>
      <c r="M37" s="52">
        <v>1125723.82</v>
      </c>
      <c r="N37" s="202">
        <v>44863</v>
      </c>
      <c r="O37" s="52">
        <v>1120145.29</v>
      </c>
      <c r="P37" s="202">
        <v>44894</v>
      </c>
      <c r="Q37" s="52">
        <v>1785075.33</v>
      </c>
      <c r="R37" s="202">
        <v>44924</v>
      </c>
      <c r="S37" s="52">
        <v>1640074.72</v>
      </c>
      <c r="T37" s="202">
        <v>44955</v>
      </c>
      <c r="U37" s="52">
        <v>1437881.15</v>
      </c>
      <c r="V37" s="202"/>
      <c r="W37" s="54"/>
      <c r="X37" s="202">
        <v>45014</v>
      </c>
      <c r="Y37" s="52">
        <v>803092.52</v>
      </c>
    </row>
    <row r="38" spans="1:25" ht="15" customHeight="1">
      <c r="A38" s="141">
        <v>30</v>
      </c>
      <c r="B38" s="202">
        <v>44681</v>
      </c>
      <c r="C38" s="52">
        <v>577310.03</v>
      </c>
      <c r="D38" s="202">
        <v>44711</v>
      </c>
      <c r="E38" s="52">
        <v>4666007.25</v>
      </c>
      <c r="F38" s="202">
        <v>44742</v>
      </c>
      <c r="G38" s="52">
        <v>18425402.789999999</v>
      </c>
      <c r="H38" s="202">
        <v>44772</v>
      </c>
      <c r="I38" s="52">
        <v>12872803.43</v>
      </c>
      <c r="J38" s="202">
        <v>44803</v>
      </c>
      <c r="K38" s="52">
        <v>2116376.37</v>
      </c>
      <c r="L38" s="202">
        <v>44834</v>
      </c>
      <c r="M38" s="52">
        <v>1221606.4099999999</v>
      </c>
      <c r="N38" s="202">
        <v>44864</v>
      </c>
      <c r="O38" s="52">
        <v>1120145.29</v>
      </c>
      <c r="P38" s="202">
        <v>44895</v>
      </c>
      <c r="Q38" s="52">
        <v>1877070.94</v>
      </c>
      <c r="R38" s="202">
        <v>44925</v>
      </c>
      <c r="S38" s="52">
        <v>1270154.79</v>
      </c>
      <c r="T38" s="202">
        <v>44956</v>
      </c>
      <c r="U38" s="52">
        <v>1753525.81</v>
      </c>
      <c r="V38" s="202"/>
      <c r="W38" s="54"/>
      <c r="X38" s="202">
        <v>45015</v>
      </c>
      <c r="Y38" s="52">
        <v>804081.66</v>
      </c>
    </row>
    <row r="39" spans="1:25" ht="15" customHeight="1">
      <c r="A39" s="141">
        <v>31</v>
      </c>
      <c r="B39" s="202"/>
      <c r="C39" s="54"/>
      <c r="D39" s="202">
        <v>44712</v>
      </c>
      <c r="E39" s="52">
        <v>5311841.92</v>
      </c>
      <c r="F39" s="202"/>
      <c r="G39" s="54"/>
      <c r="H39" s="202">
        <v>44773</v>
      </c>
      <c r="I39" s="52">
        <v>12872803.43</v>
      </c>
      <c r="J39" s="202">
        <v>44804</v>
      </c>
      <c r="K39" s="52">
        <v>1938431.99</v>
      </c>
      <c r="L39" s="202"/>
      <c r="M39" s="54"/>
      <c r="N39" s="202">
        <v>44865</v>
      </c>
      <c r="O39" s="52">
        <v>1227937.43</v>
      </c>
      <c r="P39" s="202"/>
      <c r="Q39" s="54"/>
      <c r="R39" s="202">
        <v>44926</v>
      </c>
      <c r="S39" s="52">
        <v>1270154.79</v>
      </c>
      <c r="T39" s="202">
        <v>44957</v>
      </c>
      <c r="U39" s="52">
        <v>1996179.47</v>
      </c>
      <c r="V39" s="202"/>
      <c r="W39" s="54"/>
      <c r="X39" s="202">
        <v>45016</v>
      </c>
      <c r="Y39" s="52">
        <v>804081.66</v>
      </c>
    </row>
    <row r="40" spans="1:25" ht="15" customHeight="1">
      <c r="A40" s="40"/>
      <c r="B40" s="54"/>
      <c r="C40" s="54"/>
      <c r="D40" s="54"/>
      <c r="E40" s="54"/>
      <c r="F40" s="54"/>
      <c r="G40" s="54"/>
      <c r="H40" s="54"/>
      <c r="I40" s="54"/>
      <c r="J40" s="54"/>
      <c r="K40" s="54"/>
      <c r="L40" s="54"/>
      <c r="M40" s="54"/>
      <c r="N40" s="54"/>
      <c r="O40" s="54"/>
      <c r="P40" s="54"/>
      <c r="Q40" s="54"/>
      <c r="R40" s="54"/>
      <c r="S40" s="54"/>
      <c r="T40" s="54"/>
      <c r="U40" s="54"/>
      <c r="V40" s="54"/>
      <c r="W40" s="54"/>
      <c r="X40" s="54"/>
      <c r="Y40" s="54"/>
    </row>
    <row r="41" spans="1:25" ht="15" customHeight="1">
      <c r="A41" s="40"/>
      <c r="B41" s="54"/>
      <c r="C41" s="65"/>
      <c r="D41" s="54"/>
      <c r="E41" s="65"/>
      <c r="F41" s="54"/>
      <c r="G41" s="65"/>
      <c r="H41" s="54"/>
      <c r="I41" s="65"/>
      <c r="J41" s="54"/>
      <c r="K41" s="65"/>
      <c r="L41" s="54"/>
      <c r="M41" s="65"/>
      <c r="N41" s="54"/>
      <c r="O41" s="65"/>
      <c r="P41" s="54"/>
      <c r="Q41" s="65"/>
      <c r="R41" s="54"/>
      <c r="S41" s="65"/>
      <c r="T41" s="54"/>
      <c r="U41" s="65"/>
      <c r="V41" s="54"/>
      <c r="W41" s="65"/>
      <c r="X41" s="54"/>
      <c r="Y41" s="65"/>
    </row>
    <row r="42" spans="1:25" ht="15" customHeight="1">
      <c r="A42" s="40" t="s">
        <v>158</v>
      </c>
      <c r="B42" s="54"/>
      <c r="C42" s="201">
        <f>SUM(C9:C39)</f>
        <v>18998881.500000004</v>
      </c>
      <c r="D42" s="54"/>
      <c r="E42" s="201">
        <f>SUM(E9:E39)</f>
        <v>56718326.770000003</v>
      </c>
      <c r="F42" s="54"/>
      <c r="G42" s="201">
        <f>SUM(G9:G39)</f>
        <v>336029887.63000011</v>
      </c>
      <c r="H42" s="54"/>
      <c r="I42" s="201">
        <f>SUM(I9:I39)</f>
        <v>417851650.55999988</v>
      </c>
      <c r="J42" s="54"/>
      <c r="K42" s="201">
        <f>SUM(K9:K39)</f>
        <v>279709418.16000009</v>
      </c>
      <c r="L42" s="54"/>
      <c r="M42" s="201">
        <f>SUM(M9:M39)</f>
        <v>49369737.259999998</v>
      </c>
      <c r="N42" s="54"/>
      <c r="O42" s="201">
        <f>SUM(O9:O39)</f>
        <v>45327249.140000008</v>
      </c>
      <c r="P42" s="54"/>
      <c r="Q42" s="201">
        <f>SUM(Q9:Q39)</f>
        <v>45391242.139999978</v>
      </c>
      <c r="R42" s="54"/>
      <c r="S42" s="201">
        <f>SUM(S9:S39)</f>
        <v>48416288.049999997</v>
      </c>
      <c r="T42" s="54"/>
      <c r="U42" s="201">
        <f>SUM(U9:U39)</f>
        <v>53903005.719999999</v>
      </c>
      <c r="V42" s="54"/>
      <c r="W42" s="201">
        <f>SUM(W9:W39)</f>
        <v>55838437.920000002</v>
      </c>
      <c r="X42" s="54"/>
      <c r="Y42" s="201">
        <f>SUM(Y9:Y39)</f>
        <v>48601692.899999991</v>
      </c>
    </row>
    <row r="43" spans="1:25" ht="15" customHeight="1">
      <c r="A43" s="54"/>
      <c r="B43" s="54"/>
      <c r="C43" s="58"/>
      <c r="D43" s="54"/>
      <c r="E43" s="58"/>
      <c r="F43" s="54"/>
      <c r="G43" s="58"/>
      <c r="H43" s="54"/>
      <c r="I43" s="58"/>
      <c r="J43" s="54"/>
      <c r="K43" s="58"/>
      <c r="L43" s="54"/>
      <c r="M43" s="58"/>
      <c r="N43" s="54"/>
      <c r="O43" s="58"/>
      <c r="P43" s="54"/>
      <c r="Q43" s="58"/>
      <c r="R43" s="54"/>
      <c r="S43" s="58"/>
      <c r="T43" s="54"/>
      <c r="U43" s="58"/>
      <c r="V43" s="54"/>
      <c r="W43" s="58"/>
      <c r="X43" s="54"/>
      <c r="Y43" s="58"/>
    </row>
    <row r="44" spans="1:25" ht="15"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row>
    <row r="45" spans="1:25" ht="15" customHeight="1">
      <c r="A45" s="54"/>
      <c r="B45" s="54"/>
      <c r="C45" s="54"/>
      <c r="D45" s="54"/>
      <c r="E45" s="54"/>
      <c r="F45" s="54"/>
      <c r="G45" s="54"/>
      <c r="H45" s="54"/>
      <c r="I45" s="54"/>
      <c r="J45" s="54"/>
      <c r="K45" s="54"/>
      <c r="L45" s="54"/>
      <c r="M45" s="54"/>
      <c r="N45" s="54"/>
      <c r="O45" s="54"/>
      <c r="P45" s="54"/>
      <c r="Q45" s="54"/>
      <c r="R45" s="54"/>
      <c r="S45" s="54"/>
      <c r="T45" s="54"/>
      <c r="U45" s="54"/>
      <c r="V45" s="54"/>
      <c r="W45" s="54" t="s">
        <v>743</v>
      </c>
      <c r="X45" s="54"/>
      <c r="Y45" s="52">
        <f>Y42+W42+U42+S42+Q42+O42+M42+K42+I42+G42+E42+C42</f>
        <v>1456155817.75</v>
      </c>
    </row>
    <row r="46" spans="1:25" ht="15" customHeight="1">
      <c r="A46" s="54"/>
      <c r="B46" s="54"/>
      <c r="C46" s="54"/>
      <c r="D46" s="54"/>
      <c r="E46" s="54"/>
      <c r="F46" s="54"/>
      <c r="G46" s="54"/>
      <c r="H46" s="54"/>
      <c r="I46" s="54"/>
      <c r="J46" s="54"/>
      <c r="K46" s="54"/>
      <c r="L46" s="54"/>
      <c r="M46" s="54"/>
      <c r="N46" s="54"/>
      <c r="O46" s="54"/>
      <c r="P46" s="54"/>
      <c r="Q46" s="54"/>
      <c r="R46" s="54"/>
      <c r="S46" s="54"/>
      <c r="T46" s="54"/>
      <c r="U46" s="54"/>
      <c r="V46" s="54"/>
      <c r="W46" s="54"/>
      <c r="X46" s="54"/>
      <c r="Y46" s="65"/>
    </row>
    <row r="47" spans="1:25" ht="15" customHeight="1" thickBot="1">
      <c r="A47" s="44" t="s">
        <v>2</v>
      </c>
      <c r="B47" s="44" t="s">
        <v>3</v>
      </c>
      <c r="C47" s="54"/>
      <c r="D47" s="54"/>
      <c r="E47" s="54"/>
      <c r="F47" s="54"/>
      <c r="G47" s="54"/>
      <c r="H47" s="54"/>
      <c r="I47" s="54"/>
      <c r="J47" s="54"/>
      <c r="K47" s="54"/>
      <c r="L47" s="54"/>
      <c r="M47" s="54"/>
      <c r="N47" s="54"/>
      <c r="O47" s="54"/>
      <c r="P47" s="54"/>
      <c r="Q47" s="54"/>
      <c r="R47" s="54"/>
      <c r="S47" s="54"/>
      <c r="T47" s="54"/>
      <c r="U47" s="54"/>
      <c r="V47" s="54"/>
      <c r="W47" s="54" t="s">
        <v>742</v>
      </c>
      <c r="X47" s="54"/>
      <c r="Y47" s="73">
        <f>Y45/365</f>
        <v>3989467.9938356164</v>
      </c>
    </row>
    <row r="48" spans="1:25" ht="13" thickTop="1">
      <c r="Y48" s="63"/>
    </row>
  </sheetData>
  <mergeCells count="4">
    <mergeCell ref="A2:D2"/>
    <mergeCell ref="A1:D1"/>
    <mergeCell ref="A4:D4"/>
    <mergeCell ref="A3:D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C812E-A69F-4198-A634-D1C1B40FE916}">
  <dimension ref="A1:M78"/>
  <sheetViews>
    <sheetView showRuler="0" workbookViewId="0">
      <selection sqref="A1:D1"/>
    </sheetView>
  </sheetViews>
  <sheetFormatPr defaultColWidth="13.7265625" defaultRowHeight="12.5"/>
  <cols>
    <col min="1" max="1" width="44" style="41" customWidth="1"/>
    <col min="2" max="2" width="23.1796875" style="41" customWidth="1"/>
    <col min="3" max="3" width="21.1796875" style="41" customWidth="1"/>
    <col min="4" max="4" width="23" style="41" customWidth="1"/>
    <col min="5" max="5" width="13.54296875" style="41" customWidth="1"/>
    <col min="6" max="6" width="13" style="41" customWidth="1"/>
    <col min="7" max="7" width="13.7265625" style="41" customWidth="1"/>
    <col min="8" max="8" width="16.81640625" style="41" customWidth="1"/>
    <col min="9" max="9" width="12.54296875" style="41" customWidth="1"/>
    <col min="10" max="10" width="13.81640625" style="41" customWidth="1"/>
    <col min="11" max="11" width="5.7265625" style="41" customWidth="1"/>
    <col min="12" max="12" width="10.1796875" style="41" customWidth="1"/>
    <col min="13" max="13" width="14.453125" style="41" customWidth="1"/>
    <col min="14" max="16384" width="13.7265625" style="41"/>
  </cols>
  <sheetData>
    <row r="1" spans="1:13" ht="15" customHeight="1">
      <c r="A1" s="737" t="s">
        <v>0</v>
      </c>
      <c r="B1" s="737"/>
      <c r="C1" s="737"/>
      <c r="D1" s="737"/>
    </row>
    <row r="2" spans="1:13" ht="15" customHeight="1">
      <c r="A2" s="737" t="s">
        <v>732</v>
      </c>
      <c r="B2" s="737"/>
      <c r="C2" s="737"/>
      <c r="D2" s="737"/>
    </row>
    <row r="3" spans="1:13" ht="15" customHeight="1">
      <c r="A3" s="737" t="s">
        <v>770</v>
      </c>
      <c r="B3" s="737"/>
      <c r="C3" s="737"/>
      <c r="D3" s="737"/>
    </row>
    <row r="4" spans="1:13" ht="15" customHeight="1">
      <c r="A4" s="737" t="s">
        <v>352</v>
      </c>
      <c r="B4" s="737"/>
      <c r="C4" s="737"/>
      <c r="D4" s="737"/>
    </row>
    <row r="5" spans="1:13" ht="15" customHeight="1"/>
    <row r="6" spans="1:13" ht="15" customHeight="1">
      <c r="A6" s="54" t="s">
        <v>769</v>
      </c>
      <c r="B6" s="54" t="s">
        <v>768</v>
      </c>
      <c r="C6" s="54" t="s">
        <v>767</v>
      </c>
      <c r="D6" s="54" t="s">
        <v>766</v>
      </c>
      <c r="E6" s="54"/>
      <c r="F6" s="54"/>
      <c r="G6" s="54"/>
      <c r="H6" s="54"/>
      <c r="I6" s="54"/>
      <c r="J6" s="54"/>
      <c r="K6" s="54"/>
      <c r="L6" s="54"/>
      <c r="M6" s="54"/>
    </row>
    <row r="7" spans="1:13" ht="15" customHeight="1">
      <c r="A7" s="54" t="s">
        <v>765</v>
      </c>
      <c r="B7" s="205">
        <f>M39</f>
        <v>46.117172446710008</v>
      </c>
      <c r="C7" s="62">
        <f>C39/365</f>
        <v>7668.7727945205461</v>
      </c>
      <c r="D7" s="62">
        <f>B7*C7</f>
        <v>353662.11741954222</v>
      </c>
      <c r="E7" s="54"/>
      <c r="F7" s="54"/>
      <c r="G7" s="54"/>
      <c r="H7" s="54"/>
      <c r="I7" s="54"/>
      <c r="J7" s="54"/>
      <c r="K7" s="54"/>
      <c r="L7" s="54"/>
      <c r="M7" s="54"/>
    </row>
    <row r="8" spans="1:13" ht="15" customHeight="1">
      <c r="A8" s="54" t="s">
        <v>734</v>
      </c>
      <c r="B8" s="205">
        <f>M58</f>
        <v>35.2777065093725</v>
      </c>
      <c r="C8" s="62">
        <f>C58/365</f>
        <v>38789.114794520545</v>
      </c>
      <c r="D8" s="62">
        <f>B8*C8</f>
        <v>1368391.0074794546</v>
      </c>
      <c r="E8" s="54"/>
      <c r="F8" s="54"/>
      <c r="G8" s="54"/>
      <c r="H8" s="54"/>
      <c r="I8" s="54"/>
      <c r="J8" s="54"/>
      <c r="K8" s="54"/>
      <c r="L8" s="54"/>
      <c r="M8" s="54"/>
    </row>
    <row r="9" spans="1:13" ht="15" customHeight="1">
      <c r="A9" s="54" t="s">
        <v>761</v>
      </c>
      <c r="B9" s="205">
        <f>M76</f>
        <v>40.232842938989997</v>
      </c>
      <c r="C9" s="62">
        <f>C76/365</f>
        <v>28868.496821917804</v>
      </c>
      <c r="D9" s="62">
        <f>B9*C9</f>
        <v>1161461.698520951</v>
      </c>
      <c r="E9" s="54"/>
      <c r="F9" s="54"/>
      <c r="G9" s="54"/>
      <c r="H9" s="54"/>
      <c r="I9" s="54"/>
      <c r="J9" s="54"/>
      <c r="K9" s="54"/>
      <c r="L9" s="54"/>
      <c r="M9" s="54"/>
    </row>
    <row r="10" spans="1:13" ht="15" customHeight="1">
      <c r="A10" s="54"/>
      <c r="B10" s="54"/>
      <c r="C10" s="54"/>
      <c r="D10" s="54"/>
      <c r="E10" s="54"/>
      <c r="F10" s="54"/>
      <c r="G10" s="54"/>
      <c r="H10" s="54"/>
      <c r="I10" s="54"/>
      <c r="J10" s="54"/>
      <c r="K10" s="54"/>
      <c r="L10" s="54"/>
      <c r="M10" s="54"/>
    </row>
    <row r="11" spans="1:13" ht="15" customHeight="1">
      <c r="A11" s="65"/>
      <c r="B11" s="54"/>
      <c r="C11" s="54"/>
      <c r="D11" s="54"/>
      <c r="E11" s="54"/>
      <c r="F11" s="54"/>
      <c r="G11" s="54"/>
      <c r="H11" s="54"/>
      <c r="I11" s="54"/>
      <c r="J11" s="54"/>
      <c r="K11" s="54"/>
      <c r="L11" s="54"/>
      <c r="M11" s="54"/>
    </row>
    <row r="12" spans="1:13" ht="15" customHeight="1">
      <c r="A12" s="120" t="s">
        <v>765</v>
      </c>
      <c r="B12" s="59"/>
      <c r="C12" s="54"/>
      <c r="D12" s="54"/>
      <c r="E12" s="54"/>
      <c r="F12" s="54"/>
      <c r="G12" s="54"/>
      <c r="H12" s="54"/>
      <c r="I12" s="54"/>
      <c r="J12" s="54"/>
      <c r="K12" s="54"/>
      <c r="L12" s="54"/>
      <c r="M12" s="54"/>
    </row>
    <row r="13" spans="1:13" ht="15" customHeight="1">
      <c r="A13" s="58" t="s">
        <v>760</v>
      </c>
      <c r="B13" s="54" t="s">
        <v>759</v>
      </c>
      <c r="C13" s="54" t="s">
        <v>225</v>
      </c>
      <c r="D13" s="54" t="s">
        <v>758</v>
      </c>
      <c r="E13" s="54" t="s">
        <v>757</v>
      </c>
      <c r="F13" s="54" t="s">
        <v>764</v>
      </c>
      <c r="G13" s="54" t="s">
        <v>755</v>
      </c>
      <c r="H13" s="54" t="s">
        <v>754</v>
      </c>
      <c r="I13" s="54" t="s">
        <v>753</v>
      </c>
      <c r="J13" s="54" t="s">
        <v>752</v>
      </c>
      <c r="K13" s="54" t="s">
        <v>751</v>
      </c>
      <c r="L13" s="54" t="s">
        <v>750</v>
      </c>
      <c r="M13" s="54" t="s">
        <v>749</v>
      </c>
    </row>
    <row r="14" spans="1:13" ht="15" customHeight="1">
      <c r="A14" s="54" t="s">
        <v>552</v>
      </c>
      <c r="B14" s="54" t="s">
        <v>550</v>
      </c>
      <c r="C14" s="54" t="s">
        <v>660</v>
      </c>
      <c r="D14" s="54" t="s">
        <v>659</v>
      </c>
      <c r="E14" s="54" t="s">
        <v>748</v>
      </c>
      <c r="F14" s="54" t="s">
        <v>647</v>
      </c>
      <c r="G14" s="54" t="s">
        <v>657</v>
      </c>
      <c r="H14" s="54" t="s">
        <v>656</v>
      </c>
      <c r="I14" s="54" t="s">
        <v>655</v>
      </c>
      <c r="J14" s="54" t="s">
        <v>654</v>
      </c>
      <c r="K14" s="54" t="s">
        <v>653</v>
      </c>
      <c r="L14" s="54" t="s">
        <v>652</v>
      </c>
      <c r="M14" s="54" t="s">
        <v>651</v>
      </c>
    </row>
    <row r="15" spans="1:13" ht="15" customHeight="1">
      <c r="A15" s="54" t="s">
        <v>763</v>
      </c>
      <c r="B15" s="54" t="s">
        <v>762</v>
      </c>
      <c r="C15" s="62">
        <v>59713.01</v>
      </c>
      <c r="D15" s="202">
        <v>44440</v>
      </c>
      <c r="E15" s="202">
        <v>44469</v>
      </c>
      <c r="F15" s="202">
        <v>44481</v>
      </c>
      <c r="G15" s="202">
        <v>44481</v>
      </c>
      <c r="H15" s="68">
        <v>2.1329999999999998E-2</v>
      </c>
      <c r="I15" s="61">
        <v>15</v>
      </c>
      <c r="J15" s="61">
        <v>12</v>
      </c>
      <c r="K15" s="68">
        <v>12.73</v>
      </c>
      <c r="L15" s="68">
        <v>39.729999999999997</v>
      </c>
      <c r="M15" s="205">
        <v>0.84749860118999998</v>
      </c>
    </row>
    <row r="16" spans="1:13" ht="15" customHeight="1">
      <c r="A16" s="54" t="s">
        <v>763</v>
      </c>
      <c r="B16" s="54" t="s">
        <v>762</v>
      </c>
      <c r="C16" s="51">
        <v>550068.92000000004</v>
      </c>
      <c r="D16" s="202">
        <v>44440</v>
      </c>
      <c r="E16" s="202">
        <v>44469</v>
      </c>
      <c r="F16" s="202">
        <v>44490</v>
      </c>
      <c r="G16" s="202">
        <v>44490</v>
      </c>
      <c r="H16" s="68">
        <v>0.19652</v>
      </c>
      <c r="I16" s="61">
        <v>15</v>
      </c>
      <c r="J16" s="61">
        <v>21</v>
      </c>
      <c r="K16" s="68">
        <v>12.73</v>
      </c>
      <c r="L16" s="68">
        <v>48.73</v>
      </c>
      <c r="M16" s="205">
        <v>9.5756989644000008</v>
      </c>
    </row>
    <row r="17" spans="1:13" ht="15" customHeight="1">
      <c r="A17" s="54" t="s">
        <v>763</v>
      </c>
      <c r="B17" s="54" t="s">
        <v>762</v>
      </c>
      <c r="C17" s="51">
        <v>51293.33</v>
      </c>
      <c r="D17" s="202">
        <v>44470</v>
      </c>
      <c r="E17" s="202">
        <v>44500</v>
      </c>
      <c r="F17" s="202">
        <v>44512</v>
      </c>
      <c r="G17" s="202">
        <v>44512</v>
      </c>
      <c r="H17" s="68">
        <v>1.8319999999999999E-2</v>
      </c>
      <c r="I17" s="68">
        <v>15.5</v>
      </c>
      <c r="J17" s="61">
        <v>12</v>
      </c>
      <c r="K17" s="68">
        <v>12.73</v>
      </c>
      <c r="L17" s="68">
        <v>40.229999999999997</v>
      </c>
      <c r="M17" s="205">
        <v>0.73716169359999995</v>
      </c>
    </row>
    <row r="18" spans="1:13" ht="15" customHeight="1">
      <c r="A18" s="54" t="s">
        <v>763</v>
      </c>
      <c r="B18" s="54" t="s">
        <v>762</v>
      </c>
      <c r="C18" s="51">
        <v>2933.5</v>
      </c>
      <c r="D18" s="202">
        <v>44470</v>
      </c>
      <c r="E18" s="202">
        <v>44500</v>
      </c>
      <c r="F18" s="202">
        <v>44520</v>
      </c>
      <c r="G18" s="202">
        <v>44520</v>
      </c>
      <c r="H18" s="68">
        <v>1.0499999999999999E-3</v>
      </c>
      <c r="I18" s="68">
        <v>15.5</v>
      </c>
      <c r="J18" s="61">
        <v>20</v>
      </c>
      <c r="K18" s="68">
        <v>12.73</v>
      </c>
      <c r="L18" s="68">
        <v>48.23</v>
      </c>
      <c r="M18" s="205">
        <v>5.0542889729999999E-2</v>
      </c>
    </row>
    <row r="19" spans="1:13" ht="15" customHeight="1">
      <c r="A19" s="54" t="s">
        <v>763</v>
      </c>
      <c r="B19" s="54" t="s">
        <v>762</v>
      </c>
      <c r="C19" s="51">
        <v>47244.59</v>
      </c>
      <c r="D19" s="202">
        <v>44501</v>
      </c>
      <c r="E19" s="202">
        <v>44530</v>
      </c>
      <c r="F19" s="202">
        <v>44542</v>
      </c>
      <c r="G19" s="202">
        <v>44542</v>
      </c>
      <c r="H19" s="68">
        <v>1.6879999999999999E-2</v>
      </c>
      <c r="I19" s="61">
        <v>15</v>
      </c>
      <c r="J19" s="61">
        <v>12</v>
      </c>
      <c r="K19" s="68">
        <v>12.73</v>
      </c>
      <c r="L19" s="68">
        <v>39.729999999999997</v>
      </c>
      <c r="M19" s="205">
        <v>0.67053601785000005</v>
      </c>
    </row>
    <row r="20" spans="1:13" ht="15" customHeight="1">
      <c r="A20" s="54" t="s">
        <v>763</v>
      </c>
      <c r="B20" s="54" t="s">
        <v>762</v>
      </c>
      <c r="C20" s="51">
        <v>2296.94</v>
      </c>
      <c r="D20" s="202">
        <v>44501</v>
      </c>
      <c r="E20" s="202">
        <v>44530</v>
      </c>
      <c r="F20" s="202">
        <v>44550</v>
      </c>
      <c r="G20" s="202">
        <v>44550</v>
      </c>
      <c r="H20" s="68">
        <v>8.1999999999999998E-4</v>
      </c>
      <c r="I20" s="61">
        <v>15</v>
      </c>
      <c r="J20" s="61">
        <v>20</v>
      </c>
      <c r="K20" s="68">
        <v>12.73</v>
      </c>
      <c r="L20" s="68">
        <v>47.73</v>
      </c>
      <c r="M20" s="205">
        <v>3.9164946899999997E-2</v>
      </c>
    </row>
    <row r="21" spans="1:13" ht="15" customHeight="1">
      <c r="A21" s="54" t="s">
        <v>763</v>
      </c>
      <c r="B21" s="54" t="s">
        <v>762</v>
      </c>
      <c r="C21" s="51">
        <v>60842.239999999998</v>
      </c>
      <c r="D21" s="202">
        <v>44531</v>
      </c>
      <c r="E21" s="202">
        <v>44561</v>
      </c>
      <c r="F21" s="202">
        <v>44573</v>
      </c>
      <c r="G21" s="202">
        <v>44573</v>
      </c>
      <c r="H21" s="68">
        <v>2.1739999999999999E-2</v>
      </c>
      <c r="I21" s="68">
        <v>15.5</v>
      </c>
      <c r="J21" s="61">
        <v>12</v>
      </c>
      <c r="K21" s="68">
        <v>12.73</v>
      </c>
      <c r="L21" s="68">
        <v>40.229999999999997</v>
      </c>
      <c r="M21" s="205">
        <v>0.87439377948999997</v>
      </c>
    </row>
    <row r="22" spans="1:13" ht="15" customHeight="1">
      <c r="A22" s="54" t="s">
        <v>763</v>
      </c>
      <c r="B22" s="54" t="s">
        <v>762</v>
      </c>
      <c r="C22" s="51">
        <v>481273.01</v>
      </c>
      <c r="D22" s="202">
        <v>44531</v>
      </c>
      <c r="E22" s="202">
        <v>44561</v>
      </c>
      <c r="F22" s="202">
        <v>44581</v>
      </c>
      <c r="G22" s="202">
        <v>44581</v>
      </c>
      <c r="H22" s="68">
        <v>0.17194000000000001</v>
      </c>
      <c r="I22" s="68">
        <v>15.5</v>
      </c>
      <c r="J22" s="61">
        <v>20</v>
      </c>
      <c r="K22" s="68">
        <v>12.73</v>
      </c>
      <c r="L22" s="68">
        <v>48.23</v>
      </c>
      <c r="M22" s="205">
        <v>8.2921181774400008</v>
      </c>
    </row>
    <row r="23" spans="1:13" ht="15" customHeight="1">
      <c r="A23" s="54" t="s">
        <v>763</v>
      </c>
      <c r="B23" s="54" t="s">
        <v>762</v>
      </c>
      <c r="C23" s="51">
        <v>70852.78</v>
      </c>
      <c r="D23" s="202">
        <v>44562</v>
      </c>
      <c r="E23" s="202">
        <v>44592</v>
      </c>
      <c r="F23" s="202">
        <v>44604</v>
      </c>
      <c r="G23" s="202">
        <v>44604</v>
      </c>
      <c r="H23" s="68">
        <v>2.5309999999999999E-2</v>
      </c>
      <c r="I23" s="68">
        <v>15.5</v>
      </c>
      <c r="J23" s="61">
        <v>12</v>
      </c>
      <c r="K23" s="68">
        <v>12.73</v>
      </c>
      <c r="L23" s="68">
        <v>40.229999999999997</v>
      </c>
      <c r="M23" s="205">
        <v>1.01826017733</v>
      </c>
    </row>
    <row r="24" spans="1:13" ht="15" customHeight="1">
      <c r="A24" s="54" t="s">
        <v>763</v>
      </c>
      <c r="B24" s="54" t="s">
        <v>762</v>
      </c>
      <c r="C24" s="51">
        <v>3322.16</v>
      </c>
      <c r="D24" s="202">
        <v>44562</v>
      </c>
      <c r="E24" s="202">
        <v>44592</v>
      </c>
      <c r="F24" s="202">
        <v>44612</v>
      </c>
      <c r="G24" s="202">
        <v>44612</v>
      </c>
      <c r="H24" s="68">
        <v>1.1900000000000001E-3</v>
      </c>
      <c r="I24" s="68">
        <v>15.5</v>
      </c>
      <c r="J24" s="61">
        <v>20</v>
      </c>
      <c r="K24" s="68">
        <v>12.73</v>
      </c>
      <c r="L24" s="68">
        <v>48.23</v>
      </c>
      <c r="M24" s="205">
        <v>5.7239327270000001E-2</v>
      </c>
    </row>
    <row r="25" spans="1:13" ht="15" customHeight="1">
      <c r="A25" s="54" t="s">
        <v>763</v>
      </c>
      <c r="B25" s="54" t="s">
        <v>762</v>
      </c>
      <c r="C25" s="51">
        <v>61905.48</v>
      </c>
      <c r="D25" s="202">
        <v>44593</v>
      </c>
      <c r="E25" s="202">
        <v>44620</v>
      </c>
      <c r="F25" s="202">
        <v>44632</v>
      </c>
      <c r="G25" s="202">
        <v>44632</v>
      </c>
      <c r="H25" s="68">
        <v>2.2120000000000001E-2</v>
      </c>
      <c r="I25" s="61">
        <v>14</v>
      </c>
      <c r="J25" s="61">
        <v>12</v>
      </c>
      <c r="K25" s="68">
        <v>12.73</v>
      </c>
      <c r="L25" s="68">
        <v>38.729999999999997</v>
      </c>
      <c r="M25" s="205">
        <v>0.85649983625000004</v>
      </c>
    </row>
    <row r="26" spans="1:13" ht="15" customHeight="1">
      <c r="A26" s="54" t="s">
        <v>763</v>
      </c>
      <c r="B26" s="54" t="s">
        <v>762</v>
      </c>
      <c r="C26" s="51">
        <v>2851.38</v>
      </c>
      <c r="D26" s="202">
        <v>44593</v>
      </c>
      <c r="E26" s="202">
        <v>44620</v>
      </c>
      <c r="F26" s="202">
        <v>44640</v>
      </c>
      <c r="G26" s="202">
        <v>44640</v>
      </c>
      <c r="H26" s="68">
        <v>1.0200000000000001E-3</v>
      </c>
      <c r="I26" s="61">
        <v>14</v>
      </c>
      <c r="J26" s="61">
        <v>20</v>
      </c>
      <c r="K26" s="68">
        <v>12.73</v>
      </c>
      <c r="L26" s="68">
        <v>46.73</v>
      </c>
      <c r="M26" s="205">
        <v>4.7599983929999999E-2</v>
      </c>
    </row>
    <row r="27" spans="1:13" ht="15" customHeight="1">
      <c r="A27" s="54" t="s">
        <v>763</v>
      </c>
      <c r="B27" s="54" t="s">
        <v>762</v>
      </c>
      <c r="C27" s="51">
        <v>53408.82</v>
      </c>
      <c r="D27" s="202">
        <v>44621</v>
      </c>
      <c r="E27" s="202">
        <v>44651</v>
      </c>
      <c r="F27" s="202">
        <v>44663</v>
      </c>
      <c r="G27" s="202">
        <v>44663</v>
      </c>
      <c r="H27" s="68">
        <v>1.908E-2</v>
      </c>
      <c r="I27" s="68">
        <v>15.5</v>
      </c>
      <c r="J27" s="61">
        <v>12</v>
      </c>
      <c r="K27" s="68">
        <v>12.73</v>
      </c>
      <c r="L27" s="68">
        <v>40.229999999999997</v>
      </c>
      <c r="M27" s="205">
        <v>0.76756444170000004</v>
      </c>
    </row>
    <row r="28" spans="1:13" ht="15" customHeight="1">
      <c r="A28" s="54" t="s">
        <v>763</v>
      </c>
      <c r="B28" s="54" t="s">
        <v>762</v>
      </c>
      <c r="C28" s="51">
        <v>523122.87</v>
      </c>
      <c r="D28" s="202">
        <v>44621</v>
      </c>
      <c r="E28" s="202">
        <v>44651</v>
      </c>
      <c r="F28" s="202">
        <v>44671</v>
      </c>
      <c r="G28" s="202">
        <v>44671</v>
      </c>
      <c r="H28" s="68">
        <v>0.18689</v>
      </c>
      <c r="I28" s="68">
        <v>15.5</v>
      </c>
      <c r="J28" s="61">
        <v>20</v>
      </c>
      <c r="K28" s="68">
        <v>12.73</v>
      </c>
      <c r="L28" s="68">
        <v>48.23</v>
      </c>
      <c r="M28" s="205">
        <v>9.0131725013300006</v>
      </c>
    </row>
    <row r="29" spans="1:13" ht="15" customHeight="1">
      <c r="A29" s="54" t="s">
        <v>763</v>
      </c>
      <c r="B29" s="54" t="s">
        <v>762</v>
      </c>
      <c r="C29" s="51">
        <v>52584.41</v>
      </c>
      <c r="D29" s="202">
        <v>44652</v>
      </c>
      <c r="E29" s="202">
        <v>44681</v>
      </c>
      <c r="F29" s="202">
        <v>44693</v>
      </c>
      <c r="G29" s="202">
        <v>44693</v>
      </c>
      <c r="H29" s="68">
        <v>1.8790000000000001E-2</v>
      </c>
      <c r="I29" s="61">
        <v>15</v>
      </c>
      <c r="J29" s="61">
        <v>12</v>
      </c>
      <c r="K29" s="68">
        <v>12.73</v>
      </c>
      <c r="L29" s="68">
        <v>39.729999999999997</v>
      </c>
      <c r="M29" s="205">
        <v>0.74632335431999997</v>
      </c>
    </row>
    <row r="30" spans="1:13" ht="15" customHeight="1">
      <c r="A30" s="54" t="s">
        <v>763</v>
      </c>
      <c r="B30" s="54" t="s">
        <v>762</v>
      </c>
      <c r="C30" s="51">
        <v>2352.31</v>
      </c>
      <c r="D30" s="202">
        <v>44652</v>
      </c>
      <c r="E30" s="202">
        <v>44681</v>
      </c>
      <c r="F30" s="202">
        <v>44701</v>
      </c>
      <c r="G30" s="202">
        <v>44701</v>
      </c>
      <c r="H30" s="68">
        <v>8.4000000000000003E-4</v>
      </c>
      <c r="I30" s="61">
        <v>15</v>
      </c>
      <c r="J30" s="61">
        <v>20</v>
      </c>
      <c r="K30" s="68">
        <v>12.73</v>
      </c>
      <c r="L30" s="68">
        <v>47.73</v>
      </c>
      <c r="M30" s="205">
        <v>4.0109056499999997E-2</v>
      </c>
    </row>
    <row r="31" spans="1:13" ht="15" customHeight="1">
      <c r="A31" s="54" t="s">
        <v>763</v>
      </c>
      <c r="B31" s="54" t="s">
        <v>762</v>
      </c>
      <c r="C31" s="51">
        <v>52764.84</v>
      </c>
      <c r="D31" s="202">
        <v>44682</v>
      </c>
      <c r="E31" s="202">
        <v>44712</v>
      </c>
      <c r="F31" s="202">
        <v>44724</v>
      </c>
      <c r="G31" s="202">
        <v>44724</v>
      </c>
      <c r="H31" s="68">
        <v>1.8849999999999999E-2</v>
      </c>
      <c r="I31" s="68">
        <v>15.5</v>
      </c>
      <c r="J31" s="61">
        <v>12</v>
      </c>
      <c r="K31" s="68">
        <v>12.73</v>
      </c>
      <c r="L31" s="68">
        <v>40.229999999999997</v>
      </c>
      <c r="M31" s="205">
        <v>0.75830948813999999</v>
      </c>
    </row>
    <row r="32" spans="1:13" ht="15" customHeight="1">
      <c r="A32" s="54" t="s">
        <v>763</v>
      </c>
      <c r="B32" s="54" t="s">
        <v>762</v>
      </c>
      <c r="C32" s="51">
        <v>2413.94</v>
      </c>
      <c r="D32" s="202">
        <v>44682</v>
      </c>
      <c r="E32" s="202">
        <v>44712</v>
      </c>
      <c r="F32" s="202">
        <v>44732</v>
      </c>
      <c r="G32" s="202">
        <v>44732</v>
      </c>
      <c r="H32" s="68">
        <v>8.5999999999999998E-4</v>
      </c>
      <c r="I32" s="68">
        <v>15.5</v>
      </c>
      <c r="J32" s="61">
        <v>20</v>
      </c>
      <c r="K32" s="68">
        <v>12.73</v>
      </c>
      <c r="L32" s="68">
        <v>48.23</v>
      </c>
      <c r="M32" s="205">
        <v>4.1591103880000001E-2</v>
      </c>
    </row>
    <row r="33" spans="1:13" ht="15" customHeight="1">
      <c r="A33" s="54" t="s">
        <v>763</v>
      </c>
      <c r="B33" s="54" t="s">
        <v>762</v>
      </c>
      <c r="C33" s="51">
        <v>58901.53</v>
      </c>
      <c r="D33" s="202">
        <v>44713</v>
      </c>
      <c r="E33" s="202">
        <v>44742</v>
      </c>
      <c r="F33" s="202">
        <v>44754</v>
      </c>
      <c r="G33" s="202">
        <v>44754</v>
      </c>
      <c r="H33" s="68">
        <v>2.104E-2</v>
      </c>
      <c r="I33" s="61">
        <v>15</v>
      </c>
      <c r="J33" s="61">
        <v>12</v>
      </c>
      <c r="K33" s="68">
        <v>12.73</v>
      </c>
      <c r="L33" s="68">
        <v>39.729999999999997</v>
      </c>
      <c r="M33" s="205">
        <v>0.83598137631000002</v>
      </c>
    </row>
    <row r="34" spans="1:13" ht="15" customHeight="1">
      <c r="A34" s="54" t="s">
        <v>763</v>
      </c>
      <c r="B34" s="54" t="s">
        <v>762</v>
      </c>
      <c r="C34" s="51">
        <v>504186.54</v>
      </c>
      <c r="D34" s="202">
        <v>44713</v>
      </c>
      <c r="E34" s="202">
        <v>44742</v>
      </c>
      <c r="F34" s="202">
        <v>44762</v>
      </c>
      <c r="G34" s="202">
        <v>44762</v>
      </c>
      <c r="H34" s="68">
        <v>0.18012</v>
      </c>
      <c r="I34" s="61">
        <v>15</v>
      </c>
      <c r="J34" s="61">
        <v>20</v>
      </c>
      <c r="K34" s="68">
        <v>12.73</v>
      </c>
      <c r="L34" s="68">
        <v>47.73</v>
      </c>
      <c r="M34" s="205">
        <v>8.5968458330799997</v>
      </c>
    </row>
    <row r="35" spans="1:13" ht="15" customHeight="1">
      <c r="A35" s="54" t="s">
        <v>763</v>
      </c>
      <c r="B35" s="54" t="s">
        <v>762</v>
      </c>
      <c r="C35" s="51">
        <v>69673.649999999994</v>
      </c>
      <c r="D35" s="202">
        <v>44743</v>
      </c>
      <c r="E35" s="202">
        <v>44773</v>
      </c>
      <c r="F35" s="202">
        <v>44785</v>
      </c>
      <c r="G35" s="202">
        <v>44785</v>
      </c>
      <c r="H35" s="68">
        <v>2.4889999999999999E-2</v>
      </c>
      <c r="I35" s="68">
        <v>15.5</v>
      </c>
      <c r="J35" s="61">
        <v>12</v>
      </c>
      <c r="K35" s="68">
        <v>12.73</v>
      </c>
      <c r="L35" s="68">
        <v>40.229999999999997</v>
      </c>
      <c r="M35" s="205">
        <v>1.0013143196900001</v>
      </c>
    </row>
    <row r="36" spans="1:13" ht="15" customHeight="1">
      <c r="A36" s="54" t="s">
        <v>763</v>
      </c>
      <c r="B36" s="54" t="s">
        <v>762</v>
      </c>
      <c r="C36" s="51">
        <v>4474.1899999999996</v>
      </c>
      <c r="D36" s="202">
        <v>44743</v>
      </c>
      <c r="E36" s="202">
        <v>44773</v>
      </c>
      <c r="F36" s="202">
        <v>44793</v>
      </c>
      <c r="G36" s="202">
        <v>44793</v>
      </c>
      <c r="H36" s="68">
        <v>1.6000000000000001E-3</v>
      </c>
      <c r="I36" s="68">
        <v>15.5</v>
      </c>
      <c r="J36" s="61">
        <v>20</v>
      </c>
      <c r="K36" s="68">
        <v>12.73</v>
      </c>
      <c r="L36" s="68">
        <v>48.23</v>
      </c>
      <c r="M36" s="205">
        <v>7.7088287640000003E-2</v>
      </c>
    </row>
    <row r="37" spans="1:13" ht="15" customHeight="1">
      <c r="A37" s="54" t="s">
        <v>763</v>
      </c>
      <c r="B37" s="54" t="s">
        <v>762</v>
      </c>
      <c r="C37" s="51">
        <v>75896.34</v>
      </c>
      <c r="D37" s="202">
        <v>44774</v>
      </c>
      <c r="E37" s="202">
        <v>44804</v>
      </c>
      <c r="F37" s="202">
        <v>44816</v>
      </c>
      <c r="G37" s="202">
        <v>44816</v>
      </c>
      <c r="H37" s="68">
        <v>2.7109999999999999E-2</v>
      </c>
      <c r="I37" s="68">
        <v>15.5</v>
      </c>
      <c r="J37" s="61">
        <v>12</v>
      </c>
      <c r="K37" s="68">
        <v>12.73</v>
      </c>
      <c r="L37" s="68">
        <v>40.229999999999997</v>
      </c>
      <c r="M37" s="205">
        <v>1.0907436606800001</v>
      </c>
    </row>
    <row r="38" spans="1:13" ht="15" customHeight="1">
      <c r="A38" s="54" t="s">
        <v>763</v>
      </c>
      <c r="B38" s="54" t="s">
        <v>762</v>
      </c>
      <c r="C38" s="50">
        <v>4725.29</v>
      </c>
      <c r="D38" s="202">
        <v>44774</v>
      </c>
      <c r="E38" s="202">
        <v>44804</v>
      </c>
      <c r="F38" s="202">
        <v>44824</v>
      </c>
      <c r="G38" s="202">
        <v>44824</v>
      </c>
      <c r="H38" s="68">
        <v>1.6900000000000001E-3</v>
      </c>
      <c r="I38" s="68">
        <v>15.5</v>
      </c>
      <c r="J38" s="61">
        <v>20</v>
      </c>
      <c r="K38" s="68">
        <v>12.73</v>
      </c>
      <c r="L38" s="68">
        <v>48.23</v>
      </c>
      <c r="M38" s="204">
        <v>8.1414628059999994E-2</v>
      </c>
    </row>
    <row r="39" spans="1:13" ht="15" customHeight="1" thickBot="1">
      <c r="A39" s="54"/>
      <c r="B39" s="54"/>
      <c r="C39" s="94">
        <f>SUM(C15:C38)</f>
        <v>2799102.0699999994</v>
      </c>
      <c r="D39" s="54"/>
      <c r="E39" s="54"/>
      <c r="F39" s="54"/>
      <c r="G39" s="54"/>
      <c r="H39" s="54"/>
      <c r="I39" s="54"/>
      <c r="J39" s="54"/>
      <c r="K39" s="54"/>
      <c r="L39" s="54"/>
      <c r="M39" s="203">
        <f>SUM(M15:M38)</f>
        <v>46.117172446710008</v>
      </c>
    </row>
    <row r="40" spans="1:13" ht="15" customHeight="1" thickTop="1">
      <c r="A40" s="54"/>
      <c r="B40" s="54"/>
      <c r="C40" s="63"/>
      <c r="D40" s="54"/>
      <c r="E40" s="54"/>
      <c r="F40" s="54"/>
      <c r="G40" s="54"/>
      <c r="H40" s="54"/>
      <c r="I40" s="54"/>
      <c r="J40" s="54"/>
      <c r="K40" s="54"/>
      <c r="L40" s="54"/>
      <c r="M40" s="63"/>
    </row>
    <row r="41" spans="1:13" ht="15" customHeight="1">
      <c r="A41" s="54"/>
      <c r="B41" s="54"/>
      <c r="C41" s="54"/>
      <c r="D41" s="54"/>
      <c r="E41" s="54"/>
      <c r="F41" s="54"/>
      <c r="G41" s="54"/>
      <c r="H41" s="54"/>
      <c r="I41" s="54"/>
      <c r="J41" s="54"/>
      <c r="K41" s="54"/>
      <c r="L41" s="54"/>
      <c r="M41" s="54"/>
    </row>
    <row r="42" spans="1:13" ht="15" customHeight="1">
      <c r="A42" s="65"/>
      <c r="B42" s="54"/>
      <c r="C42" s="54"/>
      <c r="D42" s="54"/>
      <c r="E42" s="54"/>
      <c r="F42" s="54"/>
      <c r="G42" s="54"/>
      <c r="H42" s="54"/>
      <c r="I42" s="54"/>
      <c r="J42" s="54"/>
      <c r="K42" s="54"/>
      <c r="L42" s="54"/>
      <c r="M42" s="54"/>
    </row>
    <row r="43" spans="1:13" ht="15" customHeight="1">
      <c r="A43" s="120" t="s">
        <v>734</v>
      </c>
      <c r="B43" s="59"/>
      <c r="C43" s="54"/>
      <c r="D43" s="54"/>
      <c r="E43" s="54"/>
      <c r="F43" s="54"/>
      <c r="G43" s="54"/>
      <c r="H43" s="54"/>
      <c r="I43" s="54"/>
      <c r="J43" s="54"/>
      <c r="K43" s="54"/>
      <c r="L43" s="54"/>
      <c r="M43" s="54"/>
    </row>
    <row r="44" spans="1:13" ht="15" customHeight="1">
      <c r="A44" s="58" t="s">
        <v>760</v>
      </c>
      <c r="B44" s="54" t="s">
        <v>759</v>
      </c>
      <c r="C44" s="54" t="s">
        <v>225</v>
      </c>
      <c r="D44" s="54" t="s">
        <v>758</v>
      </c>
      <c r="E44" s="54" t="s">
        <v>757</v>
      </c>
      <c r="F44" s="54" t="s">
        <v>756</v>
      </c>
      <c r="G44" s="54" t="s">
        <v>755</v>
      </c>
      <c r="H44" s="54" t="s">
        <v>754</v>
      </c>
      <c r="I44" s="54" t="s">
        <v>753</v>
      </c>
      <c r="J44" s="54" t="s">
        <v>752</v>
      </c>
      <c r="K44" s="54" t="s">
        <v>751</v>
      </c>
      <c r="L44" s="54" t="s">
        <v>750</v>
      </c>
      <c r="M44" s="54" t="s">
        <v>749</v>
      </c>
    </row>
    <row r="45" spans="1:13" ht="15" customHeight="1">
      <c r="A45" s="54" t="s">
        <v>552</v>
      </c>
      <c r="B45" s="54" t="s">
        <v>550</v>
      </c>
      <c r="C45" s="54" t="s">
        <v>660</v>
      </c>
      <c r="D45" s="54" t="s">
        <v>659</v>
      </c>
      <c r="E45" s="54" t="s">
        <v>748</v>
      </c>
      <c r="F45" s="54" t="s">
        <v>647</v>
      </c>
      <c r="G45" s="54" t="s">
        <v>657</v>
      </c>
      <c r="H45" s="54" t="s">
        <v>656</v>
      </c>
      <c r="I45" s="54" t="s">
        <v>655</v>
      </c>
      <c r="J45" s="54" t="s">
        <v>654</v>
      </c>
      <c r="K45" s="54" t="s">
        <v>653</v>
      </c>
      <c r="L45" s="54" t="s">
        <v>652</v>
      </c>
      <c r="M45" s="54" t="s">
        <v>651</v>
      </c>
    </row>
    <row r="46" spans="1:13" ht="15" customHeight="1">
      <c r="A46" s="54" t="s">
        <v>747</v>
      </c>
      <c r="B46" s="54" t="s">
        <v>746</v>
      </c>
      <c r="C46" s="62">
        <v>1071988.1000000001</v>
      </c>
      <c r="D46" s="202">
        <v>44440</v>
      </c>
      <c r="E46" s="202">
        <v>44469</v>
      </c>
      <c r="F46" s="202">
        <v>44489</v>
      </c>
      <c r="G46" s="202">
        <v>44489</v>
      </c>
      <c r="H46" s="68">
        <v>7.5719999999999996E-2</v>
      </c>
      <c r="I46" s="61">
        <v>15</v>
      </c>
      <c r="J46" s="61">
        <v>20</v>
      </c>
      <c r="K46" s="61">
        <v>0</v>
      </c>
      <c r="L46" s="61">
        <v>35</v>
      </c>
      <c r="M46" s="205">
        <v>2.6500573678102</v>
      </c>
    </row>
    <row r="47" spans="1:13" ht="15" customHeight="1">
      <c r="A47" s="54" t="s">
        <v>747</v>
      </c>
      <c r="B47" s="54" t="s">
        <v>746</v>
      </c>
      <c r="C47" s="51">
        <v>942341.42</v>
      </c>
      <c r="D47" s="202">
        <v>44470</v>
      </c>
      <c r="E47" s="202">
        <v>44500</v>
      </c>
      <c r="F47" s="202">
        <v>44521</v>
      </c>
      <c r="G47" s="202">
        <v>44521</v>
      </c>
      <c r="H47" s="68">
        <v>6.6559999999999994E-2</v>
      </c>
      <c r="I47" s="68">
        <v>15.5</v>
      </c>
      <c r="J47" s="61">
        <v>21</v>
      </c>
      <c r="K47" s="61">
        <v>0</v>
      </c>
      <c r="L47" s="68">
        <v>36.5</v>
      </c>
      <c r="M47" s="205">
        <v>2.4293965587818001</v>
      </c>
    </row>
    <row r="48" spans="1:13" ht="15" customHeight="1">
      <c r="A48" s="54" t="s">
        <v>747</v>
      </c>
      <c r="B48" s="54" t="s">
        <v>746</v>
      </c>
      <c r="C48" s="51">
        <v>982540.23</v>
      </c>
      <c r="D48" s="202">
        <v>44501</v>
      </c>
      <c r="E48" s="202">
        <v>44530</v>
      </c>
      <c r="F48" s="202">
        <v>44550</v>
      </c>
      <c r="G48" s="202">
        <v>44550</v>
      </c>
      <c r="H48" s="68">
        <v>6.9400000000000003E-2</v>
      </c>
      <c r="I48" s="61">
        <v>15</v>
      </c>
      <c r="J48" s="61">
        <v>20</v>
      </c>
      <c r="K48" s="61">
        <v>0</v>
      </c>
      <c r="L48" s="61">
        <v>35</v>
      </c>
      <c r="M48" s="205">
        <v>2.4289336567088999</v>
      </c>
    </row>
    <row r="49" spans="1:13" ht="15" customHeight="1">
      <c r="A49" s="54" t="s">
        <v>747</v>
      </c>
      <c r="B49" s="54" t="s">
        <v>746</v>
      </c>
      <c r="C49" s="51">
        <v>1324688.6499999999</v>
      </c>
      <c r="D49" s="202">
        <v>44531</v>
      </c>
      <c r="E49" s="202">
        <v>44561</v>
      </c>
      <c r="F49" s="202">
        <v>44581</v>
      </c>
      <c r="G49" s="202">
        <v>44581</v>
      </c>
      <c r="H49" s="68">
        <v>9.3560000000000004E-2</v>
      </c>
      <c r="I49" s="68">
        <v>15.5</v>
      </c>
      <c r="J49" s="61">
        <v>20</v>
      </c>
      <c r="K49" s="61">
        <v>0</v>
      </c>
      <c r="L49" s="68">
        <v>35.5</v>
      </c>
      <c r="M49" s="205">
        <v>3.3215396048583998</v>
      </c>
    </row>
    <row r="50" spans="1:13" ht="15" customHeight="1">
      <c r="A50" s="54" t="s">
        <v>747</v>
      </c>
      <c r="B50" s="54" t="s">
        <v>746</v>
      </c>
      <c r="C50" s="51">
        <v>1550933.02</v>
      </c>
      <c r="D50" s="202">
        <v>44562</v>
      </c>
      <c r="E50" s="202">
        <v>44592</v>
      </c>
      <c r="F50" s="202">
        <v>44612</v>
      </c>
      <c r="G50" s="202">
        <v>44612</v>
      </c>
      <c r="H50" s="68">
        <v>0.10954</v>
      </c>
      <c r="I50" s="68">
        <v>15.5</v>
      </c>
      <c r="J50" s="61">
        <v>20</v>
      </c>
      <c r="K50" s="61">
        <v>0</v>
      </c>
      <c r="L50" s="68">
        <v>35.5</v>
      </c>
      <c r="M50" s="205">
        <v>3.8888273485339999</v>
      </c>
    </row>
    <row r="51" spans="1:13" ht="15" customHeight="1">
      <c r="A51" s="54" t="s">
        <v>747</v>
      </c>
      <c r="B51" s="54" t="s">
        <v>746</v>
      </c>
      <c r="C51" s="51">
        <v>1291103.78</v>
      </c>
      <c r="D51" s="202">
        <v>44593</v>
      </c>
      <c r="E51" s="202">
        <v>44620</v>
      </c>
      <c r="F51" s="202">
        <v>44640</v>
      </c>
      <c r="G51" s="202">
        <v>44640</v>
      </c>
      <c r="H51" s="68">
        <v>9.1189999999999993E-2</v>
      </c>
      <c r="I51" s="61">
        <v>14</v>
      </c>
      <c r="J51" s="61">
        <v>20</v>
      </c>
      <c r="K51" s="61">
        <v>0</v>
      </c>
      <c r="L51" s="61">
        <v>34</v>
      </c>
      <c r="M51" s="205">
        <v>3.1005399855541</v>
      </c>
    </row>
    <row r="52" spans="1:13" ht="15" customHeight="1">
      <c r="A52" s="54" t="s">
        <v>747</v>
      </c>
      <c r="B52" s="54" t="s">
        <v>746</v>
      </c>
      <c r="C52" s="51">
        <v>1061071.29</v>
      </c>
      <c r="D52" s="202">
        <v>44621</v>
      </c>
      <c r="E52" s="202">
        <v>44651</v>
      </c>
      <c r="F52" s="202">
        <v>44671</v>
      </c>
      <c r="G52" s="202">
        <v>44671</v>
      </c>
      <c r="H52" s="68">
        <v>7.4940000000000007E-2</v>
      </c>
      <c r="I52" s="68">
        <v>15.5</v>
      </c>
      <c r="J52" s="61">
        <v>20</v>
      </c>
      <c r="K52" s="61">
        <v>0</v>
      </c>
      <c r="L52" s="68">
        <v>35.5</v>
      </c>
      <c r="M52" s="205">
        <v>2.6605423948586999</v>
      </c>
    </row>
    <row r="53" spans="1:13" ht="15" customHeight="1">
      <c r="A53" s="54" t="s">
        <v>747</v>
      </c>
      <c r="B53" s="54" t="s">
        <v>746</v>
      </c>
      <c r="C53" s="51">
        <v>1067232.3700000001</v>
      </c>
      <c r="D53" s="202">
        <v>44652</v>
      </c>
      <c r="E53" s="202">
        <v>44681</v>
      </c>
      <c r="F53" s="202">
        <v>44701</v>
      </c>
      <c r="G53" s="202">
        <v>44701</v>
      </c>
      <c r="H53" s="68">
        <v>7.5380000000000003E-2</v>
      </c>
      <c r="I53" s="61">
        <v>15</v>
      </c>
      <c r="J53" s="61">
        <v>20</v>
      </c>
      <c r="K53" s="61">
        <v>0</v>
      </c>
      <c r="L53" s="61">
        <v>35</v>
      </c>
      <c r="M53" s="205">
        <v>2.6383007472602</v>
      </c>
    </row>
    <row r="54" spans="1:13" ht="15" customHeight="1">
      <c r="A54" s="54" t="s">
        <v>747</v>
      </c>
      <c r="B54" s="54" t="s">
        <v>746</v>
      </c>
      <c r="C54" s="51">
        <v>1023913.44</v>
      </c>
      <c r="D54" s="202">
        <v>44682</v>
      </c>
      <c r="E54" s="202">
        <v>44712</v>
      </c>
      <c r="F54" s="202">
        <v>44732</v>
      </c>
      <c r="G54" s="202">
        <v>44732</v>
      </c>
      <c r="H54" s="68">
        <v>7.2319999999999995E-2</v>
      </c>
      <c r="I54" s="68">
        <v>15.5</v>
      </c>
      <c r="J54" s="61">
        <v>20</v>
      </c>
      <c r="K54" s="61">
        <v>0</v>
      </c>
      <c r="L54" s="68">
        <v>35.5</v>
      </c>
      <c r="M54" s="205">
        <v>2.5673723730528999</v>
      </c>
    </row>
    <row r="55" spans="1:13" ht="15" customHeight="1">
      <c r="A55" s="54" t="s">
        <v>747</v>
      </c>
      <c r="B55" s="54" t="s">
        <v>746</v>
      </c>
      <c r="C55" s="51">
        <v>1184085.24</v>
      </c>
      <c r="D55" s="202">
        <v>44713</v>
      </c>
      <c r="E55" s="202">
        <v>44742</v>
      </c>
      <c r="F55" s="202">
        <v>44762</v>
      </c>
      <c r="G55" s="202">
        <v>44762</v>
      </c>
      <c r="H55" s="68">
        <v>8.3629999999999996E-2</v>
      </c>
      <c r="I55" s="61">
        <v>15</v>
      </c>
      <c r="J55" s="61">
        <v>20</v>
      </c>
      <c r="K55" s="61">
        <v>0</v>
      </c>
      <c r="L55" s="61">
        <v>35</v>
      </c>
      <c r="M55" s="205">
        <v>2.9271722460139999</v>
      </c>
    </row>
    <row r="56" spans="1:13" ht="15" customHeight="1">
      <c r="A56" s="54" t="s">
        <v>747</v>
      </c>
      <c r="B56" s="54" t="s">
        <v>746</v>
      </c>
      <c r="C56" s="51">
        <v>1332068.6499999999</v>
      </c>
      <c r="D56" s="202">
        <v>44743</v>
      </c>
      <c r="E56" s="202">
        <v>44773</v>
      </c>
      <c r="F56" s="202">
        <v>44793</v>
      </c>
      <c r="G56" s="202">
        <v>44793</v>
      </c>
      <c r="H56" s="68">
        <v>9.4089999999999993E-2</v>
      </c>
      <c r="I56" s="68">
        <v>15.5</v>
      </c>
      <c r="J56" s="61">
        <v>20</v>
      </c>
      <c r="K56" s="61">
        <v>0</v>
      </c>
      <c r="L56" s="68">
        <v>35.5</v>
      </c>
      <c r="M56" s="205">
        <v>3.3400443020065</v>
      </c>
    </row>
    <row r="57" spans="1:13" ht="15" customHeight="1">
      <c r="A57" s="54" t="s">
        <v>747</v>
      </c>
      <c r="B57" s="54" t="s">
        <v>746</v>
      </c>
      <c r="C57" s="50">
        <v>1326060.71</v>
      </c>
      <c r="D57" s="202">
        <v>44774</v>
      </c>
      <c r="E57" s="202">
        <v>44804</v>
      </c>
      <c r="F57" s="202">
        <v>44824</v>
      </c>
      <c r="G57" s="202">
        <v>44824</v>
      </c>
      <c r="H57" s="68">
        <v>9.3659999999999993E-2</v>
      </c>
      <c r="I57" s="68">
        <v>15.5</v>
      </c>
      <c r="J57" s="61">
        <v>20</v>
      </c>
      <c r="K57" s="61">
        <v>0</v>
      </c>
      <c r="L57" s="68">
        <v>35.5</v>
      </c>
      <c r="M57" s="204">
        <v>3.3249799239328</v>
      </c>
    </row>
    <row r="58" spans="1:13" ht="15" customHeight="1" thickBot="1">
      <c r="A58" s="54"/>
      <c r="B58" s="54"/>
      <c r="C58" s="94">
        <f>SUM(C46:C57)</f>
        <v>14158026.899999999</v>
      </c>
      <c r="D58" s="54"/>
      <c r="E58" s="54"/>
      <c r="F58" s="54"/>
      <c r="G58" s="54"/>
      <c r="H58" s="54"/>
      <c r="I58" s="54"/>
      <c r="J58" s="54"/>
      <c r="K58" s="54"/>
      <c r="L58" s="54"/>
      <c r="M58" s="203">
        <f>SUM(M46:M57)</f>
        <v>35.2777065093725</v>
      </c>
    </row>
    <row r="59" spans="1:13" ht="15" customHeight="1" thickTop="1">
      <c r="A59" s="54"/>
      <c r="B59" s="54"/>
      <c r="C59" s="63"/>
      <c r="D59" s="54"/>
      <c r="E59" s="54"/>
      <c r="F59" s="54"/>
      <c r="G59" s="54"/>
      <c r="H59" s="54"/>
      <c r="I59" s="54"/>
      <c r="J59" s="54"/>
      <c r="K59" s="54"/>
      <c r="L59" s="54"/>
      <c r="M59" s="63"/>
    </row>
    <row r="60" spans="1:13" ht="15" customHeight="1">
      <c r="A60" s="65"/>
      <c r="B60" s="54"/>
      <c r="C60" s="54"/>
      <c r="D60" s="54"/>
      <c r="E60" s="54"/>
      <c r="F60" s="54"/>
      <c r="G60" s="54"/>
      <c r="H60" s="54"/>
      <c r="I60" s="54"/>
      <c r="J60" s="54"/>
      <c r="K60" s="54"/>
      <c r="L60" s="54"/>
      <c r="M60" s="54"/>
    </row>
    <row r="61" spans="1:13" ht="15" customHeight="1">
      <c r="A61" s="120" t="s">
        <v>761</v>
      </c>
      <c r="B61" s="59"/>
      <c r="C61" s="54"/>
      <c r="D61" s="54"/>
      <c r="E61" s="54"/>
      <c r="F61" s="54"/>
      <c r="G61" s="54"/>
      <c r="H61" s="54"/>
      <c r="I61" s="54"/>
      <c r="J61" s="54"/>
      <c r="K61" s="54"/>
      <c r="L61" s="54"/>
      <c r="M61" s="54"/>
    </row>
    <row r="62" spans="1:13" ht="15" customHeight="1">
      <c r="A62" s="58" t="s">
        <v>760</v>
      </c>
      <c r="B62" s="54" t="s">
        <v>759</v>
      </c>
      <c r="C62" s="54" t="s">
        <v>225</v>
      </c>
      <c r="D62" s="54" t="s">
        <v>758</v>
      </c>
      <c r="E62" s="54" t="s">
        <v>757</v>
      </c>
      <c r="F62" s="54" t="s">
        <v>756</v>
      </c>
      <c r="G62" s="54" t="s">
        <v>755</v>
      </c>
      <c r="H62" s="54" t="s">
        <v>754</v>
      </c>
      <c r="I62" s="54" t="s">
        <v>753</v>
      </c>
      <c r="J62" s="54" t="s">
        <v>752</v>
      </c>
      <c r="K62" s="54" t="s">
        <v>751</v>
      </c>
      <c r="L62" s="54" t="s">
        <v>750</v>
      </c>
      <c r="M62" s="54" t="s">
        <v>749</v>
      </c>
    </row>
    <row r="63" spans="1:13" ht="15" customHeight="1">
      <c r="A63" s="54" t="s">
        <v>552</v>
      </c>
      <c r="B63" s="54" t="s">
        <v>550</v>
      </c>
      <c r="C63" s="54" t="s">
        <v>660</v>
      </c>
      <c r="D63" s="54" t="s">
        <v>659</v>
      </c>
      <c r="E63" s="54" t="s">
        <v>748</v>
      </c>
      <c r="F63" s="54" t="s">
        <v>647</v>
      </c>
      <c r="G63" s="54" t="s">
        <v>657</v>
      </c>
      <c r="H63" s="54" t="s">
        <v>656</v>
      </c>
      <c r="I63" s="54" t="s">
        <v>655</v>
      </c>
      <c r="J63" s="54" t="s">
        <v>654</v>
      </c>
      <c r="K63" s="54" t="s">
        <v>653</v>
      </c>
      <c r="L63" s="54" t="s">
        <v>652</v>
      </c>
      <c r="M63" s="54" t="s">
        <v>651</v>
      </c>
    </row>
    <row r="64" spans="1:13" ht="15" customHeight="1">
      <c r="A64" s="54" t="s">
        <v>747</v>
      </c>
      <c r="B64" s="54" t="s">
        <v>746</v>
      </c>
      <c r="C64" s="62">
        <v>812973.1</v>
      </c>
      <c r="D64" s="202">
        <v>44440</v>
      </c>
      <c r="E64" s="202">
        <v>44469</v>
      </c>
      <c r="F64" s="202">
        <v>44494</v>
      </c>
      <c r="G64" s="202">
        <v>44494</v>
      </c>
      <c r="H64" s="68">
        <v>7.7149999999999996E-2</v>
      </c>
      <c r="I64" s="61">
        <v>15</v>
      </c>
      <c r="J64" s="61">
        <v>25</v>
      </c>
      <c r="K64" s="61">
        <v>0</v>
      </c>
      <c r="L64" s="61">
        <v>40</v>
      </c>
      <c r="M64" s="205">
        <v>3.0861649297299998</v>
      </c>
    </row>
    <row r="65" spans="1:13" ht="15" customHeight="1">
      <c r="A65" s="54" t="s">
        <v>747</v>
      </c>
      <c r="B65" s="54" t="s">
        <v>746</v>
      </c>
      <c r="C65" s="51">
        <v>609924.14</v>
      </c>
      <c r="D65" s="202">
        <v>44470</v>
      </c>
      <c r="E65" s="202">
        <v>44500</v>
      </c>
      <c r="F65" s="202">
        <v>44525</v>
      </c>
      <c r="G65" s="202">
        <v>44525</v>
      </c>
      <c r="H65" s="68">
        <v>5.7880000000000001E-2</v>
      </c>
      <c r="I65" s="68">
        <v>15.5</v>
      </c>
      <c r="J65" s="61">
        <v>25</v>
      </c>
      <c r="K65" s="61">
        <v>0</v>
      </c>
      <c r="L65" s="68">
        <v>40.5</v>
      </c>
      <c r="M65" s="205">
        <v>2.3443033623099998</v>
      </c>
    </row>
    <row r="66" spans="1:13" ht="15" customHeight="1">
      <c r="A66" s="54" t="s">
        <v>747</v>
      </c>
      <c r="B66" s="54" t="s">
        <v>746</v>
      </c>
      <c r="C66" s="51">
        <v>795411.1</v>
      </c>
      <c r="D66" s="202">
        <v>44501</v>
      </c>
      <c r="E66" s="202">
        <v>44530</v>
      </c>
      <c r="F66" s="202">
        <v>44555</v>
      </c>
      <c r="G66" s="202">
        <v>44555</v>
      </c>
      <c r="H66" s="68">
        <v>7.5490000000000002E-2</v>
      </c>
      <c r="I66" s="61">
        <v>15</v>
      </c>
      <c r="J66" s="61">
        <v>25</v>
      </c>
      <c r="K66" s="61">
        <v>0</v>
      </c>
      <c r="L66" s="61">
        <v>40</v>
      </c>
      <c r="M66" s="205">
        <v>3.0194970061599999</v>
      </c>
    </row>
    <row r="67" spans="1:13" ht="15" customHeight="1">
      <c r="A67" s="54" t="s">
        <v>747</v>
      </c>
      <c r="B67" s="54" t="s">
        <v>746</v>
      </c>
      <c r="C67" s="51">
        <v>1013081.14</v>
      </c>
      <c r="D67" s="202">
        <v>44531</v>
      </c>
      <c r="E67" s="202">
        <v>44561</v>
      </c>
      <c r="F67" s="202">
        <v>44586</v>
      </c>
      <c r="G67" s="202">
        <v>44586</v>
      </c>
      <c r="H67" s="68">
        <v>9.6149999999999999E-2</v>
      </c>
      <c r="I67" s="68">
        <v>15.5</v>
      </c>
      <c r="J67" s="61">
        <v>25</v>
      </c>
      <c r="K67" s="61">
        <v>0</v>
      </c>
      <c r="L67" s="68">
        <v>40.5</v>
      </c>
      <c r="M67" s="205">
        <v>3.8938769054</v>
      </c>
    </row>
    <row r="68" spans="1:13" ht="15" customHeight="1">
      <c r="A68" s="54" t="s">
        <v>747</v>
      </c>
      <c r="B68" s="54" t="s">
        <v>746</v>
      </c>
      <c r="C68" s="51">
        <v>1155705.8400000001</v>
      </c>
      <c r="D68" s="202">
        <v>44562</v>
      </c>
      <c r="E68" s="202">
        <v>44592</v>
      </c>
      <c r="F68" s="202">
        <v>44617</v>
      </c>
      <c r="G68" s="202">
        <v>44617</v>
      </c>
      <c r="H68" s="68">
        <v>0.10968</v>
      </c>
      <c r="I68" s="68">
        <v>15.5</v>
      </c>
      <c r="J68" s="61">
        <v>25</v>
      </c>
      <c r="K68" s="61">
        <v>0</v>
      </c>
      <c r="L68" s="68">
        <v>40.5</v>
      </c>
      <c r="M68" s="205">
        <v>4.4420689539399998</v>
      </c>
    </row>
    <row r="69" spans="1:13" ht="15" customHeight="1">
      <c r="A69" s="54" t="s">
        <v>747</v>
      </c>
      <c r="B69" s="54" t="s">
        <v>746</v>
      </c>
      <c r="C69" s="51">
        <v>764164.84</v>
      </c>
      <c r="D69" s="202">
        <v>44593</v>
      </c>
      <c r="E69" s="202">
        <v>44620</v>
      </c>
      <c r="F69" s="202">
        <v>44645</v>
      </c>
      <c r="G69" s="202">
        <v>44645</v>
      </c>
      <c r="H69" s="68">
        <v>7.2520000000000001E-2</v>
      </c>
      <c r="I69" s="61">
        <v>14</v>
      </c>
      <c r="J69" s="61">
        <v>25</v>
      </c>
      <c r="K69" s="61">
        <v>0</v>
      </c>
      <c r="L69" s="61">
        <v>39</v>
      </c>
      <c r="M69" s="205">
        <v>2.82835958717</v>
      </c>
    </row>
    <row r="70" spans="1:13" ht="15" customHeight="1">
      <c r="A70" s="54" t="s">
        <v>747</v>
      </c>
      <c r="B70" s="54" t="s">
        <v>746</v>
      </c>
      <c r="C70" s="51">
        <v>764127.78</v>
      </c>
      <c r="D70" s="202">
        <v>44621</v>
      </c>
      <c r="E70" s="202">
        <v>44651</v>
      </c>
      <c r="F70" s="202">
        <v>44676</v>
      </c>
      <c r="G70" s="202">
        <v>44676</v>
      </c>
      <c r="H70" s="68">
        <v>7.2520000000000001E-2</v>
      </c>
      <c r="I70" s="68">
        <v>15.5</v>
      </c>
      <c r="J70" s="61">
        <v>25</v>
      </c>
      <c r="K70" s="61">
        <v>0</v>
      </c>
      <c r="L70" s="68">
        <v>40.5</v>
      </c>
      <c r="M70" s="205">
        <v>2.9370002044599999</v>
      </c>
    </row>
    <row r="71" spans="1:13" ht="15" customHeight="1">
      <c r="A71" s="54" t="s">
        <v>747</v>
      </c>
      <c r="B71" s="54" t="s">
        <v>746</v>
      </c>
      <c r="C71" s="51">
        <v>723873.12</v>
      </c>
      <c r="D71" s="202">
        <v>44652</v>
      </c>
      <c r="E71" s="202">
        <v>44681</v>
      </c>
      <c r="F71" s="202">
        <v>44706</v>
      </c>
      <c r="G71" s="202">
        <v>44706</v>
      </c>
      <c r="H71" s="68">
        <v>6.8699999999999997E-2</v>
      </c>
      <c r="I71" s="61">
        <v>15</v>
      </c>
      <c r="J71" s="61">
        <v>25</v>
      </c>
      <c r="K71" s="61">
        <v>0</v>
      </c>
      <c r="L71" s="61">
        <v>40</v>
      </c>
      <c r="M71" s="205">
        <v>2.7479283588999999</v>
      </c>
    </row>
    <row r="72" spans="1:13" ht="15" customHeight="1">
      <c r="A72" s="54" t="s">
        <v>747</v>
      </c>
      <c r="B72" s="54" t="s">
        <v>746</v>
      </c>
      <c r="C72" s="51">
        <v>843183.6</v>
      </c>
      <c r="D72" s="202">
        <v>44682</v>
      </c>
      <c r="E72" s="202">
        <v>44712</v>
      </c>
      <c r="F72" s="202">
        <v>44737</v>
      </c>
      <c r="G72" s="202">
        <v>44737</v>
      </c>
      <c r="H72" s="68">
        <v>8.0019999999999994E-2</v>
      </c>
      <c r="I72" s="68">
        <v>15.5</v>
      </c>
      <c r="J72" s="61">
        <v>25</v>
      </c>
      <c r="K72" s="61">
        <v>0</v>
      </c>
      <c r="L72" s="68">
        <v>40.5</v>
      </c>
      <c r="M72" s="205">
        <v>3.24085901654</v>
      </c>
    </row>
    <row r="73" spans="1:13" ht="15" customHeight="1">
      <c r="A73" s="54" t="s">
        <v>747</v>
      </c>
      <c r="B73" s="54" t="s">
        <v>746</v>
      </c>
      <c r="C73" s="51">
        <v>1005316.78</v>
      </c>
      <c r="D73" s="202">
        <v>44713</v>
      </c>
      <c r="E73" s="202">
        <v>44742</v>
      </c>
      <c r="F73" s="202">
        <v>44767</v>
      </c>
      <c r="G73" s="202">
        <v>44767</v>
      </c>
      <c r="H73" s="68">
        <v>9.5409999999999995E-2</v>
      </c>
      <c r="I73" s="61">
        <v>15</v>
      </c>
      <c r="J73" s="61">
        <v>25</v>
      </c>
      <c r="K73" s="61">
        <v>0</v>
      </c>
      <c r="L73" s="61">
        <v>40</v>
      </c>
      <c r="M73" s="205">
        <v>3.8163297035300001</v>
      </c>
    </row>
    <row r="74" spans="1:13" ht="15" customHeight="1">
      <c r="A74" s="54" t="s">
        <v>747</v>
      </c>
      <c r="B74" s="54" t="s">
        <v>746</v>
      </c>
      <c r="C74" s="51">
        <v>1001807.78</v>
      </c>
      <c r="D74" s="202">
        <v>44743</v>
      </c>
      <c r="E74" s="202">
        <v>44773</v>
      </c>
      <c r="F74" s="202">
        <v>44798</v>
      </c>
      <c r="G74" s="202">
        <v>44798</v>
      </c>
      <c r="H74" s="68">
        <v>9.5079999999999998E-2</v>
      </c>
      <c r="I74" s="68">
        <v>15.5</v>
      </c>
      <c r="J74" s="61">
        <v>25</v>
      </c>
      <c r="K74" s="61">
        <v>0</v>
      </c>
      <c r="L74" s="68">
        <v>40.5</v>
      </c>
      <c r="M74" s="205">
        <v>3.85054663854</v>
      </c>
    </row>
    <row r="75" spans="1:13" ht="15" customHeight="1">
      <c r="A75" s="54" t="s">
        <v>747</v>
      </c>
      <c r="B75" s="54" t="s">
        <v>746</v>
      </c>
      <c r="C75" s="50">
        <v>1047432.12</v>
      </c>
      <c r="D75" s="202">
        <v>44774</v>
      </c>
      <c r="E75" s="202">
        <v>44804</v>
      </c>
      <c r="F75" s="202">
        <v>44829</v>
      </c>
      <c r="G75" s="202">
        <v>44829</v>
      </c>
      <c r="H75" s="68">
        <v>9.9409999999999998E-2</v>
      </c>
      <c r="I75" s="68">
        <v>15.5</v>
      </c>
      <c r="J75" s="61">
        <v>25</v>
      </c>
      <c r="K75" s="61">
        <v>0</v>
      </c>
      <c r="L75" s="68">
        <v>40.5</v>
      </c>
      <c r="M75" s="204">
        <v>4.0259082723099997</v>
      </c>
    </row>
    <row r="76" spans="1:13" ht="15" customHeight="1" thickBot="1">
      <c r="A76" s="54"/>
      <c r="B76" s="54"/>
      <c r="C76" s="94">
        <f>SUM(C64:C75)</f>
        <v>10537001.339999998</v>
      </c>
      <c r="D76" s="54"/>
      <c r="E76" s="54"/>
      <c r="F76" s="54"/>
      <c r="G76" s="54"/>
      <c r="H76" s="54"/>
      <c r="I76" s="54"/>
      <c r="J76" s="54"/>
      <c r="K76" s="54"/>
      <c r="L76" s="54"/>
      <c r="M76" s="203">
        <f>SUM(M64:M75)</f>
        <v>40.232842938989997</v>
      </c>
    </row>
    <row r="77" spans="1:13" ht="15" customHeight="1" thickTop="1">
      <c r="C77" s="63"/>
      <c r="M77" s="63"/>
    </row>
    <row r="78" spans="1:13" ht="15" customHeight="1">
      <c r="A78" s="44" t="s">
        <v>2</v>
      </c>
      <c r="B78" s="44" t="s">
        <v>3</v>
      </c>
      <c r="C78" s="54"/>
      <c r="D78" s="54"/>
      <c r="E78" s="54"/>
      <c r="F78" s="54"/>
      <c r="G78" s="54"/>
      <c r="H78" s="54"/>
      <c r="I78" s="54"/>
      <c r="J78" s="54"/>
      <c r="K78" s="54"/>
      <c r="L78" s="54"/>
      <c r="M78" s="54"/>
    </row>
  </sheetData>
  <mergeCells count="4">
    <mergeCell ref="A2:D2"/>
    <mergeCell ref="A1:D1"/>
    <mergeCell ref="A4:D4"/>
    <mergeCell ref="A3:D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68C7A-8546-403F-A26D-0EFDD5E2A1A2}">
  <dimension ref="A1:C15"/>
  <sheetViews>
    <sheetView showRuler="0" workbookViewId="0">
      <selection sqref="A1:D1"/>
    </sheetView>
  </sheetViews>
  <sheetFormatPr defaultColWidth="13.7265625" defaultRowHeight="12.5"/>
  <cols>
    <col min="1" max="1" width="35.7265625" style="41" customWidth="1"/>
    <col min="2" max="2" width="38.7265625" style="41" customWidth="1"/>
    <col min="3" max="16384" width="13.7265625" style="41"/>
  </cols>
  <sheetData>
    <row r="1" spans="1:3" ht="15" customHeight="1">
      <c r="A1" s="737" t="s">
        <v>0</v>
      </c>
      <c r="B1" s="737"/>
      <c r="C1" s="737"/>
    </row>
    <row r="2" spans="1:3" ht="15" customHeight="1">
      <c r="A2" s="737" t="s">
        <v>732</v>
      </c>
      <c r="B2" s="737"/>
      <c r="C2" s="737"/>
    </row>
    <row r="3" spans="1:3" ht="15" customHeight="1">
      <c r="A3" s="737" t="s">
        <v>772</v>
      </c>
      <c r="B3" s="737"/>
      <c r="C3" s="737"/>
    </row>
    <row r="4" spans="1:3" ht="15" customHeight="1">
      <c r="A4" s="737" t="s">
        <v>352</v>
      </c>
      <c r="B4" s="737"/>
      <c r="C4" s="737"/>
    </row>
    <row r="5" spans="1:3" ht="15" customHeight="1"/>
    <row r="6" spans="1:3" ht="15" customHeight="1">
      <c r="B6" s="54" t="s">
        <v>771</v>
      </c>
    </row>
    <row r="7" spans="1:3" ht="27.65" customHeight="1">
      <c r="A7" s="54" t="s">
        <v>53</v>
      </c>
      <c r="B7" s="77">
        <v>2043627.47</v>
      </c>
    </row>
    <row r="8" spans="1:3" ht="27.65" customHeight="1">
      <c r="A8" s="54" t="s">
        <v>56</v>
      </c>
      <c r="B8" s="52">
        <v>19081553.989999998</v>
      </c>
    </row>
    <row r="9" spans="1:3" ht="27.65" customHeight="1">
      <c r="A9" s="54" t="s">
        <v>59</v>
      </c>
      <c r="B9" s="89">
        <v>5711379.6200000001</v>
      </c>
    </row>
    <row r="10" spans="1:3" ht="15" customHeight="1" thickBot="1">
      <c r="A10" s="72" t="s">
        <v>158</v>
      </c>
      <c r="B10" s="73">
        <f>SUM(B7:B9)</f>
        <v>26836561.079999998</v>
      </c>
    </row>
    <row r="11" spans="1:3" ht="15" customHeight="1" thickTop="1">
      <c r="B11" s="63"/>
    </row>
    <row r="12" spans="1:3" ht="15" customHeight="1"/>
    <row r="13" spans="1:3" ht="15" customHeight="1"/>
    <row r="14" spans="1:3" ht="15" customHeight="1">
      <c r="A14" s="44" t="s">
        <v>2</v>
      </c>
      <c r="B14" s="44" t="s">
        <v>3</v>
      </c>
    </row>
    <row r="15" spans="1:3" ht="15" customHeight="1"/>
  </sheetData>
  <mergeCells count="4">
    <mergeCell ref="A2:C2"/>
    <mergeCell ref="A1:C1"/>
    <mergeCell ref="A4:C4"/>
    <mergeCell ref="A3:C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84B9F-EC73-4C26-91DA-C2FD7015F81B}">
  <dimension ref="A1:H35"/>
  <sheetViews>
    <sheetView showRuler="0" workbookViewId="0">
      <selection sqref="A1:D1"/>
    </sheetView>
  </sheetViews>
  <sheetFormatPr defaultColWidth="13.7265625" defaultRowHeight="12.5"/>
  <cols>
    <col min="1" max="1" width="28.81640625" style="41" customWidth="1"/>
    <col min="2" max="2" width="31.1796875" style="41" customWidth="1"/>
    <col min="3" max="3" width="13.26953125" style="41" customWidth="1"/>
    <col min="4" max="5" width="11.81640625" style="41" customWidth="1"/>
    <col min="6" max="6" width="10.54296875" style="41" customWidth="1"/>
    <col min="7" max="7" width="12.26953125" style="41" customWidth="1"/>
    <col min="8" max="16384" width="13.7265625" style="41"/>
  </cols>
  <sheetData>
    <row r="1" spans="1:7" ht="15" customHeight="1">
      <c r="A1" s="737" t="s">
        <v>0</v>
      </c>
      <c r="B1" s="737"/>
      <c r="C1" s="737"/>
      <c r="D1" s="737"/>
    </row>
    <row r="2" spans="1:7" ht="15" customHeight="1">
      <c r="A2" s="737" t="s">
        <v>732</v>
      </c>
      <c r="B2" s="737"/>
      <c r="C2" s="737"/>
      <c r="D2" s="737"/>
    </row>
    <row r="3" spans="1:7" ht="15" customHeight="1">
      <c r="A3" s="737" t="s">
        <v>781</v>
      </c>
      <c r="B3" s="737"/>
      <c r="C3" s="737"/>
      <c r="D3" s="737"/>
    </row>
    <row r="4" spans="1:7" ht="15" customHeight="1">
      <c r="A4" s="737" t="s">
        <v>352</v>
      </c>
      <c r="B4" s="737"/>
      <c r="C4" s="737"/>
      <c r="D4" s="737"/>
    </row>
    <row r="5" spans="1:7" ht="15" customHeight="1"/>
    <row r="6" spans="1:7" ht="15" customHeight="1">
      <c r="A6" s="137"/>
      <c r="B6" s="120" t="s">
        <v>780</v>
      </c>
      <c r="C6" s="59"/>
    </row>
    <row r="7" spans="1:7" ht="15" customHeight="1">
      <c r="A7" s="74">
        <v>9240000</v>
      </c>
      <c r="B7" s="90">
        <f>D22</f>
        <v>469773</v>
      </c>
    </row>
    <row r="8" spans="1:7" ht="15" customHeight="1">
      <c r="A8" s="74">
        <v>9250000</v>
      </c>
      <c r="B8" s="52">
        <f>E22</f>
        <v>677369.19</v>
      </c>
    </row>
    <row r="9" spans="1:7" ht="15" customHeight="1">
      <c r="A9" s="74">
        <v>9250006</v>
      </c>
      <c r="B9" s="52">
        <v>30897.77</v>
      </c>
    </row>
    <row r="10" spans="1:7" ht="15" customHeight="1">
      <c r="A10" s="74">
        <v>9280006</v>
      </c>
      <c r="B10" s="89">
        <f>F31</f>
        <v>953393.08</v>
      </c>
    </row>
    <row r="11" spans="1:7" ht="15" customHeight="1" thickBot="1">
      <c r="A11" s="54" t="s">
        <v>158</v>
      </c>
      <c r="B11" s="73">
        <f>SUM(B7:B10)</f>
        <v>2131433.04</v>
      </c>
    </row>
    <row r="12" spans="1:7" ht="15" customHeight="1" thickTop="1">
      <c r="B12" s="63"/>
    </row>
    <row r="13" spans="1:7" ht="15" customHeight="1"/>
    <row r="14" spans="1:7" ht="15" customHeight="1">
      <c r="A14" s="65"/>
      <c r="B14" s="65"/>
      <c r="C14" s="54"/>
      <c r="D14" s="54"/>
      <c r="E14" s="54"/>
      <c r="F14" s="54"/>
      <c r="G14" s="54"/>
    </row>
    <row r="15" spans="1:7" ht="16.75" customHeight="1">
      <c r="A15" s="93" t="s">
        <v>260</v>
      </c>
      <c r="B15" s="93" t="s">
        <v>259</v>
      </c>
      <c r="C15" s="59"/>
      <c r="D15" s="54"/>
      <c r="E15" s="54"/>
      <c r="F15" s="54"/>
      <c r="G15" s="54"/>
    </row>
    <row r="16" spans="1:7" ht="15" customHeight="1">
      <c r="A16" s="48"/>
      <c r="B16" s="48"/>
      <c r="C16" s="54"/>
      <c r="D16" s="54"/>
      <c r="E16" s="54"/>
      <c r="F16" s="54"/>
      <c r="G16" s="54"/>
    </row>
    <row r="17" spans="1:8" ht="39.25" customHeight="1">
      <c r="A17" s="67" t="s">
        <v>179</v>
      </c>
      <c r="B17" s="67" t="s">
        <v>177</v>
      </c>
      <c r="C17" s="109"/>
      <c r="D17" s="65"/>
      <c r="E17" s="65"/>
      <c r="F17" s="65"/>
      <c r="G17" s="65"/>
    </row>
    <row r="18" spans="1:8" ht="16.75" customHeight="1">
      <c r="A18" s="67" t="s">
        <v>776</v>
      </c>
      <c r="B18" s="66">
        <v>1650001</v>
      </c>
      <c r="C18" s="66">
        <v>1650021</v>
      </c>
      <c r="D18" s="66">
        <v>9240000</v>
      </c>
      <c r="E18" s="66">
        <v>9250000</v>
      </c>
      <c r="F18" s="66">
        <v>9250006</v>
      </c>
      <c r="G18" s="67" t="s">
        <v>172</v>
      </c>
      <c r="H18" s="59"/>
    </row>
    <row r="19" spans="1:8" ht="39.25" customHeight="1">
      <c r="A19" s="93" t="s">
        <v>779</v>
      </c>
      <c r="B19" s="206">
        <v>-867027.99</v>
      </c>
      <c r="C19" s="206">
        <v>-228471.11</v>
      </c>
      <c r="D19" s="206">
        <v>438040.13</v>
      </c>
      <c r="E19" s="206">
        <v>626561.19999999995</v>
      </c>
      <c r="F19" s="206">
        <v>30897.77</v>
      </c>
      <c r="G19" s="206">
        <v>0</v>
      </c>
      <c r="H19" s="59"/>
    </row>
    <row r="20" spans="1:8" ht="39.25" customHeight="1">
      <c r="A20" s="93" t="s">
        <v>778</v>
      </c>
      <c r="B20" s="206">
        <v>-82540.86</v>
      </c>
      <c r="C20" s="93"/>
      <c r="D20" s="206">
        <v>31732.87</v>
      </c>
      <c r="E20" s="206">
        <v>50807.99</v>
      </c>
      <c r="F20" s="93"/>
      <c r="G20" s="206">
        <v>0</v>
      </c>
      <c r="H20" s="59"/>
    </row>
    <row r="21" spans="1:8" ht="50.15" customHeight="1">
      <c r="A21" s="93" t="s">
        <v>777</v>
      </c>
      <c r="B21" s="206">
        <v>-33556.28</v>
      </c>
      <c r="C21" s="206">
        <v>33556.28</v>
      </c>
      <c r="D21" s="93"/>
      <c r="E21" s="93"/>
      <c r="F21" s="93"/>
      <c r="G21" s="206">
        <v>0</v>
      </c>
      <c r="H21" s="59"/>
    </row>
    <row r="22" spans="1:8" ht="16.75" customHeight="1">
      <c r="A22" s="93" t="s">
        <v>172</v>
      </c>
      <c r="B22" s="206">
        <v>-983125.13</v>
      </c>
      <c r="C22" s="206">
        <v>-194914.83</v>
      </c>
      <c r="D22" s="206">
        <v>469773</v>
      </c>
      <c r="E22" s="206">
        <v>677369.19</v>
      </c>
      <c r="F22" s="206">
        <v>30897.77</v>
      </c>
      <c r="G22" s="206">
        <v>0</v>
      </c>
      <c r="H22" s="59"/>
    </row>
    <row r="23" spans="1:8" ht="15" customHeight="1">
      <c r="A23" s="48"/>
      <c r="B23" s="48"/>
      <c r="C23" s="58"/>
      <c r="D23" s="58"/>
      <c r="E23" s="58"/>
      <c r="F23" s="58"/>
      <c r="G23" s="58"/>
    </row>
    <row r="24" spans="1:8" ht="16.75" customHeight="1">
      <c r="A24" s="120" t="s">
        <v>260</v>
      </c>
      <c r="B24" s="120" t="s">
        <v>259</v>
      </c>
      <c r="C24" s="59"/>
      <c r="D24" s="54"/>
      <c r="E24" s="54"/>
      <c r="F24" s="54"/>
      <c r="G24" s="54"/>
    </row>
    <row r="25" spans="1:8" ht="15" customHeight="1">
      <c r="A25" s="48"/>
      <c r="B25" s="48"/>
      <c r="C25" s="54"/>
      <c r="D25" s="54"/>
      <c r="E25" s="54"/>
      <c r="F25" s="54"/>
      <c r="G25" s="54"/>
    </row>
    <row r="26" spans="1:8" ht="27.65" customHeight="1">
      <c r="A26" s="120" t="s">
        <v>179</v>
      </c>
      <c r="B26" s="120" t="s">
        <v>177</v>
      </c>
      <c r="C26" s="109"/>
      <c r="D26" s="65"/>
      <c r="E26" s="65"/>
      <c r="F26" s="65"/>
      <c r="G26" s="65"/>
    </row>
    <row r="27" spans="1:8" ht="16.75" customHeight="1">
      <c r="A27" s="67" t="s">
        <v>776</v>
      </c>
      <c r="B27" s="66">
        <v>165000221</v>
      </c>
      <c r="C27" s="66">
        <v>165000222</v>
      </c>
      <c r="D27" s="66">
        <v>1650041</v>
      </c>
      <c r="E27" s="66">
        <v>408101821</v>
      </c>
      <c r="F27" s="66">
        <v>9280006</v>
      </c>
      <c r="G27" s="67" t="s">
        <v>172</v>
      </c>
      <c r="H27" s="59"/>
    </row>
    <row r="28" spans="1:8" ht="39.25" customHeight="1">
      <c r="A28" s="93" t="s">
        <v>775</v>
      </c>
      <c r="B28" s="206">
        <v>-346785.64</v>
      </c>
      <c r="C28" s="206">
        <v>-616280.21</v>
      </c>
      <c r="D28" s="93"/>
      <c r="E28" s="206">
        <v>86696.42</v>
      </c>
      <c r="F28" s="206">
        <v>876369.43</v>
      </c>
      <c r="G28" s="206">
        <v>0</v>
      </c>
      <c r="H28" s="59"/>
    </row>
    <row r="29" spans="1:8" ht="50.15" customHeight="1">
      <c r="A29" s="93" t="s">
        <v>774</v>
      </c>
      <c r="B29" s="93"/>
      <c r="C29" s="206">
        <v>-308003.62</v>
      </c>
      <c r="D29" s="206">
        <v>308003.62</v>
      </c>
      <c r="E29" s="93"/>
      <c r="F29" s="93"/>
      <c r="G29" s="206">
        <v>0</v>
      </c>
      <c r="H29" s="59"/>
    </row>
    <row r="30" spans="1:8" ht="39.25" customHeight="1">
      <c r="A30" s="93" t="s">
        <v>773</v>
      </c>
      <c r="B30" s="93"/>
      <c r="C30" s="93"/>
      <c r="D30" s="206">
        <v>-77023.649999999994</v>
      </c>
      <c r="E30" s="93"/>
      <c r="F30" s="206">
        <v>77023.649999999994</v>
      </c>
      <c r="G30" s="206">
        <v>0</v>
      </c>
      <c r="H30" s="59"/>
    </row>
    <row r="31" spans="1:8" ht="16.75" customHeight="1">
      <c r="A31" s="93" t="s">
        <v>172</v>
      </c>
      <c r="B31" s="206">
        <v>-346785.64</v>
      </c>
      <c r="C31" s="206">
        <v>-924283.83</v>
      </c>
      <c r="D31" s="206">
        <v>230979.97</v>
      </c>
      <c r="E31" s="206">
        <v>86696.42</v>
      </c>
      <c r="F31" s="206">
        <v>953393.08</v>
      </c>
      <c r="G31" s="206">
        <v>0</v>
      </c>
      <c r="H31" s="59"/>
    </row>
    <row r="32" spans="1:8" ht="15" customHeight="1">
      <c r="A32" s="58"/>
      <c r="B32" s="58"/>
      <c r="C32" s="58"/>
      <c r="D32" s="58"/>
      <c r="E32" s="58"/>
      <c r="F32" s="58"/>
      <c r="G32" s="58"/>
    </row>
    <row r="33" spans="1:2" ht="15" customHeight="1"/>
    <row r="34" spans="1:2" ht="15" customHeight="1"/>
    <row r="35" spans="1:2" ht="15" customHeight="1">
      <c r="A35" s="44" t="s">
        <v>2</v>
      </c>
      <c r="B35" s="44" t="s">
        <v>3</v>
      </c>
    </row>
  </sheetData>
  <mergeCells count="4">
    <mergeCell ref="A2:D2"/>
    <mergeCell ref="A1:D1"/>
    <mergeCell ref="A4:D4"/>
    <mergeCell ref="A3:D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5F501-0468-45B4-93B5-AA89EACF8C05}">
  <dimension ref="A1:J20"/>
  <sheetViews>
    <sheetView showRuler="0" workbookViewId="0">
      <selection sqref="A1:D1"/>
    </sheetView>
  </sheetViews>
  <sheetFormatPr defaultColWidth="13.7265625" defaultRowHeight="12.5"/>
  <cols>
    <col min="1" max="7" width="13.7265625" style="41"/>
    <col min="8" max="8" width="19.81640625" style="41" customWidth="1"/>
    <col min="9" max="16384" width="13.7265625" style="41"/>
  </cols>
  <sheetData>
    <row r="1" spans="1:10" ht="15" customHeight="1">
      <c r="A1" s="737" t="s">
        <v>0</v>
      </c>
      <c r="B1" s="737"/>
      <c r="C1" s="737"/>
      <c r="D1" s="737"/>
    </row>
    <row r="2" spans="1:10" ht="15" customHeight="1">
      <c r="A2" s="737" t="s">
        <v>732</v>
      </c>
      <c r="B2" s="737"/>
      <c r="C2" s="737"/>
      <c r="D2" s="737"/>
    </row>
    <row r="3" spans="1:10" ht="15" customHeight="1">
      <c r="A3" s="737" t="s">
        <v>790</v>
      </c>
      <c r="B3" s="737"/>
      <c r="C3" s="737"/>
      <c r="D3" s="737"/>
    </row>
    <row r="4" spans="1:10" ht="15" customHeight="1">
      <c r="A4" s="737" t="s">
        <v>352</v>
      </c>
      <c r="B4" s="737"/>
      <c r="C4" s="737"/>
      <c r="D4" s="737"/>
    </row>
    <row r="5" spans="1:10" ht="15" customHeight="1"/>
    <row r="6" spans="1:10" ht="15" customHeight="1"/>
    <row r="7" spans="1:10" ht="15" customHeight="1">
      <c r="A7" s="54"/>
      <c r="B7" s="54"/>
      <c r="C7" s="54"/>
      <c r="D7" s="54"/>
      <c r="E7" s="54"/>
      <c r="F7" s="54"/>
      <c r="G7" s="54"/>
      <c r="H7" s="54"/>
      <c r="I7" s="54"/>
    </row>
    <row r="8" spans="1:10" ht="16.75" customHeight="1">
      <c r="A8" s="54"/>
      <c r="B8" s="65"/>
      <c r="C8" s="65"/>
      <c r="D8" s="54"/>
      <c r="E8" s="54"/>
      <c r="F8" s="54"/>
      <c r="G8" s="54"/>
      <c r="H8" s="54"/>
      <c r="I8" s="54"/>
    </row>
    <row r="9" spans="1:10" ht="27.65" customHeight="1">
      <c r="A9" s="137"/>
      <c r="B9" s="93" t="s">
        <v>260</v>
      </c>
      <c r="C9" s="93" t="s">
        <v>259</v>
      </c>
      <c r="D9" s="59"/>
      <c r="E9" s="54"/>
      <c r="F9" s="65"/>
      <c r="G9" s="54"/>
      <c r="H9" s="54"/>
      <c r="I9" s="54"/>
    </row>
    <row r="10" spans="1:10" ht="50.15" customHeight="1">
      <c r="A10" s="137"/>
      <c r="B10" s="93" t="s">
        <v>179</v>
      </c>
      <c r="C10" s="93"/>
      <c r="D10" s="109"/>
      <c r="E10" s="137"/>
      <c r="F10" s="93" t="s">
        <v>789</v>
      </c>
      <c r="G10" s="109"/>
      <c r="H10" s="65"/>
      <c r="I10" s="65"/>
    </row>
    <row r="11" spans="1:10" ht="39.25" customHeight="1">
      <c r="A11" s="137"/>
      <c r="B11" s="93" t="s">
        <v>177</v>
      </c>
      <c r="C11" s="93" t="s">
        <v>788</v>
      </c>
      <c r="D11" s="93" t="s">
        <v>158</v>
      </c>
      <c r="E11" s="197"/>
      <c r="F11" s="93" t="s">
        <v>787</v>
      </c>
      <c r="G11" s="93" t="s">
        <v>786</v>
      </c>
      <c r="H11" s="93" t="s">
        <v>785</v>
      </c>
      <c r="I11" s="93" t="s">
        <v>784</v>
      </c>
      <c r="J11" s="59"/>
    </row>
    <row r="12" spans="1:10" ht="16.75" customHeight="1">
      <c r="A12" s="137"/>
      <c r="B12" s="117">
        <v>4081007</v>
      </c>
      <c r="C12" s="93" t="s">
        <v>783</v>
      </c>
      <c r="D12" s="92">
        <v>4349.53</v>
      </c>
      <c r="E12" s="197"/>
      <c r="F12" s="207">
        <v>0.99099999999999999</v>
      </c>
      <c r="G12" s="92">
        <f>D12*F12</f>
        <v>4310.3842299999997</v>
      </c>
      <c r="H12" s="206">
        <f>G12/($G$13+$G$12)*$G$14</f>
        <v>-1064.8568206783193</v>
      </c>
      <c r="I12" s="92">
        <f>G12+H12</f>
        <v>3245.5274093216804</v>
      </c>
      <c r="J12" s="59"/>
    </row>
    <row r="13" spans="1:10" ht="16.75" customHeight="1">
      <c r="A13" s="137"/>
      <c r="B13" s="93"/>
      <c r="C13" s="93" t="s">
        <v>782</v>
      </c>
      <c r="D13" s="92">
        <v>25803.82</v>
      </c>
      <c r="E13" s="197"/>
      <c r="F13" s="207">
        <v>0.99099999999999999</v>
      </c>
      <c r="G13" s="92">
        <f>D13*F13</f>
        <v>25571.585619999998</v>
      </c>
      <c r="H13" s="206">
        <f>G13/($G$13+$G$12)*$G$14</f>
        <v>-6317.3201993216808</v>
      </c>
      <c r="I13" s="92">
        <f>G13+H13</f>
        <v>19254.265420678319</v>
      </c>
      <c r="J13" s="59"/>
    </row>
    <row r="14" spans="1:10" ht="16.75" customHeight="1">
      <c r="A14" s="137"/>
      <c r="B14" s="117">
        <v>4081035</v>
      </c>
      <c r="C14" s="93"/>
      <c r="D14" s="92">
        <v>-7449.22</v>
      </c>
      <c r="E14" s="197"/>
      <c r="F14" s="207">
        <v>0.99099999999999999</v>
      </c>
      <c r="G14" s="92">
        <f>D14*F14</f>
        <v>-7382.1770200000001</v>
      </c>
      <c r="H14" s="93"/>
      <c r="I14" s="93"/>
      <c r="J14" s="59"/>
    </row>
    <row r="15" spans="1:10" ht="16.75" customHeight="1">
      <c r="A15" s="137"/>
      <c r="B15" s="93" t="s">
        <v>172</v>
      </c>
      <c r="C15" s="93"/>
      <c r="D15" s="92">
        <v>22704.13</v>
      </c>
      <c r="E15" s="197"/>
      <c r="F15" s="93"/>
      <c r="G15" s="92">
        <f>SUM(G12:G14)</f>
        <v>22499.792829999999</v>
      </c>
      <c r="H15" s="92">
        <f>SUM(H12:H13)</f>
        <v>-7382.1770200000001</v>
      </c>
      <c r="I15" s="92">
        <f>SUM(I12:I13)</f>
        <v>22499.792829999999</v>
      </c>
      <c r="J15" s="59"/>
    </row>
    <row r="16" spans="1:10" ht="15" customHeight="1">
      <c r="A16" s="54"/>
      <c r="B16" s="58"/>
      <c r="C16" s="58"/>
      <c r="D16" s="58"/>
      <c r="E16" s="54"/>
      <c r="F16" s="58"/>
      <c r="G16" s="58"/>
      <c r="H16" s="58"/>
      <c r="I16" s="58"/>
    </row>
    <row r="17" spans="1:9" ht="15" customHeight="1">
      <c r="A17" s="54"/>
      <c r="B17" s="54"/>
      <c r="C17" s="54"/>
      <c r="D17" s="54"/>
      <c r="E17" s="54"/>
      <c r="F17" s="54"/>
      <c r="G17" s="54"/>
      <c r="H17" s="54"/>
      <c r="I17" s="54"/>
    </row>
    <row r="18" spans="1:9" ht="15" customHeight="1"/>
    <row r="19" spans="1:9" ht="15" customHeight="1">
      <c r="A19" s="107" t="s">
        <v>2</v>
      </c>
      <c r="B19" s="107" t="s">
        <v>3</v>
      </c>
    </row>
    <row r="20" spans="1:9" ht="15" customHeight="1"/>
  </sheetData>
  <mergeCells count="4">
    <mergeCell ref="A2:D2"/>
    <mergeCell ref="A1:D1"/>
    <mergeCell ref="A4:D4"/>
    <mergeCell ref="A3:D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A55C0-1C52-473C-BDBC-5E0422416171}">
  <sheetPr>
    <pageSetUpPr fitToPage="1"/>
  </sheetPr>
  <dimension ref="A1:Y145"/>
  <sheetViews>
    <sheetView zoomScale="85" zoomScaleNormal="85" workbookViewId="0">
      <pane ySplit="17" topLeftCell="A18" activePane="bottomLeft" state="frozen"/>
      <selection activeCell="D31" sqref="D31"/>
      <selection pane="bottomLeft" activeCell="J13" sqref="J13"/>
    </sheetView>
  </sheetViews>
  <sheetFormatPr defaultRowHeight="14.5"/>
  <cols>
    <col min="1" max="1" width="16.453125" style="329" customWidth="1"/>
    <col min="2" max="2" width="16.26953125" style="329" bestFit="1" customWidth="1"/>
    <col min="3" max="3" width="19.54296875" style="329" bestFit="1" customWidth="1"/>
    <col min="4" max="4" width="9.1796875" style="329"/>
    <col min="5" max="5" width="12.7265625" style="329" customWidth="1"/>
    <col min="6" max="6" width="14" style="329" bestFit="1" customWidth="1"/>
    <col min="7" max="7" width="12.26953125" style="329" bestFit="1" customWidth="1"/>
    <col min="8" max="8" width="4.1796875" style="329" customWidth="1"/>
    <col min="9" max="9" width="1.1796875" style="330" customWidth="1"/>
    <col min="10" max="10" width="14.81640625" style="329" customWidth="1"/>
    <col min="11" max="11" width="15.54296875" style="329" customWidth="1"/>
    <col min="12" max="12" width="17" style="329" customWidth="1"/>
    <col min="13" max="13" width="14.26953125" style="329" customWidth="1"/>
    <col min="14" max="14" width="8.1796875" style="329" customWidth="1"/>
    <col min="15" max="15" width="8" style="329" customWidth="1"/>
    <col min="16" max="16" width="12.26953125" style="329" customWidth="1"/>
    <col min="17" max="19" width="13.26953125" style="329" customWidth="1"/>
    <col min="20" max="20" width="1.54296875" style="330" customWidth="1"/>
    <col min="21" max="21" width="9.1796875" style="329"/>
    <col min="22" max="22" width="21" style="329" bestFit="1" customWidth="1"/>
    <col min="23" max="23" width="12.26953125" style="329" bestFit="1" customWidth="1"/>
    <col min="24" max="24" width="9.1796875" style="329"/>
    <col min="25" max="25" width="12.26953125" style="329" bestFit="1" customWidth="1"/>
    <col min="26" max="256" width="9.1796875" style="329"/>
    <col min="257" max="257" width="16.453125" style="329" customWidth="1"/>
    <col min="258" max="258" width="16.26953125" style="329" bestFit="1" customWidth="1"/>
    <col min="259" max="259" width="19.54296875" style="329" bestFit="1" customWidth="1"/>
    <col min="260" max="261" width="9.1796875" style="329"/>
    <col min="262" max="262" width="14" style="329" bestFit="1" customWidth="1"/>
    <col min="263" max="263" width="9.1796875" style="329"/>
    <col min="264" max="264" width="4.1796875" style="329" customWidth="1"/>
    <col min="265" max="265" width="1.1796875" style="329" customWidth="1"/>
    <col min="266" max="266" width="14.81640625" style="329" customWidth="1"/>
    <col min="267" max="267" width="15.54296875" style="329" customWidth="1"/>
    <col min="268" max="268" width="17" style="329" customWidth="1"/>
    <col min="269" max="269" width="14.26953125" style="329" customWidth="1"/>
    <col min="270" max="270" width="8.1796875" style="329" customWidth="1"/>
    <col min="271" max="271" width="8" style="329" customWidth="1"/>
    <col min="272" max="272" width="12.26953125" style="329" customWidth="1"/>
    <col min="273" max="275" width="13.26953125" style="329" customWidth="1"/>
    <col min="276" max="276" width="1.54296875" style="329" customWidth="1"/>
    <col min="277" max="277" width="9.1796875" style="329"/>
    <col min="278" max="278" width="21" style="329" bestFit="1" customWidth="1"/>
    <col min="279" max="279" width="12.26953125" style="329" bestFit="1" customWidth="1"/>
    <col min="280" max="280" width="9.1796875" style="329"/>
    <col min="281" max="281" width="12.26953125" style="329" bestFit="1" customWidth="1"/>
    <col min="282" max="512" width="9.1796875" style="329"/>
    <col min="513" max="513" width="16.453125" style="329" customWidth="1"/>
    <col min="514" max="514" width="16.26953125" style="329" bestFit="1" customWidth="1"/>
    <col min="515" max="515" width="19.54296875" style="329" bestFit="1" customWidth="1"/>
    <col min="516" max="517" width="9.1796875" style="329"/>
    <col min="518" max="518" width="14" style="329" bestFit="1" customWidth="1"/>
    <col min="519" max="519" width="9.1796875" style="329"/>
    <col min="520" max="520" width="4.1796875" style="329" customWidth="1"/>
    <col min="521" max="521" width="1.1796875" style="329" customWidth="1"/>
    <col min="522" max="522" width="14.81640625" style="329" customWidth="1"/>
    <col min="523" max="523" width="15.54296875" style="329" customWidth="1"/>
    <col min="524" max="524" width="17" style="329" customWidth="1"/>
    <col min="525" max="525" width="14.26953125" style="329" customWidth="1"/>
    <col min="526" max="526" width="8.1796875" style="329" customWidth="1"/>
    <col min="527" max="527" width="8" style="329" customWidth="1"/>
    <col min="528" max="528" width="12.26953125" style="329" customWidth="1"/>
    <col min="529" max="531" width="13.26953125" style="329" customWidth="1"/>
    <col min="532" max="532" width="1.54296875" style="329" customWidth="1"/>
    <col min="533" max="533" width="9.1796875" style="329"/>
    <col min="534" max="534" width="21" style="329" bestFit="1" customWidth="1"/>
    <col min="535" max="535" width="12.26953125" style="329" bestFit="1" customWidth="1"/>
    <col min="536" max="536" width="9.1796875" style="329"/>
    <col min="537" max="537" width="12.26953125" style="329" bestFit="1" customWidth="1"/>
    <col min="538" max="768" width="9.1796875" style="329"/>
    <col min="769" max="769" width="16.453125" style="329" customWidth="1"/>
    <col min="770" max="770" width="16.26953125" style="329" bestFit="1" customWidth="1"/>
    <col min="771" max="771" width="19.54296875" style="329" bestFit="1" customWidth="1"/>
    <col min="772" max="773" width="9.1796875" style="329"/>
    <col min="774" max="774" width="14" style="329" bestFit="1" customWidth="1"/>
    <col min="775" max="775" width="9.1796875" style="329"/>
    <col min="776" max="776" width="4.1796875" style="329" customWidth="1"/>
    <col min="777" max="777" width="1.1796875" style="329" customWidth="1"/>
    <col min="778" max="778" width="14.81640625" style="329" customWidth="1"/>
    <col min="779" max="779" width="15.54296875" style="329" customWidth="1"/>
    <col min="780" max="780" width="17" style="329" customWidth="1"/>
    <col min="781" max="781" width="14.26953125" style="329" customWidth="1"/>
    <col min="782" max="782" width="8.1796875" style="329" customWidth="1"/>
    <col min="783" max="783" width="8" style="329" customWidth="1"/>
    <col min="784" max="784" width="12.26953125" style="329" customWidth="1"/>
    <col min="785" max="787" width="13.26953125" style="329" customWidth="1"/>
    <col min="788" max="788" width="1.54296875" style="329" customWidth="1"/>
    <col min="789" max="789" width="9.1796875" style="329"/>
    <col min="790" max="790" width="21" style="329" bestFit="1" customWidth="1"/>
    <col min="791" max="791" width="12.26953125" style="329" bestFit="1" customWidth="1"/>
    <col min="792" max="792" width="9.1796875" style="329"/>
    <col min="793" max="793" width="12.26953125" style="329" bestFit="1" customWidth="1"/>
    <col min="794" max="1024" width="9.1796875" style="329"/>
    <col min="1025" max="1025" width="16.453125" style="329" customWidth="1"/>
    <col min="1026" max="1026" width="16.26953125" style="329" bestFit="1" customWidth="1"/>
    <col min="1027" max="1027" width="19.54296875" style="329" bestFit="1" customWidth="1"/>
    <col min="1028" max="1029" width="9.1796875" style="329"/>
    <col min="1030" max="1030" width="14" style="329" bestFit="1" customWidth="1"/>
    <col min="1031" max="1031" width="9.1796875" style="329"/>
    <col min="1032" max="1032" width="4.1796875" style="329" customWidth="1"/>
    <col min="1033" max="1033" width="1.1796875" style="329" customWidth="1"/>
    <col min="1034" max="1034" width="14.81640625" style="329" customWidth="1"/>
    <col min="1035" max="1035" width="15.54296875" style="329" customWidth="1"/>
    <col min="1036" max="1036" width="17" style="329" customWidth="1"/>
    <col min="1037" max="1037" width="14.26953125" style="329" customWidth="1"/>
    <col min="1038" max="1038" width="8.1796875" style="329" customWidth="1"/>
    <col min="1039" max="1039" width="8" style="329" customWidth="1"/>
    <col min="1040" max="1040" width="12.26953125" style="329" customWidth="1"/>
    <col min="1041" max="1043" width="13.26953125" style="329" customWidth="1"/>
    <col min="1044" max="1044" width="1.54296875" style="329" customWidth="1"/>
    <col min="1045" max="1045" width="9.1796875" style="329"/>
    <col min="1046" max="1046" width="21" style="329" bestFit="1" customWidth="1"/>
    <col min="1047" max="1047" width="12.26953125" style="329" bestFit="1" customWidth="1"/>
    <col min="1048" max="1048" width="9.1796875" style="329"/>
    <col min="1049" max="1049" width="12.26953125" style="329" bestFit="1" customWidth="1"/>
    <col min="1050" max="1280" width="9.1796875" style="329"/>
    <col min="1281" max="1281" width="16.453125" style="329" customWidth="1"/>
    <col min="1282" max="1282" width="16.26953125" style="329" bestFit="1" customWidth="1"/>
    <col min="1283" max="1283" width="19.54296875" style="329" bestFit="1" customWidth="1"/>
    <col min="1284" max="1285" width="9.1796875" style="329"/>
    <col min="1286" max="1286" width="14" style="329" bestFit="1" customWidth="1"/>
    <col min="1287" max="1287" width="9.1796875" style="329"/>
    <col min="1288" max="1288" width="4.1796875" style="329" customWidth="1"/>
    <col min="1289" max="1289" width="1.1796875" style="329" customWidth="1"/>
    <col min="1290" max="1290" width="14.81640625" style="329" customWidth="1"/>
    <col min="1291" max="1291" width="15.54296875" style="329" customWidth="1"/>
    <col min="1292" max="1292" width="17" style="329" customWidth="1"/>
    <col min="1293" max="1293" width="14.26953125" style="329" customWidth="1"/>
    <col min="1294" max="1294" width="8.1796875" style="329" customWidth="1"/>
    <col min="1295" max="1295" width="8" style="329" customWidth="1"/>
    <col min="1296" max="1296" width="12.26953125" style="329" customWidth="1"/>
    <col min="1297" max="1299" width="13.26953125" style="329" customWidth="1"/>
    <col min="1300" max="1300" width="1.54296875" style="329" customWidth="1"/>
    <col min="1301" max="1301" width="9.1796875" style="329"/>
    <col min="1302" max="1302" width="21" style="329" bestFit="1" customWidth="1"/>
    <col min="1303" max="1303" width="12.26953125" style="329" bestFit="1" customWidth="1"/>
    <col min="1304" max="1304" width="9.1796875" style="329"/>
    <col min="1305" max="1305" width="12.26953125" style="329" bestFit="1" customWidth="1"/>
    <col min="1306" max="1536" width="9.1796875" style="329"/>
    <col min="1537" max="1537" width="16.453125" style="329" customWidth="1"/>
    <col min="1538" max="1538" width="16.26953125" style="329" bestFit="1" customWidth="1"/>
    <col min="1539" max="1539" width="19.54296875" style="329" bestFit="1" customWidth="1"/>
    <col min="1540" max="1541" width="9.1796875" style="329"/>
    <col min="1542" max="1542" width="14" style="329" bestFit="1" customWidth="1"/>
    <col min="1543" max="1543" width="9.1796875" style="329"/>
    <col min="1544" max="1544" width="4.1796875" style="329" customWidth="1"/>
    <col min="1545" max="1545" width="1.1796875" style="329" customWidth="1"/>
    <col min="1546" max="1546" width="14.81640625" style="329" customWidth="1"/>
    <col min="1547" max="1547" width="15.54296875" style="329" customWidth="1"/>
    <col min="1548" max="1548" width="17" style="329" customWidth="1"/>
    <col min="1549" max="1549" width="14.26953125" style="329" customWidth="1"/>
    <col min="1550" max="1550" width="8.1796875" style="329" customWidth="1"/>
    <col min="1551" max="1551" width="8" style="329" customWidth="1"/>
    <col min="1552" max="1552" width="12.26953125" style="329" customWidth="1"/>
    <col min="1553" max="1555" width="13.26953125" style="329" customWidth="1"/>
    <col min="1556" max="1556" width="1.54296875" style="329" customWidth="1"/>
    <col min="1557" max="1557" width="9.1796875" style="329"/>
    <col min="1558" max="1558" width="21" style="329" bestFit="1" customWidth="1"/>
    <col min="1559" max="1559" width="12.26953125" style="329" bestFit="1" customWidth="1"/>
    <col min="1560" max="1560" width="9.1796875" style="329"/>
    <col min="1561" max="1561" width="12.26953125" style="329" bestFit="1" customWidth="1"/>
    <col min="1562" max="1792" width="9.1796875" style="329"/>
    <col min="1793" max="1793" width="16.453125" style="329" customWidth="1"/>
    <col min="1794" max="1794" width="16.26953125" style="329" bestFit="1" customWidth="1"/>
    <col min="1795" max="1795" width="19.54296875" style="329" bestFit="1" customWidth="1"/>
    <col min="1796" max="1797" width="9.1796875" style="329"/>
    <col min="1798" max="1798" width="14" style="329" bestFit="1" customWidth="1"/>
    <col min="1799" max="1799" width="9.1796875" style="329"/>
    <col min="1800" max="1800" width="4.1796875" style="329" customWidth="1"/>
    <col min="1801" max="1801" width="1.1796875" style="329" customWidth="1"/>
    <col min="1802" max="1802" width="14.81640625" style="329" customWidth="1"/>
    <col min="1803" max="1803" width="15.54296875" style="329" customWidth="1"/>
    <col min="1804" max="1804" width="17" style="329" customWidth="1"/>
    <col min="1805" max="1805" width="14.26953125" style="329" customWidth="1"/>
    <col min="1806" max="1806" width="8.1796875" style="329" customWidth="1"/>
    <col min="1807" max="1807" width="8" style="329" customWidth="1"/>
    <col min="1808" max="1808" width="12.26953125" style="329" customWidth="1"/>
    <col min="1809" max="1811" width="13.26953125" style="329" customWidth="1"/>
    <col min="1812" max="1812" width="1.54296875" style="329" customWidth="1"/>
    <col min="1813" max="1813" width="9.1796875" style="329"/>
    <col min="1814" max="1814" width="21" style="329" bestFit="1" customWidth="1"/>
    <col min="1815" max="1815" width="12.26953125" style="329" bestFit="1" customWidth="1"/>
    <col min="1816" max="1816" width="9.1796875" style="329"/>
    <col min="1817" max="1817" width="12.26953125" style="329" bestFit="1" customWidth="1"/>
    <col min="1818" max="2048" width="9.1796875" style="329"/>
    <col min="2049" max="2049" width="16.453125" style="329" customWidth="1"/>
    <col min="2050" max="2050" width="16.26953125" style="329" bestFit="1" customWidth="1"/>
    <col min="2051" max="2051" width="19.54296875" style="329" bestFit="1" customWidth="1"/>
    <col min="2052" max="2053" width="9.1796875" style="329"/>
    <col min="2054" max="2054" width="14" style="329" bestFit="1" customWidth="1"/>
    <col min="2055" max="2055" width="9.1796875" style="329"/>
    <col min="2056" max="2056" width="4.1796875" style="329" customWidth="1"/>
    <col min="2057" max="2057" width="1.1796875" style="329" customWidth="1"/>
    <col min="2058" max="2058" width="14.81640625" style="329" customWidth="1"/>
    <col min="2059" max="2059" width="15.54296875" style="329" customWidth="1"/>
    <col min="2060" max="2060" width="17" style="329" customWidth="1"/>
    <col min="2061" max="2061" width="14.26953125" style="329" customWidth="1"/>
    <col min="2062" max="2062" width="8.1796875" style="329" customWidth="1"/>
    <col min="2063" max="2063" width="8" style="329" customWidth="1"/>
    <col min="2064" max="2064" width="12.26953125" style="329" customWidth="1"/>
    <col min="2065" max="2067" width="13.26953125" style="329" customWidth="1"/>
    <col min="2068" max="2068" width="1.54296875" style="329" customWidth="1"/>
    <col min="2069" max="2069" width="9.1796875" style="329"/>
    <col min="2070" max="2070" width="21" style="329" bestFit="1" customWidth="1"/>
    <col min="2071" max="2071" width="12.26953125" style="329" bestFit="1" customWidth="1"/>
    <col min="2072" max="2072" width="9.1796875" style="329"/>
    <col min="2073" max="2073" width="12.26953125" style="329" bestFit="1" customWidth="1"/>
    <col min="2074" max="2304" width="9.1796875" style="329"/>
    <col min="2305" max="2305" width="16.453125" style="329" customWidth="1"/>
    <col min="2306" max="2306" width="16.26953125" style="329" bestFit="1" customWidth="1"/>
    <col min="2307" max="2307" width="19.54296875" style="329" bestFit="1" customWidth="1"/>
    <col min="2308" max="2309" width="9.1796875" style="329"/>
    <col min="2310" max="2310" width="14" style="329" bestFit="1" customWidth="1"/>
    <col min="2311" max="2311" width="9.1796875" style="329"/>
    <col min="2312" max="2312" width="4.1796875" style="329" customWidth="1"/>
    <col min="2313" max="2313" width="1.1796875" style="329" customWidth="1"/>
    <col min="2314" max="2314" width="14.81640625" style="329" customWidth="1"/>
    <col min="2315" max="2315" width="15.54296875" style="329" customWidth="1"/>
    <col min="2316" max="2316" width="17" style="329" customWidth="1"/>
    <col min="2317" max="2317" width="14.26953125" style="329" customWidth="1"/>
    <col min="2318" max="2318" width="8.1796875" style="329" customWidth="1"/>
    <col min="2319" max="2319" width="8" style="329" customWidth="1"/>
    <col min="2320" max="2320" width="12.26953125" style="329" customWidth="1"/>
    <col min="2321" max="2323" width="13.26953125" style="329" customWidth="1"/>
    <col min="2324" max="2324" width="1.54296875" style="329" customWidth="1"/>
    <col min="2325" max="2325" width="9.1796875" style="329"/>
    <col min="2326" max="2326" width="21" style="329" bestFit="1" customWidth="1"/>
    <col min="2327" max="2327" width="12.26953125" style="329" bestFit="1" customWidth="1"/>
    <col min="2328" max="2328" width="9.1796875" style="329"/>
    <col min="2329" max="2329" width="12.26953125" style="329" bestFit="1" customWidth="1"/>
    <col min="2330" max="2560" width="9.1796875" style="329"/>
    <col min="2561" max="2561" width="16.453125" style="329" customWidth="1"/>
    <col min="2562" max="2562" width="16.26953125" style="329" bestFit="1" customWidth="1"/>
    <col min="2563" max="2563" width="19.54296875" style="329" bestFit="1" customWidth="1"/>
    <col min="2564" max="2565" width="9.1796875" style="329"/>
    <col min="2566" max="2566" width="14" style="329" bestFit="1" customWidth="1"/>
    <col min="2567" max="2567" width="9.1796875" style="329"/>
    <col min="2568" max="2568" width="4.1796875" style="329" customWidth="1"/>
    <col min="2569" max="2569" width="1.1796875" style="329" customWidth="1"/>
    <col min="2570" max="2570" width="14.81640625" style="329" customWidth="1"/>
    <col min="2571" max="2571" width="15.54296875" style="329" customWidth="1"/>
    <col min="2572" max="2572" width="17" style="329" customWidth="1"/>
    <col min="2573" max="2573" width="14.26953125" style="329" customWidth="1"/>
    <col min="2574" max="2574" width="8.1796875" style="329" customWidth="1"/>
    <col min="2575" max="2575" width="8" style="329" customWidth="1"/>
    <col min="2576" max="2576" width="12.26953125" style="329" customWidth="1"/>
    <col min="2577" max="2579" width="13.26953125" style="329" customWidth="1"/>
    <col min="2580" max="2580" width="1.54296875" style="329" customWidth="1"/>
    <col min="2581" max="2581" width="9.1796875" style="329"/>
    <col min="2582" max="2582" width="21" style="329" bestFit="1" customWidth="1"/>
    <col min="2583" max="2583" width="12.26953125" style="329" bestFit="1" customWidth="1"/>
    <col min="2584" max="2584" width="9.1796875" style="329"/>
    <col min="2585" max="2585" width="12.26953125" style="329" bestFit="1" customWidth="1"/>
    <col min="2586" max="2816" width="9.1796875" style="329"/>
    <col min="2817" max="2817" width="16.453125" style="329" customWidth="1"/>
    <col min="2818" max="2818" width="16.26953125" style="329" bestFit="1" customWidth="1"/>
    <col min="2819" max="2819" width="19.54296875" style="329" bestFit="1" customWidth="1"/>
    <col min="2820" max="2821" width="9.1796875" style="329"/>
    <col min="2822" max="2822" width="14" style="329" bestFit="1" customWidth="1"/>
    <col min="2823" max="2823" width="9.1796875" style="329"/>
    <col min="2824" max="2824" width="4.1796875" style="329" customWidth="1"/>
    <col min="2825" max="2825" width="1.1796875" style="329" customWidth="1"/>
    <col min="2826" max="2826" width="14.81640625" style="329" customWidth="1"/>
    <col min="2827" max="2827" width="15.54296875" style="329" customWidth="1"/>
    <col min="2828" max="2828" width="17" style="329" customWidth="1"/>
    <col min="2829" max="2829" width="14.26953125" style="329" customWidth="1"/>
    <col min="2830" max="2830" width="8.1796875" style="329" customWidth="1"/>
    <col min="2831" max="2831" width="8" style="329" customWidth="1"/>
    <col min="2832" max="2832" width="12.26953125" style="329" customWidth="1"/>
    <col min="2833" max="2835" width="13.26953125" style="329" customWidth="1"/>
    <col min="2836" max="2836" width="1.54296875" style="329" customWidth="1"/>
    <col min="2837" max="2837" width="9.1796875" style="329"/>
    <col min="2838" max="2838" width="21" style="329" bestFit="1" customWidth="1"/>
    <col min="2839" max="2839" width="12.26953125" style="329" bestFit="1" customWidth="1"/>
    <col min="2840" max="2840" width="9.1796875" style="329"/>
    <col min="2841" max="2841" width="12.26953125" style="329" bestFit="1" customWidth="1"/>
    <col min="2842" max="3072" width="9.1796875" style="329"/>
    <col min="3073" max="3073" width="16.453125" style="329" customWidth="1"/>
    <col min="3074" max="3074" width="16.26953125" style="329" bestFit="1" customWidth="1"/>
    <col min="3075" max="3075" width="19.54296875" style="329" bestFit="1" customWidth="1"/>
    <col min="3076" max="3077" width="9.1796875" style="329"/>
    <col min="3078" max="3078" width="14" style="329" bestFit="1" customWidth="1"/>
    <col min="3079" max="3079" width="9.1796875" style="329"/>
    <col min="3080" max="3080" width="4.1796875" style="329" customWidth="1"/>
    <col min="3081" max="3081" width="1.1796875" style="329" customWidth="1"/>
    <col min="3082" max="3082" width="14.81640625" style="329" customWidth="1"/>
    <col min="3083" max="3083" width="15.54296875" style="329" customWidth="1"/>
    <col min="3084" max="3084" width="17" style="329" customWidth="1"/>
    <col min="3085" max="3085" width="14.26953125" style="329" customWidth="1"/>
    <col min="3086" max="3086" width="8.1796875" style="329" customWidth="1"/>
    <col min="3087" max="3087" width="8" style="329" customWidth="1"/>
    <col min="3088" max="3088" width="12.26953125" style="329" customWidth="1"/>
    <col min="3089" max="3091" width="13.26953125" style="329" customWidth="1"/>
    <col min="3092" max="3092" width="1.54296875" style="329" customWidth="1"/>
    <col min="3093" max="3093" width="9.1796875" style="329"/>
    <col min="3094" max="3094" width="21" style="329" bestFit="1" customWidth="1"/>
    <col min="3095" max="3095" width="12.26953125" style="329" bestFit="1" customWidth="1"/>
    <col min="3096" max="3096" width="9.1796875" style="329"/>
    <col min="3097" max="3097" width="12.26953125" style="329" bestFit="1" customWidth="1"/>
    <col min="3098" max="3328" width="9.1796875" style="329"/>
    <col min="3329" max="3329" width="16.453125" style="329" customWidth="1"/>
    <col min="3330" max="3330" width="16.26953125" style="329" bestFit="1" customWidth="1"/>
    <col min="3331" max="3331" width="19.54296875" style="329" bestFit="1" customWidth="1"/>
    <col min="3332" max="3333" width="9.1796875" style="329"/>
    <col min="3334" max="3334" width="14" style="329" bestFit="1" customWidth="1"/>
    <col min="3335" max="3335" width="9.1796875" style="329"/>
    <col min="3336" max="3336" width="4.1796875" style="329" customWidth="1"/>
    <col min="3337" max="3337" width="1.1796875" style="329" customWidth="1"/>
    <col min="3338" max="3338" width="14.81640625" style="329" customWidth="1"/>
    <col min="3339" max="3339" width="15.54296875" style="329" customWidth="1"/>
    <col min="3340" max="3340" width="17" style="329" customWidth="1"/>
    <col min="3341" max="3341" width="14.26953125" style="329" customWidth="1"/>
    <col min="3342" max="3342" width="8.1796875" style="329" customWidth="1"/>
    <col min="3343" max="3343" width="8" style="329" customWidth="1"/>
    <col min="3344" max="3344" width="12.26953125" style="329" customWidth="1"/>
    <col min="3345" max="3347" width="13.26953125" style="329" customWidth="1"/>
    <col min="3348" max="3348" width="1.54296875" style="329" customWidth="1"/>
    <col min="3349" max="3349" width="9.1796875" style="329"/>
    <col min="3350" max="3350" width="21" style="329" bestFit="1" customWidth="1"/>
    <col min="3351" max="3351" width="12.26953125" style="329" bestFit="1" customWidth="1"/>
    <col min="3352" max="3352" width="9.1796875" style="329"/>
    <col min="3353" max="3353" width="12.26953125" style="329" bestFit="1" customWidth="1"/>
    <col min="3354" max="3584" width="9.1796875" style="329"/>
    <col min="3585" max="3585" width="16.453125" style="329" customWidth="1"/>
    <col min="3586" max="3586" width="16.26953125" style="329" bestFit="1" customWidth="1"/>
    <col min="3587" max="3587" width="19.54296875" style="329" bestFit="1" customWidth="1"/>
    <col min="3588" max="3589" width="9.1796875" style="329"/>
    <col min="3590" max="3590" width="14" style="329" bestFit="1" customWidth="1"/>
    <col min="3591" max="3591" width="9.1796875" style="329"/>
    <col min="3592" max="3592" width="4.1796875" style="329" customWidth="1"/>
    <col min="3593" max="3593" width="1.1796875" style="329" customWidth="1"/>
    <col min="3594" max="3594" width="14.81640625" style="329" customWidth="1"/>
    <col min="3595" max="3595" width="15.54296875" style="329" customWidth="1"/>
    <col min="3596" max="3596" width="17" style="329" customWidth="1"/>
    <col min="3597" max="3597" width="14.26953125" style="329" customWidth="1"/>
    <col min="3598" max="3598" width="8.1796875" style="329" customWidth="1"/>
    <col min="3599" max="3599" width="8" style="329" customWidth="1"/>
    <col min="3600" max="3600" width="12.26953125" style="329" customWidth="1"/>
    <col min="3601" max="3603" width="13.26953125" style="329" customWidth="1"/>
    <col min="3604" max="3604" width="1.54296875" style="329" customWidth="1"/>
    <col min="3605" max="3605" width="9.1796875" style="329"/>
    <col min="3606" max="3606" width="21" style="329" bestFit="1" customWidth="1"/>
    <col min="3607" max="3607" width="12.26953125" style="329" bestFit="1" customWidth="1"/>
    <col min="3608" max="3608" width="9.1796875" style="329"/>
    <col min="3609" max="3609" width="12.26953125" style="329" bestFit="1" customWidth="1"/>
    <col min="3610" max="3840" width="9.1796875" style="329"/>
    <col min="3841" max="3841" width="16.453125" style="329" customWidth="1"/>
    <col min="3842" max="3842" width="16.26953125" style="329" bestFit="1" customWidth="1"/>
    <col min="3843" max="3843" width="19.54296875" style="329" bestFit="1" customWidth="1"/>
    <col min="3844" max="3845" width="9.1796875" style="329"/>
    <col min="3846" max="3846" width="14" style="329" bestFit="1" customWidth="1"/>
    <col min="3847" max="3847" width="9.1796875" style="329"/>
    <col min="3848" max="3848" width="4.1796875" style="329" customWidth="1"/>
    <col min="3849" max="3849" width="1.1796875" style="329" customWidth="1"/>
    <col min="3850" max="3850" width="14.81640625" style="329" customWidth="1"/>
    <col min="3851" max="3851" width="15.54296875" style="329" customWidth="1"/>
    <col min="3852" max="3852" width="17" style="329" customWidth="1"/>
    <col min="3853" max="3853" width="14.26953125" style="329" customWidth="1"/>
    <col min="3854" max="3854" width="8.1796875" style="329" customWidth="1"/>
    <col min="3855" max="3855" width="8" style="329" customWidth="1"/>
    <col min="3856" max="3856" width="12.26953125" style="329" customWidth="1"/>
    <col min="3857" max="3859" width="13.26953125" style="329" customWidth="1"/>
    <col min="3860" max="3860" width="1.54296875" style="329" customWidth="1"/>
    <col min="3861" max="3861" width="9.1796875" style="329"/>
    <col min="3862" max="3862" width="21" style="329" bestFit="1" customWidth="1"/>
    <col min="3863" max="3863" width="12.26953125" style="329" bestFit="1" customWidth="1"/>
    <col min="3864" max="3864" width="9.1796875" style="329"/>
    <col min="3865" max="3865" width="12.26953125" style="329" bestFit="1" customWidth="1"/>
    <col min="3866" max="4096" width="9.1796875" style="329"/>
    <col min="4097" max="4097" width="16.453125" style="329" customWidth="1"/>
    <col min="4098" max="4098" width="16.26953125" style="329" bestFit="1" customWidth="1"/>
    <col min="4099" max="4099" width="19.54296875" style="329" bestFit="1" customWidth="1"/>
    <col min="4100" max="4101" width="9.1796875" style="329"/>
    <col min="4102" max="4102" width="14" style="329" bestFit="1" customWidth="1"/>
    <col min="4103" max="4103" width="9.1796875" style="329"/>
    <col min="4104" max="4104" width="4.1796875" style="329" customWidth="1"/>
    <col min="4105" max="4105" width="1.1796875" style="329" customWidth="1"/>
    <col min="4106" max="4106" width="14.81640625" style="329" customWidth="1"/>
    <col min="4107" max="4107" width="15.54296875" style="329" customWidth="1"/>
    <col min="4108" max="4108" width="17" style="329" customWidth="1"/>
    <col min="4109" max="4109" width="14.26953125" style="329" customWidth="1"/>
    <col min="4110" max="4110" width="8.1796875" style="329" customWidth="1"/>
    <col min="4111" max="4111" width="8" style="329" customWidth="1"/>
    <col min="4112" max="4112" width="12.26953125" style="329" customWidth="1"/>
    <col min="4113" max="4115" width="13.26953125" style="329" customWidth="1"/>
    <col min="4116" max="4116" width="1.54296875" style="329" customWidth="1"/>
    <col min="4117" max="4117" width="9.1796875" style="329"/>
    <col min="4118" max="4118" width="21" style="329" bestFit="1" customWidth="1"/>
    <col min="4119" max="4119" width="12.26953125" style="329" bestFit="1" customWidth="1"/>
    <col min="4120" max="4120" width="9.1796875" style="329"/>
    <col min="4121" max="4121" width="12.26953125" style="329" bestFit="1" customWidth="1"/>
    <col min="4122" max="4352" width="9.1796875" style="329"/>
    <col min="4353" max="4353" width="16.453125" style="329" customWidth="1"/>
    <col min="4354" max="4354" width="16.26953125" style="329" bestFit="1" customWidth="1"/>
    <col min="4355" max="4355" width="19.54296875" style="329" bestFit="1" customWidth="1"/>
    <col min="4356" max="4357" width="9.1796875" style="329"/>
    <col min="4358" max="4358" width="14" style="329" bestFit="1" customWidth="1"/>
    <col min="4359" max="4359" width="9.1796875" style="329"/>
    <col min="4360" max="4360" width="4.1796875" style="329" customWidth="1"/>
    <col min="4361" max="4361" width="1.1796875" style="329" customWidth="1"/>
    <col min="4362" max="4362" width="14.81640625" style="329" customWidth="1"/>
    <col min="4363" max="4363" width="15.54296875" style="329" customWidth="1"/>
    <col min="4364" max="4364" width="17" style="329" customWidth="1"/>
    <col min="4365" max="4365" width="14.26953125" style="329" customWidth="1"/>
    <col min="4366" max="4366" width="8.1796875" style="329" customWidth="1"/>
    <col min="4367" max="4367" width="8" style="329" customWidth="1"/>
    <col min="4368" max="4368" width="12.26953125" style="329" customWidth="1"/>
    <col min="4369" max="4371" width="13.26953125" style="329" customWidth="1"/>
    <col min="4372" max="4372" width="1.54296875" style="329" customWidth="1"/>
    <col min="4373" max="4373" width="9.1796875" style="329"/>
    <col min="4374" max="4374" width="21" style="329" bestFit="1" customWidth="1"/>
    <col min="4375" max="4375" width="12.26953125" style="329" bestFit="1" customWidth="1"/>
    <col min="4376" max="4376" width="9.1796875" style="329"/>
    <col min="4377" max="4377" width="12.26953125" style="329" bestFit="1" customWidth="1"/>
    <col min="4378" max="4608" width="9.1796875" style="329"/>
    <col min="4609" max="4609" width="16.453125" style="329" customWidth="1"/>
    <col min="4610" max="4610" width="16.26953125" style="329" bestFit="1" customWidth="1"/>
    <col min="4611" max="4611" width="19.54296875" style="329" bestFit="1" customWidth="1"/>
    <col min="4612" max="4613" width="9.1796875" style="329"/>
    <col min="4614" max="4614" width="14" style="329" bestFit="1" customWidth="1"/>
    <col min="4615" max="4615" width="9.1796875" style="329"/>
    <col min="4616" max="4616" width="4.1796875" style="329" customWidth="1"/>
    <col min="4617" max="4617" width="1.1796875" style="329" customWidth="1"/>
    <col min="4618" max="4618" width="14.81640625" style="329" customWidth="1"/>
    <col min="4619" max="4619" width="15.54296875" style="329" customWidth="1"/>
    <col min="4620" max="4620" width="17" style="329" customWidth="1"/>
    <col min="4621" max="4621" width="14.26953125" style="329" customWidth="1"/>
    <col min="4622" max="4622" width="8.1796875" style="329" customWidth="1"/>
    <col min="4623" max="4623" width="8" style="329" customWidth="1"/>
    <col min="4624" max="4624" width="12.26953125" style="329" customWidth="1"/>
    <col min="4625" max="4627" width="13.26953125" style="329" customWidth="1"/>
    <col min="4628" max="4628" width="1.54296875" style="329" customWidth="1"/>
    <col min="4629" max="4629" width="9.1796875" style="329"/>
    <col min="4630" max="4630" width="21" style="329" bestFit="1" customWidth="1"/>
    <col min="4631" max="4631" width="12.26953125" style="329" bestFit="1" customWidth="1"/>
    <col min="4632" max="4632" width="9.1796875" style="329"/>
    <col min="4633" max="4633" width="12.26953125" style="329" bestFit="1" customWidth="1"/>
    <col min="4634" max="4864" width="9.1796875" style="329"/>
    <col min="4865" max="4865" width="16.453125" style="329" customWidth="1"/>
    <col min="4866" max="4866" width="16.26953125" style="329" bestFit="1" customWidth="1"/>
    <col min="4867" max="4867" width="19.54296875" style="329" bestFit="1" customWidth="1"/>
    <col min="4868" max="4869" width="9.1796875" style="329"/>
    <col min="4870" max="4870" width="14" style="329" bestFit="1" customWidth="1"/>
    <col min="4871" max="4871" width="9.1796875" style="329"/>
    <col min="4872" max="4872" width="4.1796875" style="329" customWidth="1"/>
    <col min="4873" max="4873" width="1.1796875" style="329" customWidth="1"/>
    <col min="4874" max="4874" width="14.81640625" style="329" customWidth="1"/>
    <col min="4875" max="4875" width="15.54296875" style="329" customWidth="1"/>
    <col min="4876" max="4876" width="17" style="329" customWidth="1"/>
    <col min="4877" max="4877" width="14.26953125" style="329" customWidth="1"/>
    <col min="4878" max="4878" width="8.1796875" style="329" customWidth="1"/>
    <col min="4879" max="4879" width="8" style="329" customWidth="1"/>
    <col min="4880" max="4880" width="12.26953125" style="329" customWidth="1"/>
    <col min="4881" max="4883" width="13.26953125" style="329" customWidth="1"/>
    <col min="4884" max="4884" width="1.54296875" style="329" customWidth="1"/>
    <col min="4885" max="4885" width="9.1796875" style="329"/>
    <col min="4886" max="4886" width="21" style="329" bestFit="1" customWidth="1"/>
    <col min="4887" max="4887" width="12.26953125" style="329" bestFit="1" customWidth="1"/>
    <col min="4888" max="4888" width="9.1796875" style="329"/>
    <col min="4889" max="4889" width="12.26953125" style="329" bestFit="1" customWidth="1"/>
    <col min="4890" max="5120" width="9.1796875" style="329"/>
    <col min="5121" max="5121" width="16.453125" style="329" customWidth="1"/>
    <col min="5122" max="5122" width="16.26953125" style="329" bestFit="1" customWidth="1"/>
    <col min="5123" max="5123" width="19.54296875" style="329" bestFit="1" customWidth="1"/>
    <col min="5124" max="5125" width="9.1796875" style="329"/>
    <col min="5126" max="5126" width="14" style="329" bestFit="1" customWidth="1"/>
    <col min="5127" max="5127" width="9.1796875" style="329"/>
    <col min="5128" max="5128" width="4.1796875" style="329" customWidth="1"/>
    <col min="5129" max="5129" width="1.1796875" style="329" customWidth="1"/>
    <col min="5130" max="5130" width="14.81640625" style="329" customWidth="1"/>
    <col min="5131" max="5131" width="15.54296875" style="329" customWidth="1"/>
    <col min="5132" max="5132" width="17" style="329" customWidth="1"/>
    <col min="5133" max="5133" width="14.26953125" style="329" customWidth="1"/>
    <col min="5134" max="5134" width="8.1796875" style="329" customWidth="1"/>
    <col min="5135" max="5135" width="8" style="329" customWidth="1"/>
    <col min="5136" max="5136" width="12.26953125" style="329" customWidth="1"/>
    <col min="5137" max="5139" width="13.26953125" style="329" customWidth="1"/>
    <col min="5140" max="5140" width="1.54296875" style="329" customWidth="1"/>
    <col min="5141" max="5141" width="9.1796875" style="329"/>
    <col min="5142" max="5142" width="21" style="329" bestFit="1" customWidth="1"/>
    <col min="5143" max="5143" width="12.26953125" style="329" bestFit="1" customWidth="1"/>
    <col min="5144" max="5144" width="9.1796875" style="329"/>
    <col min="5145" max="5145" width="12.26953125" style="329" bestFit="1" customWidth="1"/>
    <col min="5146" max="5376" width="9.1796875" style="329"/>
    <col min="5377" max="5377" width="16.453125" style="329" customWidth="1"/>
    <col min="5378" max="5378" width="16.26953125" style="329" bestFit="1" customWidth="1"/>
    <col min="5379" max="5379" width="19.54296875" style="329" bestFit="1" customWidth="1"/>
    <col min="5380" max="5381" width="9.1796875" style="329"/>
    <col min="5382" max="5382" width="14" style="329" bestFit="1" customWidth="1"/>
    <col min="5383" max="5383" width="9.1796875" style="329"/>
    <col min="5384" max="5384" width="4.1796875" style="329" customWidth="1"/>
    <col min="5385" max="5385" width="1.1796875" style="329" customWidth="1"/>
    <col min="5386" max="5386" width="14.81640625" style="329" customWidth="1"/>
    <col min="5387" max="5387" width="15.54296875" style="329" customWidth="1"/>
    <col min="5388" max="5388" width="17" style="329" customWidth="1"/>
    <col min="5389" max="5389" width="14.26953125" style="329" customWidth="1"/>
    <col min="5390" max="5390" width="8.1796875" style="329" customWidth="1"/>
    <col min="5391" max="5391" width="8" style="329" customWidth="1"/>
    <col min="5392" max="5392" width="12.26953125" style="329" customWidth="1"/>
    <col min="5393" max="5395" width="13.26953125" style="329" customWidth="1"/>
    <col min="5396" max="5396" width="1.54296875" style="329" customWidth="1"/>
    <col min="5397" max="5397" width="9.1796875" style="329"/>
    <col min="5398" max="5398" width="21" style="329" bestFit="1" customWidth="1"/>
    <col min="5399" max="5399" width="12.26953125" style="329" bestFit="1" customWidth="1"/>
    <col min="5400" max="5400" width="9.1796875" style="329"/>
    <col min="5401" max="5401" width="12.26953125" style="329" bestFit="1" customWidth="1"/>
    <col min="5402" max="5632" width="9.1796875" style="329"/>
    <col min="5633" max="5633" width="16.453125" style="329" customWidth="1"/>
    <col min="5634" max="5634" width="16.26953125" style="329" bestFit="1" customWidth="1"/>
    <col min="5635" max="5635" width="19.54296875" style="329" bestFit="1" customWidth="1"/>
    <col min="5636" max="5637" width="9.1796875" style="329"/>
    <col min="5638" max="5638" width="14" style="329" bestFit="1" customWidth="1"/>
    <col min="5639" max="5639" width="9.1796875" style="329"/>
    <col min="5640" max="5640" width="4.1796875" style="329" customWidth="1"/>
    <col min="5641" max="5641" width="1.1796875" style="329" customWidth="1"/>
    <col min="5642" max="5642" width="14.81640625" style="329" customWidth="1"/>
    <col min="5643" max="5643" width="15.54296875" style="329" customWidth="1"/>
    <col min="5644" max="5644" width="17" style="329" customWidth="1"/>
    <col min="5645" max="5645" width="14.26953125" style="329" customWidth="1"/>
    <col min="5646" max="5646" width="8.1796875" style="329" customWidth="1"/>
    <col min="5647" max="5647" width="8" style="329" customWidth="1"/>
    <col min="5648" max="5648" width="12.26953125" style="329" customWidth="1"/>
    <col min="5649" max="5651" width="13.26953125" style="329" customWidth="1"/>
    <col min="5652" max="5652" width="1.54296875" style="329" customWidth="1"/>
    <col min="5653" max="5653" width="9.1796875" style="329"/>
    <col min="5654" max="5654" width="21" style="329" bestFit="1" customWidth="1"/>
    <col min="5655" max="5655" width="12.26953125" style="329" bestFit="1" customWidth="1"/>
    <col min="5656" max="5656" width="9.1796875" style="329"/>
    <col min="5657" max="5657" width="12.26953125" style="329" bestFit="1" customWidth="1"/>
    <col min="5658" max="5888" width="9.1796875" style="329"/>
    <col min="5889" max="5889" width="16.453125" style="329" customWidth="1"/>
    <col min="5890" max="5890" width="16.26953125" style="329" bestFit="1" customWidth="1"/>
    <col min="5891" max="5891" width="19.54296875" style="329" bestFit="1" customWidth="1"/>
    <col min="5892" max="5893" width="9.1796875" style="329"/>
    <col min="5894" max="5894" width="14" style="329" bestFit="1" customWidth="1"/>
    <col min="5895" max="5895" width="9.1796875" style="329"/>
    <col min="5896" max="5896" width="4.1796875" style="329" customWidth="1"/>
    <col min="5897" max="5897" width="1.1796875" style="329" customWidth="1"/>
    <col min="5898" max="5898" width="14.81640625" style="329" customWidth="1"/>
    <col min="5899" max="5899" width="15.54296875" style="329" customWidth="1"/>
    <col min="5900" max="5900" width="17" style="329" customWidth="1"/>
    <col min="5901" max="5901" width="14.26953125" style="329" customWidth="1"/>
    <col min="5902" max="5902" width="8.1796875" style="329" customWidth="1"/>
    <col min="5903" max="5903" width="8" style="329" customWidth="1"/>
    <col min="5904" max="5904" width="12.26953125" style="329" customWidth="1"/>
    <col min="5905" max="5907" width="13.26953125" style="329" customWidth="1"/>
    <col min="5908" max="5908" width="1.54296875" style="329" customWidth="1"/>
    <col min="5909" max="5909" width="9.1796875" style="329"/>
    <col min="5910" max="5910" width="21" style="329" bestFit="1" customWidth="1"/>
    <col min="5911" max="5911" width="12.26953125" style="329" bestFit="1" customWidth="1"/>
    <col min="5912" max="5912" width="9.1796875" style="329"/>
    <col min="5913" max="5913" width="12.26953125" style="329" bestFit="1" customWidth="1"/>
    <col min="5914" max="6144" width="9.1796875" style="329"/>
    <col min="6145" max="6145" width="16.453125" style="329" customWidth="1"/>
    <col min="6146" max="6146" width="16.26953125" style="329" bestFit="1" customWidth="1"/>
    <col min="6147" max="6147" width="19.54296875" style="329" bestFit="1" customWidth="1"/>
    <col min="6148" max="6149" width="9.1796875" style="329"/>
    <col min="6150" max="6150" width="14" style="329" bestFit="1" customWidth="1"/>
    <col min="6151" max="6151" width="9.1796875" style="329"/>
    <col min="6152" max="6152" width="4.1796875" style="329" customWidth="1"/>
    <col min="6153" max="6153" width="1.1796875" style="329" customWidth="1"/>
    <col min="6154" max="6154" width="14.81640625" style="329" customWidth="1"/>
    <col min="6155" max="6155" width="15.54296875" style="329" customWidth="1"/>
    <col min="6156" max="6156" width="17" style="329" customWidth="1"/>
    <col min="6157" max="6157" width="14.26953125" style="329" customWidth="1"/>
    <col min="6158" max="6158" width="8.1796875" style="329" customWidth="1"/>
    <col min="6159" max="6159" width="8" style="329" customWidth="1"/>
    <col min="6160" max="6160" width="12.26953125" style="329" customWidth="1"/>
    <col min="6161" max="6163" width="13.26953125" style="329" customWidth="1"/>
    <col min="6164" max="6164" width="1.54296875" style="329" customWidth="1"/>
    <col min="6165" max="6165" width="9.1796875" style="329"/>
    <col min="6166" max="6166" width="21" style="329" bestFit="1" customWidth="1"/>
    <col min="6167" max="6167" width="12.26953125" style="329" bestFit="1" customWidth="1"/>
    <col min="6168" max="6168" width="9.1796875" style="329"/>
    <col min="6169" max="6169" width="12.26953125" style="329" bestFit="1" customWidth="1"/>
    <col min="6170" max="6400" width="9.1796875" style="329"/>
    <col min="6401" max="6401" width="16.453125" style="329" customWidth="1"/>
    <col min="6402" max="6402" width="16.26953125" style="329" bestFit="1" customWidth="1"/>
    <col min="6403" max="6403" width="19.54296875" style="329" bestFit="1" customWidth="1"/>
    <col min="6404" max="6405" width="9.1796875" style="329"/>
    <col min="6406" max="6406" width="14" style="329" bestFit="1" customWidth="1"/>
    <col min="6407" max="6407" width="9.1796875" style="329"/>
    <col min="6408" max="6408" width="4.1796875" style="329" customWidth="1"/>
    <col min="6409" max="6409" width="1.1796875" style="329" customWidth="1"/>
    <col min="6410" max="6410" width="14.81640625" style="329" customWidth="1"/>
    <col min="6411" max="6411" width="15.54296875" style="329" customWidth="1"/>
    <col min="6412" max="6412" width="17" style="329" customWidth="1"/>
    <col min="6413" max="6413" width="14.26953125" style="329" customWidth="1"/>
    <col min="6414" max="6414" width="8.1796875" style="329" customWidth="1"/>
    <col min="6415" max="6415" width="8" style="329" customWidth="1"/>
    <col min="6416" max="6416" width="12.26953125" style="329" customWidth="1"/>
    <col min="6417" max="6419" width="13.26953125" style="329" customWidth="1"/>
    <col min="6420" max="6420" width="1.54296875" style="329" customWidth="1"/>
    <col min="6421" max="6421" width="9.1796875" style="329"/>
    <col min="6422" max="6422" width="21" style="329" bestFit="1" customWidth="1"/>
    <col min="6423" max="6423" width="12.26953125" style="329" bestFit="1" customWidth="1"/>
    <col min="6424" max="6424" width="9.1796875" style="329"/>
    <col min="6425" max="6425" width="12.26953125" style="329" bestFit="1" customWidth="1"/>
    <col min="6426" max="6656" width="9.1796875" style="329"/>
    <col min="6657" max="6657" width="16.453125" style="329" customWidth="1"/>
    <col min="6658" max="6658" width="16.26953125" style="329" bestFit="1" customWidth="1"/>
    <col min="6659" max="6659" width="19.54296875" style="329" bestFit="1" customWidth="1"/>
    <col min="6660" max="6661" width="9.1796875" style="329"/>
    <col min="6662" max="6662" width="14" style="329" bestFit="1" customWidth="1"/>
    <col min="6663" max="6663" width="9.1796875" style="329"/>
    <col min="6664" max="6664" width="4.1796875" style="329" customWidth="1"/>
    <col min="6665" max="6665" width="1.1796875" style="329" customWidth="1"/>
    <col min="6666" max="6666" width="14.81640625" style="329" customWidth="1"/>
    <col min="6667" max="6667" width="15.54296875" style="329" customWidth="1"/>
    <col min="6668" max="6668" width="17" style="329" customWidth="1"/>
    <col min="6669" max="6669" width="14.26953125" style="329" customWidth="1"/>
    <col min="6670" max="6670" width="8.1796875" style="329" customWidth="1"/>
    <col min="6671" max="6671" width="8" style="329" customWidth="1"/>
    <col min="6672" max="6672" width="12.26953125" style="329" customWidth="1"/>
    <col min="6673" max="6675" width="13.26953125" style="329" customWidth="1"/>
    <col min="6676" max="6676" width="1.54296875" style="329" customWidth="1"/>
    <col min="6677" max="6677" width="9.1796875" style="329"/>
    <col min="6678" max="6678" width="21" style="329" bestFit="1" customWidth="1"/>
    <col min="6679" max="6679" width="12.26953125" style="329" bestFit="1" customWidth="1"/>
    <col min="6680" max="6680" width="9.1796875" style="329"/>
    <col min="6681" max="6681" width="12.26953125" style="329" bestFit="1" customWidth="1"/>
    <col min="6682" max="6912" width="9.1796875" style="329"/>
    <col min="6913" max="6913" width="16.453125" style="329" customWidth="1"/>
    <col min="6914" max="6914" width="16.26953125" style="329" bestFit="1" customWidth="1"/>
    <col min="6915" max="6915" width="19.54296875" style="329" bestFit="1" customWidth="1"/>
    <col min="6916" max="6917" width="9.1796875" style="329"/>
    <col min="6918" max="6918" width="14" style="329" bestFit="1" customWidth="1"/>
    <col min="6919" max="6919" width="9.1796875" style="329"/>
    <col min="6920" max="6920" width="4.1796875" style="329" customWidth="1"/>
    <col min="6921" max="6921" width="1.1796875" style="329" customWidth="1"/>
    <col min="6922" max="6922" width="14.81640625" style="329" customWidth="1"/>
    <col min="6923" max="6923" width="15.54296875" style="329" customWidth="1"/>
    <col min="6924" max="6924" width="17" style="329" customWidth="1"/>
    <col min="6925" max="6925" width="14.26953125" style="329" customWidth="1"/>
    <col min="6926" max="6926" width="8.1796875" style="329" customWidth="1"/>
    <col min="6927" max="6927" width="8" style="329" customWidth="1"/>
    <col min="6928" max="6928" width="12.26953125" style="329" customWidth="1"/>
    <col min="6929" max="6931" width="13.26953125" style="329" customWidth="1"/>
    <col min="6932" max="6932" width="1.54296875" style="329" customWidth="1"/>
    <col min="6933" max="6933" width="9.1796875" style="329"/>
    <col min="6934" max="6934" width="21" style="329" bestFit="1" customWidth="1"/>
    <col min="6935" max="6935" width="12.26953125" style="329" bestFit="1" customWidth="1"/>
    <col min="6936" max="6936" width="9.1796875" style="329"/>
    <col min="6937" max="6937" width="12.26953125" style="329" bestFit="1" customWidth="1"/>
    <col min="6938" max="7168" width="9.1796875" style="329"/>
    <col min="7169" max="7169" width="16.453125" style="329" customWidth="1"/>
    <col min="7170" max="7170" width="16.26953125" style="329" bestFit="1" customWidth="1"/>
    <col min="7171" max="7171" width="19.54296875" style="329" bestFit="1" customWidth="1"/>
    <col min="7172" max="7173" width="9.1796875" style="329"/>
    <col min="7174" max="7174" width="14" style="329" bestFit="1" customWidth="1"/>
    <col min="7175" max="7175" width="9.1796875" style="329"/>
    <col min="7176" max="7176" width="4.1796875" style="329" customWidth="1"/>
    <col min="7177" max="7177" width="1.1796875" style="329" customWidth="1"/>
    <col min="7178" max="7178" width="14.81640625" style="329" customWidth="1"/>
    <col min="7179" max="7179" width="15.54296875" style="329" customWidth="1"/>
    <col min="7180" max="7180" width="17" style="329" customWidth="1"/>
    <col min="7181" max="7181" width="14.26953125" style="329" customWidth="1"/>
    <col min="7182" max="7182" width="8.1796875" style="329" customWidth="1"/>
    <col min="7183" max="7183" width="8" style="329" customWidth="1"/>
    <col min="7184" max="7184" width="12.26953125" style="329" customWidth="1"/>
    <col min="7185" max="7187" width="13.26953125" style="329" customWidth="1"/>
    <col min="7188" max="7188" width="1.54296875" style="329" customWidth="1"/>
    <col min="7189" max="7189" width="9.1796875" style="329"/>
    <col min="7190" max="7190" width="21" style="329" bestFit="1" customWidth="1"/>
    <col min="7191" max="7191" width="12.26953125" style="329" bestFit="1" customWidth="1"/>
    <col min="7192" max="7192" width="9.1796875" style="329"/>
    <col min="7193" max="7193" width="12.26953125" style="329" bestFit="1" customWidth="1"/>
    <col min="7194" max="7424" width="9.1796875" style="329"/>
    <col min="7425" max="7425" width="16.453125" style="329" customWidth="1"/>
    <col min="7426" max="7426" width="16.26953125" style="329" bestFit="1" customWidth="1"/>
    <col min="7427" max="7427" width="19.54296875" style="329" bestFit="1" customWidth="1"/>
    <col min="7428" max="7429" width="9.1796875" style="329"/>
    <col min="7430" max="7430" width="14" style="329" bestFit="1" customWidth="1"/>
    <col min="7431" max="7431" width="9.1796875" style="329"/>
    <col min="7432" max="7432" width="4.1796875" style="329" customWidth="1"/>
    <col min="7433" max="7433" width="1.1796875" style="329" customWidth="1"/>
    <col min="7434" max="7434" width="14.81640625" style="329" customWidth="1"/>
    <col min="7435" max="7435" width="15.54296875" style="329" customWidth="1"/>
    <col min="7436" max="7436" width="17" style="329" customWidth="1"/>
    <col min="7437" max="7437" width="14.26953125" style="329" customWidth="1"/>
    <col min="7438" max="7438" width="8.1796875" style="329" customWidth="1"/>
    <col min="7439" max="7439" width="8" style="329" customWidth="1"/>
    <col min="7440" max="7440" width="12.26953125" style="329" customWidth="1"/>
    <col min="7441" max="7443" width="13.26953125" style="329" customWidth="1"/>
    <col min="7444" max="7444" width="1.54296875" style="329" customWidth="1"/>
    <col min="7445" max="7445" width="9.1796875" style="329"/>
    <col min="7446" max="7446" width="21" style="329" bestFit="1" customWidth="1"/>
    <col min="7447" max="7447" width="12.26953125" style="329" bestFit="1" customWidth="1"/>
    <col min="7448" max="7448" width="9.1796875" style="329"/>
    <col min="7449" max="7449" width="12.26953125" style="329" bestFit="1" customWidth="1"/>
    <col min="7450" max="7680" width="9.1796875" style="329"/>
    <col min="7681" max="7681" width="16.453125" style="329" customWidth="1"/>
    <col min="7682" max="7682" width="16.26953125" style="329" bestFit="1" customWidth="1"/>
    <col min="7683" max="7683" width="19.54296875" style="329" bestFit="1" customWidth="1"/>
    <col min="7684" max="7685" width="9.1796875" style="329"/>
    <col min="7686" max="7686" width="14" style="329" bestFit="1" customWidth="1"/>
    <col min="7687" max="7687" width="9.1796875" style="329"/>
    <col min="7688" max="7688" width="4.1796875" style="329" customWidth="1"/>
    <col min="7689" max="7689" width="1.1796875" style="329" customWidth="1"/>
    <col min="7690" max="7690" width="14.81640625" style="329" customWidth="1"/>
    <col min="7691" max="7691" width="15.54296875" style="329" customWidth="1"/>
    <col min="7692" max="7692" width="17" style="329" customWidth="1"/>
    <col min="7693" max="7693" width="14.26953125" style="329" customWidth="1"/>
    <col min="7694" max="7694" width="8.1796875" style="329" customWidth="1"/>
    <col min="7695" max="7695" width="8" style="329" customWidth="1"/>
    <col min="7696" max="7696" width="12.26953125" style="329" customWidth="1"/>
    <col min="7697" max="7699" width="13.26953125" style="329" customWidth="1"/>
    <col min="7700" max="7700" width="1.54296875" style="329" customWidth="1"/>
    <col min="7701" max="7701" width="9.1796875" style="329"/>
    <col min="7702" max="7702" width="21" style="329" bestFit="1" customWidth="1"/>
    <col min="7703" max="7703" width="12.26953125" style="329" bestFit="1" customWidth="1"/>
    <col min="7704" max="7704" width="9.1796875" style="329"/>
    <col min="7705" max="7705" width="12.26953125" style="329" bestFit="1" customWidth="1"/>
    <col min="7706" max="7936" width="9.1796875" style="329"/>
    <col min="7937" max="7937" width="16.453125" style="329" customWidth="1"/>
    <col min="7938" max="7938" width="16.26953125" style="329" bestFit="1" customWidth="1"/>
    <col min="7939" max="7939" width="19.54296875" style="329" bestFit="1" customWidth="1"/>
    <col min="7940" max="7941" width="9.1796875" style="329"/>
    <col min="7942" max="7942" width="14" style="329" bestFit="1" customWidth="1"/>
    <col min="7943" max="7943" width="9.1796875" style="329"/>
    <col min="7944" max="7944" width="4.1796875" style="329" customWidth="1"/>
    <col min="7945" max="7945" width="1.1796875" style="329" customWidth="1"/>
    <col min="7946" max="7946" width="14.81640625" style="329" customWidth="1"/>
    <col min="7947" max="7947" width="15.54296875" style="329" customWidth="1"/>
    <col min="7948" max="7948" width="17" style="329" customWidth="1"/>
    <col min="7949" max="7949" width="14.26953125" style="329" customWidth="1"/>
    <col min="7950" max="7950" width="8.1796875" style="329" customWidth="1"/>
    <col min="7951" max="7951" width="8" style="329" customWidth="1"/>
    <col min="7952" max="7952" width="12.26953125" style="329" customWidth="1"/>
    <col min="7953" max="7955" width="13.26953125" style="329" customWidth="1"/>
    <col min="7956" max="7956" width="1.54296875" style="329" customWidth="1"/>
    <col min="7957" max="7957" width="9.1796875" style="329"/>
    <col min="7958" max="7958" width="21" style="329" bestFit="1" customWidth="1"/>
    <col min="7959" max="7959" width="12.26953125" style="329" bestFit="1" customWidth="1"/>
    <col min="7960" max="7960" width="9.1796875" style="329"/>
    <col min="7961" max="7961" width="12.26953125" style="329" bestFit="1" customWidth="1"/>
    <col min="7962" max="8192" width="9.1796875" style="329"/>
    <col min="8193" max="8193" width="16.453125" style="329" customWidth="1"/>
    <col min="8194" max="8194" width="16.26953125" style="329" bestFit="1" customWidth="1"/>
    <col min="8195" max="8195" width="19.54296875" style="329" bestFit="1" customWidth="1"/>
    <col min="8196" max="8197" width="9.1796875" style="329"/>
    <col min="8198" max="8198" width="14" style="329" bestFit="1" customWidth="1"/>
    <col min="8199" max="8199" width="9.1796875" style="329"/>
    <col min="8200" max="8200" width="4.1796875" style="329" customWidth="1"/>
    <col min="8201" max="8201" width="1.1796875" style="329" customWidth="1"/>
    <col min="8202" max="8202" width="14.81640625" style="329" customWidth="1"/>
    <col min="8203" max="8203" width="15.54296875" style="329" customWidth="1"/>
    <col min="8204" max="8204" width="17" style="329" customWidth="1"/>
    <col min="8205" max="8205" width="14.26953125" style="329" customWidth="1"/>
    <col min="8206" max="8206" width="8.1796875" style="329" customWidth="1"/>
    <col min="8207" max="8207" width="8" style="329" customWidth="1"/>
    <col min="8208" max="8208" width="12.26953125" style="329" customWidth="1"/>
    <col min="8209" max="8211" width="13.26953125" style="329" customWidth="1"/>
    <col min="8212" max="8212" width="1.54296875" style="329" customWidth="1"/>
    <col min="8213" max="8213" width="9.1796875" style="329"/>
    <col min="8214" max="8214" width="21" style="329" bestFit="1" customWidth="1"/>
    <col min="8215" max="8215" width="12.26953125" style="329" bestFit="1" customWidth="1"/>
    <col min="8216" max="8216" width="9.1796875" style="329"/>
    <col min="8217" max="8217" width="12.26953125" style="329" bestFit="1" customWidth="1"/>
    <col min="8218" max="8448" width="9.1796875" style="329"/>
    <col min="8449" max="8449" width="16.453125" style="329" customWidth="1"/>
    <col min="8450" max="8450" width="16.26953125" style="329" bestFit="1" customWidth="1"/>
    <col min="8451" max="8451" width="19.54296875" style="329" bestFit="1" customWidth="1"/>
    <col min="8452" max="8453" width="9.1796875" style="329"/>
    <col min="8454" max="8454" width="14" style="329" bestFit="1" customWidth="1"/>
    <col min="8455" max="8455" width="9.1796875" style="329"/>
    <col min="8456" max="8456" width="4.1796875" style="329" customWidth="1"/>
    <col min="8457" max="8457" width="1.1796875" style="329" customWidth="1"/>
    <col min="8458" max="8458" width="14.81640625" style="329" customWidth="1"/>
    <col min="8459" max="8459" width="15.54296875" style="329" customWidth="1"/>
    <col min="8460" max="8460" width="17" style="329" customWidth="1"/>
    <col min="8461" max="8461" width="14.26953125" style="329" customWidth="1"/>
    <col min="8462" max="8462" width="8.1796875" style="329" customWidth="1"/>
    <col min="8463" max="8463" width="8" style="329" customWidth="1"/>
    <col min="8464" max="8464" width="12.26953125" style="329" customWidth="1"/>
    <col min="8465" max="8467" width="13.26953125" style="329" customWidth="1"/>
    <col min="8468" max="8468" width="1.54296875" style="329" customWidth="1"/>
    <col min="8469" max="8469" width="9.1796875" style="329"/>
    <col min="8470" max="8470" width="21" style="329" bestFit="1" customWidth="1"/>
    <col min="8471" max="8471" width="12.26953125" style="329" bestFit="1" customWidth="1"/>
    <col min="8472" max="8472" width="9.1796875" style="329"/>
    <col min="8473" max="8473" width="12.26953125" style="329" bestFit="1" customWidth="1"/>
    <col min="8474" max="8704" width="9.1796875" style="329"/>
    <col min="8705" max="8705" width="16.453125" style="329" customWidth="1"/>
    <col min="8706" max="8706" width="16.26953125" style="329" bestFit="1" customWidth="1"/>
    <col min="8707" max="8707" width="19.54296875" style="329" bestFit="1" customWidth="1"/>
    <col min="8708" max="8709" width="9.1796875" style="329"/>
    <col min="8710" max="8710" width="14" style="329" bestFit="1" customWidth="1"/>
    <col min="8711" max="8711" width="9.1796875" style="329"/>
    <col min="8712" max="8712" width="4.1796875" style="329" customWidth="1"/>
    <col min="8713" max="8713" width="1.1796875" style="329" customWidth="1"/>
    <col min="8714" max="8714" width="14.81640625" style="329" customWidth="1"/>
    <col min="8715" max="8715" width="15.54296875" style="329" customWidth="1"/>
    <col min="8716" max="8716" width="17" style="329" customWidth="1"/>
    <col min="8717" max="8717" width="14.26953125" style="329" customWidth="1"/>
    <col min="8718" max="8718" width="8.1796875" style="329" customWidth="1"/>
    <col min="8719" max="8719" width="8" style="329" customWidth="1"/>
    <col min="8720" max="8720" width="12.26953125" style="329" customWidth="1"/>
    <col min="8721" max="8723" width="13.26953125" style="329" customWidth="1"/>
    <col min="8724" max="8724" width="1.54296875" style="329" customWidth="1"/>
    <col min="8725" max="8725" width="9.1796875" style="329"/>
    <col min="8726" max="8726" width="21" style="329" bestFit="1" customWidth="1"/>
    <col min="8727" max="8727" width="12.26953125" style="329" bestFit="1" customWidth="1"/>
    <col min="8728" max="8728" width="9.1796875" style="329"/>
    <col min="8729" max="8729" width="12.26953125" style="329" bestFit="1" customWidth="1"/>
    <col min="8730" max="8960" width="9.1796875" style="329"/>
    <col min="8961" max="8961" width="16.453125" style="329" customWidth="1"/>
    <col min="8962" max="8962" width="16.26953125" style="329" bestFit="1" customWidth="1"/>
    <col min="8963" max="8963" width="19.54296875" style="329" bestFit="1" customWidth="1"/>
    <col min="8964" max="8965" width="9.1796875" style="329"/>
    <col min="8966" max="8966" width="14" style="329" bestFit="1" customWidth="1"/>
    <col min="8967" max="8967" width="9.1796875" style="329"/>
    <col min="8968" max="8968" width="4.1796875" style="329" customWidth="1"/>
    <col min="8969" max="8969" width="1.1796875" style="329" customWidth="1"/>
    <col min="8970" max="8970" width="14.81640625" style="329" customWidth="1"/>
    <col min="8971" max="8971" width="15.54296875" style="329" customWidth="1"/>
    <col min="8972" max="8972" width="17" style="329" customWidth="1"/>
    <col min="8973" max="8973" width="14.26953125" style="329" customWidth="1"/>
    <col min="8974" max="8974" width="8.1796875" style="329" customWidth="1"/>
    <col min="8975" max="8975" width="8" style="329" customWidth="1"/>
    <col min="8976" max="8976" width="12.26953125" style="329" customWidth="1"/>
    <col min="8977" max="8979" width="13.26953125" style="329" customWidth="1"/>
    <col min="8980" max="8980" width="1.54296875" style="329" customWidth="1"/>
    <col min="8981" max="8981" width="9.1796875" style="329"/>
    <col min="8982" max="8982" width="21" style="329" bestFit="1" customWidth="1"/>
    <col min="8983" max="8983" width="12.26953125" style="329" bestFit="1" customWidth="1"/>
    <col min="8984" max="8984" width="9.1796875" style="329"/>
    <col min="8985" max="8985" width="12.26953125" style="329" bestFit="1" customWidth="1"/>
    <col min="8986" max="9216" width="9.1796875" style="329"/>
    <col min="9217" max="9217" width="16.453125" style="329" customWidth="1"/>
    <col min="9218" max="9218" width="16.26953125" style="329" bestFit="1" customWidth="1"/>
    <col min="9219" max="9219" width="19.54296875" style="329" bestFit="1" customWidth="1"/>
    <col min="9220" max="9221" width="9.1796875" style="329"/>
    <col min="9222" max="9222" width="14" style="329" bestFit="1" customWidth="1"/>
    <col min="9223" max="9223" width="9.1796875" style="329"/>
    <col min="9224" max="9224" width="4.1796875" style="329" customWidth="1"/>
    <col min="9225" max="9225" width="1.1796875" style="329" customWidth="1"/>
    <col min="9226" max="9226" width="14.81640625" style="329" customWidth="1"/>
    <col min="9227" max="9227" width="15.54296875" style="329" customWidth="1"/>
    <col min="9228" max="9228" width="17" style="329" customWidth="1"/>
    <col min="9229" max="9229" width="14.26953125" style="329" customWidth="1"/>
    <col min="9230" max="9230" width="8.1796875" style="329" customWidth="1"/>
    <col min="9231" max="9231" width="8" style="329" customWidth="1"/>
    <col min="9232" max="9232" width="12.26953125" style="329" customWidth="1"/>
    <col min="9233" max="9235" width="13.26953125" style="329" customWidth="1"/>
    <col min="9236" max="9236" width="1.54296875" style="329" customWidth="1"/>
    <col min="9237" max="9237" width="9.1796875" style="329"/>
    <col min="9238" max="9238" width="21" style="329" bestFit="1" customWidth="1"/>
    <col min="9239" max="9239" width="12.26953125" style="329" bestFit="1" customWidth="1"/>
    <col min="9240" max="9240" width="9.1796875" style="329"/>
    <col min="9241" max="9241" width="12.26953125" style="329" bestFit="1" customWidth="1"/>
    <col min="9242" max="9472" width="9.1796875" style="329"/>
    <col min="9473" max="9473" width="16.453125" style="329" customWidth="1"/>
    <col min="9474" max="9474" width="16.26953125" style="329" bestFit="1" customWidth="1"/>
    <col min="9475" max="9475" width="19.54296875" style="329" bestFit="1" customWidth="1"/>
    <col min="9476" max="9477" width="9.1796875" style="329"/>
    <col min="9478" max="9478" width="14" style="329" bestFit="1" customWidth="1"/>
    <col min="9479" max="9479" width="9.1796875" style="329"/>
    <col min="9480" max="9480" width="4.1796875" style="329" customWidth="1"/>
    <col min="9481" max="9481" width="1.1796875" style="329" customWidth="1"/>
    <col min="9482" max="9482" width="14.81640625" style="329" customWidth="1"/>
    <col min="9483" max="9483" width="15.54296875" style="329" customWidth="1"/>
    <col min="9484" max="9484" width="17" style="329" customWidth="1"/>
    <col min="9485" max="9485" width="14.26953125" style="329" customWidth="1"/>
    <col min="9486" max="9486" width="8.1796875" style="329" customWidth="1"/>
    <col min="9487" max="9487" width="8" style="329" customWidth="1"/>
    <col min="9488" max="9488" width="12.26953125" style="329" customWidth="1"/>
    <col min="9489" max="9491" width="13.26953125" style="329" customWidth="1"/>
    <col min="9492" max="9492" width="1.54296875" style="329" customWidth="1"/>
    <col min="9493" max="9493" width="9.1796875" style="329"/>
    <col min="9494" max="9494" width="21" style="329" bestFit="1" customWidth="1"/>
    <col min="9495" max="9495" width="12.26953125" style="329" bestFit="1" customWidth="1"/>
    <col min="9496" max="9496" width="9.1796875" style="329"/>
    <col min="9497" max="9497" width="12.26953125" style="329" bestFit="1" customWidth="1"/>
    <col min="9498" max="9728" width="9.1796875" style="329"/>
    <col min="9729" max="9729" width="16.453125" style="329" customWidth="1"/>
    <col min="9730" max="9730" width="16.26953125" style="329" bestFit="1" customWidth="1"/>
    <col min="9731" max="9731" width="19.54296875" style="329" bestFit="1" customWidth="1"/>
    <col min="9732" max="9733" width="9.1796875" style="329"/>
    <col min="9734" max="9734" width="14" style="329" bestFit="1" customWidth="1"/>
    <col min="9735" max="9735" width="9.1796875" style="329"/>
    <col min="9736" max="9736" width="4.1796875" style="329" customWidth="1"/>
    <col min="9737" max="9737" width="1.1796875" style="329" customWidth="1"/>
    <col min="9738" max="9738" width="14.81640625" style="329" customWidth="1"/>
    <col min="9739" max="9739" width="15.54296875" style="329" customWidth="1"/>
    <col min="9740" max="9740" width="17" style="329" customWidth="1"/>
    <col min="9741" max="9741" width="14.26953125" style="329" customWidth="1"/>
    <col min="9742" max="9742" width="8.1796875" style="329" customWidth="1"/>
    <col min="9743" max="9743" width="8" style="329" customWidth="1"/>
    <col min="9744" max="9744" width="12.26953125" style="329" customWidth="1"/>
    <col min="9745" max="9747" width="13.26953125" style="329" customWidth="1"/>
    <col min="9748" max="9748" width="1.54296875" style="329" customWidth="1"/>
    <col min="9749" max="9749" width="9.1796875" style="329"/>
    <col min="9750" max="9750" width="21" style="329" bestFit="1" customWidth="1"/>
    <col min="9751" max="9751" width="12.26953125" style="329" bestFit="1" customWidth="1"/>
    <col min="9752" max="9752" width="9.1796875" style="329"/>
    <col min="9753" max="9753" width="12.26953125" style="329" bestFit="1" customWidth="1"/>
    <col min="9754" max="9984" width="9.1796875" style="329"/>
    <col min="9985" max="9985" width="16.453125" style="329" customWidth="1"/>
    <col min="9986" max="9986" width="16.26953125" style="329" bestFit="1" customWidth="1"/>
    <col min="9987" max="9987" width="19.54296875" style="329" bestFit="1" customWidth="1"/>
    <col min="9988" max="9989" width="9.1796875" style="329"/>
    <col min="9990" max="9990" width="14" style="329" bestFit="1" customWidth="1"/>
    <col min="9991" max="9991" width="9.1796875" style="329"/>
    <col min="9992" max="9992" width="4.1796875" style="329" customWidth="1"/>
    <col min="9993" max="9993" width="1.1796875" style="329" customWidth="1"/>
    <col min="9994" max="9994" width="14.81640625" style="329" customWidth="1"/>
    <col min="9995" max="9995" width="15.54296875" style="329" customWidth="1"/>
    <col min="9996" max="9996" width="17" style="329" customWidth="1"/>
    <col min="9997" max="9997" width="14.26953125" style="329" customWidth="1"/>
    <col min="9998" max="9998" width="8.1796875" style="329" customWidth="1"/>
    <col min="9999" max="9999" width="8" style="329" customWidth="1"/>
    <col min="10000" max="10000" width="12.26953125" style="329" customWidth="1"/>
    <col min="10001" max="10003" width="13.26953125" style="329" customWidth="1"/>
    <col min="10004" max="10004" width="1.54296875" style="329" customWidth="1"/>
    <col min="10005" max="10005" width="9.1796875" style="329"/>
    <col min="10006" max="10006" width="21" style="329" bestFit="1" customWidth="1"/>
    <col min="10007" max="10007" width="12.26953125" style="329" bestFit="1" customWidth="1"/>
    <col min="10008" max="10008" width="9.1796875" style="329"/>
    <col min="10009" max="10009" width="12.26953125" style="329" bestFit="1" customWidth="1"/>
    <col min="10010" max="10240" width="9.1796875" style="329"/>
    <col min="10241" max="10241" width="16.453125" style="329" customWidth="1"/>
    <col min="10242" max="10242" width="16.26953125" style="329" bestFit="1" customWidth="1"/>
    <col min="10243" max="10243" width="19.54296875" style="329" bestFit="1" customWidth="1"/>
    <col min="10244" max="10245" width="9.1796875" style="329"/>
    <col min="10246" max="10246" width="14" style="329" bestFit="1" customWidth="1"/>
    <col min="10247" max="10247" width="9.1796875" style="329"/>
    <col min="10248" max="10248" width="4.1796875" style="329" customWidth="1"/>
    <col min="10249" max="10249" width="1.1796875" style="329" customWidth="1"/>
    <col min="10250" max="10250" width="14.81640625" style="329" customWidth="1"/>
    <col min="10251" max="10251" width="15.54296875" style="329" customWidth="1"/>
    <col min="10252" max="10252" width="17" style="329" customWidth="1"/>
    <col min="10253" max="10253" width="14.26953125" style="329" customWidth="1"/>
    <col min="10254" max="10254" width="8.1796875" style="329" customWidth="1"/>
    <col min="10255" max="10255" width="8" style="329" customWidth="1"/>
    <col min="10256" max="10256" width="12.26953125" style="329" customWidth="1"/>
    <col min="10257" max="10259" width="13.26953125" style="329" customWidth="1"/>
    <col min="10260" max="10260" width="1.54296875" style="329" customWidth="1"/>
    <col min="10261" max="10261" width="9.1796875" style="329"/>
    <col min="10262" max="10262" width="21" style="329" bestFit="1" customWidth="1"/>
    <col min="10263" max="10263" width="12.26953125" style="329" bestFit="1" customWidth="1"/>
    <col min="10264" max="10264" width="9.1796875" style="329"/>
    <col min="10265" max="10265" width="12.26953125" style="329" bestFit="1" customWidth="1"/>
    <col min="10266" max="10496" width="9.1796875" style="329"/>
    <col min="10497" max="10497" width="16.453125" style="329" customWidth="1"/>
    <col min="10498" max="10498" width="16.26953125" style="329" bestFit="1" customWidth="1"/>
    <col min="10499" max="10499" width="19.54296875" style="329" bestFit="1" customWidth="1"/>
    <col min="10500" max="10501" width="9.1796875" style="329"/>
    <col min="10502" max="10502" width="14" style="329" bestFit="1" customWidth="1"/>
    <col min="10503" max="10503" width="9.1796875" style="329"/>
    <col min="10504" max="10504" width="4.1796875" style="329" customWidth="1"/>
    <col min="10505" max="10505" width="1.1796875" style="329" customWidth="1"/>
    <col min="10506" max="10506" width="14.81640625" style="329" customWidth="1"/>
    <col min="10507" max="10507" width="15.54296875" style="329" customWidth="1"/>
    <col min="10508" max="10508" width="17" style="329" customWidth="1"/>
    <col min="10509" max="10509" width="14.26953125" style="329" customWidth="1"/>
    <col min="10510" max="10510" width="8.1796875" style="329" customWidth="1"/>
    <col min="10511" max="10511" width="8" style="329" customWidth="1"/>
    <col min="10512" max="10512" width="12.26953125" style="329" customWidth="1"/>
    <col min="10513" max="10515" width="13.26953125" style="329" customWidth="1"/>
    <col min="10516" max="10516" width="1.54296875" style="329" customWidth="1"/>
    <col min="10517" max="10517" width="9.1796875" style="329"/>
    <col min="10518" max="10518" width="21" style="329" bestFit="1" customWidth="1"/>
    <col min="10519" max="10519" width="12.26953125" style="329" bestFit="1" customWidth="1"/>
    <col min="10520" max="10520" width="9.1796875" style="329"/>
    <col min="10521" max="10521" width="12.26953125" style="329" bestFit="1" customWidth="1"/>
    <col min="10522" max="10752" width="9.1796875" style="329"/>
    <col min="10753" max="10753" width="16.453125" style="329" customWidth="1"/>
    <col min="10754" max="10754" width="16.26953125" style="329" bestFit="1" customWidth="1"/>
    <col min="10755" max="10755" width="19.54296875" style="329" bestFit="1" customWidth="1"/>
    <col min="10756" max="10757" width="9.1796875" style="329"/>
    <col min="10758" max="10758" width="14" style="329" bestFit="1" customWidth="1"/>
    <col min="10759" max="10759" width="9.1796875" style="329"/>
    <col min="10760" max="10760" width="4.1796875" style="329" customWidth="1"/>
    <col min="10761" max="10761" width="1.1796875" style="329" customWidth="1"/>
    <col min="10762" max="10762" width="14.81640625" style="329" customWidth="1"/>
    <col min="10763" max="10763" width="15.54296875" style="329" customWidth="1"/>
    <col min="10764" max="10764" width="17" style="329" customWidth="1"/>
    <col min="10765" max="10765" width="14.26953125" style="329" customWidth="1"/>
    <col min="10766" max="10766" width="8.1796875" style="329" customWidth="1"/>
    <col min="10767" max="10767" width="8" style="329" customWidth="1"/>
    <col min="10768" max="10768" width="12.26953125" style="329" customWidth="1"/>
    <col min="10769" max="10771" width="13.26953125" style="329" customWidth="1"/>
    <col min="10772" max="10772" width="1.54296875" style="329" customWidth="1"/>
    <col min="10773" max="10773" width="9.1796875" style="329"/>
    <col min="10774" max="10774" width="21" style="329" bestFit="1" customWidth="1"/>
    <col min="10775" max="10775" width="12.26953125" style="329" bestFit="1" customWidth="1"/>
    <col min="10776" max="10776" width="9.1796875" style="329"/>
    <col min="10777" max="10777" width="12.26953125" style="329" bestFit="1" customWidth="1"/>
    <col min="10778" max="11008" width="9.1796875" style="329"/>
    <col min="11009" max="11009" width="16.453125" style="329" customWidth="1"/>
    <col min="11010" max="11010" width="16.26953125" style="329" bestFit="1" customWidth="1"/>
    <col min="11011" max="11011" width="19.54296875" style="329" bestFit="1" customWidth="1"/>
    <col min="11012" max="11013" width="9.1796875" style="329"/>
    <col min="11014" max="11014" width="14" style="329" bestFit="1" customWidth="1"/>
    <col min="11015" max="11015" width="9.1796875" style="329"/>
    <col min="11016" max="11016" width="4.1796875" style="329" customWidth="1"/>
    <col min="11017" max="11017" width="1.1796875" style="329" customWidth="1"/>
    <col min="11018" max="11018" width="14.81640625" style="329" customWidth="1"/>
    <col min="11019" max="11019" width="15.54296875" style="329" customWidth="1"/>
    <col min="11020" max="11020" width="17" style="329" customWidth="1"/>
    <col min="11021" max="11021" width="14.26953125" style="329" customWidth="1"/>
    <col min="11022" max="11022" width="8.1796875" style="329" customWidth="1"/>
    <col min="11023" max="11023" width="8" style="329" customWidth="1"/>
    <col min="11024" max="11024" width="12.26953125" style="329" customWidth="1"/>
    <col min="11025" max="11027" width="13.26953125" style="329" customWidth="1"/>
    <col min="11028" max="11028" width="1.54296875" style="329" customWidth="1"/>
    <col min="11029" max="11029" width="9.1796875" style="329"/>
    <col min="11030" max="11030" width="21" style="329" bestFit="1" customWidth="1"/>
    <col min="11031" max="11031" width="12.26953125" style="329" bestFit="1" customWidth="1"/>
    <col min="11032" max="11032" width="9.1796875" style="329"/>
    <col min="11033" max="11033" width="12.26953125" style="329" bestFit="1" customWidth="1"/>
    <col min="11034" max="11264" width="9.1796875" style="329"/>
    <col min="11265" max="11265" width="16.453125" style="329" customWidth="1"/>
    <col min="11266" max="11266" width="16.26953125" style="329" bestFit="1" customWidth="1"/>
    <col min="11267" max="11267" width="19.54296875" style="329" bestFit="1" customWidth="1"/>
    <col min="11268" max="11269" width="9.1796875" style="329"/>
    <col min="11270" max="11270" width="14" style="329" bestFit="1" customWidth="1"/>
    <col min="11271" max="11271" width="9.1796875" style="329"/>
    <col min="11272" max="11272" width="4.1796875" style="329" customWidth="1"/>
    <col min="11273" max="11273" width="1.1796875" style="329" customWidth="1"/>
    <col min="11274" max="11274" width="14.81640625" style="329" customWidth="1"/>
    <col min="11275" max="11275" width="15.54296875" style="329" customWidth="1"/>
    <col min="11276" max="11276" width="17" style="329" customWidth="1"/>
    <col min="11277" max="11277" width="14.26953125" style="329" customWidth="1"/>
    <col min="11278" max="11278" width="8.1796875" style="329" customWidth="1"/>
    <col min="11279" max="11279" width="8" style="329" customWidth="1"/>
    <col min="11280" max="11280" width="12.26953125" style="329" customWidth="1"/>
    <col min="11281" max="11283" width="13.26953125" style="329" customWidth="1"/>
    <col min="11284" max="11284" width="1.54296875" style="329" customWidth="1"/>
    <col min="11285" max="11285" width="9.1796875" style="329"/>
    <col min="11286" max="11286" width="21" style="329" bestFit="1" customWidth="1"/>
    <col min="11287" max="11287" width="12.26953125" style="329" bestFit="1" customWidth="1"/>
    <col min="11288" max="11288" width="9.1796875" style="329"/>
    <col min="11289" max="11289" width="12.26953125" style="329" bestFit="1" customWidth="1"/>
    <col min="11290" max="11520" width="9.1796875" style="329"/>
    <col min="11521" max="11521" width="16.453125" style="329" customWidth="1"/>
    <col min="11522" max="11522" width="16.26953125" style="329" bestFit="1" customWidth="1"/>
    <col min="11523" max="11523" width="19.54296875" style="329" bestFit="1" customWidth="1"/>
    <col min="11524" max="11525" width="9.1796875" style="329"/>
    <col min="11526" max="11526" width="14" style="329" bestFit="1" customWidth="1"/>
    <col min="11527" max="11527" width="9.1796875" style="329"/>
    <col min="11528" max="11528" width="4.1796875" style="329" customWidth="1"/>
    <col min="11529" max="11529" width="1.1796875" style="329" customWidth="1"/>
    <col min="11530" max="11530" width="14.81640625" style="329" customWidth="1"/>
    <col min="11531" max="11531" width="15.54296875" style="329" customWidth="1"/>
    <col min="11532" max="11532" width="17" style="329" customWidth="1"/>
    <col min="11533" max="11533" width="14.26953125" style="329" customWidth="1"/>
    <col min="11534" max="11534" width="8.1796875" style="329" customWidth="1"/>
    <col min="11535" max="11535" width="8" style="329" customWidth="1"/>
    <col min="11536" max="11536" width="12.26953125" style="329" customWidth="1"/>
    <col min="11537" max="11539" width="13.26953125" style="329" customWidth="1"/>
    <col min="11540" max="11540" width="1.54296875" style="329" customWidth="1"/>
    <col min="11541" max="11541" width="9.1796875" style="329"/>
    <col min="11542" max="11542" width="21" style="329" bestFit="1" customWidth="1"/>
    <col min="11543" max="11543" width="12.26953125" style="329" bestFit="1" customWidth="1"/>
    <col min="11544" max="11544" width="9.1796875" style="329"/>
    <col min="11545" max="11545" width="12.26953125" style="329" bestFit="1" customWidth="1"/>
    <col min="11546" max="11776" width="9.1796875" style="329"/>
    <col min="11777" max="11777" width="16.453125" style="329" customWidth="1"/>
    <col min="11778" max="11778" width="16.26953125" style="329" bestFit="1" customWidth="1"/>
    <col min="11779" max="11779" width="19.54296875" style="329" bestFit="1" customWidth="1"/>
    <col min="11780" max="11781" width="9.1796875" style="329"/>
    <col min="11782" max="11782" width="14" style="329" bestFit="1" customWidth="1"/>
    <col min="11783" max="11783" width="9.1796875" style="329"/>
    <col min="11784" max="11784" width="4.1796875" style="329" customWidth="1"/>
    <col min="11785" max="11785" width="1.1796875" style="329" customWidth="1"/>
    <col min="11786" max="11786" width="14.81640625" style="329" customWidth="1"/>
    <col min="11787" max="11787" width="15.54296875" style="329" customWidth="1"/>
    <col min="11788" max="11788" width="17" style="329" customWidth="1"/>
    <col min="11789" max="11789" width="14.26953125" style="329" customWidth="1"/>
    <col min="11790" max="11790" width="8.1796875" style="329" customWidth="1"/>
    <col min="11791" max="11791" width="8" style="329" customWidth="1"/>
    <col min="11792" max="11792" width="12.26953125" style="329" customWidth="1"/>
    <col min="11793" max="11795" width="13.26953125" style="329" customWidth="1"/>
    <col min="11796" max="11796" width="1.54296875" style="329" customWidth="1"/>
    <col min="11797" max="11797" width="9.1796875" style="329"/>
    <col min="11798" max="11798" width="21" style="329" bestFit="1" customWidth="1"/>
    <col min="11799" max="11799" width="12.26953125" style="329" bestFit="1" customWidth="1"/>
    <col min="11800" max="11800" width="9.1796875" style="329"/>
    <col min="11801" max="11801" width="12.26953125" style="329" bestFit="1" customWidth="1"/>
    <col min="11802" max="12032" width="9.1796875" style="329"/>
    <col min="12033" max="12033" width="16.453125" style="329" customWidth="1"/>
    <col min="12034" max="12034" width="16.26953125" style="329" bestFit="1" customWidth="1"/>
    <col min="12035" max="12035" width="19.54296875" style="329" bestFit="1" customWidth="1"/>
    <col min="12036" max="12037" width="9.1796875" style="329"/>
    <col min="12038" max="12038" width="14" style="329" bestFit="1" customWidth="1"/>
    <col min="12039" max="12039" width="9.1796875" style="329"/>
    <col min="12040" max="12040" width="4.1796875" style="329" customWidth="1"/>
    <col min="12041" max="12041" width="1.1796875" style="329" customWidth="1"/>
    <col min="12042" max="12042" width="14.81640625" style="329" customWidth="1"/>
    <col min="12043" max="12043" width="15.54296875" style="329" customWidth="1"/>
    <col min="12044" max="12044" width="17" style="329" customWidth="1"/>
    <col min="12045" max="12045" width="14.26953125" style="329" customWidth="1"/>
    <col min="12046" max="12046" width="8.1796875" style="329" customWidth="1"/>
    <col min="12047" max="12047" width="8" style="329" customWidth="1"/>
    <col min="12048" max="12048" width="12.26953125" style="329" customWidth="1"/>
    <col min="12049" max="12051" width="13.26953125" style="329" customWidth="1"/>
    <col min="12052" max="12052" width="1.54296875" style="329" customWidth="1"/>
    <col min="12053" max="12053" width="9.1796875" style="329"/>
    <col min="12054" max="12054" width="21" style="329" bestFit="1" customWidth="1"/>
    <col min="12055" max="12055" width="12.26953125" style="329" bestFit="1" customWidth="1"/>
    <col min="12056" max="12056" width="9.1796875" style="329"/>
    <col min="12057" max="12057" width="12.26953125" style="329" bestFit="1" customWidth="1"/>
    <col min="12058" max="12288" width="9.1796875" style="329"/>
    <col min="12289" max="12289" width="16.453125" style="329" customWidth="1"/>
    <col min="12290" max="12290" width="16.26953125" style="329" bestFit="1" customWidth="1"/>
    <col min="12291" max="12291" width="19.54296875" style="329" bestFit="1" customWidth="1"/>
    <col min="12292" max="12293" width="9.1796875" style="329"/>
    <col min="12294" max="12294" width="14" style="329" bestFit="1" customWidth="1"/>
    <col min="12295" max="12295" width="9.1796875" style="329"/>
    <col min="12296" max="12296" width="4.1796875" style="329" customWidth="1"/>
    <col min="12297" max="12297" width="1.1796875" style="329" customWidth="1"/>
    <col min="12298" max="12298" width="14.81640625" style="329" customWidth="1"/>
    <col min="12299" max="12299" width="15.54296875" style="329" customWidth="1"/>
    <col min="12300" max="12300" width="17" style="329" customWidth="1"/>
    <col min="12301" max="12301" width="14.26953125" style="329" customWidth="1"/>
    <col min="12302" max="12302" width="8.1796875" style="329" customWidth="1"/>
    <col min="12303" max="12303" width="8" style="329" customWidth="1"/>
    <col min="12304" max="12304" width="12.26953125" style="329" customWidth="1"/>
    <col min="12305" max="12307" width="13.26953125" style="329" customWidth="1"/>
    <col min="12308" max="12308" width="1.54296875" style="329" customWidth="1"/>
    <col min="12309" max="12309" width="9.1796875" style="329"/>
    <col min="12310" max="12310" width="21" style="329" bestFit="1" customWidth="1"/>
    <col min="12311" max="12311" width="12.26953125" style="329" bestFit="1" customWidth="1"/>
    <col min="12312" max="12312" width="9.1796875" style="329"/>
    <col min="12313" max="12313" width="12.26953125" style="329" bestFit="1" customWidth="1"/>
    <col min="12314" max="12544" width="9.1796875" style="329"/>
    <col min="12545" max="12545" width="16.453125" style="329" customWidth="1"/>
    <col min="12546" max="12546" width="16.26953125" style="329" bestFit="1" customWidth="1"/>
    <col min="12547" max="12547" width="19.54296875" style="329" bestFit="1" customWidth="1"/>
    <col min="12548" max="12549" width="9.1796875" style="329"/>
    <col min="12550" max="12550" width="14" style="329" bestFit="1" customWidth="1"/>
    <col min="12551" max="12551" width="9.1796875" style="329"/>
    <col min="12552" max="12552" width="4.1796875" style="329" customWidth="1"/>
    <col min="12553" max="12553" width="1.1796875" style="329" customWidth="1"/>
    <col min="12554" max="12554" width="14.81640625" style="329" customWidth="1"/>
    <col min="12555" max="12555" width="15.54296875" style="329" customWidth="1"/>
    <col min="12556" max="12556" width="17" style="329" customWidth="1"/>
    <col min="12557" max="12557" width="14.26953125" style="329" customWidth="1"/>
    <col min="12558" max="12558" width="8.1796875" style="329" customWidth="1"/>
    <col min="12559" max="12559" width="8" style="329" customWidth="1"/>
    <col min="12560" max="12560" width="12.26953125" style="329" customWidth="1"/>
    <col min="12561" max="12563" width="13.26953125" style="329" customWidth="1"/>
    <col min="12564" max="12564" width="1.54296875" style="329" customWidth="1"/>
    <col min="12565" max="12565" width="9.1796875" style="329"/>
    <col min="12566" max="12566" width="21" style="329" bestFit="1" customWidth="1"/>
    <col min="12567" max="12567" width="12.26953125" style="329" bestFit="1" customWidth="1"/>
    <col min="12568" max="12568" width="9.1796875" style="329"/>
    <col min="12569" max="12569" width="12.26953125" style="329" bestFit="1" customWidth="1"/>
    <col min="12570" max="12800" width="9.1796875" style="329"/>
    <col min="12801" max="12801" width="16.453125" style="329" customWidth="1"/>
    <col min="12802" max="12802" width="16.26953125" style="329" bestFit="1" customWidth="1"/>
    <col min="12803" max="12803" width="19.54296875" style="329" bestFit="1" customWidth="1"/>
    <col min="12804" max="12805" width="9.1796875" style="329"/>
    <col min="12806" max="12806" width="14" style="329" bestFit="1" customWidth="1"/>
    <col min="12807" max="12807" width="9.1796875" style="329"/>
    <col min="12808" max="12808" width="4.1796875" style="329" customWidth="1"/>
    <col min="12809" max="12809" width="1.1796875" style="329" customWidth="1"/>
    <col min="12810" max="12810" width="14.81640625" style="329" customWidth="1"/>
    <col min="12811" max="12811" width="15.54296875" style="329" customWidth="1"/>
    <col min="12812" max="12812" width="17" style="329" customWidth="1"/>
    <col min="12813" max="12813" width="14.26953125" style="329" customWidth="1"/>
    <col min="12814" max="12814" width="8.1796875" style="329" customWidth="1"/>
    <col min="12815" max="12815" width="8" style="329" customWidth="1"/>
    <col min="12816" max="12816" width="12.26953125" style="329" customWidth="1"/>
    <col min="12817" max="12819" width="13.26953125" style="329" customWidth="1"/>
    <col min="12820" max="12820" width="1.54296875" style="329" customWidth="1"/>
    <col min="12821" max="12821" width="9.1796875" style="329"/>
    <col min="12822" max="12822" width="21" style="329" bestFit="1" customWidth="1"/>
    <col min="12823" max="12823" width="12.26953125" style="329" bestFit="1" customWidth="1"/>
    <col min="12824" max="12824" width="9.1796875" style="329"/>
    <col min="12825" max="12825" width="12.26953125" style="329" bestFit="1" customWidth="1"/>
    <col min="12826" max="13056" width="9.1796875" style="329"/>
    <col min="13057" max="13057" width="16.453125" style="329" customWidth="1"/>
    <col min="13058" max="13058" width="16.26953125" style="329" bestFit="1" customWidth="1"/>
    <col min="13059" max="13059" width="19.54296875" style="329" bestFit="1" customWidth="1"/>
    <col min="13060" max="13061" width="9.1796875" style="329"/>
    <col min="13062" max="13062" width="14" style="329" bestFit="1" customWidth="1"/>
    <col min="13063" max="13063" width="9.1796875" style="329"/>
    <col min="13064" max="13064" width="4.1796875" style="329" customWidth="1"/>
    <col min="13065" max="13065" width="1.1796875" style="329" customWidth="1"/>
    <col min="13066" max="13066" width="14.81640625" style="329" customWidth="1"/>
    <col min="13067" max="13067" width="15.54296875" style="329" customWidth="1"/>
    <col min="13068" max="13068" width="17" style="329" customWidth="1"/>
    <col min="13069" max="13069" width="14.26953125" style="329" customWidth="1"/>
    <col min="13070" max="13070" width="8.1796875" style="329" customWidth="1"/>
    <col min="13071" max="13071" width="8" style="329" customWidth="1"/>
    <col min="13072" max="13072" width="12.26953125" style="329" customWidth="1"/>
    <col min="13073" max="13075" width="13.26953125" style="329" customWidth="1"/>
    <col min="13076" max="13076" width="1.54296875" style="329" customWidth="1"/>
    <col min="13077" max="13077" width="9.1796875" style="329"/>
    <col min="13078" max="13078" width="21" style="329" bestFit="1" customWidth="1"/>
    <col min="13079" max="13079" width="12.26953125" style="329" bestFit="1" customWidth="1"/>
    <col min="13080" max="13080" width="9.1796875" style="329"/>
    <col min="13081" max="13081" width="12.26953125" style="329" bestFit="1" customWidth="1"/>
    <col min="13082" max="13312" width="9.1796875" style="329"/>
    <col min="13313" max="13313" width="16.453125" style="329" customWidth="1"/>
    <col min="13314" max="13314" width="16.26953125" style="329" bestFit="1" customWidth="1"/>
    <col min="13315" max="13315" width="19.54296875" style="329" bestFit="1" customWidth="1"/>
    <col min="13316" max="13317" width="9.1796875" style="329"/>
    <col min="13318" max="13318" width="14" style="329" bestFit="1" customWidth="1"/>
    <col min="13319" max="13319" width="9.1796875" style="329"/>
    <col min="13320" max="13320" width="4.1796875" style="329" customWidth="1"/>
    <col min="13321" max="13321" width="1.1796875" style="329" customWidth="1"/>
    <col min="13322" max="13322" width="14.81640625" style="329" customWidth="1"/>
    <col min="13323" max="13323" width="15.54296875" style="329" customWidth="1"/>
    <col min="13324" max="13324" width="17" style="329" customWidth="1"/>
    <col min="13325" max="13325" width="14.26953125" style="329" customWidth="1"/>
    <col min="13326" max="13326" width="8.1796875" style="329" customWidth="1"/>
    <col min="13327" max="13327" width="8" style="329" customWidth="1"/>
    <col min="13328" max="13328" width="12.26953125" style="329" customWidth="1"/>
    <col min="13329" max="13331" width="13.26953125" style="329" customWidth="1"/>
    <col min="13332" max="13332" width="1.54296875" style="329" customWidth="1"/>
    <col min="13333" max="13333" width="9.1796875" style="329"/>
    <col min="13334" max="13334" width="21" style="329" bestFit="1" customWidth="1"/>
    <col min="13335" max="13335" width="12.26953125" style="329" bestFit="1" customWidth="1"/>
    <col min="13336" max="13336" width="9.1796875" style="329"/>
    <col min="13337" max="13337" width="12.26953125" style="329" bestFit="1" customWidth="1"/>
    <col min="13338" max="13568" width="9.1796875" style="329"/>
    <col min="13569" max="13569" width="16.453125" style="329" customWidth="1"/>
    <col min="13570" max="13570" width="16.26953125" style="329" bestFit="1" customWidth="1"/>
    <col min="13571" max="13571" width="19.54296875" style="329" bestFit="1" customWidth="1"/>
    <col min="13572" max="13573" width="9.1796875" style="329"/>
    <col min="13574" max="13574" width="14" style="329" bestFit="1" customWidth="1"/>
    <col min="13575" max="13575" width="9.1796875" style="329"/>
    <col min="13576" max="13576" width="4.1796875" style="329" customWidth="1"/>
    <col min="13577" max="13577" width="1.1796875" style="329" customWidth="1"/>
    <col min="13578" max="13578" width="14.81640625" style="329" customWidth="1"/>
    <col min="13579" max="13579" width="15.54296875" style="329" customWidth="1"/>
    <col min="13580" max="13580" width="17" style="329" customWidth="1"/>
    <col min="13581" max="13581" width="14.26953125" style="329" customWidth="1"/>
    <col min="13582" max="13582" width="8.1796875" style="329" customWidth="1"/>
    <col min="13583" max="13583" width="8" style="329" customWidth="1"/>
    <col min="13584" max="13584" width="12.26953125" style="329" customWidth="1"/>
    <col min="13585" max="13587" width="13.26953125" style="329" customWidth="1"/>
    <col min="13588" max="13588" width="1.54296875" style="329" customWidth="1"/>
    <col min="13589" max="13589" width="9.1796875" style="329"/>
    <col min="13590" max="13590" width="21" style="329" bestFit="1" customWidth="1"/>
    <col min="13591" max="13591" width="12.26953125" style="329" bestFit="1" customWidth="1"/>
    <col min="13592" max="13592" width="9.1796875" style="329"/>
    <col min="13593" max="13593" width="12.26953125" style="329" bestFit="1" customWidth="1"/>
    <col min="13594" max="13824" width="9.1796875" style="329"/>
    <col min="13825" max="13825" width="16.453125" style="329" customWidth="1"/>
    <col min="13826" max="13826" width="16.26953125" style="329" bestFit="1" customWidth="1"/>
    <col min="13827" max="13827" width="19.54296875" style="329" bestFit="1" customWidth="1"/>
    <col min="13828" max="13829" width="9.1796875" style="329"/>
    <col min="13830" max="13830" width="14" style="329" bestFit="1" customWidth="1"/>
    <col min="13831" max="13831" width="9.1796875" style="329"/>
    <col min="13832" max="13832" width="4.1796875" style="329" customWidth="1"/>
    <col min="13833" max="13833" width="1.1796875" style="329" customWidth="1"/>
    <col min="13834" max="13834" width="14.81640625" style="329" customWidth="1"/>
    <col min="13835" max="13835" width="15.54296875" style="329" customWidth="1"/>
    <col min="13836" max="13836" width="17" style="329" customWidth="1"/>
    <col min="13837" max="13837" width="14.26953125" style="329" customWidth="1"/>
    <col min="13838" max="13838" width="8.1796875" style="329" customWidth="1"/>
    <col min="13839" max="13839" width="8" style="329" customWidth="1"/>
    <col min="13840" max="13840" width="12.26953125" style="329" customWidth="1"/>
    <col min="13841" max="13843" width="13.26953125" style="329" customWidth="1"/>
    <col min="13844" max="13844" width="1.54296875" style="329" customWidth="1"/>
    <col min="13845" max="13845" width="9.1796875" style="329"/>
    <col min="13846" max="13846" width="21" style="329" bestFit="1" customWidth="1"/>
    <col min="13847" max="13847" width="12.26953125" style="329" bestFit="1" customWidth="1"/>
    <col min="13848" max="13848" width="9.1796875" style="329"/>
    <col min="13849" max="13849" width="12.26953125" style="329" bestFit="1" customWidth="1"/>
    <col min="13850" max="14080" width="9.1796875" style="329"/>
    <col min="14081" max="14081" width="16.453125" style="329" customWidth="1"/>
    <col min="14082" max="14082" width="16.26953125" style="329" bestFit="1" customWidth="1"/>
    <col min="14083" max="14083" width="19.54296875" style="329" bestFit="1" customWidth="1"/>
    <col min="14084" max="14085" width="9.1796875" style="329"/>
    <col min="14086" max="14086" width="14" style="329" bestFit="1" customWidth="1"/>
    <col min="14087" max="14087" width="9.1796875" style="329"/>
    <col min="14088" max="14088" width="4.1796875" style="329" customWidth="1"/>
    <col min="14089" max="14089" width="1.1796875" style="329" customWidth="1"/>
    <col min="14090" max="14090" width="14.81640625" style="329" customWidth="1"/>
    <col min="14091" max="14091" width="15.54296875" style="329" customWidth="1"/>
    <col min="14092" max="14092" width="17" style="329" customWidth="1"/>
    <col min="14093" max="14093" width="14.26953125" style="329" customWidth="1"/>
    <col min="14094" max="14094" width="8.1796875" style="329" customWidth="1"/>
    <col min="14095" max="14095" width="8" style="329" customWidth="1"/>
    <col min="14096" max="14096" width="12.26953125" style="329" customWidth="1"/>
    <col min="14097" max="14099" width="13.26953125" style="329" customWidth="1"/>
    <col min="14100" max="14100" width="1.54296875" style="329" customWidth="1"/>
    <col min="14101" max="14101" width="9.1796875" style="329"/>
    <col min="14102" max="14102" width="21" style="329" bestFit="1" customWidth="1"/>
    <col min="14103" max="14103" width="12.26953125" style="329" bestFit="1" customWidth="1"/>
    <col min="14104" max="14104" width="9.1796875" style="329"/>
    <col min="14105" max="14105" width="12.26953125" style="329" bestFit="1" customWidth="1"/>
    <col min="14106" max="14336" width="9.1796875" style="329"/>
    <col min="14337" max="14337" width="16.453125" style="329" customWidth="1"/>
    <col min="14338" max="14338" width="16.26953125" style="329" bestFit="1" customWidth="1"/>
    <col min="14339" max="14339" width="19.54296875" style="329" bestFit="1" customWidth="1"/>
    <col min="14340" max="14341" width="9.1796875" style="329"/>
    <col min="14342" max="14342" width="14" style="329" bestFit="1" customWidth="1"/>
    <col min="14343" max="14343" width="9.1796875" style="329"/>
    <col min="14344" max="14344" width="4.1796875" style="329" customWidth="1"/>
    <col min="14345" max="14345" width="1.1796875" style="329" customWidth="1"/>
    <col min="14346" max="14346" width="14.81640625" style="329" customWidth="1"/>
    <col min="14347" max="14347" width="15.54296875" style="329" customWidth="1"/>
    <col min="14348" max="14348" width="17" style="329" customWidth="1"/>
    <col min="14349" max="14349" width="14.26953125" style="329" customWidth="1"/>
    <col min="14350" max="14350" width="8.1796875" style="329" customWidth="1"/>
    <col min="14351" max="14351" width="8" style="329" customWidth="1"/>
    <col min="14352" max="14352" width="12.26953125" style="329" customWidth="1"/>
    <col min="14353" max="14355" width="13.26953125" style="329" customWidth="1"/>
    <col min="14356" max="14356" width="1.54296875" style="329" customWidth="1"/>
    <col min="14357" max="14357" width="9.1796875" style="329"/>
    <col min="14358" max="14358" width="21" style="329" bestFit="1" customWidth="1"/>
    <col min="14359" max="14359" width="12.26953125" style="329" bestFit="1" customWidth="1"/>
    <col min="14360" max="14360" width="9.1796875" style="329"/>
    <col min="14361" max="14361" width="12.26953125" style="329" bestFit="1" customWidth="1"/>
    <col min="14362" max="14592" width="9.1796875" style="329"/>
    <col min="14593" max="14593" width="16.453125" style="329" customWidth="1"/>
    <col min="14594" max="14594" width="16.26953125" style="329" bestFit="1" customWidth="1"/>
    <col min="14595" max="14595" width="19.54296875" style="329" bestFit="1" customWidth="1"/>
    <col min="14596" max="14597" width="9.1796875" style="329"/>
    <col min="14598" max="14598" width="14" style="329" bestFit="1" customWidth="1"/>
    <col min="14599" max="14599" width="9.1796875" style="329"/>
    <col min="14600" max="14600" width="4.1796875" style="329" customWidth="1"/>
    <col min="14601" max="14601" width="1.1796875" style="329" customWidth="1"/>
    <col min="14602" max="14602" width="14.81640625" style="329" customWidth="1"/>
    <col min="14603" max="14603" width="15.54296875" style="329" customWidth="1"/>
    <col min="14604" max="14604" width="17" style="329" customWidth="1"/>
    <col min="14605" max="14605" width="14.26953125" style="329" customWidth="1"/>
    <col min="14606" max="14606" width="8.1796875" style="329" customWidth="1"/>
    <col min="14607" max="14607" width="8" style="329" customWidth="1"/>
    <col min="14608" max="14608" width="12.26953125" style="329" customWidth="1"/>
    <col min="14609" max="14611" width="13.26953125" style="329" customWidth="1"/>
    <col min="14612" max="14612" width="1.54296875" style="329" customWidth="1"/>
    <col min="14613" max="14613" width="9.1796875" style="329"/>
    <col min="14614" max="14614" width="21" style="329" bestFit="1" customWidth="1"/>
    <col min="14615" max="14615" width="12.26953125" style="329" bestFit="1" customWidth="1"/>
    <col min="14616" max="14616" width="9.1796875" style="329"/>
    <col min="14617" max="14617" width="12.26953125" style="329" bestFit="1" customWidth="1"/>
    <col min="14618" max="14848" width="9.1796875" style="329"/>
    <col min="14849" max="14849" width="16.453125" style="329" customWidth="1"/>
    <col min="14850" max="14850" width="16.26953125" style="329" bestFit="1" customWidth="1"/>
    <col min="14851" max="14851" width="19.54296875" style="329" bestFit="1" customWidth="1"/>
    <col min="14852" max="14853" width="9.1796875" style="329"/>
    <col min="14854" max="14854" width="14" style="329" bestFit="1" customWidth="1"/>
    <col min="14855" max="14855" width="9.1796875" style="329"/>
    <col min="14856" max="14856" width="4.1796875" style="329" customWidth="1"/>
    <col min="14857" max="14857" width="1.1796875" style="329" customWidth="1"/>
    <col min="14858" max="14858" width="14.81640625" style="329" customWidth="1"/>
    <col min="14859" max="14859" width="15.54296875" style="329" customWidth="1"/>
    <col min="14860" max="14860" width="17" style="329" customWidth="1"/>
    <col min="14861" max="14861" width="14.26953125" style="329" customWidth="1"/>
    <col min="14862" max="14862" width="8.1796875" style="329" customWidth="1"/>
    <col min="14863" max="14863" width="8" style="329" customWidth="1"/>
    <col min="14864" max="14864" width="12.26953125" style="329" customWidth="1"/>
    <col min="14865" max="14867" width="13.26953125" style="329" customWidth="1"/>
    <col min="14868" max="14868" width="1.54296875" style="329" customWidth="1"/>
    <col min="14869" max="14869" width="9.1796875" style="329"/>
    <col min="14870" max="14870" width="21" style="329" bestFit="1" customWidth="1"/>
    <col min="14871" max="14871" width="12.26953125" style="329" bestFit="1" customWidth="1"/>
    <col min="14872" max="14872" width="9.1796875" style="329"/>
    <col min="14873" max="14873" width="12.26953125" style="329" bestFit="1" customWidth="1"/>
    <col min="14874" max="15104" width="9.1796875" style="329"/>
    <col min="15105" max="15105" width="16.453125" style="329" customWidth="1"/>
    <col min="15106" max="15106" width="16.26953125" style="329" bestFit="1" customWidth="1"/>
    <col min="15107" max="15107" width="19.54296875" style="329" bestFit="1" customWidth="1"/>
    <col min="15108" max="15109" width="9.1796875" style="329"/>
    <col min="15110" max="15110" width="14" style="329" bestFit="1" customWidth="1"/>
    <col min="15111" max="15111" width="9.1796875" style="329"/>
    <col min="15112" max="15112" width="4.1796875" style="329" customWidth="1"/>
    <col min="15113" max="15113" width="1.1796875" style="329" customWidth="1"/>
    <col min="15114" max="15114" width="14.81640625" style="329" customWidth="1"/>
    <col min="15115" max="15115" width="15.54296875" style="329" customWidth="1"/>
    <col min="15116" max="15116" width="17" style="329" customWidth="1"/>
    <col min="15117" max="15117" width="14.26953125" style="329" customWidth="1"/>
    <col min="15118" max="15118" width="8.1796875" style="329" customWidth="1"/>
    <col min="15119" max="15119" width="8" style="329" customWidth="1"/>
    <col min="15120" max="15120" width="12.26953125" style="329" customWidth="1"/>
    <col min="15121" max="15123" width="13.26953125" style="329" customWidth="1"/>
    <col min="15124" max="15124" width="1.54296875" style="329" customWidth="1"/>
    <col min="15125" max="15125" width="9.1796875" style="329"/>
    <col min="15126" max="15126" width="21" style="329" bestFit="1" customWidth="1"/>
    <col min="15127" max="15127" width="12.26953125" style="329" bestFit="1" customWidth="1"/>
    <col min="15128" max="15128" width="9.1796875" style="329"/>
    <col min="15129" max="15129" width="12.26953125" style="329" bestFit="1" customWidth="1"/>
    <col min="15130" max="15360" width="9.1796875" style="329"/>
    <col min="15361" max="15361" width="16.453125" style="329" customWidth="1"/>
    <col min="15362" max="15362" width="16.26953125" style="329" bestFit="1" customWidth="1"/>
    <col min="15363" max="15363" width="19.54296875" style="329" bestFit="1" customWidth="1"/>
    <col min="15364" max="15365" width="9.1796875" style="329"/>
    <col min="15366" max="15366" width="14" style="329" bestFit="1" customWidth="1"/>
    <col min="15367" max="15367" width="9.1796875" style="329"/>
    <col min="15368" max="15368" width="4.1796875" style="329" customWidth="1"/>
    <col min="15369" max="15369" width="1.1796875" style="329" customWidth="1"/>
    <col min="15370" max="15370" width="14.81640625" style="329" customWidth="1"/>
    <col min="15371" max="15371" width="15.54296875" style="329" customWidth="1"/>
    <col min="15372" max="15372" width="17" style="329" customWidth="1"/>
    <col min="15373" max="15373" width="14.26953125" style="329" customWidth="1"/>
    <col min="15374" max="15374" width="8.1796875" style="329" customWidth="1"/>
    <col min="15375" max="15375" width="8" style="329" customWidth="1"/>
    <col min="15376" max="15376" width="12.26953125" style="329" customWidth="1"/>
    <col min="15377" max="15379" width="13.26953125" style="329" customWidth="1"/>
    <col min="15380" max="15380" width="1.54296875" style="329" customWidth="1"/>
    <col min="15381" max="15381" width="9.1796875" style="329"/>
    <col min="15382" max="15382" width="21" style="329" bestFit="1" customWidth="1"/>
    <col min="15383" max="15383" width="12.26953125" style="329" bestFit="1" customWidth="1"/>
    <col min="15384" max="15384" width="9.1796875" style="329"/>
    <col min="15385" max="15385" width="12.26953125" style="329" bestFit="1" customWidth="1"/>
    <col min="15386" max="15616" width="9.1796875" style="329"/>
    <col min="15617" max="15617" width="16.453125" style="329" customWidth="1"/>
    <col min="15618" max="15618" width="16.26953125" style="329" bestFit="1" customWidth="1"/>
    <col min="15619" max="15619" width="19.54296875" style="329" bestFit="1" customWidth="1"/>
    <col min="15620" max="15621" width="9.1796875" style="329"/>
    <col min="15622" max="15622" width="14" style="329" bestFit="1" customWidth="1"/>
    <col min="15623" max="15623" width="9.1796875" style="329"/>
    <col min="15624" max="15624" width="4.1796875" style="329" customWidth="1"/>
    <col min="15625" max="15625" width="1.1796875" style="329" customWidth="1"/>
    <col min="15626" max="15626" width="14.81640625" style="329" customWidth="1"/>
    <col min="15627" max="15627" width="15.54296875" style="329" customWidth="1"/>
    <col min="15628" max="15628" width="17" style="329" customWidth="1"/>
    <col min="15629" max="15629" width="14.26953125" style="329" customWidth="1"/>
    <col min="15630" max="15630" width="8.1796875" style="329" customWidth="1"/>
    <col min="15631" max="15631" width="8" style="329" customWidth="1"/>
    <col min="15632" max="15632" width="12.26953125" style="329" customWidth="1"/>
    <col min="15633" max="15635" width="13.26953125" style="329" customWidth="1"/>
    <col min="15636" max="15636" width="1.54296875" style="329" customWidth="1"/>
    <col min="15637" max="15637" width="9.1796875" style="329"/>
    <col min="15638" max="15638" width="21" style="329" bestFit="1" customWidth="1"/>
    <col min="15639" max="15639" width="12.26953125" style="329" bestFit="1" customWidth="1"/>
    <col min="15640" max="15640" width="9.1796875" style="329"/>
    <col min="15641" max="15641" width="12.26953125" style="329" bestFit="1" customWidth="1"/>
    <col min="15642" max="15872" width="9.1796875" style="329"/>
    <col min="15873" max="15873" width="16.453125" style="329" customWidth="1"/>
    <col min="15874" max="15874" width="16.26953125" style="329" bestFit="1" customWidth="1"/>
    <col min="15875" max="15875" width="19.54296875" style="329" bestFit="1" customWidth="1"/>
    <col min="15876" max="15877" width="9.1796875" style="329"/>
    <col min="15878" max="15878" width="14" style="329" bestFit="1" customWidth="1"/>
    <col min="15879" max="15879" width="9.1796875" style="329"/>
    <col min="15880" max="15880" width="4.1796875" style="329" customWidth="1"/>
    <col min="15881" max="15881" width="1.1796875" style="329" customWidth="1"/>
    <col min="15882" max="15882" width="14.81640625" style="329" customWidth="1"/>
    <col min="15883" max="15883" width="15.54296875" style="329" customWidth="1"/>
    <col min="15884" max="15884" width="17" style="329" customWidth="1"/>
    <col min="15885" max="15885" width="14.26953125" style="329" customWidth="1"/>
    <col min="15886" max="15886" width="8.1796875" style="329" customWidth="1"/>
    <col min="15887" max="15887" width="8" style="329" customWidth="1"/>
    <col min="15888" max="15888" width="12.26953125" style="329" customWidth="1"/>
    <col min="15889" max="15891" width="13.26953125" style="329" customWidth="1"/>
    <col min="15892" max="15892" width="1.54296875" style="329" customWidth="1"/>
    <col min="15893" max="15893" width="9.1796875" style="329"/>
    <col min="15894" max="15894" width="21" style="329" bestFit="1" customWidth="1"/>
    <col min="15895" max="15895" width="12.26953125" style="329" bestFit="1" customWidth="1"/>
    <col min="15896" max="15896" width="9.1796875" style="329"/>
    <col min="15897" max="15897" width="12.26953125" style="329" bestFit="1" customWidth="1"/>
    <col min="15898" max="16128" width="9.1796875" style="329"/>
    <col min="16129" max="16129" width="16.453125" style="329" customWidth="1"/>
    <col min="16130" max="16130" width="16.26953125" style="329" bestFit="1" customWidth="1"/>
    <col min="16131" max="16131" width="19.54296875" style="329" bestFit="1" customWidth="1"/>
    <col min="16132" max="16133" width="9.1796875" style="329"/>
    <col min="16134" max="16134" width="14" style="329" bestFit="1" customWidth="1"/>
    <col min="16135" max="16135" width="9.1796875" style="329"/>
    <col min="16136" max="16136" width="4.1796875" style="329" customWidth="1"/>
    <col min="16137" max="16137" width="1.1796875" style="329" customWidth="1"/>
    <col min="16138" max="16138" width="14.81640625" style="329" customWidth="1"/>
    <col min="16139" max="16139" width="15.54296875" style="329" customWidth="1"/>
    <col min="16140" max="16140" width="17" style="329" customWidth="1"/>
    <col min="16141" max="16141" width="14.26953125" style="329" customWidth="1"/>
    <col min="16142" max="16142" width="8.1796875" style="329" customWidth="1"/>
    <col min="16143" max="16143" width="8" style="329" customWidth="1"/>
    <col min="16144" max="16144" width="12.26953125" style="329" customWidth="1"/>
    <col min="16145" max="16147" width="13.26953125" style="329" customWidth="1"/>
    <col min="16148" max="16148" width="1.54296875" style="329" customWidth="1"/>
    <col min="16149" max="16149" width="9.1796875" style="329"/>
    <col min="16150" max="16150" width="21" style="329" bestFit="1" customWidth="1"/>
    <col min="16151" max="16151" width="12.26953125" style="329" bestFit="1" customWidth="1"/>
    <col min="16152" max="16152" width="9.1796875" style="329"/>
    <col min="16153" max="16153" width="12.26953125" style="329" bestFit="1" customWidth="1"/>
    <col min="16154" max="16384" width="9.1796875" style="329"/>
  </cols>
  <sheetData>
    <row r="1" spans="1:25">
      <c r="A1" s="327" t="str">
        <f>W09_PG_1_of_5!A1</f>
        <v>Kentucky Power Company</v>
      </c>
    </row>
    <row r="2" spans="1:25">
      <c r="A2" s="327" t="str">
        <f>W09_PG_1_of_5!A2</f>
        <v>W09-Remove Tariff P.P.A. Revenues and Non-Transmission Expenses Recovered Through Tariff P.P.A.</v>
      </c>
    </row>
    <row r="3" spans="1:25">
      <c r="A3" s="328" t="s">
        <v>901</v>
      </c>
    </row>
    <row r="4" spans="1:25">
      <c r="A4" s="327" t="str">
        <f>W09_PG_1_of_5!A4</f>
        <v>For the Twelve Months Ended March 31, 2023</v>
      </c>
    </row>
    <row r="6" spans="1:25" ht="18.5">
      <c r="A6" s="367" t="s">
        <v>900</v>
      </c>
      <c r="B6" s="367"/>
      <c r="J6" s="367" t="s">
        <v>900</v>
      </c>
      <c r="U6" s="367" t="s">
        <v>900</v>
      </c>
    </row>
    <row r="9" spans="1:25" ht="15" thickBot="1"/>
    <row r="10" spans="1:25" ht="15.5" thickTop="1" thickBot="1">
      <c r="L10" s="826" t="s">
        <v>895</v>
      </c>
      <c r="M10" s="827"/>
      <c r="N10" s="828"/>
    </row>
    <row r="11" spans="1:25" ht="15" thickTop="1">
      <c r="B11" s="361">
        <v>15000000</v>
      </c>
      <c r="C11" s="329" t="s">
        <v>899</v>
      </c>
      <c r="D11" s="329" t="s">
        <v>898</v>
      </c>
      <c r="F11" s="826" t="s">
        <v>895</v>
      </c>
      <c r="G11" s="827"/>
      <c r="H11" s="828"/>
      <c r="L11" s="829"/>
      <c r="M11" s="830"/>
      <c r="N11" s="831"/>
    </row>
    <row r="12" spans="1:25" ht="15" thickBot="1">
      <c r="B12" s="361">
        <v>15000000</v>
      </c>
      <c r="C12" s="329" t="s">
        <v>897</v>
      </c>
      <c r="F12" s="829"/>
      <c r="G12" s="830"/>
      <c r="H12" s="831"/>
      <c r="L12" s="832">
        <v>1823430</v>
      </c>
      <c r="M12" s="833">
        <f>Q78</f>
        <v>63250.008423325031</v>
      </c>
      <c r="N12" s="831"/>
      <c r="P12" s="332"/>
      <c r="Q12" s="337"/>
    </row>
    <row r="13" spans="1:25" ht="15" thickTop="1">
      <c r="B13" s="361">
        <v>10000000</v>
      </c>
      <c r="C13" s="329" t="s">
        <v>896</v>
      </c>
      <c r="F13" s="832">
        <v>1823431</v>
      </c>
      <c r="G13" s="833">
        <f>B78</f>
        <v>107526.88</v>
      </c>
      <c r="H13" s="831"/>
      <c r="L13" s="832">
        <v>1823429</v>
      </c>
      <c r="M13" s="833">
        <f>-S78</f>
        <v>-31458.993690866391</v>
      </c>
      <c r="N13" s="831"/>
      <c r="P13" s="332"/>
      <c r="Q13" s="337"/>
      <c r="V13" s="366" t="s">
        <v>895</v>
      </c>
      <c r="W13" s="365"/>
      <c r="X13" s="364"/>
    </row>
    <row r="14" spans="1:25" ht="15" thickBot="1">
      <c r="B14" s="361">
        <v>5000000</v>
      </c>
      <c r="C14" s="329" t="s">
        <v>894</v>
      </c>
      <c r="F14" s="832">
        <v>5550153</v>
      </c>
      <c r="G14" s="833">
        <f>-G13</f>
        <v>-107526.88</v>
      </c>
      <c r="H14" s="831"/>
      <c r="L14" s="837">
        <v>4310001</v>
      </c>
      <c r="M14" s="835">
        <f>-R78</f>
        <v>-31791.014732458647</v>
      </c>
      <c r="N14" s="836"/>
      <c r="P14" s="332"/>
      <c r="Q14" s="337"/>
      <c r="V14" s="363"/>
      <c r="W14" s="362"/>
      <c r="X14" s="358"/>
    </row>
    <row r="15" spans="1:25" ht="15.5" thickTop="1" thickBot="1">
      <c r="B15" s="361">
        <v>5000000</v>
      </c>
      <c r="C15" s="329" t="s">
        <v>893</v>
      </c>
      <c r="D15" s="329" t="s">
        <v>892</v>
      </c>
      <c r="F15" s="834"/>
      <c r="G15" s="835"/>
      <c r="H15" s="836"/>
      <c r="V15" s="360" t="s">
        <v>891</v>
      </c>
      <c r="W15" s="359">
        <f>V78</f>
        <v>215053.76</v>
      </c>
      <c r="X15" s="358"/>
      <c r="Y15" s="338"/>
    </row>
    <row r="16" spans="1:25" ht="15" thickTop="1">
      <c r="K16" s="341" t="s">
        <v>890</v>
      </c>
      <c r="L16" s="341" t="s">
        <v>889</v>
      </c>
      <c r="M16" s="341" t="s">
        <v>888</v>
      </c>
      <c r="N16" s="341" t="s">
        <v>887</v>
      </c>
      <c r="O16" s="341" t="s">
        <v>886</v>
      </c>
      <c r="P16" s="341" t="s">
        <v>885</v>
      </c>
      <c r="Q16" s="341" t="s">
        <v>887</v>
      </c>
      <c r="R16" s="341" t="s">
        <v>886</v>
      </c>
      <c r="S16" s="341" t="s">
        <v>885</v>
      </c>
      <c r="V16" s="360">
        <v>5550153</v>
      </c>
      <c r="W16" s="359">
        <f>-W15</f>
        <v>-215053.76</v>
      </c>
      <c r="X16" s="358"/>
      <c r="Y16" s="338"/>
    </row>
    <row r="17" spans="1:24" ht="15" thickBot="1">
      <c r="B17" s="329" t="s">
        <v>884</v>
      </c>
      <c r="C17" s="329" t="s">
        <v>883</v>
      </c>
      <c r="K17" s="341" t="s">
        <v>882</v>
      </c>
      <c r="L17" s="341" t="s">
        <v>881</v>
      </c>
      <c r="M17" s="341" t="s">
        <v>880</v>
      </c>
      <c r="N17" s="341" t="s">
        <v>879</v>
      </c>
      <c r="O17" s="341" t="s">
        <v>879</v>
      </c>
      <c r="P17" s="341" t="s">
        <v>879</v>
      </c>
      <c r="Q17" s="341" t="s">
        <v>225</v>
      </c>
      <c r="R17" s="341" t="s">
        <v>225</v>
      </c>
      <c r="S17" s="341" t="s">
        <v>225</v>
      </c>
      <c r="V17" s="357"/>
      <c r="W17" s="356"/>
      <c r="X17" s="355"/>
    </row>
    <row r="18" spans="1:24" ht="15.5" thickTop="1" thickBot="1">
      <c r="A18" s="331">
        <v>43101</v>
      </c>
      <c r="B18" s="354">
        <v>524193.55</v>
      </c>
      <c r="C18" s="353">
        <f>B18</f>
        <v>524193.55</v>
      </c>
      <c r="L18" s="352">
        <v>0.21</v>
      </c>
    </row>
    <row r="19" spans="1:24">
      <c r="A19" s="331">
        <v>43132</v>
      </c>
      <c r="B19" s="338">
        <v>1250000</v>
      </c>
      <c r="C19" s="338">
        <f t="shared" ref="C19:C50" si="0">C18+B19</f>
        <v>1774193.55</v>
      </c>
      <c r="J19" s="331">
        <v>43132</v>
      </c>
      <c r="K19" s="337">
        <f t="shared" ref="K19:K54" si="1">C18</f>
        <v>524193.55</v>
      </c>
      <c r="L19" s="338">
        <v>0</v>
      </c>
      <c r="M19" s="337">
        <f t="shared" ref="M19:M50" si="2">K19-L19</f>
        <v>524193.55</v>
      </c>
      <c r="N19" s="336">
        <v>7.8799999999999995E-2</v>
      </c>
      <c r="O19" s="336">
        <v>4.1200000000000001E-2</v>
      </c>
      <c r="P19" s="336">
        <v>3.7600000000000001E-2</v>
      </c>
      <c r="Q19" s="337">
        <f t="shared" ref="Q19:Q53" si="3">M19*N19/12</f>
        <v>3442.2043116666664</v>
      </c>
      <c r="R19" s="337">
        <f t="shared" ref="R19:R53" si="4">M19*O19/12</f>
        <v>1799.7311883333332</v>
      </c>
      <c r="S19" s="337">
        <f t="shared" ref="S19:S53" si="5">P19*M19/12</f>
        <v>1642.4731233333334</v>
      </c>
    </row>
    <row r="20" spans="1:24">
      <c r="A20" s="331">
        <v>43160</v>
      </c>
      <c r="B20" s="338">
        <v>1250000</v>
      </c>
      <c r="C20" s="338">
        <f t="shared" si="0"/>
        <v>3024193.55</v>
      </c>
      <c r="J20" s="331">
        <v>43160</v>
      </c>
      <c r="K20" s="337">
        <f t="shared" si="1"/>
        <v>1774193.55</v>
      </c>
      <c r="L20" s="338">
        <f t="shared" ref="L20:L54" si="6">K20*$L$18</f>
        <v>372580.64549999998</v>
      </c>
      <c r="M20" s="337">
        <f t="shared" si="2"/>
        <v>1401612.9045000002</v>
      </c>
      <c r="N20" s="336">
        <v>7.8799999999999995E-2</v>
      </c>
      <c r="O20" s="336">
        <v>4.1200000000000001E-2</v>
      </c>
      <c r="P20" s="336">
        <v>3.7600000000000001E-2</v>
      </c>
      <c r="Q20" s="337">
        <f t="shared" si="3"/>
        <v>9203.9247395500006</v>
      </c>
      <c r="R20" s="337">
        <f t="shared" si="4"/>
        <v>4812.2043054500009</v>
      </c>
      <c r="S20" s="337">
        <f t="shared" si="5"/>
        <v>4391.7204341000006</v>
      </c>
    </row>
    <row r="21" spans="1:24">
      <c r="A21" s="331">
        <v>43191</v>
      </c>
      <c r="B21" s="338">
        <v>1250000</v>
      </c>
      <c r="C21" s="338">
        <f t="shared" si="0"/>
        <v>4274193.55</v>
      </c>
      <c r="J21" s="331">
        <v>43191</v>
      </c>
      <c r="K21" s="337">
        <f t="shared" si="1"/>
        <v>3024193.55</v>
      </c>
      <c r="L21" s="338">
        <f t="shared" si="6"/>
        <v>635080.64549999998</v>
      </c>
      <c r="M21" s="337">
        <f t="shared" si="2"/>
        <v>2389112.9044999997</v>
      </c>
      <c r="N21" s="336">
        <v>7.8799999999999995E-2</v>
      </c>
      <c r="O21" s="336">
        <v>4.1200000000000001E-2</v>
      </c>
      <c r="P21" s="336">
        <v>3.7600000000000001E-2</v>
      </c>
      <c r="Q21" s="337">
        <f t="shared" si="3"/>
        <v>15688.508072883329</v>
      </c>
      <c r="R21" s="337">
        <f t="shared" si="4"/>
        <v>8202.6209721166651</v>
      </c>
      <c r="S21" s="337">
        <f t="shared" si="5"/>
        <v>7485.8871007666667</v>
      </c>
    </row>
    <row r="22" spans="1:24">
      <c r="A22" s="331">
        <v>43221</v>
      </c>
      <c r="B22" s="338">
        <v>1250000</v>
      </c>
      <c r="C22" s="338">
        <f t="shared" si="0"/>
        <v>5524193.5499999998</v>
      </c>
      <c r="J22" s="331">
        <v>43221</v>
      </c>
      <c r="K22" s="337">
        <f t="shared" si="1"/>
        <v>4274193.55</v>
      </c>
      <c r="L22" s="338">
        <f t="shared" si="6"/>
        <v>897580.64549999998</v>
      </c>
      <c r="M22" s="337">
        <f t="shared" si="2"/>
        <v>3376612.9044999997</v>
      </c>
      <c r="N22" s="336">
        <v>7.8799999999999995E-2</v>
      </c>
      <c r="O22" s="336">
        <v>4.1200000000000001E-2</v>
      </c>
      <c r="P22" s="336">
        <v>3.7600000000000001E-2</v>
      </c>
      <c r="Q22" s="337">
        <f t="shared" si="3"/>
        <v>22173.091406216667</v>
      </c>
      <c r="R22" s="337">
        <f t="shared" si="4"/>
        <v>11593.037638783333</v>
      </c>
      <c r="S22" s="337">
        <f t="shared" si="5"/>
        <v>10580.053767433334</v>
      </c>
    </row>
    <row r="23" spans="1:24">
      <c r="A23" s="331">
        <v>43252</v>
      </c>
      <c r="B23" s="338">
        <v>1250000</v>
      </c>
      <c r="C23" s="338">
        <f t="shared" si="0"/>
        <v>6774193.5499999998</v>
      </c>
      <c r="J23" s="331">
        <v>43252</v>
      </c>
      <c r="K23" s="337">
        <f t="shared" si="1"/>
        <v>5524193.5499999998</v>
      </c>
      <c r="L23" s="338">
        <f t="shared" si="6"/>
        <v>1160080.6454999999</v>
      </c>
      <c r="M23" s="337">
        <f t="shared" si="2"/>
        <v>4364112.9045000002</v>
      </c>
      <c r="N23" s="336">
        <v>7.8799999999999995E-2</v>
      </c>
      <c r="O23" s="336">
        <v>4.1200000000000001E-2</v>
      </c>
      <c r="P23" s="336">
        <v>3.7600000000000001E-2</v>
      </c>
      <c r="Q23" s="337">
        <f t="shared" si="3"/>
        <v>28657.674739549999</v>
      </c>
      <c r="R23" s="337">
        <f t="shared" si="4"/>
        <v>14983.454305450001</v>
      </c>
      <c r="S23" s="337">
        <f t="shared" si="5"/>
        <v>13674.220434100002</v>
      </c>
    </row>
    <row r="24" spans="1:24">
      <c r="A24" s="331">
        <v>43282</v>
      </c>
      <c r="B24" s="338">
        <v>1250000</v>
      </c>
      <c r="C24" s="338">
        <f t="shared" si="0"/>
        <v>8024193.5499999998</v>
      </c>
      <c r="J24" s="331">
        <v>43282</v>
      </c>
      <c r="K24" s="337">
        <f t="shared" si="1"/>
        <v>6774193.5499999998</v>
      </c>
      <c r="L24" s="338">
        <f t="shared" si="6"/>
        <v>1422580.6454999999</v>
      </c>
      <c r="M24" s="337">
        <f t="shared" si="2"/>
        <v>5351612.9045000002</v>
      </c>
      <c r="N24" s="336">
        <v>7.8799999999999995E-2</v>
      </c>
      <c r="O24" s="336">
        <v>4.1200000000000001E-2</v>
      </c>
      <c r="P24" s="336">
        <v>3.7600000000000001E-2</v>
      </c>
      <c r="Q24" s="337">
        <f t="shared" si="3"/>
        <v>35142.258072883335</v>
      </c>
      <c r="R24" s="337">
        <f t="shared" si="4"/>
        <v>18373.870972116667</v>
      </c>
      <c r="S24" s="337">
        <f t="shared" si="5"/>
        <v>16768.387100766668</v>
      </c>
    </row>
    <row r="25" spans="1:24">
      <c r="A25" s="331">
        <v>43313</v>
      </c>
      <c r="B25" s="338">
        <v>1250000</v>
      </c>
      <c r="C25" s="338">
        <f t="shared" si="0"/>
        <v>9274193.5500000007</v>
      </c>
      <c r="J25" s="331">
        <v>43313</v>
      </c>
      <c r="K25" s="337">
        <f t="shared" si="1"/>
        <v>8024193.5499999998</v>
      </c>
      <c r="L25" s="338">
        <f t="shared" si="6"/>
        <v>1685080.6454999999</v>
      </c>
      <c r="M25" s="337">
        <f t="shared" si="2"/>
        <v>6339112.9045000002</v>
      </c>
      <c r="N25" s="336">
        <v>7.8799999999999995E-2</v>
      </c>
      <c r="O25" s="336">
        <v>4.1200000000000001E-2</v>
      </c>
      <c r="P25" s="336">
        <v>3.7600000000000001E-2</v>
      </c>
      <c r="Q25" s="337">
        <f t="shared" si="3"/>
        <v>41626.841406216663</v>
      </c>
      <c r="R25" s="337">
        <f t="shared" si="4"/>
        <v>21764.287638783335</v>
      </c>
      <c r="S25" s="337">
        <f t="shared" si="5"/>
        <v>19862.553767433335</v>
      </c>
    </row>
    <row r="26" spans="1:24">
      <c r="A26" s="331">
        <v>43344</v>
      </c>
      <c r="B26" s="338">
        <v>1250000</v>
      </c>
      <c r="C26" s="338">
        <f t="shared" si="0"/>
        <v>10524193.550000001</v>
      </c>
      <c r="F26" s="338"/>
      <c r="J26" s="331">
        <v>43344</v>
      </c>
      <c r="K26" s="337">
        <f t="shared" si="1"/>
        <v>9274193.5500000007</v>
      </c>
      <c r="L26" s="338">
        <f t="shared" si="6"/>
        <v>1947580.6455000001</v>
      </c>
      <c r="M26" s="337">
        <f t="shared" si="2"/>
        <v>7326612.9045000002</v>
      </c>
      <c r="N26" s="336">
        <v>7.8799999999999995E-2</v>
      </c>
      <c r="O26" s="336">
        <v>4.1200000000000001E-2</v>
      </c>
      <c r="P26" s="336">
        <v>3.7600000000000001E-2</v>
      </c>
      <c r="Q26" s="337">
        <f t="shared" si="3"/>
        <v>48111.424739549992</v>
      </c>
      <c r="R26" s="337">
        <f t="shared" si="4"/>
        <v>25154.704305449999</v>
      </c>
      <c r="S26" s="337">
        <f t="shared" si="5"/>
        <v>22956.720434100003</v>
      </c>
    </row>
    <row r="27" spans="1:24">
      <c r="A27" s="331">
        <v>43374</v>
      </c>
      <c r="B27" s="338">
        <v>1250000</v>
      </c>
      <c r="C27" s="338">
        <f t="shared" si="0"/>
        <v>11774193.550000001</v>
      </c>
      <c r="F27" s="338"/>
      <c r="J27" s="331">
        <v>43374</v>
      </c>
      <c r="K27" s="337">
        <f t="shared" si="1"/>
        <v>10524193.550000001</v>
      </c>
      <c r="L27" s="338">
        <f t="shared" si="6"/>
        <v>2210080.6455000001</v>
      </c>
      <c r="M27" s="337">
        <f t="shared" si="2"/>
        <v>8314112.9045000002</v>
      </c>
      <c r="N27" s="336">
        <v>7.8799999999999995E-2</v>
      </c>
      <c r="O27" s="336">
        <v>4.1200000000000001E-2</v>
      </c>
      <c r="P27" s="336">
        <v>3.7600000000000001E-2</v>
      </c>
      <c r="Q27" s="337">
        <f t="shared" si="3"/>
        <v>54596.008072883327</v>
      </c>
      <c r="R27" s="337">
        <f t="shared" si="4"/>
        <v>28545.120972116667</v>
      </c>
      <c r="S27" s="337">
        <f t="shared" si="5"/>
        <v>26050.887100766671</v>
      </c>
    </row>
    <row r="28" spans="1:24">
      <c r="A28" s="331">
        <v>43405</v>
      </c>
      <c r="B28" s="338">
        <v>1250000</v>
      </c>
      <c r="C28" s="338">
        <f t="shared" si="0"/>
        <v>13024193.550000001</v>
      </c>
      <c r="J28" s="331">
        <v>43405</v>
      </c>
      <c r="K28" s="337">
        <f t="shared" si="1"/>
        <v>11774193.550000001</v>
      </c>
      <c r="L28" s="338">
        <f t="shared" si="6"/>
        <v>2472580.6455000001</v>
      </c>
      <c r="M28" s="337">
        <f t="shared" si="2"/>
        <v>9301612.9045000002</v>
      </c>
      <c r="N28" s="336">
        <v>7.8799999999999995E-2</v>
      </c>
      <c r="O28" s="336">
        <v>4.1200000000000001E-2</v>
      </c>
      <c r="P28" s="336">
        <v>3.7600000000000001E-2</v>
      </c>
      <c r="Q28" s="337">
        <f t="shared" si="3"/>
        <v>61080.591406216663</v>
      </c>
      <c r="R28" s="337">
        <f t="shared" si="4"/>
        <v>31935.537638783335</v>
      </c>
      <c r="S28" s="337">
        <f t="shared" si="5"/>
        <v>29145.053767433335</v>
      </c>
    </row>
    <row r="29" spans="1:24">
      <c r="A29" s="331">
        <v>43435</v>
      </c>
      <c r="B29" s="338">
        <v>1250000</v>
      </c>
      <c r="C29" s="338">
        <f t="shared" si="0"/>
        <v>14274193.550000001</v>
      </c>
      <c r="J29" s="331">
        <v>43435</v>
      </c>
      <c r="K29" s="337">
        <f t="shared" si="1"/>
        <v>13024193.550000001</v>
      </c>
      <c r="L29" s="338">
        <f t="shared" si="6"/>
        <v>2735080.6455000001</v>
      </c>
      <c r="M29" s="337">
        <f t="shared" si="2"/>
        <v>10289112.9045</v>
      </c>
      <c r="N29" s="336">
        <v>7.8799999999999995E-2</v>
      </c>
      <c r="O29" s="336">
        <v>4.1200000000000001E-2</v>
      </c>
      <c r="P29" s="336">
        <v>3.7600000000000001E-2</v>
      </c>
      <c r="Q29" s="337">
        <f t="shared" si="3"/>
        <v>67565.174739549999</v>
      </c>
      <c r="R29" s="337">
        <f t="shared" si="4"/>
        <v>35325.954305450003</v>
      </c>
      <c r="S29" s="337">
        <f t="shared" si="5"/>
        <v>32239.220434100003</v>
      </c>
    </row>
    <row r="30" spans="1:24">
      <c r="A30" s="331">
        <v>43466</v>
      </c>
      <c r="B30" s="338">
        <v>1250000</v>
      </c>
      <c r="C30" s="338">
        <f t="shared" si="0"/>
        <v>15524193.550000001</v>
      </c>
      <c r="J30" s="331">
        <v>43466</v>
      </c>
      <c r="K30" s="337">
        <f t="shared" si="1"/>
        <v>14274193.550000001</v>
      </c>
      <c r="L30" s="338">
        <f t="shared" si="6"/>
        <v>2997580.6455000001</v>
      </c>
      <c r="M30" s="337">
        <f t="shared" si="2"/>
        <v>11276612.9045</v>
      </c>
      <c r="N30" s="336">
        <v>7.8799999999999995E-2</v>
      </c>
      <c r="O30" s="336">
        <v>4.1200000000000001E-2</v>
      </c>
      <c r="P30" s="336">
        <v>3.7600000000000001E-2</v>
      </c>
      <c r="Q30" s="337">
        <f t="shared" si="3"/>
        <v>74049.758072883327</v>
      </c>
      <c r="R30" s="337">
        <f t="shared" si="4"/>
        <v>38716.370972116667</v>
      </c>
      <c r="S30" s="337">
        <f t="shared" si="5"/>
        <v>35333.387100766668</v>
      </c>
    </row>
    <row r="31" spans="1:24" s="349" customFormat="1">
      <c r="A31" s="351">
        <v>43497</v>
      </c>
      <c r="B31" s="348">
        <v>1250000</v>
      </c>
      <c r="C31" s="348">
        <f t="shared" si="0"/>
        <v>16774193.550000001</v>
      </c>
      <c r="I31" s="330"/>
      <c r="J31" s="351">
        <v>43497</v>
      </c>
      <c r="K31" s="347">
        <f t="shared" si="1"/>
        <v>15524193.550000001</v>
      </c>
      <c r="L31" s="348">
        <f t="shared" si="6"/>
        <v>3260080.6455000001</v>
      </c>
      <c r="M31" s="347">
        <f t="shared" si="2"/>
        <v>12264112.9045</v>
      </c>
      <c r="N31" s="336">
        <v>7.8799999999999995E-2</v>
      </c>
      <c r="O31" s="336">
        <v>4.1200000000000001E-2</v>
      </c>
      <c r="P31" s="336">
        <v>3.7600000000000001E-2</v>
      </c>
      <c r="Q31" s="337">
        <f t="shared" si="3"/>
        <v>80534.341406216656</v>
      </c>
      <c r="R31" s="337">
        <f t="shared" si="4"/>
        <v>42106.787638783331</v>
      </c>
      <c r="S31" s="337">
        <f t="shared" si="5"/>
        <v>38427.553767433339</v>
      </c>
      <c r="T31" s="350"/>
    </row>
    <row r="32" spans="1:24">
      <c r="A32" s="331">
        <v>43525</v>
      </c>
      <c r="B32" s="338">
        <v>1250000</v>
      </c>
      <c r="C32" s="338">
        <f t="shared" si="0"/>
        <v>18024193.550000001</v>
      </c>
      <c r="J32" s="331">
        <v>43525</v>
      </c>
      <c r="K32" s="347">
        <f t="shared" si="1"/>
        <v>16774193.550000001</v>
      </c>
      <c r="L32" s="348">
        <f t="shared" si="6"/>
        <v>3522580.6455000001</v>
      </c>
      <c r="M32" s="347">
        <f t="shared" si="2"/>
        <v>13251612.9045</v>
      </c>
      <c r="N32" s="336">
        <v>7.8799999999999995E-2</v>
      </c>
      <c r="O32" s="336">
        <v>4.1200000000000001E-2</v>
      </c>
      <c r="P32" s="336">
        <v>3.7600000000000001E-2</v>
      </c>
      <c r="Q32" s="337">
        <f t="shared" si="3"/>
        <v>87018.924739549999</v>
      </c>
      <c r="R32" s="337">
        <f t="shared" si="4"/>
        <v>45497.204305450003</v>
      </c>
      <c r="S32" s="337">
        <f t="shared" si="5"/>
        <v>41521.720434100003</v>
      </c>
    </row>
    <row r="33" spans="1:22">
      <c r="A33" s="331">
        <v>43556</v>
      </c>
      <c r="B33" s="338">
        <v>1250000</v>
      </c>
      <c r="C33" s="338">
        <f t="shared" si="0"/>
        <v>19274193.550000001</v>
      </c>
      <c r="J33" s="331">
        <v>43556</v>
      </c>
      <c r="K33" s="347">
        <f t="shared" si="1"/>
        <v>18024193.550000001</v>
      </c>
      <c r="L33" s="348">
        <f t="shared" si="6"/>
        <v>3785080.6455000001</v>
      </c>
      <c r="M33" s="347">
        <f t="shared" si="2"/>
        <v>14239112.9045</v>
      </c>
      <c r="N33" s="336">
        <v>7.8799999999999995E-2</v>
      </c>
      <c r="O33" s="336">
        <v>4.1200000000000001E-2</v>
      </c>
      <c r="P33" s="336">
        <v>3.7600000000000001E-2</v>
      </c>
      <c r="Q33" s="337">
        <f t="shared" si="3"/>
        <v>93503.508072883342</v>
      </c>
      <c r="R33" s="337">
        <f t="shared" si="4"/>
        <v>48887.620972116674</v>
      </c>
      <c r="S33" s="337">
        <f t="shared" si="5"/>
        <v>44615.887100766668</v>
      </c>
    </row>
    <row r="34" spans="1:22">
      <c r="A34" s="331">
        <v>43586</v>
      </c>
      <c r="B34" s="338">
        <v>1250000</v>
      </c>
      <c r="C34" s="338">
        <f t="shared" si="0"/>
        <v>20524193.550000001</v>
      </c>
      <c r="F34" s="340"/>
      <c r="J34" s="331">
        <v>43586</v>
      </c>
      <c r="K34" s="347">
        <f t="shared" si="1"/>
        <v>19274193.550000001</v>
      </c>
      <c r="L34" s="348">
        <f t="shared" si="6"/>
        <v>4047580.6455000001</v>
      </c>
      <c r="M34" s="347">
        <f t="shared" si="2"/>
        <v>15226612.9045</v>
      </c>
      <c r="N34" s="336">
        <v>7.8799999999999995E-2</v>
      </c>
      <c r="O34" s="336">
        <v>4.1200000000000001E-2</v>
      </c>
      <c r="P34" s="336">
        <v>3.7600000000000001E-2</v>
      </c>
      <c r="Q34" s="337">
        <f t="shared" si="3"/>
        <v>99988.09140621667</v>
      </c>
      <c r="R34" s="337">
        <f t="shared" si="4"/>
        <v>52278.037638783338</v>
      </c>
      <c r="S34" s="337">
        <f t="shared" si="5"/>
        <v>47710.053767433332</v>
      </c>
    </row>
    <row r="35" spans="1:22">
      <c r="A35" s="331">
        <v>43617</v>
      </c>
      <c r="B35" s="338">
        <v>1250000</v>
      </c>
      <c r="C35" s="338">
        <f t="shared" si="0"/>
        <v>21774193.550000001</v>
      </c>
      <c r="F35" s="340"/>
      <c r="J35" s="331">
        <v>43617</v>
      </c>
      <c r="K35" s="347">
        <f t="shared" si="1"/>
        <v>20524193.550000001</v>
      </c>
      <c r="L35" s="348">
        <f t="shared" si="6"/>
        <v>4310080.6454999996</v>
      </c>
      <c r="M35" s="347">
        <f t="shared" si="2"/>
        <v>16214112.9045</v>
      </c>
      <c r="N35" s="336">
        <v>7.8799999999999995E-2</v>
      </c>
      <c r="O35" s="336">
        <v>4.1200000000000001E-2</v>
      </c>
      <c r="P35" s="336">
        <v>3.7600000000000001E-2</v>
      </c>
      <c r="Q35" s="337">
        <f t="shared" si="3"/>
        <v>106472.67473955</v>
      </c>
      <c r="R35" s="337">
        <f t="shared" si="4"/>
        <v>55668.454305450003</v>
      </c>
      <c r="S35" s="337">
        <f t="shared" si="5"/>
        <v>50804.220434099996</v>
      </c>
    </row>
    <row r="36" spans="1:22">
      <c r="A36" s="331">
        <v>43647</v>
      </c>
      <c r="B36" s="338">
        <v>1250000</v>
      </c>
      <c r="C36" s="338">
        <f t="shared" si="0"/>
        <v>23024193.550000001</v>
      </c>
      <c r="J36" s="331">
        <v>43647</v>
      </c>
      <c r="K36" s="347">
        <f t="shared" si="1"/>
        <v>21774193.550000001</v>
      </c>
      <c r="L36" s="348">
        <f t="shared" si="6"/>
        <v>4572580.6454999996</v>
      </c>
      <c r="M36" s="347">
        <f t="shared" si="2"/>
        <v>17201612.9045</v>
      </c>
      <c r="N36" s="336">
        <v>7.8799999999999995E-2</v>
      </c>
      <c r="O36" s="336">
        <v>4.1200000000000001E-2</v>
      </c>
      <c r="P36" s="336">
        <v>3.7600000000000001E-2</v>
      </c>
      <c r="Q36" s="337">
        <f t="shared" si="3"/>
        <v>112957.25807288334</v>
      </c>
      <c r="R36" s="337">
        <f t="shared" si="4"/>
        <v>59058.870972116674</v>
      </c>
      <c r="S36" s="337">
        <f t="shared" si="5"/>
        <v>53898.387100766668</v>
      </c>
    </row>
    <row r="37" spans="1:22">
      <c r="A37" s="331">
        <v>43678</v>
      </c>
      <c r="B37" s="338">
        <v>1250000</v>
      </c>
      <c r="C37" s="338">
        <f t="shared" si="0"/>
        <v>24274193.550000001</v>
      </c>
      <c r="F37" s="340"/>
      <c r="J37" s="331">
        <v>43678</v>
      </c>
      <c r="K37" s="347">
        <f t="shared" si="1"/>
        <v>23024193.550000001</v>
      </c>
      <c r="L37" s="348">
        <f t="shared" si="6"/>
        <v>4835080.6454999996</v>
      </c>
      <c r="M37" s="347">
        <f t="shared" si="2"/>
        <v>18189112.9045</v>
      </c>
      <c r="N37" s="336">
        <v>7.8799999999999995E-2</v>
      </c>
      <c r="O37" s="336">
        <v>4.1200000000000001E-2</v>
      </c>
      <c r="P37" s="336">
        <v>3.7600000000000001E-2</v>
      </c>
      <c r="Q37" s="337">
        <f t="shared" si="3"/>
        <v>119441.84140621666</v>
      </c>
      <c r="R37" s="337">
        <f t="shared" si="4"/>
        <v>62449.287638783338</v>
      </c>
      <c r="S37" s="337">
        <f t="shared" si="5"/>
        <v>56992.553767433332</v>
      </c>
    </row>
    <row r="38" spans="1:22">
      <c r="A38" s="331">
        <v>43709</v>
      </c>
      <c r="B38" s="338">
        <v>1250000</v>
      </c>
      <c r="C38" s="338">
        <f t="shared" si="0"/>
        <v>25524193.550000001</v>
      </c>
      <c r="J38" s="331">
        <v>43709</v>
      </c>
      <c r="K38" s="347">
        <f t="shared" si="1"/>
        <v>24274193.550000001</v>
      </c>
      <c r="L38" s="348">
        <f t="shared" si="6"/>
        <v>5097580.6454999996</v>
      </c>
      <c r="M38" s="347">
        <f t="shared" si="2"/>
        <v>19176612.9045</v>
      </c>
      <c r="N38" s="336">
        <v>7.8799999999999995E-2</v>
      </c>
      <c r="O38" s="336">
        <v>4.1200000000000001E-2</v>
      </c>
      <c r="P38" s="336">
        <v>3.7600000000000001E-2</v>
      </c>
      <c r="Q38" s="337">
        <f t="shared" si="3"/>
        <v>125926.42473954998</v>
      </c>
      <c r="R38" s="337">
        <f t="shared" si="4"/>
        <v>65839.70430545001</v>
      </c>
      <c r="S38" s="337">
        <f t="shared" si="5"/>
        <v>60086.720434099996</v>
      </c>
    </row>
    <row r="39" spans="1:22">
      <c r="A39" s="331">
        <v>43739</v>
      </c>
      <c r="B39" s="338">
        <v>1250000</v>
      </c>
      <c r="C39" s="338">
        <f t="shared" si="0"/>
        <v>26774193.550000001</v>
      </c>
      <c r="J39" s="331">
        <v>43739</v>
      </c>
      <c r="K39" s="347">
        <f t="shared" si="1"/>
        <v>25524193.550000001</v>
      </c>
      <c r="L39" s="348">
        <f t="shared" si="6"/>
        <v>5360080.6454999996</v>
      </c>
      <c r="M39" s="347">
        <f t="shared" si="2"/>
        <v>20164112.9045</v>
      </c>
      <c r="N39" s="336">
        <v>7.8799999999999995E-2</v>
      </c>
      <c r="O39" s="336">
        <v>4.1200000000000001E-2</v>
      </c>
      <c r="P39" s="336">
        <v>3.7600000000000001E-2</v>
      </c>
      <c r="Q39" s="337">
        <f t="shared" si="3"/>
        <v>132411.00807288333</v>
      </c>
      <c r="R39" s="337">
        <f t="shared" si="4"/>
        <v>69230.120972116667</v>
      </c>
      <c r="S39" s="337">
        <f t="shared" si="5"/>
        <v>63180.887100766668</v>
      </c>
    </row>
    <row r="40" spans="1:22">
      <c r="A40" s="331">
        <v>43770</v>
      </c>
      <c r="B40" s="338">
        <v>1250000</v>
      </c>
      <c r="C40" s="338">
        <f t="shared" si="0"/>
        <v>28024193.550000001</v>
      </c>
      <c r="J40" s="331">
        <v>43770</v>
      </c>
      <c r="K40" s="347">
        <f t="shared" si="1"/>
        <v>26774193.550000001</v>
      </c>
      <c r="L40" s="348">
        <f t="shared" si="6"/>
        <v>5622580.6454999996</v>
      </c>
      <c r="M40" s="347">
        <f t="shared" si="2"/>
        <v>21151612.9045</v>
      </c>
      <c r="N40" s="336">
        <v>7.8799999999999995E-2</v>
      </c>
      <c r="O40" s="336">
        <v>4.1200000000000001E-2</v>
      </c>
      <c r="P40" s="336">
        <v>3.7600000000000001E-2</v>
      </c>
      <c r="Q40" s="337">
        <f t="shared" si="3"/>
        <v>138895.59140621664</v>
      </c>
      <c r="R40" s="337">
        <f t="shared" si="4"/>
        <v>72620.537638783338</v>
      </c>
      <c r="S40" s="337">
        <f t="shared" si="5"/>
        <v>66275.053767433332</v>
      </c>
    </row>
    <row r="41" spans="1:22">
      <c r="A41" s="331">
        <v>43800</v>
      </c>
      <c r="B41" s="338">
        <v>1250000</v>
      </c>
      <c r="C41" s="338">
        <f t="shared" si="0"/>
        <v>29274193.550000001</v>
      </c>
      <c r="J41" s="331">
        <v>43800</v>
      </c>
      <c r="K41" s="347">
        <f t="shared" si="1"/>
        <v>28024193.550000001</v>
      </c>
      <c r="L41" s="348">
        <f t="shared" si="6"/>
        <v>5885080.6454999996</v>
      </c>
      <c r="M41" s="347">
        <f t="shared" si="2"/>
        <v>22139112.9045</v>
      </c>
      <c r="N41" s="336">
        <v>7.8799999999999995E-2</v>
      </c>
      <c r="O41" s="336">
        <v>4.1200000000000001E-2</v>
      </c>
      <c r="P41" s="336">
        <v>3.7600000000000001E-2</v>
      </c>
      <c r="Q41" s="337">
        <f t="shared" si="3"/>
        <v>145380.17473954998</v>
      </c>
      <c r="R41" s="337">
        <f t="shared" si="4"/>
        <v>76010.95430545001</v>
      </c>
      <c r="S41" s="337">
        <f t="shared" si="5"/>
        <v>69369.220434100003</v>
      </c>
    </row>
    <row r="42" spans="1:22">
      <c r="A42" s="331">
        <v>43831</v>
      </c>
      <c r="B42" s="338">
        <v>833333.33</v>
      </c>
      <c r="C42" s="338">
        <f t="shared" si="0"/>
        <v>30107526.879999999</v>
      </c>
      <c r="J42" s="331">
        <v>43831</v>
      </c>
      <c r="K42" s="347">
        <f t="shared" si="1"/>
        <v>29274193.550000001</v>
      </c>
      <c r="L42" s="348">
        <f t="shared" si="6"/>
        <v>6147580.6454999996</v>
      </c>
      <c r="M42" s="347">
        <f t="shared" si="2"/>
        <v>23126612.9045</v>
      </c>
      <c r="N42" s="336">
        <v>7.8799999999999995E-2</v>
      </c>
      <c r="O42" s="336">
        <v>4.1200000000000001E-2</v>
      </c>
      <c r="P42" s="336">
        <v>3.7600000000000001E-2</v>
      </c>
      <c r="Q42" s="337">
        <f t="shared" si="3"/>
        <v>151864.75807288333</v>
      </c>
      <c r="R42" s="337">
        <f t="shared" si="4"/>
        <v>79401.370972116667</v>
      </c>
      <c r="S42" s="337">
        <f t="shared" si="5"/>
        <v>72463.387100766675</v>
      </c>
      <c r="U42" s="331">
        <v>43831</v>
      </c>
      <c r="V42" s="338">
        <v>416666.67</v>
      </c>
    </row>
    <row r="43" spans="1:22">
      <c r="A43" s="331">
        <v>43862</v>
      </c>
      <c r="B43" s="338">
        <v>833333.33</v>
      </c>
      <c r="C43" s="338">
        <f t="shared" si="0"/>
        <v>30940860.209999997</v>
      </c>
      <c r="J43" s="331">
        <v>43862</v>
      </c>
      <c r="K43" s="347">
        <f t="shared" si="1"/>
        <v>30107526.879999999</v>
      </c>
      <c r="L43" s="348">
        <f t="shared" si="6"/>
        <v>6322580.6447999999</v>
      </c>
      <c r="M43" s="347">
        <f t="shared" si="2"/>
        <v>23784946.235199999</v>
      </c>
      <c r="N43" s="336">
        <v>7.8799999999999995E-2</v>
      </c>
      <c r="O43" s="336">
        <v>4.1200000000000001E-2</v>
      </c>
      <c r="P43" s="336">
        <v>3.7600000000000001E-2</v>
      </c>
      <c r="Q43" s="337">
        <f t="shared" si="3"/>
        <v>156187.81361114664</v>
      </c>
      <c r="R43" s="337">
        <f t="shared" si="4"/>
        <v>81661.648740853328</v>
      </c>
      <c r="S43" s="337">
        <f t="shared" si="5"/>
        <v>74526.164870293331</v>
      </c>
      <c r="U43" s="331">
        <v>43862</v>
      </c>
      <c r="V43" s="338">
        <v>416666.67</v>
      </c>
    </row>
    <row r="44" spans="1:22">
      <c r="A44" s="331">
        <v>43891</v>
      </c>
      <c r="B44" s="338">
        <v>833333.33</v>
      </c>
      <c r="C44" s="338">
        <f t="shared" si="0"/>
        <v>31774193.539999995</v>
      </c>
      <c r="J44" s="331">
        <v>43891</v>
      </c>
      <c r="K44" s="347">
        <f t="shared" si="1"/>
        <v>30940860.209999997</v>
      </c>
      <c r="L44" s="348">
        <f t="shared" si="6"/>
        <v>6497580.6440999992</v>
      </c>
      <c r="M44" s="347">
        <f t="shared" si="2"/>
        <v>24443279.565899998</v>
      </c>
      <c r="N44" s="336">
        <v>7.8799999999999995E-2</v>
      </c>
      <c r="O44" s="336">
        <v>4.1200000000000001E-2</v>
      </c>
      <c r="P44" s="336">
        <v>3.7600000000000001E-2</v>
      </c>
      <c r="Q44" s="337">
        <f t="shared" si="3"/>
        <v>160510.86914940996</v>
      </c>
      <c r="R44" s="337">
        <f t="shared" si="4"/>
        <v>83921.92650958999</v>
      </c>
      <c r="S44" s="337">
        <f t="shared" si="5"/>
        <v>76588.942639820001</v>
      </c>
      <c r="U44" s="331">
        <v>43891</v>
      </c>
      <c r="V44" s="338">
        <v>416666.67</v>
      </c>
    </row>
    <row r="45" spans="1:22">
      <c r="A45" s="331">
        <v>43922</v>
      </c>
      <c r="B45" s="338">
        <v>833333.33</v>
      </c>
      <c r="C45" s="338">
        <f t="shared" si="0"/>
        <v>32607526.869999994</v>
      </c>
      <c r="J45" s="331">
        <v>43922</v>
      </c>
      <c r="K45" s="347">
        <f t="shared" si="1"/>
        <v>31774193.539999995</v>
      </c>
      <c r="L45" s="348">
        <f t="shared" si="6"/>
        <v>6672580.6433999985</v>
      </c>
      <c r="M45" s="347">
        <f t="shared" si="2"/>
        <v>25101612.896599997</v>
      </c>
      <c r="N45" s="336">
        <v>7.8799999999999995E-2</v>
      </c>
      <c r="O45" s="336">
        <v>4.1200000000000001E-2</v>
      </c>
      <c r="P45" s="336">
        <v>3.7600000000000001E-2</v>
      </c>
      <c r="Q45" s="337">
        <f t="shared" si="3"/>
        <v>164833.92468767331</v>
      </c>
      <c r="R45" s="337">
        <f t="shared" si="4"/>
        <v>86182.204278326666</v>
      </c>
      <c r="S45" s="337">
        <f t="shared" si="5"/>
        <v>78651.720409346657</v>
      </c>
      <c r="U45" s="331">
        <v>43922</v>
      </c>
      <c r="V45" s="338">
        <v>416666.67</v>
      </c>
    </row>
    <row r="46" spans="1:22">
      <c r="A46" s="331">
        <v>43952</v>
      </c>
      <c r="B46" s="338">
        <v>833333.33</v>
      </c>
      <c r="C46" s="338">
        <f t="shared" si="0"/>
        <v>33440860.199999992</v>
      </c>
      <c r="J46" s="331">
        <v>43952</v>
      </c>
      <c r="K46" s="347">
        <f t="shared" si="1"/>
        <v>32607526.869999994</v>
      </c>
      <c r="L46" s="348">
        <f t="shared" si="6"/>
        <v>6847580.6426999988</v>
      </c>
      <c r="M46" s="347">
        <f t="shared" si="2"/>
        <v>25759946.227299996</v>
      </c>
      <c r="N46" s="336">
        <v>7.8799999999999995E-2</v>
      </c>
      <c r="O46" s="336">
        <v>4.1200000000000001E-2</v>
      </c>
      <c r="P46" s="336">
        <v>3.7600000000000001E-2</v>
      </c>
      <c r="Q46" s="337">
        <f t="shared" si="3"/>
        <v>169156.98022593663</v>
      </c>
      <c r="R46" s="337">
        <f t="shared" si="4"/>
        <v>88442.482047063313</v>
      </c>
      <c r="S46" s="337">
        <f t="shared" si="5"/>
        <v>80714.498178873328</v>
      </c>
      <c r="U46" s="331">
        <v>43952</v>
      </c>
      <c r="V46" s="338">
        <v>416666.67</v>
      </c>
    </row>
    <row r="47" spans="1:22">
      <c r="A47" s="331">
        <v>43983</v>
      </c>
      <c r="B47" s="338">
        <v>833333.33</v>
      </c>
      <c r="C47" s="338">
        <f t="shared" si="0"/>
        <v>34274193.529999994</v>
      </c>
      <c r="J47" s="331">
        <v>43983</v>
      </c>
      <c r="K47" s="347">
        <f t="shared" si="1"/>
        <v>33440860.199999992</v>
      </c>
      <c r="L47" s="348">
        <f t="shared" si="6"/>
        <v>7022580.6419999981</v>
      </c>
      <c r="M47" s="347">
        <f t="shared" si="2"/>
        <v>26418279.557999995</v>
      </c>
      <c r="N47" s="336">
        <v>7.8799999999999995E-2</v>
      </c>
      <c r="O47" s="336">
        <v>4.1200000000000001E-2</v>
      </c>
      <c r="P47" s="336">
        <v>3.7600000000000001E-2</v>
      </c>
      <c r="Q47" s="337">
        <f t="shared" si="3"/>
        <v>173480.03576419994</v>
      </c>
      <c r="R47" s="337">
        <f t="shared" si="4"/>
        <v>90702.759815799989</v>
      </c>
      <c r="S47" s="337">
        <f t="shared" si="5"/>
        <v>82777.275948399983</v>
      </c>
      <c r="U47" s="331">
        <v>43983</v>
      </c>
      <c r="V47" s="338">
        <v>416666.67</v>
      </c>
    </row>
    <row r="48" spans="1:22">
      <c r="A48" s="331">
        <v>44013</v>
      </c>
      <c r="B48" s="338">
        <v>833333.33</v>
      </c>
      <c r="C48" s="338">
        <f t="shared" si="0"/>
        <v>35107526.859999992</v>
      </c>
      <c r="J48" s="331">
        <v>44013</v>
      </c>
      <c r="K48" s="347">
        <f t="shared" si="1"/>
        <v>34274193.529999994</v>
      </c>
      <c r="L48" s="348">
        <f t="shared" si="6"/>
        <v>7197580.6412999984</v>
      </c>
      <c r="M48" s="347">
        <f t="shared" si="2"/>
        <v>27076612.888699993</v>
      </c>
      <c r="N48" s="336">
        <v>7.8799999999999995E-2</v>
      </c>
      <c r="O48" s="336">
        <v>4.1200000000000001E-2</v>
      </c>
      <c r="P48" s="336">
        <v>3.7600000000000001E-2</v>
      </c>
      <c r="Q48" s="337">
        <f t="shared" si="3"/>
        <v>177803.09130246329</v>
      </c>
      <c r="R48" s="337">
        <f t="shared" si="4"/>
        <v>92963.037584536651</v>
      </c>
      <c r="S48" s="337">
        <f t="shared" si="5"/>
        <v>84840.053717926654</v>
      </c>
      <c r="U48" s="331">
        <v>44013</v>
      </c>
      <c r="V48" s="338">
        <v>416666.67</v>
      </c>
    </row>
    <row r="49" spans="1:22">
      <c r="A49" s="331">
        <v>44044</v>
      </c>
      <c r="B49" s="338">
        <v>833333.33</v>
      </c>
      <c r="C49" s="338">
        <f t="shared" si="0"/>
        <v>35940860.18999999</v>
      </c>
      <c r="J49" s="331">
        <v>44044</v>
      </c>
      <c r="K49" s="347">
        <f t="shared" si="1"/>
        <v>35107526.859999992</v>
      </c>
      <c r="L49" s="348">
        <f t="shared" si="6"/>
        <v>7372580.6405999977</v>
      </c>
      <c r="M49" s="347">
        <f t="shared" si="2"/>
        <v>27734946.219399996</v>
      </c>
      <c r="N49" s="336">
        <v>7.8799999999999995E-2</v>
      </c>
      <c r="O49" s="336">
        <v>4.1200000000000001E-2</v>
      </c>
      <c r="P49" s="336">
        <v>3.7600000000000001E-2</v>
      </c>
      <c r="Q49" s="337">
        <f t="shared" si="3"/>
        <v>182126.14684072664</v>
      </c>
      <c r="R49" s="337">
        <f t="shared" si="4"/>
        <v>95223.315353273312</v>
      </c>
      <c r="S49" s="337">
        <f t="shared" si="5"/>
        <v>86902.831487453324</v>
      </c>
      <c r="U49" s="331">
        <v>44044</v>
      </c>
      <c r="V49" s="338">
        <v>416666.67</v>
      </c>
    </row>
    <row r="50" spans="1:22">
      <c r="A50" s="331">
        <v>44075</v>
      </c>
      <c r="B50" s="338">
        <v>833333.33</v>
      </c>
      <c r="C50" s="338">
        <f t="shared" si="0"/>
        <v>36774193.519999988</v>
      </c>
      <c r="J50" s="331">
        <v>44075</v>
      </c>
      <c r="K50" s="347">
        <f t="shared" si="1"/>
        <v>35940860.18999999</v>
      </c>
      <c r="L50" s="348">
        <f t="shared" si="6"/>
        <v>7547580.639899998</v>
      </c>
      <c r="M50" s="347">
        <f t="shared" si="2"/>
        <v>28393279.550099991</v>
      </c>
      <c r="N50" s="336">
        <v>7.8799999999999995E-2</v>
      </c>
      <c r="O50" s="336">
        <v>4.1200000000000001E-2</v>
      </c>
      <c r="P50" s="336">
        <v>3.7600000000000001E-2</v>
      </c>
      <c r="Q50" s="337">
        <f t="shared" si="3"/>
        <v>186449.20237898992</v>
      </c>
      <c r="R50" s="337">
        <f t="shared" si="4"/>
        <v>97483.593122009959</v>
      </c>
      <c r="S50" s="337">
        <f t="shared" si="5"/>
        <v>88965.609256979966</v>
      </c>
      <c r="U50" s="331">
        <v>44075</v>
      </c>
      <c r="V50" s="338">
        <v>416666.67</v>
      </c>
    </row>
    <row r="51" spans="1:22">
      <c r="A51" s="331">
        <v>44105</v>
      </c>
      <c r="B51" s="338">
        <v>833333.33</v>
      </c>
      <c r="C51" s="338">
        <f t="shared" ref="C51:C78" si="7">C50+B51</f>
        <v>37607526.849999987</v>
      </c>
      <c r="J51" s="331">
        <v>44105</v>
      </c>
      <c r="K51" s="347">
        <f t="shared" si="1"/>
        <v>36774193.519999988</v>
      </c>
      <c r="L51" s="348">
        <f t="shared" si="6"/>
        <v>7722580.6391999973</v>
      </c>
      <c r="M51" s="347">
        <f t="shared" ref="M51:M78" si="8">K51-L51</f>
        <v>29051612.88079999</v>
      </c>
      <c r="N51" s="336">
        <v>7.8799999999999995E-2</v>
      </c>
      <c r="O51" s="336">
        <v>4.1200000000000001E-2</v>
      </c>
      <c r="P51" s="336">
        <v>3.7600000000000001E-2</v>
      </c>
      <c r="Q51" s="337">
        <f t="shared" si="3"/>
        <v>190772.25791725327</v>
      </c>
      <c r="R51" s="337">
        <f t="shared" si="4"/>
        <v>99743.870890746635</v>
      </c>
      <c r="S51" s="337">
        <f t="shared" si="5"/>
        <v>91028.387026506636</v>
      </c>
      <c r="U51" s="331">
        <v>44105</v>
      </c>
      <c r="V51" s="338">
        <v>416666.67</v>
      </c>
    </row>
    <row r="52" spans="1:22">
      <c r="A52" s="331">
        <v>44136</v>
      </c>
      <c r="B52" s="338">
        <v>833333.33</v>
      </c>
      <c r="C52" s="338">
        <f t="shared" si="7"/>
        <v>38440860.179999985</v>
      </c>
      <c r="J52" s="331">
        <v>44136</v>
      </c>
      <c r="K52" s="347">
        <f t="shared" si="1"/>
        <v>37607526.849999987</v>
      </c>
      <c r="L52" s="348">
        <f t="shared" si="6"/>
        <v>7897580.6384999966</v>
      </c>
      <c r="M52" s="347">
        <f t="shared" si="8"/>
        <v>29709946.211499989</v>
      </c>
      <c r="N52" s="336">
        <v>7.8799999999999995E-2</v>
      </c>
      <c r="O52" s="336">
        <v>4.1200000000000001E-2</v>
      </c>
      <c r="P52" s="336">
        <v>3.7600000000000001E-2</v>
      </c>
      <c r="Q52" s="337">
        <f t="shared" si="3"/>
        <v>195095.31345551659</v>
      </c>
      <c r="R52" s="337">
        <f t="shared" si="4"/>
        <v>102004.1486594833</v>
      </c>
      <c r="S52" s="337">
        <f t="shared" si="5"/>
        <v>93091.164796033307</v>
      </c>
      <c r="U52" s="331">
        <v>44136</v>
      </c>
      <c r="V52" s="338">
        <v>416666.67</v>
      </c>
    </row>
    <row r="53" spans="1:22">
      <c r="A53" s="331">
        <v>44166</v>
      </c>
      <c r="B53" s="338">
        <v>833333.33</v>
      </c>
      <c r="C53" s="338">
        <f t="shared" si="7"/>
        <v>39274193.509999983</v>
      </c>
      <c r="J53" s="331">
        <v>44166</v>
      </c>
      <c r="K53" s="338">
        <f t="shared" si="1"/>
        <v>38440860.179999985</v>
      </c>
      <c r="L53" s="338">
        <f t="shared" si="6"/>
        <v>8072580.6377999969</v>
      </c>
      <c r="M53" s="338">
        <f t="shared" si="8"/>
        <v>30368279.542199988</v>
      </c>
      <c r="N53" s="336">
        <v>7.8799999999999995E-2</v>
      </c>
      <c r="O53" s="336">
        <v>4.1200000000000001E-2</v>
      </c>
      <c r="P53" s="336">
        <v>3.7600000000000001E-2</v>
      </c>
      <c r="Q53" s="334">
        <f t="shared" si="3"/>
        <v>199418.36899377991</v>
      </c>
      <c r="R53" s="334">
        <f t="shared" si="4"/>
        <v>104264.42642821996</v>
      </c>
      <c r="S53" s="334">
        <f t="shared" si="5"/>
        <v>95153.942565559977</v>
      </c>
      <c r="U53" s="331">
        <v>44166</v>
      </c>
      <c r="V53" s="338">
        <v>416666.67</v>
      </c>
    </row>
    <row r="54" spans="1:22">
      <c r="A54" s="331" t="s">
        <v>878</v>
      </c>
      <c r="B54" s="338">
        <v>416666.66</v>
      </c>
      <c r="C54" s="338">
        <f t="shared" si="7"/>
        <v>39690860.169999979</v>
      </c>
      <c r="J54" s="331" t="str">
        <f t="shared" ref="J54:J78" si="9">A54</f>
        <v>Jan 2021 Old</v>
      </c>
      <c r="K54" s="337">
        <f t="shared" si="1"/>
        <v>39274193.509999983</v>
      </c>
      <c r="L54" s="338">
        <f t="shared" si="6"/>
        <v>8247580.6370999962</v>
      </c>
      <c r="M54" s="337">
        <f t="shared" si="8"/>
        <v>31026612.872899987</v>
      </c>
      <c r="N54" s="336">
        <v>7.8799999999999995E-2</v>
      </c>
      <c r="O54" s="336">
        <v>4.1200000000000001E-2</v>
      </c>
      <c r="P54" s="336">
        <v>3.7600000000000001E-2</v>
      </c>
      <c r="Q54" s="334">
        <f>M54*N54/12*13/31</f>
        <v>85439.952223114917</v>
      </c>
      <c r="R54" s="334">
        <f>M54*O54/12*13/31</f>
        <v>44671.65014711085</v>
      </c>
      <c r="S54" s="334">
        <f>P54*M54/12*13/31</f>
        <v>40768.302076004067</v>
      </c>
      <c r="U54" s="331" t="str">
        <f>J54</f>
        <v>Jan 2021 Old</v>
      </c>
      <c r="V54" s="338">
        <v>833333.33</v>
      </c>
    </row>
    <row r="55" spans="1:22">
      <c r="A55" s="331" t="s">
        <v>877</v>
      </c>
      <c r="B55" s="338">
        <v>0</v>
      </c>
      <c r="C55" s="338">
        <f t="shared" si="7"/>
        <v>39690860.169999979</v>
      </c>
      <c r="J55" s="331" t="str">
        <f t="shared" si="9"/>
        <v>Jan 2021 New</v>
      </c>
      <c r="K55" s="337">
        <v>39274193.509999998</v>
      </c>
      <c r="L55" s="338">
        <v>8247580.6399999997</v>
      </c>
      <c r="M55" s="337">
        <f t="shared" si="8"/>
        <v>31026612.869999997</v>
      </c>
      <c r="N55" s="336">
        <v>7.6200000000000004E-2</v>
      </c>
      <c r="O55" s="336">
        <v>3.8300000000000001E-2</v>
      </c>
      <c r="P55" s="336">
        <v>3.7900000000000003E-2</v>
      </c>
      <c r="Q55" s="334">
        <f>M55*N55/12*18/31</f>
        <v>114398.12422712902</v>
      </c>
      <c r="R55" s="334">
        <f>M55*O55/12*18/31</f>
        <v>57499.319657467735</v>
      </c>
      <c r="S55" s="334">
        <f>P55*M55/12*18/31</f>
        <v>56898.80456966129</v>
      </c>
      <c r="U55" s="331" t="str">
        <f>J55</f>
        <v>Jan 2021 New</v>
      </c>
      <c r="V55" s="338">
        <v>0</v>
      </c>
    </row>
    <row r="56" spans="1:22">
      <c r="A56" s="331">
        <v>44228</v>
      </c>
      <c r="B56" s="338">
        <v>416666.66</v>
      </c>
      <c r="C56" s="338">
        <f t="shared" si="7"/>
        <v>40107526.829999976</v>
      </c>
      <c r="J56" s="331">
        <f t="shared" si="9"/>
        <v>44228</v>
      </c>
      <c r="K56" s="337">
        <f t="shared" ref="K56:K78" si="10">C55</f>
        <v>39690860.169999979</v>
      </c>
      <c r="L56" s="338">
        <f t="shared" ref="L56:L78" si="11">K56*$L$18</f>
        <v>8335080.6356999958</v>
      </c>
      <c r="M56" s="337">
        <f t="shared" si="8"/>
        <v>31355779.534299985</v>
      </c>
      <c r="N56" s="336">
        <v>7.6200000000000004E-2</v>
      </c>
      <c r="O56" s="336">
        <v>3.8300000000000001E-2</v>
      </c>
      <c r="P56" s="336">
        <v>3.7900000000000003E-2</v>
      </c>
      <c r="Q56" s="334">
        <f t="shared" ref="Q56:Q77" si="12">M56*N56/12</f>
        <v>199109.20004280491</v>
      </c>
      <c r="R56" s="334">
        <f t="shared" ref="R56:R77" si="13">M56*O56/12</f>
        <v>100077.19634697412</v>
      </c>
      <c r="S56" s="334">
        <f t="shared" ref="S56:S77" si="14">P56*M56/12</f>
        <v>99032.003695830805</v>
      </c>
      <c r="U56" s="331">
        <v>44228</v>
      </c>
      <c r="V56" s="338">
        <v>833333.33</v>
      </c>
    </row>
    <row r="57" spans="1:22">
      <c r="A57" s="331">
        <v>44256</v>
      </c>
      <c r="B57" s="338">
        <v>416666.66</v>
      </c>
      <c r="C57" s="338">
        <f t="shared" si="7"/>
        <v>40524193.489999972</v>
      </c>
      <c r="J57" s="331">
        <f t="shared" si="9"/>
        <v>44256</v>
      </c>
      <c r="K57" s="337">
        <f t="shared" si="10"/>
        <v>40107526.829999976</v>
      </c>
      <c r="L57" s="338">
        <f t="shared" si="11"/>
        <v>8422580.6342999954</v>
      </c>
      <c r="M57" s="337">
        <f t="shared" si="8"/>
        <v>31684946.195699982</v>
      </c>
      <c r="N57" s="336">
        <v>7.6200000000000004E-2</v>
      </c>
      <c r="O57" s="336">
        <v>3.8300000000000001E-2</v>
      </c>
      <c r="P57" s="336">
        <v>3.7900000000000003E-2</v>
      </c>
      <c r="Q57" s="334">
        <f t="shared" si="12"/>
        <v>201199.40834269489</v>
      </c>
      <c r="R57" s="334">
        <f t="shared" si="13"/>
        <v>101127.78660794244</v>
      </c>
      <c r="S57" s="334">
        <f t="shared" si="14"/>
        <v>100071.62173475245</v>
      </c>
      <c r="U57" s="331">
        <v>44256</v>
      </c>
      <c r="V57" s="338">
        <v>833333.33</v>
      </c>
    </row>
    <row r="58" spans="1:22">
      <c r="A58" s="331">
        <v>44287</v>
      </c>
      <c r="B58" s="338">
        <v>416666.66</v>
      </c>
      <c r="C58" s="338">
        <f t="shared" si="7"/>
        <v>40940860.149999969</v>
      </c>
      <c r="J58" s="331">
        <f t="shared" si="9"/>
        <v>44287</v>
      </c>
      <c r="K58" s="337">
        <f t="shared" si="10"/>
        <v>40524193.489999972</v>
      </c>
      <c r="L58" s="338">
        <f t="shared" si="11"/>
        <v>8510080.632899994</v>
      </c>
      <c r="M58" s="337">
        <f t="shared" si="8"/>
        <v>32014112.85709998</v>
      </c>
      <c r="N58" s="336">
        <v>7.6200000000000004E-2</v>
      </c>
      <c r="O58" s="336">
        <v>3.8300000000000001E-2</v>
      </c>
      <c r="P58" s="336">
        <v>3.7900000000000003E-2</v>
      </c>
      <c r="Q58" s="334">
        <f t="shared" si="12"/>
        <v>203289.61664258488</v>
      </c>
      <c r="R58" s="334">
        <f t="shared" si="13"/>
        <v>102178.37686891078</v>
      </c>
      <c r="S58" s="334">
        <f t="shared" si="14"/>
        <v>101111.23977367411</v>
      </c>
      <c r="U58" s="331">
        <v>44287</v>
      </c>
      <c r="V58" s="338">
        <v>833333.33</v>
      </c>
    </row>
    <row r="59" spans="1:22">
      <c r="A59" s="331">
        <v>44317</v>
      </c>
      <c r="B59" s="338">
        <v>416666.66</v>
      </c>
      <c r="C59" s="338">
        <f t="shared" si="7"/>
        <v>41357526.809999965</v>
      </c>
      <c r="J59" s="331">
        <f t="shared" si="9"/>
        <v>44317</v>
      </c>
      <c r="K59" s="337">
        <f t="shared" si="10"/>
        <v>40940860.149999969</v>
      </c>
      <c r="L59" s="338">
        <f t="shared" si="11"/>
        <v>8597580.6314999927</v>
      </c>
      <c r="M59" s="337">
        <f t="shared" si="8"/>
        <v>32343279.518499978</v>
      </c>
      <c r="N59" s="336">
        <v>7.6200000000000004E-2</v>
      </c>
      <c r="O59" s="336">
        <v>3.8300000000000001E-2</v>
      </c>
      <c r="P59" s="336">
        <v>3.7900000000000003E-2</v>
      </c>
      <c r="Q59" s="334">
        <f t="shared" si="12"/>
        <v>205379.82494247486</v>
      </c>
      <c r="R59" s="334">
        <f t="shared" si="13"/>
        <v>103228.96712987911</v>
      </c>
      <c r="S59" s="334">
        <f t="shared" si="14"/>
        <v>102150.85781259577</v>
      </c>
      <c r="U59" s="331">
        <v>44317</v>
      </c>
      <c r="V59" s="338">
        <v>833333.33</v>
      </c>
    </row>
    <row r="60" spans="1:22">
      <c r="A60" s="331">
        <v>44348</v>
      </c>
      <c r="B60" s="338">
        <v>416666.66</v>
      </c>
      <c r="C60" s="338">
        <f t="shared" si="7"/>
        <v>41774193.469999962</v>
      </c>
      <c r="J60" s="331">
        <f t="shared" si="9"/>
        <v>44348</v>
      </c>
      <c r="K60" s="337">
        <f t="shared" si="10"/>
        <v>41357526.809999965</v>
      </c>
      <c r="L60" s="338">
        <f t="shared" si="11"/>
        <v>8685080.6300999932</v>
      </c>
      <c r="M60" s="337">
        <f t="shared" si="8"/>
        <v>32672446.179899972</v>
      </c>
      <c r="N60" s="336">
        <v>7.6200000000000004E-2</v>
      </c>
      <c r="O60" s="336">
        <v>3.8300000000000001E-2</v>
      </c>
      <c r="P60" s="336">
        <v>3.7900000000000003E-2</v>
      </c>
      <c r="Q60" s="334">
        <f t="shared" si="12"/>
        <v>207470.03324236485</v>
      </c>
      <c r="R60" s="334">
        <f t="shared" si="13"/>
        <v>104279.55739084742</v>
      </c>
      <c r="S60" s="334">
        <f t="shared" si="14"/>
        <v>103190.47585151742</v>
      </c>
      <c r="U60" s="331">
        <v>44348</v>
      </c>
      <c r="V60" s="338">
        <v>833333.33</v>
      </c>
    </row>
    <row r="61" spans="1:22">
      <c r="A61" s="331">
        <v>44378</v>
      </c>
      <c r="B61" s="338">
        <v>416666.66</v>
      </c>
      <c r="C61" s="338">
        <f t="shared" si="7"/>
        <v>42190860.129999958</v>
      </c>
      <c r="J61" s="331">
        <f t="shared" si="9"/>
        <v>44378</v>
      </c>
      <c r="K61" s="337">
        <f t="shared" si="10"/>
        <v>41774193.469999962</v>
      </c>
      <c r="L61" s="338">
        <f t="shared" si="11"/>
        <v>8772580.6286999919</v>
      </c>
      <c r="M61" s="337">
        <f t="shared" si="8"/>
        <v>33001612.84129997</v>
      </c>
      <c r="N61" s="336">
        <v>7.6200000000000004E-2</v>
      </c>
      <c r="O61" s="336">
        <v>3.8300000000000001E-2</v>
      </c>
      <c r="P61" s="336">
        <v>3.7900000000000003E-2</v>
      </c>
      <c r="Q61" s="334">
        <f t="shared" si="12"/>
        <v>209560.24154225481</v>
      </c>
      <c r="R61" s="334">
        <f t="shared" si="13"/>
        <v>105330.14765181574</v>
      </c>
      <c r="S61" s="334">
        <f t="shared" si="14"/>
        <v>104230.09389043908</v>
      </c>
      <c r="U61" s="331">
        <v>44378</v>
      </c>
      <c r="V61" s="338">
        <v>833333.33</v>
      </c>
    </row>
    <row r="62" spans="1:22">
      <c r="A62" s="331">
        <v>44409</v>
      </c>
      <c r="B62" s="338">
        <v>416666.66</v>
      </c>
      <c r="C62" s="338">
        <f t="shared" si="7"/>
        <v>42607526.789999954</v>
      </c>
      <c r="J62" s="331">
        <f t="shared" si="9"/>
        <v>44409</v>
      </c>
      <c r="K62" s="337">
        <f t="shared" si="10"/>
        <v>42190860.129999958</v>
      </c>
      <c r="L62" s="338">
        <f t="shared" si="11"/>
        <v>8860080.6272999905</v>
      </c>
      <c r="M62" s="337">
        <f t="shared" si="8"/>
        <v>33330779.502699967</v>
      </c>
      <c r="N62" s="336">
        <v>7.6200000000000004E-2</v>
      </c>
      <c r="O62" s="336">
        <v>3.8300000000000001E-2</v>
      </c>
      <c r="P62" s="336">
        <v>3.7900000000000003E-2</v>
      </c>
      <c r="Q62" s="334">
        <f t="shared" si="12"/>
        <v>211650.44984214482</v>
      </c>
      <c r="R62" s="334">
        <f t="shared" si="13"/>
        <v>106380.73791278405</v>
      </c>
      <c r="S62" s="334">
        <f t="shared" si="14"/>
        <v>105269.71192936074</v>
      </c>
      <c r="U62" s="331">
        <v>44409</v>
      </c>
      <c r="V62" s="338">
        <v>833333.33</v>
      </c>
    </row>
    <row r="63" spans="1:22">
      <c r="A63" s="331">
        <v>44440</v>
      </c>
      <c r="B63" s="338">
        <v>416666.66</v>
      </c>
      <c r="C63" s="338">
        <f t="shared" si="7"/>
        <v>43024193.449999951</v>
      </c>
      <c r="J63" s="331">
        <f t="shared" si="9"/>
        <v>44440</v>
      </c>
      <c r="K63" s="337">
        <f t="shared" si="10"/>
        <v>42607526.789999954</v>
      </c>
      <c r="L63" s="338">
        <f t="shared" si="11"/>
        <v>8947580.625899991</v>
      </c>
      <c r="M63" s="337">
        <f t="shared" si="8"/>
        <v>33659946.164099962</v>
      </c>
      <c r="N63" s="336">
        <v>7.6200000000000004E-2</v>
      </c>
      <c r="O63" s="336">
        <v>3.8300000000000001E-2</v>
      </c>
      <c r="P63" s="336">
        <v>3.7900000000000003E-2</v>
      </c>
      <c r="Q63" s="334">
        <f t="shared" si="12"/>
        <v>213740.65814203478</v>
      </c>
      <c r="R63" s="334">
        <f t="shared" si="13"/>
        <v>107431.32817375236</v>
      </c>
      <c r="S63" s="334">
        <f t="shared" si="14"/>
        <v>106309.32996828239</v>
      </c>
      <c r="U63" s="331">
        <v>44440</v>
      </c>
      <c r="V63" s="338">
        <v>833333.33</v>
      </c>
    </row>
    <row r="64" spans="1:22">
      <c r="A64" s="331">
        <v>44470</v>
      </c>
      <c r="B64" s="338">
        <v>416666.66</v>
      </c>
      <c r="C64" s="338">
        <f t="shared" si="7"/>
        <v>43440860.109999947</v>
      </c>
      <c r="J64" s="331">
        <f t="shared" si="9"/>
        <v>44470</v>
      </c>
      <c r="K64" s="337">
        <f t="shared" si="10"/>
        <v>43024193.449999951</v>
      </c>
      <c r="L64" s="338">
        <f t="shared" si="11"/>
        <v>9035080.6244999897</v>
      </c>
      <c r="M64" s="337">
        <f t="shared" si="8"/>
        <v>33989112.825499959</v>
      </c>
      <c r="N64" s="336">
        <v>7.6200000000000004E-2</v>
      </c>
      <c r="O64" s="336">
        <v>3.8300000000000001E-2</v>
      </c>
      <c r="P64" s="336">
        <v>3.7900000000000003E-2</v>
      </c>
      <c r="Q64" s="334">
        <f t="shared" si="12"/>
        <v>215830.86644192474</v>
      </c>
      <c r="R64" s="334">
        <f t="shared" si="13"/>
        <v>108481.9184347207</v>
      </c>
      <c r="S64" s="334">
        <f t="shared" si="14"/>
        <v>107348.94800720405</v>
      </c>
      <c r="U64" s="331">
        <v>44470</v>
      </c>
      <c r="V64" s="338">
        <v>833333.33</v>
      </c>
    </row>
    <row r="65" spans="1:23">
      <c r="A65" s="331">
        <v>44501</v>
      </c>
      <c r="B65" s="338">
        <v>416666.66</v>
      </c>
      <c r="C65" s="338">
        <f t="shared" si="7"/>
        <v>43857526.769999944</v>
      </c>
      <c r="J65" s="331">
        <f t="shared" si="9"/>
        <v>44501</v>
      </c>
      <c r="K65" s="337">
        <f t="shared" si="10"/>
        <v>43440860.109999947</v>
      </c>
      <c r="L65" s="338">
        <f t="shared" si="11"/>
        <v>9122580.6230999883</v>
      </c>
      <c r="M65" s="337">
        <f t="shared" si="8"/>
        <v>34318279.486899957</v>
      </c>
      <c r="N65" s="336">
        <v>7.6200000000000004E-2</v>
      </c>
      <c r="O65" s="336">
        <v>3.8300000000000001E-2</v>
      </c>
      <c r="P65" s="336">
        <v>3.7900000000000003E-2</v>
      </c>
      <c r="Q65" s="334">
        <f t="shared" si="12"/>
        <v>217921.07474181475</v>
      </c>
      <c r="R65" s="334">
        <f t="shared" si="13"/>
        <v>109532.50869568903</v>
      </c>
      <c r="S65" s="334">
        <f t="shared" si="14"/>
        <v>108388.56604612571</v>
      </c>
      <c r="U65" s="331">
        <v>44501</v>
      </c>
      <c r="V65" s="338">
        <v>833333.33</v>
      </c>
    </row>
    <row r="66" spans="1:23">
      <c r="A66" s="331">
        <v>44531</v>
      </c>
      <c r="B66" s="338">
        <v>416666.66</v>
      </c>
      <c r="C66" s="338">
        <f t="shared" si="7"/>
        <v>44274193.42999994</v>
      </c>
      <c r="J66" s="331">
        <f t="shared" si="9"/>
        <v>44531</v>
      </c>
      <c r="K66" s="337">
        <f t="shared" si="10"/>
        <v>43857526.769999944</v>
      </c>
      <c r="L66" s="338">
        <f t="shared" si="11"/>
        <v>9210080.621699987</v>
      </c>
      <c r="M66" s="337">
        <f t="shared" si="8"/>
        <v>34647446.148299955</v>
      </c>
      <c r="N66" s="336">
        <v>7.6200000000000004E-2</v>
      </c>
      <c r="O66" s="336">
        <v>3.8300000000000001E-2</v>
      </c>
      <c r="P66" s="336">
        <v>3.7900000000000003E-2</v>
      </c>
      <c r="Q66" s="334">
        <f t="shared" si="12"/>
        <v>220011.28304170471</v>
      </c>
      <c r="R66" s="334">
        <f t="shared" si="13"/>
        <v>110583.09895665736</v>
      </c>
      <c r="S66" s="334">
        <f t="shared" si="14"/>
        <v>109428.18408504735</v>
      </c>
      <c r="U66" s="331">
        <v>44531</v>
      </c>
      <c r="V66" s="338">
        <v>833333.33</v>
      </c>
    </row>
    <row r="67" spans="1:23">
      <c r="A67" s="331">
        <v>44562</v>
      </c>
      <c r="B67" s="338">
        <v>416666.66</v>
      </c>
      <c r="C67" s="338">
        <f t="shared" si="7"/>
        <v>44690860.089999937</v>
      </c>
      <c r="J67" s="331">
        <f t="shared" si="9"/>
        <v>44562</v>
      </c>
      <c r="K67" s="337">
        <f t="shared" si="10"/>
        <v>44274193.42999994</v>
      </c>
      <c r="L67" s="338">
        <f t="shared" si="11"/>
        <v>9297580.6202999875</v>
      </c>
      <c r="M67" s="337">
        <f t="shared" si="8"/>
        <v>34976612.809699953</v>
      </c>
      <c r="N67" s="336">
        <v>7.6200000000000004E-2</v>
      </c>
      <c r="O67" s="336">
        <v>3.8300000000000001E-2</v>
      </c>
      <c r="P67" s="336">
        <v>3.7900000000000003E-2</v>
      </c>
      <c r="Q67" s="334">
        <f t="shared" si="12"/>
        <v>222101.49134159472</v>
      </c>
      <c r="R67" s="334">
        <f t="shared" si="13"/>
        <v>111633.6892176257</v>
      </c>
      <c r="S67" s="334">
        <f t="shared" si="14"/>
        <v>110467.80212396903</v>
      </c>
      <c r="U67" s="331">
        <v>44562</v>
      </c>
      <c r="V67" s="338">
        <v>833333.33</v>
      </c>
    </row>
    <row r="68" spans="1:23">
      <c r="A68" s="331">
        <v>44593</v>
      </c>
      <c r="B68" s="338">
        <v>416666.66</v>
      </c>
      <c r="C68" s="338">
        <f t="shared" si="7"/>
        <v>45107526.749999933</v>
      </c>
      <c r="J68" s="331">
        <f t="shared" si="9"/>
        <v>44593</v>
      </c>
      <c r="K68" s="337">
        <f t="shared" si="10"/>
        <v>44690860.089999937</v>
      </c>
      <c r="L68" s="338">
        <f t="shared" si="11"/>
        <v>9385080.6188999861</v>
      </c>
      <c r="M68" s="337">
        <f t="shared" si="8"/>
        <v>35305779.47109995</v>
      </c>
      <c r="N68" s="336">
        <v>7.6200000000000004E-2</v>
      </c>
      <c r="O68" s="336">
        <v>3.8300000000000001E-2</v>
      </c>
      <c r="P68" s="336">
        <v>3.7900000000000003E-2</v>
      </c>
      <c r="Q68" s="334">
        <f t="shared" si="12"/>
        <v>224191.69964148468</v>
      </c>
      <c r="R68" s="334">
        <f t="shared" si="13"/>
        <v>112684.27947859401</v>
      </c>
      <c r="S68" s="334">
        <f t="shared" si="14"/>
        <v>111507.42016289069</v>
      </c>
      <c r="U68" s="331">
        <v>44593</v>
      </c>
      <c r="V68" s="338">
        <v>833333.33</v>
      </c>
    </row>
    <row r="69" spans="1:23">
      <c r="A69" s="331">
        <v>44621</v>
      </c>
      <c r="B69" s="338">
        <v>416666.66</v>
      </c>
      <c r="C69" s="338">
        <f t="shared" si="7"/>
        <v>45524193.409999929</v>
      </c>
      <c r="J69" s="331">
        <f t="shared" si="9"/>
        <v>44621</v>
      </c>
      <c r="K69" s="337">
        <f t="shared" si="10"/>
        <v>45107526.749999933</v>
      </c>
      <c r="L69" s="338">
        <f t="shared" si="11"/>
        <v>9472580.6174999848</v>
      </c>
      <c r="M69" s="337">
        <f t="shared" si="8"/>
        <v>35634946.132499948</v>
      </c>
      <c r="N69" s="336">
        <v>7.6200000000000004E-2</v>
      </c>
      <c r="O69" s="336">
        <v>3.8300000000000001E-2</v>
      </c>
      <c r="P69" s="336">
        <v>3.7900000000000003E-2</v>
      </c>
      <c r="Q69" s="334">
        <f t="shared" si="12"/>
        <v>226281.90794137469</v>
      </c>
      <c r="R69" s="334">
        <f t="shared" si="13"/>
        <v>113734.86973956233</v>
      </c>
      <c r="S69" s="334">
        <f t="shared" si="14"/>
        <v>112547.03820181235</v>
      </c>
      <c r="U69" s="331">
        <v>44621</v>
      </c>
      <c r="V69" s="338">
        <v>833333.33</v>
      </c>
    </row>
    <row r="70" spans="1:23">
      <c r="A70" s="331">
        <v>44652</v>
      </c>
      <c r="B70" s="338">
        <v>416666.66</v>
      </c>
      <c r="C70" s="338">
        <f t="shared" si="7"/>
        <v>45940860.069999926</v>
      </c>
      <c r="J70" s="331">
        <f t="shared" si="9"/>
        <v>44652</v>
      </c>
      <c r="K70" s="337">
        <f t="shared" si="10"/>
        <v>45524193.409999929</v>
      </c>
      <c r="L70" s="338">
        <f t="shared" si="11"/>
        <v>9560080.6160999853</v>
      </c>
      <c r="M70" s="337">
        <f t="shared" si="8"/>
        <v>35964112.793899946</v>
      </c>
      <c r="N70" s="336">
        <v>7.6200000000000004E-2</v>
      </c>
      <c r="O70" s="336">
        <v>3.8300000000000001E-2</v>
      </c>
      <c r="P70" s="336">
        <v>3.7900000000000003E-2</v>
      </c>
      <c r="Q70" s="334">
        <f t="shared" si="12"/>
        <v>228372.11624126465</v>
      </c>
      <c r="R70" s="334">
        <f t="shared" si="13"/>
        <v>114785.46000053066</v>
      </c>
      <c r="S70" s="334">
        <f t="shared" si="14"/>
        <v>113586.656240734</v>
      </c>
      <c r="U70" s="331">
        <v>44652</v>
      </c>
      <c r="V70" s="338">
        <v>833333.33</v>
      </c>
    </row>
    <row r="71" spans="1:23">
      <c r="A71" s="331">
        <v>44682</v>
      </c>
      <c r="B71" s="338">
        <v>416666.66</v>
      </c>
      <c r="C71" s="338">
        <f t="shared" si="7"/>
        <v>46357526.729999922</v>
      </c>
      <c r="J71" s="331">
        <f t="shared" si="9"/>
        <v>44682</v>
      </c>
      <c r="K71" s="337">
        <f t="shared" si="10"/>
        <v>45940860.069999926</v>
      </c>
      <c r="L71" s="338">
        <f t="shared" si="11"/>
        <v>9647580.614699984</v>
      </c>
      <c r="M71" s="337">
        <f t="shared" si="8"/>
        <v>36293279.455299944</v>
      </c>
      <c r="N71" s="336">
        <v>7.6200000000000004E-2</v>
      </c>
      <c r="O71" s="336">
        <v>3.8300000000000001E-2</v>
      </c>
      <c r="P71" s="336">
        <v>3.7900000000000003E-2</v>
      </c>
      <c r="Q71" s="334">
        <f t="shared" si="12"/>
        <v>230462.32454115467</v>
      </c>
      <c r="R71" s="334">
        <f t="shared" si="13"/>
        <v>115836.050261499</v>
      </c>
      <c r="S71" s="334">
        <f t="shared" si="14"/>
        <v>114626.27427965566</v>
      </c>
      <c r="U71" s="331">
        <v>44682</v>
      </c>
      <c r="V71" s="338">
        <v>833333.33</v>
      </c>
    </row>
    <row r="72" spans="1:23">
      <c r="A72" s="331">
        <v>44713</v>
      </c>
      <c r="B72" s="338">
        <v>416666.66</v>
      </c>
      <c r="C72" s="338">
        <f t="shared" si="7"/>
        <v>46774193.389999919</v>
      </c>
      <c r="J72" s="331">
        <f t="shared" si="9"/>
        <v>44713</v>
      </c>
      <c r="K72" s="337">
        <f t="shared" si="10"/>
        <v>46357526.729999922</v>
      </c>
      <c r="L72" s="338">
        <f t="shared" si="11"/>
        <v>9735080.6132999826</v>
      </c>
      <c r="M72" s="337">
        <f t="shared" si="8"/>
        <v>36622446.116699941</v>
      </c>
      <c r="N72" s="336">
        <v>7.6200000000000004E-2</v>
      </c>
      <c r="O72" s="336">
        <v>3.8300000000000001E-2</v>
      </c>
      <c r="P72" s="336">
        <v>3.7900000000000003E-2</v>
      </c>
      <c r="Q72" s="334">
        <f t="shared" si="12"/>
        <v>232552.53284104462</v>
      </c>
      <c r="R72" s="334">
        <f t="shared" si="13"/>
        <v>116886.64052246732</v>
      </c>
      <c r="S72" s="334">
        <f t="shared" si="14"/>
        <v>115665.89231857733</v>
      </c>
      <c r="U72" s="331">
        <v>44713</v>
      </c>
      <c r="V72" s="338">
        <v>833333.33</v>
      </c>
    </row>
    <row r="73" spans="1:23">
      <c r="A73" s="331">
        <v>44743</v>
      </c>
      <c r="B73" s="338">
        <v>416666.66</v>
      </c>
      <c r="C73" s="338">
        <f t="shared" si="7"/>
        <v>47190860.049999915</v>
      </c>
      <c r="J73" s="331">
        <f t="shared" si="9"/>
        <v>44743</v>
      </c>
      <c r="K73" s="337">
        <f t="shared" si="10"/>
        <v>46774193.389999919</v>
      </c>
      <c r="L73" s="338">
        <f t="shared" si="11"/>
        <v>9822580.6118999831</v>
      </c>
      <c r="M73" s="337">
        <f t="shared" si="8"/>
        <v>36951612.778099939</v>
      </c>
      <c r="N73" s="336">
        <v>7.6200000000000004E-2</v>
      </c>
      <c r="O73" s="336">
        <v>3.8300000000000001E-2</v>
      </c>
      <c r="P73" s="336">
        <v>3.7900000000000003E-2</v>
      </c>
      <c r="Q73" s="334">
        <f t="shared" si="12"/>
        <v>234642.74114093464</v>
      </c>
      <c r="R73" s="334">
        <f t="shared" si="13"/>
        <v>117937.23078343563</v>
      </c>
      <c r="S73" s="334">
        <f t="shared" si="14"/>
        <v>116705.51035749899</v>
      </c>
      <c r="U73" s="331">
        <v>44743</v>
      </c>
      <c r="V73" s="338">
        <v>833333.33</v>
      </c>
    </row>
    <row r="74" spans="1:23">
      <c r="A74" s="331">
        <v>44774</v>
      </c>
      <c r="B74" s="338">
        <v>416666.66</v>
      </c>
      <c r="C74" s="338">
        <f t="shared" si="7"/>
        <v>47607526.709999911</v>
      </c>
      <c r="J74" s="331">
        <f t="shared" si="9"/>
        <v>44774</v>
      </c>
      <c r="K74" s="337">
        <f t="shared" si="10"/>
        <v>47190860.049999915</v>
      </c>
      <c r="L74" s="338">
        <f t="shared" si="11"/>
        <v>9910080.6104999818</v>
      </c>
      <c r="M74" s="337">
        <f t="shared" si="8"/>
        <v>37280779.43949993</v>
      </c>
      <c r="N74" s="336">
        <v>7.6200000000000004E-2</v>
      </c>
      <c r="O74" s="336">
        <v>3.8300000000000001E-2</v>
      </c>
      <c r="P74" s="336">
        <v>3.7900000000000003E-2</v>
      </c>
      <c r="Q74" s="334">
        <f t="shared" si="12"/>
        <v>236732.94944082457</v>
      </c>
      <c r="R74" s="334">
        <f t="shared" si="13"/>
        <v>118987.82104440394</v>
      </c>
      <c r="S74" s="334">
        <f t="shared" si="14"/>
        <v>117745.12839642062</v>
      </c>
      <c r="U74" s="331">
        <v>44774</v>
      </c>
      <c r="V74" s="338">
        <v>833333.33</v>
      </c>
    </row>
    <row r="75" spans="1:23">
      <c r="A75" s="331">
        <v>44805</v>
      </c>
      <c r="B75" s="338">
        <v>416666.66</v>
      </c>
      <c r="C75" s="338">
        <f t="shared" si="7"/>
        <v>48024193.369999908</v>
      </c>
      <c r="J75" s="331">
        <f t="shared" si="9"/>
        <v>44805</v>
      </c>
      <c r="K75" s="337">
        <f t="shared" si="10"/>
        <v>47607526.709999911</v>
      </c>
      <c r="L75" s="338">
        <f t="shared" si="11"/>
        <v>9997580.6090999804</v>
      </c>
      <c r="M75" s="337">
        <f t="shared" si="8"/>
        <v>37609946.100899935</v>
      </c>
      <c r="N75" s="336">
        <v>7.6200000000000004E-2</v>
      </c>
      <c r="O75" s="336">
        <v>3.8300000000000001E-2</v>
      </c>
      <c r="P75" s="336">
        <v>3.7900000000000003E-2</v>
      </c>
      <c r="Q75" s="334">
        <f t="shared" si="12"/>
        <v>238823.15774071461</v>
      </c>
      <c r="R75" s="334">
        <f t="shared" si="13"/>
        <v>120038.4113053723</v>
      </c>
      <c r="S75" s="334">
        <f t="shared" si="14"/>
        <v>118784.7464353423</v>
      </c>
      <c r="U75" s="331">
        <v>44805</v>
      </c>
      <c r="V75" s="338">
        <v>833333.33</v>
      </c>
    </row>
    <row r="76" spans="1:23">
      <c r="A76" s="331">
        <v>44835</v>
      </c>
      <c r="B76" s="338">
        <v>416666.66</v>
      </c>
      <c r="C76" s="338">
        <f t="shared" si="7"/>
        <v>48440860.029999904</v>
      </c>
      <c r="J76" s="331">
        <f t="shared" si="9"/>
        <v>44835</v>
      </c>
      <c r="K76" s="337">
        <f t="shared" si="10"/>
        <v>48024193.369999908</v>
      </c>
      <c r="L76" s="338">
        <f t="shared" si="11"/>
        <v>10085080.607699981</v>
      </c>
      <c r="M76" s="337">
        <f t="shared" si="8"/>
        <v>37939112.762299925</v>
      </c>
      <c r="N76" s="336">
        <v>7.6200000000000004E-2</v>
      </c>
      <c r="O76" s="336">
        <v>3.8300000000000001E-2</v>
      </c>
      <c r="P76" s="336">
        <v>3.7900000000000003E-2</v>
      </c>
      <c r="Q76" s="334">
        <f t="shared" si="12"/>
        <v>240913.36604060454</v>
      </c>
      <c r="R76" s="334">
        <f t="shared" si="13"/>
        <v>121089.00156634061</v>
      </c>
      <c r="S76" s="334">
        <f t="shared" si="14"/>
        <v>119824.36447426393</v>
      </c>
      <c r="U76" s="331">
        <v>44835</v>
      </c>
      <c r="V76" s="338">
        <v>833333.33</v>
      </c>
    </row>
    <row r="77" spans="1:23">
      <c r="A77" s="331">
        <v>44866</v>
      </c>
      <c r="B77" s="338">
        <v>416666.66</v>
      </c>
      <c r="C77" s="338">
        <f t="shared" si="7"/>
        <v>48857526.689999901</v>
      </c>
      <c r="J77" s="331">
        <f t="shared" si="9"/>
        <v>44866</v>
      </c>
      <c r="K77" s="337">
        <f t="shared" si="10"/>
        <v>48440860.029999904</v>
      </c>
      <c r="L77" s="338">
        <f t="shared" si="11"/>
        <v>10172580.60629998</v>
      </c>
      <c r="M77" s="337">
        <f t="shared" si="8"/>
        <v>38268279.423699923</v>
      </c>
      <c r="N77" s="336">
        <v>7.6200000000000004E-2</v>
      </c>
      <c r="O77" s="336">
        <v>3.8300000000000001E-2</v>
      </c>
      <c r="P77" s="336">
        <v>3.7900000000000003E-2</v>
      </c>
      <c r="Q77" s="334">
        <f t="shared" si="12"/>
        <v>243003.5743404945</v>
      </c>
      <c r="R77" s="334">
        <f t="shared" si="13"/>
        <v>122139.59182730892</v>
      </c>
      <c r="S77" s="334">
        <f t="shared" si="14"/>
        <v>120863.98251318559</v>
      </c>
      <c r="U77" s="331">
        <v>44866</v>
      </c>
      <c r="V77" s="338">
        <v>833333.33</v>
      </c>
    </row>
    <row r="78" spans="1:23">
      <c r="A78" s="346" t="s">
        <v>876</v>
      </c>
      <c r="B78" s="343">
        <v>107526.88</v>
      </c>
      <c r="C78" s="343">
        <f t="shared" si="7"/>
        <v>48965053.569999903</v>
      </c>
      <c r="D78" s="329" t="s">
        <v>875</v>
      </c>
      <c r="J78" s="331" t="str">
        <f t="shared" si="9"/>
        <v>Dec 1 to 8 2022</v>
      </c>
      <c r="K78" s="337">
        <f t="shared" si="10"/>
        <v>48857526.689999901</v>
      </c>
      <c r="L78" s="338">
        <f t="shared" si="11"/>
        <v>10260080.604899978</v>
      </c>
      <c r="M78" s="337">
        <f t="shared" si="8"/>
        <v>38597446.085099921</v>
      </c>
      <c r="N78" s="336">
        <v>7.6200000000000004E-2</v>
      </c>
      <c r="O78" s="336">
        <v>3.8300000000000001E-2</v>
      </c>
      <c r="P78" s="336">
        <v>3.7900000000000003E-2</v>
      </c>
      <c r="Q78" s="345">
        <f>M78*(N78/12)*(8/31)</f>
        <v>63250.008423325031</v>
      </c>
      <c r="R78" s="345">
        <f>M78*(O78/12)*(8/31)</f>
        <v>31791.014732458647</v>
      </c>
      <c r="S78" s="345">
        <f>P78*(M78/12)*(8/31)</f>
        <v>31458.993690866391</v>
      </c>
      <c r="U78" s="344">
        <v>44896</v>
      </c>
      <c r="V78" s="343">
        <v>215053.76</v>
      </c>
      <c r="W78" s="329" t="s">
        <v>875</v>
      </c>
    </row>
    <row r="79" spans="1:23">
      <c r="B79" s="337"/>
      <c r="P79" s="339" t="s">
        <v>874</v>
      </c>
      <c r="Q79" s="338">
        <f>SUM(Q19:Q78)</f>
        <v>8937894.6640716083</v>
      </c>
      <c r="R79" s="338">
        <f>SUM(R19:R78)</f>
        <v>4571195.9147644034</v>
      </c>
      <c r="S79" s="338">
        <f>SUM(S19:S78)</f>
        <v>4366698.749307205</v>
      </c>
    </row>
    <row r="80" spans="1:23">
      <c r="B80" s="337"/>
      <c r="Q80" s="332"/>
      <c r="R80" s="332"/>
      <c r="S80" s="332"/>
    </row>
    <row r="81" spans="1:19" ht="15.5">
      <c r="A81" s="44" t="s">
        <v>2</v>
      </c>
      <c r="B81" s="44" t="s">
        <v>3</v>
      </c>
      <c r="C81" s="342"/>
      <c r="D81" s="342"/>
      <c r="E81" s="342"/>
      <c r="F81" s="342"/>
      <c r="G81" s="342"/>
      <c r="H81" s="342"/>
      <c r="Q81" s="332"/>
      <c r="R81" s="332"/>
      <c r="S81" s="332"/>
    </row>
    <row r="82" spans="1:19" ht="15.5">
      <c r="A82" s="342"/>
      <c r="B82" s="342"/>
      <c r="C82" s="342"/>
      <c r="D82" s="342"/>
      <c r="E82" s="342"/>
      <c r="F82" s="342"/>
      <c r="G82" s="342"/>
      <c r="H82" s="342"/>
      <c r="Q82" s="332"/>
      <c r="R82" s="332"/>
      <c r="S82" s="332"/>
    </row>
    <row r="83" spans="1:19">
      <c r="Q83" s="332"/>
      <c r="R83" s="332"/>
      <c r="S83" s="332"/>
    </row>
    <row r="84" spans="1:19">
      <c r="B84" s="341"/>
      <c r="C84" s="341"/>
      <c r="Q84" s="340"/>
      <c r="R84" s="340"/>
      <c r="S84" s="340"/>
    </row>
    <row r="85" spans="1:19">
      <c r="A85" s="339"/>
      <c r="K85" s="337"/>
      <c r="L85" s="338"/>
      <c r="M85" s="337"/>
      <c r="N85" s="336"/>
      <c r="O85" s="336"/>
      <c r="P85" s="336"/>
      <c r="Q85" s="334"/>
      <c r="R85" s="334"/>
      <c r="S85" s="334"/>
    </row>
    <row r="86" spans="1:19">
      <c r="A86" s="331"/>
      <c r="J86" s="331"/>
      <c r="K86" s="337"/>
      <c r="L86" s="338"/>
      <c r="M86" s="337"/>
      <c r="N86" s="336"/>
      <c r="O86" s="336"/>
      <c r="P86" s="335"/>
      <c r="Q86" s="334"/>
      <c r="R86" s="334"/>
      <c r="S86" s="334"/>
    </row>
    <row r="87" spans="1:19">
      <c r="A87" s="331"/>
      <c r="J87" s="331"/>
      <c r="Q87" s="333"/>
      <c r="R87" s="333"/>
      <c r="S87" s="333"/>
    </row>
    <row r="88" spans="1:19">
      <c r="A88" s="331"/>
      <c r="J88" s="331"/>
      <c r="Q88" s="332"/>
      <c r="R88" s="332"/>
      <c r="S88" s="332"/>
    </row>
    <row r="89" spans="1:19">
      <c r="A89" s="331"/>
      <c r="J89" s="331"/>
      <c r="Q89" s="332"/>
      <c r="R89" s="332"/>
      <c r="S89" s="332"/>
    </row>
    <row r="90" spans="1:19">
      <c r="A90" s="331"/>
      <c r="J90" s="331"/>
    </row>
    <row r="91" spans="1:19">
      <c r="A91" s="331"/>
      <c r="J91" s="331"/>
    </row>
    <row r="92" spans="1:19">
      <c r="A92" s="331"/>
      <c r="J92" s="331"/>
    </row>
    <row r="93" spans="1:19">
      <c r="A93" s="331"/>
      <c r="J93" s="331"/>
    </row>
    <row r="94" spans="1:19">
      <c r="A94" s="331"/>
      <c r="J94" s="331"/>
    </row>
    <row r="95" spans="1:19">
      <c r="A95" s="331"/>
      <c r="J95" s="331"/>
    </row>
    <row r="96" spans="1:19">
      <c r="A96" s="331"/>
      <c r="J96" s="331"/>
    </row>
    <row r="97" spans="1:10">
      <c r="A97" s="331"/>
      <c r="J97" s="331"/>
    </row>
    <row r="98" spans="1:10">
      <c r="A98" s="331"/>
      <c r="J98" s="331"/>
    </row>
    <row r="99" spans="1:10">
      <c r="A99" s="331"/>
      <c r="J99" s="331"/>
    </row>
    <row r="100" spans="1:10">
      <c r="A100" s="331"/>
      <c r="J100" s="331"/>
    </row>
    <row r="101" spans="1:10">
      <c r="A101" s="331"/>
      <c r="J101" s="331"/>
    </row>
    <row r="102" spans="1:10">
      <c r="A102" s="331"/>
      <c r="J102" s="331"/>
    </row>
    <row r="103" spans="1:10">
      <c r="A103" s="331"/>
      <c r="J103" s="331"/>
    </row>
    <row r="104" spans="1:10">
      <c r="A104" s="331"/>
      <c r="J104" s="331"/>
    </row>
    <row r="105" spans="1:10">
      <c r="A105" s="331"/>
      <c r="J105" s="331"/>
    </row>
    <row r="106" spans="1:10">
      <c r="A106" s="331"/>
      <c r="J106" s="331"/>
    </row>
    <row r="107" spans="1:10">
      <c r="A107" s="331"/>
      <c r="J107" s="331"/>
    </row>
    <row r="108" spans="1:10">
      <c r="A108" s="331"/>
      <c r="J108" s="331"/>
    </row>
    <row r="109" spans="1:10">
      <c r="A109" s="331"/>
      <c r="J109" s="331"/>
    </row>
    <row r="110" spans="1:10">
      <c r="A110" s="331"/>
      <c r="J110" s="331"/>
    </row>
    <row r="111" spans="1:10">
      <c r="A111" s="331"/>
      <c r="J111" s="331"/>
    </row>
    <row r="112" spans="1:10">
      <c r="A112" s="331"/>
      <c r="J112" s="331"/>
    </row>
    <row r="113" spans="1:10">
      <c r="A113" s="331"/>
      <c r="J113" s="331"/>
    </row>
    <row r="114" spans="1:10">
      <c r="A114" s="331"/>
      <c r="J114" s="331"/>
    </row>
    <row r="115" spans="1:10">
      <c r="A115" s="331"/>
      <c r="J115" s="331"/>
    </row>
    <row r="116" spans="1:10">
      <c r="A116" s="331"/>
      <c r="J116" s="331"/>
    </row>
    <row r="117" spans="1:10">
      <c r="A117" s="331"/>
      <c r="J117" s="331"/>
    </row>
    <row r="118" spans="1:10">
      <c r="A118" s="331"/>
      <c r="J118" s="331"/>
    </row>
    <row r="119" spans="1:10">
      <c r="A119" s="331"/>
      <c r="J119" s="331"/>
    </row>
    <row r="120" spans="1:10">
      <c r="A120" s="331"/>
      <c r="J120" s="331"/>
    </row>
    <row r="121" spans="1:10">
      <c r="A121" s="331"/>
      <c r="J121" s="331"/>
    </row>
    <row r="122" spans="1:10">
      <c r="A122" s="331"/>
      <c r="J122" s="331"/>
    </row>
    <row r="123" spans="1:10">
      <c r="A123" s="331"/>
      <c r="J123" s="331"/>
    </row>
    <row r="124" spans="1:10">
      <c r="A124" s="331"/>
      <c r="J124" s="331"/>
    </row>
    <row r="125" spans="1:10">
      <c r="A125" s="331"/>
      <c r="J125" s="331"/>
    </row>
    <row r="126" spans="1:10">
      <c r="A126" s="331"/>
      <c r="J126" s="331"/>
    </row>
    <row r="127" spans="1:10">
      <c r="A127" s="331"/>
      <c r="J127" s="331"/>
    </row>
    <row r="128" spans="1:10">
      <c r="A128" s="331"/>
      <c r="J128" s="331"/>
    </row>
    <row r="129" spans="1:10">
      <c r="A129" s="331"/>
      <c r="J129" s="331"/>
    </row>
    <row r="130" spans="1:10">
      <c r="A130" s="331"/>
      <c r="J130" s="331"/>
    </row>
    <row r="131" spans="1:10">
      <c r="A131" s="331"/>
      <c r="J131" s="331"/>
    </row>
    <row r="132" spans="1:10">
      <c r="A132" s="331"/>
      <c r="J132" s="331"/>
    </row>
    <row r="133" spans="1:10">
      <c r="A133" s="331"/>
      <c r="J133" s="331"/>
    </row>
    <row r="134" spans="1:10">
      <c r="A134" s="331"/>
      <c r="J134" s="331"/>
    </row>
    <row r="135" spans="1:10">
      <c r="A135" s="331"/>
      <c r="J135" s="331"/>
    </row>
    <row r="136" spans="1:10">
      <c r="A136" s="331"/>
      <c r="J136" s="331"/>
    </row>
    <row r="137" spans="1:10">
      <c r="A137" s="331"/>
      <c r="J137" s="331"/>
    </row>
    <row r="138" spans="1:10">
      <c r="A138" s="331"/>
      <c r="J138" s="331"/>
    </row>
    <row r="139" spans="1:10">
      <c r="A139" s="331"/>
      <c r="J139" s="331"/>
    </row>
    <row r="140" spans="1:10">
      <c r="A140" s="331"/>
      <c r="J140" s="331"/>
    </row>
    <row r="141" spans="1:10">
      <c r="A141" s="331"/>
      <c r="J141" s="331"/>
    </row>
    <row r="142" spans="1:10">
      <c r="A142" s="331"/>
      <c r="J142" s="331"/>
    </row>
    <row r="143" spans="1:10">
      <c r="A143" s="331"/>
      <c r="J143" s="331"/>
    </row>
    <row r="144" spans="1:10">
      <c r="A144" s="331"/>
      <c r="J144" s="331"/>
    </row>
    <row r="145" spans="1:10">
      <c r="A145" s="331"/>
      <c r="J145" s="331"/>
    </row>
  </sheetData>
  <pageMargins left="0.24" right="0.18" top="0.75" bottom="0.75" header="0.3" footer="0.3"/>
  <pageSetup scale="51" orientation="landscape" r:id="rId1"/>
  <headerFooter>
    <oddFooter>&amp;L&amp;Z&amp;F&amp;F&amp;A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56BC0-0FDE-4084-A540-F9CB0321364B}">
  <dimension ref="A1:Q71"/>
  <sheetViews>
    <sheetView zoomScale="85" zoomScaleNormal="85" workbookViewId="0">
      <selection activeCell="H8" sqref="H8:I8"/>
    </sheetView>
  </sheetViews>
  <sheetFormatPr defaultColWidth="9.1796875" defaultRowHeight="14.5"/>
  <cols>
    <col min="1" max="1" width="15" style="329" bestFit="1" customWidth="1"/>
    <col min="2" max="3" width="13.54296875" style="329" customWidth="1"/>
    <col min="4" max="4" width="2.54296875" style="329" customWidth="1"/>
    <col min="5" max="6" width="13.54296875" style="329" customWidth="1"/>
    <col min="7" max="7" width="2.26953125" style="329" customWidth="1"/>
    <col min="8" max="9" width="13.54296875" style="329" customWidth="1"/>
    <col min="10" max="10" width="1.81640625" style="329" customWidth="1"/>
    <col min="11" max="11" width="18.453125" style="329" bestFit="1" customWidth="1"/>
    <col min="12" max="12" width="17" style="329" bestFit="1" customWidth="1"/>
    <col min="13" max="13" width="18" style="329" bestFit="1" customWidth="1"/>
    <col min="14" max="14" width="2.54296875" style="329" customWidth="1"/>
    <col min="15" max="16384" width="9.1796875" style="329"/>
  </cols>
  <sheetData>
    <row r="1" spans="1:17">
      <c r="A1" s="327" t="str">
        <f>W09_PG_1_of_5!A1</f>
        <v>Kentucky Power Company</v>
      </c>
    </row>
    <row r="2" spans="1:17">
      <c r="A2" s="327" t="str">
        <f>W09_PG_1_of_5!A2</f>
        <v>W09-Remove Tariff P.P.A. Revenues and Non-Transmission Expenses Recovered Through Tariff P.P.A.</v>
      </c>
    </row>
    <row r="3" spans="1:17">
      <c r="A3" s="328" t="s">
        <v>908</v>
      </c>
    </row>
    <row r="4" spans="1:17">
      <c r="A4" s="327" t="str">
        <f>W09_PG_1_of_5!A4</f>
        <v>For the Twelve Months Ended March 31, 2023</v>
      </c>
      <c r="I4" s="382" t="s">
        <v>907</v>
      </c>
      <c r="K4" s="368">
        <f>W09_PG_3_of_5!C78</f>
        <v>48965053.569999903</v>
      </c>
      <c r="L4" s="368">
        <f>W09_PG_3_of_5!Q79-0.05</f>
        <v>8937894.6140716076</v>
      </c>
      <c r="M4" s="368">
        <f>-W09_PG_3_of_5!S79+0.05</f>
        <v>-4366698.6993072052</v>
      </c>
    </row>
    <row r="5" spans="1:17" ht="15" thickBot="1"/>
    <row r="6" spans="1:17" ht="64.5" customHeight="1" thickBot="1">
      <c r="B6" s="718" t="s">
        <v>906</v>
      </c>
      <c r="C6" s="719"/>
      <c r="E6" s="720" t="s">
        <v>905</v>
      </c>
      <c r="F6" s="721"/>
      <c r="H6" s="718" t="s">
        <v>904</v>
      </c>
      <c r="I6" s="719"/>
      <c r="K6" s="722" t="s">
        <v>903</v>
      </c>
      <c r="L6" s="723"/>
      <c r="M6" s="724"/>
    </row>
    <row r="7" spans="1:17" ht="15" thickBot="1">
      <c r="B7" s="381">
        <v>5550153</v>
      </c>
      <c r="C7" s="380">
        <v>1823431</v>
      </c>
      <c r="E7" s="381">
        <v>4310001</v>
      </c>
      <c r="F7" s="380">
        <v>1823430</v>
      </c>
      <c r="G7" s="341"/>
      <c r="H7" s="381">
        <v>1823429</v>
      </c>
      <c r="I7" s="380">
        <v>1823430</v>
      </c>
      <c r="K7" s="379">
        <v>1823431</v>
      </c>
      <c r="L7" s="378">
        <v>1823430</v>
      </c>
      <c r="M7" s="377">
        <v>1823429</v>
      </c>
    </row>
    <row r="8" spans="1:17">
      <c r="A8" s="339" t="s">
        <v>902</v>
      </c>
      <c r="B8" s="838">
        <f>W09_PG_5_of_5!U77</f>
        <v>518180.51694890234</v>
      </c>
      <c r="C8" s="839">
        <f t="shared" ref="C8:C39" si="0">-B8</f>
        <v>-518180.51694890234</v>
      </c>
      <c r="E8" s="838">
        <f>W09_PG_5_of_5!V77</f>
        <v>48375.412401667927</v>
      </c>
      <c r="F8" s="839">
        <f t="shared" ref="F8:F39" si="1">-E8</f>
        <v>-48375.412401667927</v>
      </c>
      <c r="H8" s="838">
        <f>W09_PG_5_of_5!W77</f>
        <v>46211.287944192976</v>
      </c>
      <c r="I8" s="839">
        <f t="shared" ref="I8:I39" si="2">-H8</f>
        <v>-46211.287944192976</v>
      </c>
      <c r="K8" s="376">
        <f>K4+C8</f>
        <v>48446873.053051002</v>
      </c>
      <c r="L8" s="375">
        <f>L4+F8+I8</f>
        <v>8843307.9137257468</v>
      </c>
      <c r="M8" s="374">
        <f>M4+H8</f>
        <v>-4320487.4113630122</v>
      </c>
      <c r="O8" s="368">
        <f>K8-W09_PG_5_of_5!AA77</f>
        <v>0</v>
      </c>
      <c r="P8" s="368">
        <f>L8-W09_PG_5_of_5!AB77</f>
        <v>4.0716081857681274E-3</v>
      </c>
      <c r="Q8" s="368">
        <f>M8-W09_PG_5_of_5!AC77</f>
        <v>6.92795030772686E-4</v>
      </c>
    </row>
    <row r="9" spans="1:17">
      <c r="A9" s="331">
        <v>44927</v>
      </c>
      <c r="B9" s="373">
        <f>W09_PG_5_of_5!U78</f>
        <v>701024.89012423053</v>
      </c>
      <c r="C9" s="372">
        <f t="shared" si="0"/>
        <v>-701024.89012423053</v>
      </c>
      <c r="E9" s="373">
        <f>W09_PG_5_of_5!V78</f>
        <v>65445.08535996866</v>
      </c>
      <c r="F9" s="372">
        <f t="shared" si="1"/>
        <v>-65445.08535996866</v>
      </c>
      <c r="H9" s="373">
        <f>W09_PG_5_of_5!W78</f>
        <v>62517.331304394742</v>
      </c>
      <c r="I9" s="372">
        <f t="shared" si="2"/>
        <v>-62517.331304394742</v>
      </c>
      <c r="K9" s="373">
        <f t="shared" ref="K9:K40" si="3">K8+C9</f>
        <v>47745848.162926771</v>
      </c>
      <c r="L9" s="337">
        <f t="shared" ref="L9:L40" si="4">L8+F9+I9</f>
        <v>8715345.497061383</v>
      </c>
      <c r="M9" s="372">
        <f t="shared" ref="M9:M40" si="5">M8+H9</f>
        <v>-4257970.0800586175</v>
      </c>
      <c r="O9" s="368">
        <f>K9-W09_PG_5_of_5!AA78</f>
        <v>0</v>
      </c>
      <c r="P9" s="368">
        <f>L9-W09_PG_5_of_5!AB78</f>
        <v>4.0716081857681274E-3</v>
      </c>
      <c r="Q9" s="368">
        <f>M9-W09_PG_5_of_5!AC78</f>
        <v>6.92795030772686E-4</v>
      </c>
    </row>
    <row r="10" spans="1:17">
      <c r="A10" s="331">
        <v>44958</v>
      </c>
      <c r="B10" s="373">
        <f>W09_PG_5_of_5!U79</f>
        <v>704556.13087147288</v>
      </c>
      <c r="C10" s="372">
        <f t="shared" si="0"/>
        <v>-704556.13087147288</v>
      </c>
      <c r="E10" s="373">
        <f>W09_PG_5_of_5!V79</f>
        <v>65774.748907419766</v>
      </c>
      <c r="F10" s="372">
        <f t="shared" si="1"/>
        <v>-65774.748907419766</v>
      </c>
      <c r="H10" s="373">
        <f>W09_PG_5_of_5!W79</f>
        <v>62832.247009701307</v>
      </c>
      <c r="I10" s="372">
        <f t="shared" si="2"/>
        <v>-62832.247009701307</v>
      </c>
      <c r="K10" s="373">
        <f t="shared" si="3"/>
        <v>47041292.032055296</v>
      </c>
      <c r="L10" s="337">
        <f t="shared" si="4"/>
        <v>8586738.501144262</v>
      </c>
      <c r="M10" s="372">
        <f t="shared" si="5"/>
        <v>-4195137.8330489164</v>
      </c>
      <c r="O10" s="368">
        <f>K10-W09_PG_5_of_5!AA79</f>
        <v>0</v>
      </c>
      <c r="P10" s="368">
        <f>L10-W09_PG_5_of_5!AB79</f>
        <v>4.0716081857681274E-3</v>
      </c>
      <c r="Q10" s="368">
        <f>M10-W09_PG_5_of_5!AC79</f>
        <v>6.92795030772686E-4</v>
      </c>
    </row>
    <row r="11" spans="1:17">
      <c r="A11" s="331">
        <v>44986</v>
      </c>
      <c r="B11" s="373">
        <f>W09_PG_5_of_5!U80</f>
        <v>708109.797993563</v>
      </c>
      <c r="C11" s="372">
        <f t="shared" si="0"/>
        <v>-708109.797993563</v>
      </c>
      <c r="E11" s="373">
        <f>W09_PG_5_of_5!V80</f>
        <v>66106.50609810224</v>
      </c>
      <c r="F11" s="372">
        <f t="shared" si="1"/>
        <v>-66106.50609810224</v>
      </c>
      <c r="H11" s="373">
        <f>W09_PG_5_of_5!W80</f>
        <v>63149.162696928717</v>
      </c>
      <c r="I11" s="372">
        <f t="shared" si="2"/>
        <v>-63149.162696928717</v>
      </c>
      <c r="K11" s="373">
        <f t="shared" si="3"/>
        <v>46333182.234061733</v>
      </c>
      <c r="L11" s="337">
        <f t="shared" si="4"/>
        <v>8457482.8323492296</v>
      </c>
      <c r="M11" s="372">
        <f t="shared" si="5"/>
        <v>-4131988.6703519877</v>
      </c>
      <c r="O11" s="368">
        <f>K11-W09_PG_5_of_5!AA80</f>
        <v>0</v>
      </c>
      <c r="P11" s="368">
        <f>L11-W09_PG_5_of_5!AB80</f>
        <v>4.0716081857681274E-3</v>
      </c>
      <c r="Q11" s="368">
        <f>M11-W09_PG_5_of_5!AC80</f>
        <v>6.92795030772686E-4</v>
      </c>
    </row>
    <row r="12" spans="1:17">
      <c r="A12" s="331">
        <v>45017</v>
      </c>
      <c r="B12" s="373">
        <f>W09_PG_5_of_5!U81</f>
        <v>711686.02679291321</v>
      </c>
      <c r="C12" s="372">
        <f t="shared" si="0"/>
        <v>-711686.02679291321</v>
      </c>
      <c r="E12" s="373">
        <f>W09_PG_5_of_5!V81</f>
        <v>66440.369563347791</v>
      </c>
      <c r="F12" s="372">
        <f t="shared" si="1"/>
        <v>-66440.369563347791</v>
      </c>
      <c r="H12" s="373">
        <f>W09_PG_5_of_5!W81</f>
        <v>63468.090432332916</v>
      </c>
      <c r="I12" s="372">
        <f t="shared" si="2"/>
        <v>-63468.090432332916</v>
      </c>
      <c r="K12" s="373">
        <f t="shared" si="3"/>
        <v>45621496.207268819</v>
      </c>
      <c r="L12" s="337">
        <f t="shared" si="4"/>
        <v>8327574.3723535482</v>
      </c>
      <c r="M12" s="372">
        <f t="shared" si="5"/>
        <v>-4068520.5799196549</v>
      </c>
      <c r="O12" s="368">
        <f>K12-W09_PG_5_of_5!AA81</f>
        <v>0</v>
      </c>
      <c r="P12" s="368">
        <f>L12-W09_PG_5_of_5!AB81</f>
        <v>4.0716081857681274E-3</v>
      </c>
      <c r="Q12" s="368">
        <f>M12-W09_PG_5_of_5!AC81</f>
        <v>6.92795030772686E-4</v>
      </c>
    </row>
    <row r="13" spans="1:17">
      <c r="A13" s="331">
        <v>45047</v>
      </c>
      <c r="B13" s="373">
        <f>W09_PG_5_of_5!U82</f>
        <v>715284.96948473761</v>
      </c>
      <c r="C13" s="372">
        <f t="shared" si="0"/>
        <v>-715284.96948473761</v>
      </c>
      <c r="E13" s="373">
        <f>W09_PG_5_of_5!V82</f>
        <v>66776.353513404596</v>
      </c>
      <c r="F13" s="372">
        <f t="shared" si="1"/>
        <v>-66776.353513404596</v>
      </c>
      <c r="H13" s="373">
        <f>W09_PG_5_of_5!W82</f>
        <v>63789.043790451826</v>
      </c>
      <c r="I13" s="372">
        <f t="shared" si="2"/>
        <v>-63789.043790451826</v>
      </c>
      <c r="K13" s="373">
        <f t="shared" si="3"/>
        <v>44906211.23778408</v>
      </c>
      <c r="L13" s="337">
        <f t="shared" si="4"/>
        <v>8197008.9750496913</v>
      </c>
      <c r="M13" s="372">
        <f t="shared" si="5"/>
        <v>-4004731.5361292032</v>
      </c>
      <c r="O13" s="368">
        <f>K13-W09_PG_5_of_5!AA82</f>
        <v>0</v>
      </c>
      <c r="P13" s="368">
        <f>L13-W09_PG_5_of_5!AB82</f>
        <v>4.0716081857681274E-3</v>
      </c>
      <c r="Q13" s="368">
        <f>M13-W09_PG_5_of_5!AC82</f>
        <v>6.92795030772686E-4</v>
      </c>
    </row>
    <row r="14" spans="1:17">
      <c r="A14" s="331">
        <v>45078</v>
      </c>
      <c r="B14" s="373">
        <f>W09_PG_5_of_5!U83</f>
        <v>718906.76137144829</v>
      </c>
      <c r="C14" s="372">
        <f t="shared" si="0"/>
        <v>-718906.76137144829</v>
      </c>
      <c r="E14" s="373">
        <f>W09_PG_5_of_5!V83</f>
        <v>67114.470579604371</v>
      </c>
      <c r="F14" s="372">
        <f t="shared" si="1"/>
        <v>-67114.470579604371</v>
      </c>
      <c r="H14" s="373">
        <f>W09_PG_5_of_5!W83</f>
        <v>64112.034837541374</v>
      </c>
      <c r="I14" s="372">
        <f t="shared" si="2"/>
        <v>-64112.034837541374</v>
      </c>
      <c r="K14" s="373">
        <f t="shared" si="3"/>
        <v>44187304.476412632</v>
      </c>
      <c r="L14" s="337">
        <f t="shared" si="4"/>
        <v>8065782.4696325455</v>
      </c>
      <c r="M14" s="372">
        <f t="shared" si="5"/>
        <v>-3940619.501291662</v>
      </c>
      <c r="O14" s="368">
        <f>K14-W09_PG_5_of_5!AA83</f>
        <v>0</v>
      </c>
      <c r="P14" s="368">
        <f>L14-W09_PG_5_of_5!AB83</f>
        <v>4.0716081857681274E-3</v>
      </c>
      <c r="Q14" s="368">
        <f>M14-W09_PG_5_of_5!AC83</f>
        <v>6.92795030772686E-4</v>
      </c>
    </row>
    <row r="15" spans="1:17">
      <c r="A15" s="331">
        <v>45108</v>
      </c>
      <c r="B15" s="373">
        <f>W09_PG_5_of_5!U84</f>
        <v>722551.5462118584</v>
      </c>
      <c r="C15" s="372">
        <f t="shared" si="0"/>
        <v>-722551.5462118584</v>
      </c>
      <c r="E15" s="373">
        <f>W09_PG_5_of_5!V84</f>
        <v>67454.734182737055</v>
      </c>
      <c r="F15" s="372">
        <f t="shared" si="1"/>
        <v>-67454.734182737055</v>
      </c>
      <c r="H15" s="373">
        <f>W09_PG_5_of_5!W84</f>
        <v>64437.07639399849</v>
      </c>
      <c r="I15" s="372">
        <f t="shared" si="2"/>
        <v>-64437.07639399849</v>
      </c>
      <c r="K15" s="373">
        <f t="shared" si="3"/>
        <v>43464752.93020077</v>
      </c>
      <c r="L15" s="337">
        <f t="shared" si="4"/>
        <v>7933890.6590558104</v>
      </c>
      <c r="M15" s="372">
        <f t="shared" si="5"/>
        <v>-3876182.4248976633</v>
      </c>
      <c r="O15" s="368">
        <f>K15-W09_PG_5_of_5!AA84</f>
        <v>0</v>
      </c>
      <c r="P15" s="368">
        <f>L15-W09_PG_5_of_5!AB84</f>
        <v>4.0716081857681274E-3</v>
      </c>
      <c r="Q15" s="368">
        <f>M15-W09_PG_5_of_5!AC84</f>
        <v>6.92795030772686E-4</v>
      </c>
    </row>
    <row r="16" spans="1:17">
      <c r="A16" s="331">
        <v>45139</v>
      </c>
      <c r="B16" s="373">
        <f>W09_PG_5_of_5!U85</f>
        <v>726219.48467758275</v>
      </c>
      <c r="C16" s="372">
        <f t="shared" si="0"/>
        <v>-726219.48467758275</v>
      </c>
      <c r="E16" s="373">
        <f>W09_PG_5_of_5!V85</f>
        <v>67797.159322509047</v>
      </c>
      <c r="F16" s="372">
        <f t="shared" si="1"/>
        <v>-67797.159322509047</v>
      </c>
      <c r="H16" s="373">
        <f>W09_PG_5_of_5!W85</f>
        <v>64764.182788502098</v>
      </c>
      <c r="I16" s="372">
        <f t="shared" si="2"/>
        <v>-64764.182788502098</v>
      </c>
      <c r="K16" s="373">
        <f t="shared" si="3"/>
        <v>42738533.445523188</v>
      </c>
      <c r="L16" s="337">
        <f t="shared" si="4"/>
        <v>7801329.3169447994</v>
      </c>
      <c r="M16" s="372">
        <f t="shared" si="5"/>
        <v>-3811418.2421091613</v>
      </c>
      <c r="O16" s="368">
        <f>K16-W09_PG_5_of_5!AA85</f>
        <v>0</v>
      </c>
      <c r="P16" s="368">
        <f>L16-W09_PG_5_of_5!AB85</f>
        <v>4.0716081857681274E-3</v>
      </c>
      <c r="Q16" s="368">
        <f>M16-W09_PG_5_of_5!AC85</f>
        <v>6.92795030772686E-4</v>
      </c>
    </row>
    <row r="17" spans="1:17">
      <c r="A17" s="331">
        <v>45170</v>
      </c>
      <c r="B17" s="373">
        <f>W09_PG_5_of_5!U86</f>
        <v>729910.71207103378</v>
      </c>
      <c r="C17" s="372">
        <f t="shared" si="0"/>
        <v>-729910.71207103378</v>
      </c>
      <c r="E17" s="373">
        <f>W09_PG_5_of_5!V86</f>
        <v>68141.758630252094</v>
      </c>
      <c r="F17" s="372">
        <f t="shared" si="1"/>
        <v>-68141.758630252094</v>
      </c>
      <c r="H17" s="373">
        <f>W09_PG_5_of_5!W86</f>
        <v>65093.366087308124</v>
      </c>
      <c r="I17" s="372">
        <f t="shared" si="2"/>
        <v>-65093.366087308124</v>
      </c>
      <c r="K17" s="373">
        <f t="shared" si="3"/>
        <v>42008622.733452156</v>
      </c>
      <c r="L17" s="337">
        <f t="shared" si="4"/>
        <v>7668094.1922272388</v>
      </c>
      <c r="M17" s="372">
        <f t="shared" si="5"/>
        <v>-3746324.8760218532</v>
      </c>
      <c r="O17" s="368">
        <f>K17-W09_PG_5_of_5!AA86</f>
        <v>0</v>
      </c>
      <c r="P17" s="368">
        <f>L17-W09_PG_5_of_5!AB86</f>
        <v>4.0716081857681274E-3</v>
      </c>
      <c r="Q17" s="368">
        <f>M17-W09_PG_5_of_5!AC86</f>
        <v>6.92795030772686E-4</v>
      </c>
    </row>
    <row r="18" spans="1:17">
      <c r="A18" s="331">
        <v>45200</v>
      </c>
      <c r="B18" s="373">
        <f>W09_PG_5_of_5!U87</f>
        <v>733625.38060742512</v>
      </c>
      <c r="C18" s="372">
        <f t="shared" si="0"/>
        <v>-733625.38060742512</v>
      </c>
      <c r="E18" s="373">
        <f>W09_PG_5_of_5!V87</f>
        <v>68488.546316214342</v>
      </c>
      <c r="F18" s="372">
        <f t="shared" si="1"/>
        <v>-68488.546316214342</v>
      </c>
      <c r="H18" s="373">
        <f>W09_PG_5_of_5!W87</f>
        <v>65424.639864954501</v>
      </c>
      <c r="I18" s="372">
        <f t="shared" si="2"/>
        <v>-65424.639864954501</v>
      </c>
      <c r="K18" s="373">
        <f t="shared" si="3"/>
        <v>41274997.35284473</v>
      </c>
      <c r="L18" s="337">
        <f t="shared" si="4"/>
        <v>7534181.0060460707</v>
      </c>
      <c r="M18" s="372">
        <f t="shared" si="5"/>
        <v>-3680900.2361568986</v>
      </c>
      <c r="O18" s="368">
        <f>K18-W09_PG_5_of_5!AA87</f>
        <v>0</v>
      </c>
      <c r="P18" s="368">
        <f>L18-W09_PG_5_of_5!AB87</f>
        <v>4.0716081857681274E-3</v>
      </c>
      <c r="Q18" s="368">
        <f>M18-W09_PG_5_of_5!AC87</f>
        <v>6.92795030772686E-4</v>
      </c>
    </row>
    <row r="19" spans="1:17">
      <c r="A19" s="331">
        <v>45231</v>
      </c>
      <c r="B19" s="373">
        <f>W09_PG_5_of_5!U88</f>
        <v>737363.63404557004</v>
      </c>
      <c r="C19" s="372">
        <f t="shared" si="0"/>
        <v>-737363.63404557004</v>
      </c>
      <c r="E19" s="373">
        <f>W09_PG_5_of_5!V88</f>
        <v>68837.535801185746</v>
      </c>
      <c r="F19" s="372">
        <f t="shared" si="1"/>
        <v>-68837.535801185746</v>
      </c>
      <c r="H19" s="373">
        <f>W09_PG_5_of_5!W88</f>
        <v>65758.016941838156</v>
      </c>
      <c r="I19" s="372">
        <f t="shared" si="2"/>
        <v>-65758.016941838156</v>
      </c>
      <c r="K19" s="373">
        <f t="shared" si="3"/>
        <v>40537633.718799159</v>
      </c>
      <c r="L19" s="337">
        <f t="shared" si="4"/>
        <v>7399585.4533030475</v>
      </c>
      <c r="M19" s="372">
        <f t="shared" si="5"/>
        <v>-3615142.2192150606</v>
      </c>
      <c r="O19" s="368">
        <f>K19-W09_PG_5_of_5!AA88</f>
        <v>0</v>
      </c>
      <c r="P19" s="368">
        <f>L19-W09_PG_5_of_5!AB88</f>
        <v>4.0716081857681274E-3</v>
      </c>
      <c r="Q19" s="368">
        <f>M19-W09_PG_5_of_5!AC88</f>
        <v>6.92795030772686E-4</v>
      </c>
    </row>
    <row r="20" spans="1:17">
      <c r="A20" s="331">
        <v>45261</v>
      </c>
      <c r="B20" s="373">
        <f>W09_PG_5_of_5!U89</f>
        <v>741125.62460068252</v>
      </c>
      <c r="C20" s="372">
        <f t="shared" si="0"/>
        <v>-741125.62460068252</v>
      </c>
      <c r="E20" s="373">
        <f>W09_PG_5_of_5!V89</f>
        <v>69188.741295414497</v>
      </c>
      <c r="F20" s="372">
        <f t="shared" si="1"/>
        <v>-69188.741295414497</v>
      </c>
      <c r="H20" s="373">
        <f>W09_PG_5_of_5!W89</f>
        <v>66093.510892497012</v>
      </c>
      <c r="I20" s="372">
        <f t="shared" si="2"/>
        <v>-66093.510892497012</v>
      </c>
      <c r="K20" s="373">
        <f t="shared" si="3"/>
        <v>39796508.094198473</v>
      </c>
      <c r="L20" s="337">
        <f t="shared" si="4"/>
        <v>7264303.201115136</v>
      </c>
      <c r="M20" s="372">
        <f t="shared" si="5"/>
        <v>-3549048.7083225637</v>
      </c>
      <c r="O20" s="368">
        <f>K20-W09_PG_5_of_5!AA89</f>
        <v>0</v>
      </c>
      <c r="P20" s="368">
        <f>L20-W09_PG_5_of_5!AB89</f>
        <v>4.0716081857681274E-3</v>
      </c>
      <c r="Q20" s="368">
        <f>M20-W09_PG_5_of_5!AC89</f>
        <v>6.92795030772686E-4</v>
      </c>
    </row>
    <row r="21" spans="1:17">
      <c r="A21" s="331">
        <v>45292</v>
      </c>
      <c r="B21" s="373">
        <f>W09_PG_5_of_5!U90</f>
        <v>744911.5044879762</v>
      </c>
      <c r="C21" s="372">
        <f t="shared" si="0"/>
        <v>-744911.5044879762</v>
      </c>
      <c r="E21" s="373">
        <f>W09_PG_5_of_5!V90</f>
        <v>69542.177009148741</v>
      </c>
      <c r="F21" s="372">
        <f t="shared" si="1"/>
        <v>-69542.177009148741</v>
      </c>
      <c r="H21" s="373">
        <f>W09_PG_5_of_5!W90</f>
        <v>66431.135291468978</v>
      </c>
      <c r="I21" s="372">
        <f t="shared" si="2"/>
        <v>-66431.135291468978</v>
      </c>
      <c r="K21" s="373">
        <f t="shared" si="3"/>
        <v>39051596.589710496</v>
      </c>
      <c r="L21" s="337">
        <f t="shared" si="4"/>
        <v>7128329.8888145182</v>
      </c>
      <c r="M21" s="372">
        <f t="shared" si="5"/>
        <v>-3482617.5730310949</v>
      </c>
      <c r="O21" s="368">
        <f>K21-W09_PG_5_of_5!AA90</f>
        <v>0</v>
      </c>
      <c r="P21" s="368">
        <f>L21-W09_PG_5_of_5!AB90</f>
        <v>4.0716081857681274E-3</v>
      </c>
      <c r="Q21" s="368">
        <f>M21-W09_PG_5_of_5!AC90</f>
        <v>6.92795030772686E-4</v>
      </c>
    </row>
    <row r="22" spans="1:17">
      <c r="A22" s="331">
        <v>45323</v>
      </c>
      <c r="B22" s="373">
        <f>W09_PG_5_of_5!U91</f>
        <v>748721.43437906599</v>
      </c>
      <c r="C22" s="372">
        <f t="shared" si="0"/>
        <v>-748721.43437906599</v>
      </c>
      <c r="E22" s="373">
        <f>W09_PG_5_of_5!V91</f>
        <v>69897.857942094895</v>
      </c>
      <c r="F22" s="372">
        <f t="shared" si="1"/>
        <v>-69897.857942094895</v>
      </c>
      <c r="H22" s="373">
        <f>W09_PG_5_of_5!W91</f>
        <v>66770.904467433007</v>
      </c>
      <c r="I22" s="372">
        <f t="shared" si="2"/>
        <v>-66770.904467433007</v>
      </c>
      <c r="K22" s="373">
        <f t="shared" si="3"/>
        <v>38302875.155331433</v>
      </c>
      <c r="L22" s="337">
        <f t="shared" si="4"/>
        <v>6991661.1264049904</v>
      </c>
      <c r="M22" s="372">
        <f t="shared" si="5"/>
        <v>-3415846.6685636616</v>
      </c>
      <c r="O22" s="368">
        <f>K22-W09_PG_5_of_5!AA91</f>
        <v>0</v>
      </c>
      <c r="P22" s="368">
        <f>L22-W09_PG_5_of_5!AB91</f>
        <v>4.0716081857681274E-3</v>
      </c>
      <c r="Q22" s="368">
        <f>M22-W09_PG_5_of_5!AC91</f>
        <v>6.92795030772686E-4</v>
      </c>
    </row>
    <row r="23" spans="1:17">
      <c r="A23" s="331">
        <v>45352</v>
      </c>
      <c r="B23" s="373">
        <f>W09_PG_5_of_5!U92</f>
        <v>752555.54957636422</v>
      </c>
      <c r="C23" s="372">
        <f t="shared" si="0"/>
        <v>-752555.54957636422</v>
      </c>
      <c r="E23" s="373">
        <f>W09_PG_5_of_5!V92</f>
        <v>70255.796725584689</v>
      </c>
      <c r="F23" s="372">
        <f t="shared" si="1"/>
        <v>-70255.796725584689</v>
      </c>
      <c r="H23" s="373">
        <f>W09_PG_5_of_5!W92</f>
        <v>67112.830486645005</v>
      </c>
      <c r="I23" s="372">
        <f t="shared" si="2"/>
        <v>-67112.830486645005</v>
      </c>
      <c r="K23" s="373">
        <f t="shared" si="3"/>
        <v>37550319.605755068</v>
      </c>
      <c r="L23" s="337">
        <f t="shared" si="4"/>
        <v>6854292.4991927603</v>
      </c>
      <c r="M23" s="372">
        <f t="shared" si="5"/>
        <v>-3348733.8380770166</v>
      </c>
      <c r="O23" s="368">
        <f>K23-W09_PG_5_of_5!AA92</f>
        <v>0</v>
      </c>
      <c r="P23" s="368">
        <f>L23-W09_PG_5_of_5!AB92</f>
        <v>4.0716081857681274E-3</v>
      </c>
      <c r="Q23" s="368">
        <f>M23-W09_PG_5_of_5!AC92</f>
        <v>6.92795030772686E-4</v>
      </c>
    </row>
    <row r="24" spans="1:17">
      <c r="A24" s="331">
        <v>45383</v>
      </c>
      <c r="B24" s="373">
        <f>W09_PG_5_of_5!U93</f>
        <v>756414.01075148548</v>
      </c>
      <c r="C24" s="372">
        <f t="shared" si="0"/>
        <v>-756414.01075148548</v>
      </c>
      <c r="E24" s="373">
        <f>W09_PG_5_of_5!V93</f>
        <v>70616.008359324522</v>
      </c>
      <c r="F24" s="372">
        <f t="shared" si="1"/>
        <v>-70616.008359324522</v>
      </c>
      <c r="H24" s="373">
        <f>W09_PG_5_of_5!W93</f>
        <v>67456.927677783897</v>
      </c>
      <c r="I24" s="372">
        <f t="shared" si="2"/>
        <v>-67456.927677783897</v>
      </c>
      <c r="K24" s="373">
        <f t="shared" si="3"/>
        <v>36793905.595003583</v>
      </c>
      <c r="L24" s="337">
        <f t="shared" si="4"/>
        <v>6716219.563155652</v>
      </c>
      <c r="M24" s="372">
        <f t="shared" si="5"/>
        <v>-3281276.9103992325</v>
      </c>
      <c r="O24" s="368">
        <f>K24-W09_PG_5_of_5!AA93</f>
        <v>0</v>
      </c>
      <c r="P24" s="368">
        <f>L24-W09_PG_5_of_5!AB93</f>
        <v>4.0716081857681274E-3</v>
      </c>
      <c r="Q24" s="368">
        <f>M24-W09_PG_5_of_5!AC93</f>
        <v>6.92795030772686E-4</v>
      </c>
    </row>
    <row r="25" spans="1:17">
      <c r="A25" s="331">
        <v>45413</v>
      </c>
      <c r="B25" s="373">
        <f>W09_PG_5_of_5!U94</f>
        <v>760296.97011964372</v>
      </c>
      <c r="C25" s="372">
        <f t="shared" si="0"/>
        <v>-760296.97011964372</v>
      </c>
      <c r="E25" s="373">
        <f>W09_PG_5_of_5!V94</f>
        <v>70978.507053562571</v>
      </c>
      <c r="F25" s="372">
        <f t="shared" si="1"/>
        <v>-70978.507053562571</v>
      </c>
      <c r="H25" s="373">
        <f>W09_PG_5_of_5!W94</f>
        <v>67803.209615387619</v>
      </c>
      <c r="I25" s="372">
        <f t="shared" si="2"/>
        <v>-67803.209615387619</v>
      </c>
      <c r="K25" s="373">
        <f t="shared" si="3"/>
        <v>36033608.624883942</v>
      </c>
      <c r="L25" s="337">
        <f t="shared" si="4"/>
        <v>6577437.8464867016</v>
      </c>
      <c r="M25" s="372">
        <f t="shared" si="5"/>
        <v>-3213473.700783845</v>
      </c>
      <c r="O25" s="368">
        <f>K25-W09_PG_5_of_5!AA94</f>
        <v>0</v>
      </c>
      <c r="P25" s="368">
        <f>L25-W09_PG_5_of_5!AB94</f>
        <v>4.0716081857681274E-3</v>
      </c>
      <c r="Q25" s="368">
        <f>M25-W09_PG_5_of_5!AC94</f>
        <v>6.92795030772686E-4</v>
      </c>
    </row>
    <row r="26" spans="1:17">
      <c r="A26" s="331">
        <v>45444</v>
      </c>
      <c r="B26" s="373">
        <f>W09_PG_5_of_5!U95</f>
        <v>764204.58835245366</v>
      </c>
      <c r="C26" s="372">
        <f t="shared" si="0"/>
        <v>-764204.58835245366</v>
      </c>
      <c r="E26" s="373">
        <f>W09_PG_5_of_5!V95</f>
        <v>71343.307808005251</v>
      </c>
      <c r="F26" s="372">
        <f t="shared" si="1"/>
        <v>-71343.307808005251</v>
      </c>
      <c r="H26" s="373">
        <f>W09_PG_5_of_5!W95</f>
        <v>68151.690628135082</v>
      </c>
      <c r="I26" s="372">
        <f t="shared" si="2"/>
        <v>-68151.690628135082</v>
      </c>
      <c r="K26" s="373">
        <f t="shared" si="3"/>
        <v>35269404.036531486</v>
      </c>
      <c r="L26" s="337">
        <f t="shared" si="4"/>
        <v>6437942.8480505617</v>
      </c>
      <c r="M26" s="372">
        <f t="shared" si="5"/>
        <v>-3145322.0101557099</v>
      </c>
      <c r="O26" s="368">
        <f>K26-W09_PG_5_of_5!AA95</f>
        <v>0</v>
      </c>
      <c r="P26" s="368">
        <f>L26-W09_PG_5_of_5!AB95</f>
        <v>4.0716081857681274E-3</v>
      </c>
      <c r="Q26" s="368">
        <f>M26-W09_PG_5_of_5!AC95</f>
        <v>6.92795030772686E-4</v>
      </c>
    </row>
    <row r="27" spans="1:17">
      <c r="A27" s="331">
        <v>45474</v>
      </c>
      <c r="B27" s="373">
        <f>W09_PG_5_of_5!U96</f>
        <v>768137.02612152975</v>
      </c>
      <c r="C27" s="372">
        <f t="shared" si="0"/>
        <v>-768137.02612152975</v>
      </c>
      <c r="E27" s="373">
        <f>W09_PG_5_of_5!V96</f>
        <v>71710.425622358962</v>
      </c>
      <c r="F27" s="372">
        <f t="shared" si="1"/>
        <v>-71710.425622358962</v>
      </c>
      <c r="H27" s="373">
        <f>W09_PG_5_of_5!W96</f>
        <v>68502.385044705195</v>
      </c>
      <c r="I27" s="372">
        <f t="shared" si="2"/>
        <v>-68502.385044705195</v>
      </c>
      <c r="K27" s="373">
        <f t="shared" si="3"/>
        <v>34501267.010409959</v>
      </c>
      <c r="L27" s="337">
        <f t="shared" si="4"/>
        <v>6297730.0373834977</v>
      </c>
      <c r="M27" s="372">
        <f t="shared" si="5"/>
        <v>-3076819.6251110048</v>
      </c>
      <c r="O27" s="368">
        <f>K27-W09_PG_5_of_5!AA96</f>
        <v>0</v>
      </c>
      <c r="P27" s="368">
        <f>L27-W09_PG_5_of_5!AB96</f>
        <v>4.0716081857681274E-3</v>
      </c>
      <c r="Q27" s="368">
        <f>M27-W09_PG_5_of_5!AC96</f>
        <v>6.92795030772686E-4</v>
      </c>
    </row>
    <row r="28" spans="1:17">
      <c r="A28" s="331">
        <v>45505</v>
      </c>
      <c r="B28" s="373">
        <f>W09_PG_5_of_5!U97</f>
        <v>772094.42718568537</v>
      </c>
      <c r="C28" s="372">
        <f t="shared" si="0"/>
        <v>-772094.42718568537</v>
      </c>
      <c r="E28" s="373">
        <f>W09_PG_5_of_5!V97</f>
        <v>72079.873917413643</v>
      </c>
      <c r="F28" s="372">
        <f t="shared" si="1"/>
        <v>-72079.873917413643</v>
      </c>
      <c r="H28" s="373">
        <f>W09_PG_5_of_5!W97</f>
        <v>68855.30568549491</v>
      </c>
      <c r="I28" s="372">
        <f t="shared" si="2"/>
        <v>-68855.30568549491</v>
      </c>
      <c r="K28" s="373">
        <f t="shared" si="3"/>
        <v>33729172.583224274</v>
      </c>
      <c r="L28" s="337">
        <f t="shared" si="4"/>
        <v>6156794.8577805888</v>
      </c>
      <c r="M28" s="372">
        <f t="shared" si="5"/>
        <v>-3007964.3194255098</v>
      </c>
      <c r="O28" s="368">
        <f>K28-W09_PG_5_of_5!AA97</f>
        <v>0</v>
      </c>
      <c r="P28" s="368">
        <f>L28-W09_PG_5_of_5!AB97</f>
        <v>4.0716081857681274E-3</v>
      </c>
      <c r="Q28" s="368">
        <f>M28-W09_PG_5_of_5!AC97</f>
        <v>6.92795030772686E-4</v>
      </c>
    </row>
    <row r="29" spans="1:17">
      <c r="A29" s="331">
        <v>45536</v>
      </c>
      <c r="B29" s="373">
        <f>W09_PG_5_of_5!U98</f>
        <v>776076.96067293594</v>
      </c>
      <c r="C29" s="372">
        <f t="shared" si="0"/>
        <v>-776076.96067293594</v>
      </c>
      <c r="E29" s="373">
        <f>W09_PG_5_of_5!V98</f>
        <v>72451.668482333946</v>
      </c>
      <c r="F29" s="372">
        <f t="shared" si="1"/>
        <v>-72451.668482333946</v>
      </c>
      <c r="H29" s="373">
        <f>W09_PG_5_of_5!W98</f>
        <v>69210.467633324122</v>
      </c>
      <c r="I29" s="372">
        <f t="shared" si="2"/>
        <v>-69210.467633324122</v>
      </c>
      <c r="K29" s="373">
        <f t="shared" si="3"/>
        <v>32953095.622551337</v>
      </c>
      <c r="L29" s="337">
        <f t="shared" si="4"/>
        <v>6015132.7216649307</v>
      </c>
      <c r="M29" s="372">
        <f t="shared" si="5"/>
        <v>-2938753.8517921856</v>
      </c>
      <c r="O29" s="368">
        <f>K29-W09_PG_5_of_5!AA98</f>
        <v>0</v>
      </c>
      <c r="P29" s="368">
        <f>L29-W09_PG_5_of_5!AB98</f>
        <v>4.0716081857681274E-3</v>
      </c>
      <c r="Q29" s="368">
        <f>M29-W09_PG_5_of_5!AC98</f>
        <v>6.92795030772686E-4</v>
      </c>
    </row>
    <row r="30" spans="1:17">
      <c r="A30" s="331">
        <v>45566</v>
      </c>
      <c r="B30" s="373">
        <f>W09_PG_5_of_5!U99</f>
        <v>780084.7872548959</v>
      </c>
      <c r="C30" s="372">
        <f t="shared" si="0"/>
        <v>-780084.7872548959</v>
      </c>
      <c r="E30" s="373">
        <f>W09_PG_5_of_5!V99</f>
        <v>72825.824316826285</v>
      </c>
      <c r="F30" s="372">
        <f t="shared" si="1"/>
        <v>-72825.824316826285</v>
      </c>
      <c r="H30" s="373">
        <f>W09_PG_5_of_5!W99</f>
        <v>69567.885216871771</v>
      </c>
      <c r="I30" s="372">
        <f t="shared" si="2"/>
        <v>-69567.885216871771</v>
      </c>
      <c r="K30" s="373">
        <f t="shared" si="3"/>
        <v>32173010.835296441</v>
      </c>
      <c r="L30" s="337">
        <f t="shared" si="4"/>
        <v>5872739.0121312318</v>
      </c>
      <c r="M30" s="372">
        <f t="shared" si="5"/>
        <v>-2869185.9665753138</v>
      </c>
      <c r="O30" s="368">
        <f>K30-W09_PG_5_of_5!AA99</f>
        <v>0</v>
      </c>
      <c r="P30" s="368">
        <f>L30-W09_PG_5_of_5!AB99</f>
        <v>4.0716081857681274E-3</v>
      </c>
      <c r="Q30" s="368">
        <f>M30-W09_PG_5_of_5!AC99</f>
        <v>6.92795030772686E-4</v>
      </c>
    </row>
    <row r="31" spans="1:17">
      <c r="A31" s="331">
        <v>45597</v>
      </c>
      <c r="B31" s="373">
        <f>W09_PG_5_of_5!U100</f>
        <v>784118.05069037864</v>
      </c>
      <c r="C31" s="372">
        <f t="shared" si="0"/>
        <v>-784118.05069037864</v>
      </c>
      <c r="E31" s="373">
        <f>W09_PG_5_of_5!V100</f>
        <v>73202.354841680586</v>
      </c>
      <c r="F31" s="372">
        <f t="shared" si="1"/>
        <v>-73202.354841680586</v>
      </c>
      <c r="H31" s="373">
        <f>W09_PG_5_of_5!W100</f>
        <v>69927.571256534764</v>
      </c>
      <c r="I31" s="372">
        <f t="shared" si="2"/>
        <v>-69927.571256534764</v>
      </c>
      <c r="K31" s="373">
        <f t="shared" si="3"/>
        <v>31388892.784606062</v>
      </c>
      <c r="L31" s="337">
        <f t="shared" si="4"/>
        <v>5729609.0860330164</v>
      </c>
      <c r="M31" s="372">
        <f t="shared" si="5"/>
        <v>-2799258.3953187792</v>
      </c>
      <c r="O31" s="368">
        <f>K31-W09_PG_5_of_5!AA100</f>
        <v>0</v>
      </c>
      <c r="P31" s="368">
        <f>L31-W09_PG_5_of_5!AB100</f>
        <v>4.0716081857681274E-3</v>
      </c>
      <c r="Q31" s="368">
        <f>M31-W09_PG_5_of_5!AC100</f>
        <v>6.92795030772686E-4</v>
      </c>
    </row>
    <row r="32" spans="1:17">
      <c r="A32" s="331">
        <v>45627</v>
      </c>
      <c r="B32" s="373">
        <f>W09_PG_5_of_5!U101</f>
        <v>788176.937020201</v>
      </c>
      <c r="C32" s="372">
        <f t="shared" si="0"/>
        <v>-788176.937020201</v>
      </c>
      <c r="E32" s="373">
        <f>W09_PG_5_of_5!V101</f>
        <v>73581.277424977961</v>
      </c>
      <c r="F32" s="372">
        <f t="shared" si="1"/>
        <v>-73581.277424977961</v>
      </c>
      <c r="H32" s="373">
        <f>W09_PG_5_of_5!W101</f>
        <v>70289.542343415029</v>
      </c>
      <c r="I32" s="372">
        <f t="shared" si="2"/>
        <v>-70289.542343415029</v>
      </c>
      <c r="K32" s="373">
        <f t="shared" si="3"/>
        <v>30600715.847585861</v>
      </c>
      <c r="L32" s="337">
        <f t="shared" si="4"/>
        <v>5585738.266264623</v>
      </c>
      <c r="M32" s="372">
        <f t="shared" si="5"/>
        <v>-2728968.8529753643</v>
      </c>
      <c r="O32" s="368">
        <f>K32-W09_PG_5_of_5!AA101</f>
        <v>0</v>
      </c>
      <c r="P32" s="368">
        <f>L32-W09_PG_5_of_5!AB101</f>
        <v>4.0716081857681274E-3</v>
      </c>
      <c r="Q32" s="368">
        <f>M32-W09_PG_5_of_5!AC101</f>
        <v>6.92795030772686E-4</v>
      </c>
    </row>
    <row r="33" spans="1:17">
      <c r="A33" s="331">
        <v>45658</v>
      </c>
      <c r="B33" s="373">
        <f>W09_PG_5_of_5!U102</f>
        <v>792261.59000317613</v>
      </c>
      <c r="C33" s="372">
        <f t="shared" si="0"/>
        <v>-792261.59000317613</v>
      </c>
      <c r="E33" s="373">
        <f>W09_PG_5_of_5!V102</f>
        <v>73962.605487508365</v>
      </c>
      <c r="F33" s="372">
        <f t="shared" si="1"/>
        <v>-73962.605487508365</v>
      </c>
      <c r="H33" s="373">
        <f>W09_PG_5_of_5!W102</f>
        <v>70653.811297909488</v>
      </c>
      <c r="I33" s="372">
        <f t="shared" si="2"/>
        <v>-70653.811297909488</v>
      </c>
      <c r="K33" s="373">
        <f t="shared" si="3"/>
        <v>29808454.257582683</v>
      </c>
      <c r="L33" s="337">
        <f t="shared" si="4"/>
        <v>5441121.849479205</v>
      </c>
      <c r="M33" s="372">
        <f t="shared" si="5"/>
        <v>-2658315.041677455</v>
      </c>
      <c r="O33" s="368">
        <f>K33-W09_PG_5_of_5!AA102</f>
        <v>0</v>
      </c>
      <c r="P33" s="368">
        <f>L33-W09_PG_5_of_5!AB102</f>
        <v>4.0716081857681274E-3</v>
      </c>
      <c r="Q33" s="368">
        <f>M33-W09_PG_5_of_5!AC102</f>
        <v>6.92795030772686E-4</v>
      </c>
    </row>
    <row r="34" spans="1:17">
      <c r="A34" s="331">
        <v>45689</v>
      </c>
      <c r="B34" s="373">
        <f>W09_PG_5_of_5!U103</f>
        <v>796372.18722372025</v>
      </c>
      <c r="C34" s="372">
        <f t="shared" si="0"/>
        <v>-796372.18722372025</v>
      </c>
      <c r="E34" s="373">
        <f>W09_PG_5_of_5!V103</f>
        <v>74346.355607894642</v>
      </c>
      <c r="F34" s="372">
        <f t="shared" si="1"/>
        <v>-74346.355607894642</v>
      </c>
      <c r="H34" s="373">
        <f>W09_PG_5_of_5!W103</f>
        <v>71020.393956979038</v>
      </c>
      <c r="I34" s="372">
        <f t="shared" si="2"/>
        <v>-71020.393956979038</v>
      </c>
      <c r="K34" s="373">
        <f t="shared" si="3"/>
        <v>29012082.070358962</v>
      </c>
      <c r="L34" s="337">
        <f t="shared" si="4"/>
        <v>5295755.0999143319</v>
      </c>
      <c r="M34" s="372">
        <f t="shared" si="5"/>
        <v>-2587294.6477204757</v>
      </c>
      <c r="O34" s="368">
        <f>K34-W09_PG_5_of_5!AA103</f>
        <v>0</v>
      </c>
      <c r="P34" s="368">
        <f>L34-W09_PG_5_of_5!AB103</f>
        <v>4.0716081857681274E-3</v>
      </c>
      <c r="Q34" s="368">
        <f>M34-W09_PG_5_of_5!AC103</f>
        <v>6.92795030772686E-4</v>
      </c>
    </row>
    <row r="35" spans="1:17">
      <c r="A35" s="331">
        <v>45717</v>
      </c>
      <c r="B35" s="373">
        <f>W09_PG_5_of_5!U104</f>
        <v>800508.88935344806</v>
      </c>
      <c r="C35" s="372">
        <f t="shared" si="0"/>
        <v>-800508.88935344806</v>
      </c>
      <c r="E35" s="373">
        <f>W09_PG_5_of_5!V104</f>
        <v>74732.542785843252</v>
      </c>
      <c r="F35" s="372">
        <f t="shared" si="1"/>
        <v>-74732.542785843252</v>
      </c>
      <c r="H35" s="373">
        <f>W09_PG_5_of_5!W104</f>
        <v>71389.30464930262</v>
      </c>
      <c r="I35" s="372">
        <f t="shared" si="2"/>
        <v>-71389.30464930262</v>
      </c>
      <c r="K35" s="373">
        <f t="shared" si="3"/>
        <v>28211573.181005515</v>
      </c>
      <c r="L35" s="337">
        <f t="shared" si="4"/>
        <v>5149633.2524791863</v>
      </c>
      <c r="M35" s="372">
        <f t="shared" si="5"/>
        <v>-2515905.3430711729</v>
      </c>
      <c r="O35" s="368">
        <f>K35-W09_PG_5_of_5!AA104</f>
        <v>0</v>
      </c>
      <c r="P35" s="368">
        <f>L35-W09_PG_5_of_5!AB104</f>
        <v>4.0716081857681274E-3</v>
      </c>
      <c r="Q35" s="368">
        <f>M35-W09_PG_5_of_5!AC104</f>
        <v>6.92795030772686E-4</v>
      </c>
    </row>
    <row r="36" spans="1:17">
      <c r="A36" s="331">
        <v>45748</v>
      </c>
      <c r="B36" s="373">
        <f>W09_PG_5_of_5!U105</f>
        <v>804671.84860757354</v>
      </c>
      <c r="C36" s="372">
        <f t="shared" si="0"/>
        <v>-804671.84860757354</v>
      </c>
      <c r="E36" s="373">
        <f>W09_PG_5_of_5!V105</f>
        <v>75121.181231602328</v>
      </c>
      <c r="F36" s="372">
        <f t="shared" si="1"/>
        <v>-75121.181231602328</v>
      </c>
      <c r="H36" s="373">
        <f>W09_PG_5_of_5!W105</f>
        <v>71760.55694941814</v>
      </c>
      <c r="I36" s="372">
        <f t="shared" si="2"/>
        <v>-71760.55694941814</v>
      </c>
      <c r="K36" s="373">
        <f t="shared" si="3"/>
        <v>27406901.332397941</v>
      </c>
      <c r="L36" s="337">
        <f t="shared" si="4"/>
        <v>5002751.5142981661</v>
      </c>
      <c r="M36" s="372">
        <f t="shared" si="5"/>
        <v>-2444144.7861217549</v>
      </c>
      <c r="O36" s="368">
        <f>K36-W09_PG_5_of_5!AA105</f>
        <v>0</v>
      </c>
      <c r="P36" s="368">
        <f>L36-W09_PG_5_of_5!AB105</f>
        <v>4.0716081857681274E-3</v>
      </c>
      <c r="Q36" s="368">
        <f>M36-W09_PG_5_of_5!AC105</f>
        <v>6.92795030772686E-4</v>
      </c>
    </row>
    <row r="37" spans="1:17">
      <c r="A37" s="331">
        <v>45778</v>
      </c>
      <c r="B37" s="373">
        <f>W09_PG_5_of_5!U106</f>
        <v>808861.25102691341</v>
      </c>
      <c r="C37" s="372">
        <f t="shared" si="0"/>
        <v>-808861.25102691341</v>
      </c>
      <c r="E37" s="373">
        <f>W09_PG_5_of_5!V106</f>
        <v>75512.288313252982</v>
      </c>
      <c r="F37" s="372">
        <f t="shared" si="1"/>
        <v>-75512.288313252982</v>
      </c>
      <c r="H37" s="373">
        <f>W09_PG_5_of_5!W106</f>
        <v>72134.167448427514</v>
      </c>
      <c r="I37" s="372">
        <f t="shared" si="2"/>
        <v>-72134.167448427514</v>
      </c>
      <c r="K37" s="373">
        <f t="shared" si="3"/>
        <v>26598040.081371028</v>
      </c>
      <c r="L37" s="337">
        <f t="shared" si="4"/>
        <v>4855105.0585364858</v>
      </c>
      <c r="M37" s="372">
        <f t="shared" si="5"/>
        <v>-2372010.6186733274</v>
      </c>
      <c r="O37" s="368">
        <f>K37-W09_PG_5_of_5!AA106</f>
        <v>0</v>
      </c>
      <c r="P37" s="368">
        <f>L37-W09_PG_5_of_5!AB106</f>
        <v>4.0716081857681274E-3</v>
      </c>
      <c r="Q37" s="368">
        <f>M37-W09_PG_5_of_5!AC106</f>
        <v>6.92795030772686E-4</v>
      </c>
    </row>
    <row r="38" spans="1:17">
      <c r="A38" s="331">
        <v>45809</v>
      </c>
      <c r="B38" s="373">
        <f>W09_PG_5_of_5!U107</f>
        <v>813077.2572830827</v>
      </c>
      <c r="C38" s="372">
        <f t="shared" si="0"/>
        <v>-813077.2572830827</v>
      </c>
      <c r="E38" s="373">
        <f>W09_PG_5_of_5!V107</f>
        <v>75905.879030501645</v>
      </c>
      <c r="F38" s="372">
        <f t="shared" si="1"/>
        <v>-75905.879030501645</v>
      </c>
      <c r="H38" s="373">
        <f>W09_PG_5_of_5!W107</f>
        <v>72510.150475009679</v>
      </c>
      <c r="I38" s="372">
        <f t="shared" si="2"/>
        <v>-72510.150475009679</v>
      </c>
      <c r="K38" s="373">
        <f t="shared" si="3"/>
        <v>25784962.824087944</v>
      </c>
      <c r="L38" s="337">
        <f t="shared" si="4"/>
        <v>4706689.029030975</v>
      </c>
      <c r="M38" s="372">
        <f t="shared" si="5"/>
        <v>-2299500.4681983176</v>
      </c>
      <c r="O38" s="368">
        <f>K38-W09_PG_5_of_5!AA107</f>
        <v>0</v>
      </c>
      <c r="P38" s="368">
        <f>L38-W09_PG_5_of_5!AB107</f>
        <v>4.0716081857681274E-3</v>
      </c>
      <c r="Q38" s="368">
        <f>M38-W09_PG_5_of_5!AC107</f>
        <v>6.92795030772686E-4</v>
      </c>
    </row>
    <row r="39" spans="1:17">
      <c r="A39" s="331">
        <v>45839</v>
      </c>
      <c r="B39" s="373">
        <f>W09_PG_5_of_5!U108</f>
        <v>817320.02804769576</v>
      </c>
      <c r="C39" s="372">
        <f t="shared" si="0"/>
        <v>-817320.02804769576</v>
      </c>
      <c r="E39" s="373">
        <f>W09_PG_5_of_5!V108</f>
        <v>76301.9683830547</v>
      </c>
      <c r="F39" s="372">
        <f t="shared" si="1"/>
        <v>-76301.9683830547</v>
      </c>
      <c r="H39" s="373">
        <f>W09_PG_5_of_5!W108</f>
        <v>72888.520357843532</v>
      </c>
      <c r="I39" s="372">
        <f t="shared" si="2"/>
        <v>-72888.520357843532</v>
      </c>
      <c r="K39" s="373">
        <f t="shared" si="3"/>
        <v>24967642.796040248</v>
      </c>
      <c r="L39" s="337">
        <f t="shared" si="4"/>
        <v>4557498.5402900772</v>
      </c>
      <c r="M39" s="372">
        <f t="shared" si="5"/>
        <v>-2226611.9478404741</v>
      </c>
      <c r="O39" s="368">
        <f>K39-W09_PG_5_of_5!AA108</f>
        <v>0</v>
      </c>
      <c r="P39" s="368">
        <f>L39-W09_PG_5_of_5!AB108</f>
        <v>4.0716081857681274E-3</v>
      </c>
      <c r="Q39" s="368">
        <f>M39-W09_PG_5_of_5!AC108</f>
        <v>6.92795030772686E-4</v>
      </c>
    </row>
    <row r="40" spans="1:17">
      <c r="A40" s="331">
        <v>45870</v>
      </c>
      <c r="B40" s="373">
        <f>W09_PG_5_of_5!U109</f>
        <v>821589.74090516893</v>
      </c>
      <c r="C40" s="372">
        <f t="shared" ref="C40:C68" si="6">-B40</f>
        <v>-821589.74090516893</v>
      </c>
      <c r="E40" s="373">
        <f>W09_PG_5_of_5!V109</f>
        <v>76700.572949535024</v>
      </c>
      <c r="F40" s="372">
        <f t="shared" ref="F40:F68" si="7">-E40</f>
        <v>-76700.572949535024</v>
      </c>
      <c r="H40" s="373">
        <f>W09_PG_5_of_5!W109</f>
        <v>73269.292933889985</v>
      </c>
      <c r="I40" s="372">
        <f t="shared" ref="I40:I68" si="8">-H40</f>
        <v>-73269.292933889985</v>
      </c>
      <c r="K40" s="373">
        <f t="shared" si="3"/>
        <v>24146053.055135079</v>
      </c>
      <c r="L40" s="337">
        <f t="shared" si="4"/>
        <v>4407528.6744066523</v>
      </c>
      <c r="M40" s="372">
        <f t="shared" si="5"/>
        <v>-2153342.6549065839</v>
      </c>
      <c r="O40" s="368">
        <f>K40-W09_PG_5_of_5!AA109</f>
        <v>0</v>
      </c>
      <c r="P40" s="368">
        <f>L40-W09_PG_5_of_5!AB109</f>
        <v>4.0716081857681274E-3</v>
      </c>
      <c r="Q40" s="368">
        <f>M40-W09_PG_5_of_5!AC109</f>
        <v>6.92795030772686E-4</v>
      </c>
    </row>
    <row r="41" spans="1:17">
      <c r="A41" s="331">
        <v>45901</v>
      </c>
      <c r="B41" s="373">
        <f>W09_PG_5_of_5!U110</f>
        <v>825886.57343991857</v>
      </c>
      <c r="C41" s="372">
        <f t="shared" si="6"/>
        <v>-825886.57343991857</v>
      </c>
      <c r="E41" s="373">
        <f>W09_PG_5_of_5!V110</f>
        <v>77101.709308565507</v>
      </c>
      <c r="F41" s="372">
        <f t="shared" si="7"/>
        <v>-77101.709308565507</v>
      </c>
      <c r="H41" s="373">
        <f>W09_PG_5_of_5!W110</f>
        <v>73652.48404010995</v>
      </c>
      <c r="I41" s="372">
        <f t="shared" si="8"/>
        <v>-73652.48404010995</v>
      </c>
      <c r="K41" s="373">
        <f t="shared" ref="K41:K68" si="9">K40+C41</f>
        <v>23320166.48169516</v>
      </c>
      <c r="L41" s="337">
        <f t="shared" ref="L41:L68" si="10">L40+F41+I41</f>
        <v>4256774.4810579764</v>
      </c>
      <c r="M41" s="372">
        <f t="shared" ref="M41:M68" si="11">M40+H41</f>
        <v>-2079690.170866474</v>
      </c>
      <c r="O41" s="368">
        <f>K41-W09_PG_5_of_5!AA110</f>
        <v>0</v>
      </c>
      <c r="P41" s="368">
        <f>L41-W09_PG_5_of_5!AB110</f>
        <v>4.0716081857681274E-3</v>
      </c>
      <c r="Q41" s="368">
        <f>M41-W09_PG_5_of_5!AC110</f>
        <v>6.92795030772686E-4</v>
      </c>
    </row>
    <row r="42" spans="1:17">
      <c r="A42" s="331">
        <v>45931</v>
      </c>
      <c r="B42" s="373">
        <f>W09_PG_5_of_5!U111</f>
        <v>830210.6778671582</v>
      </c>
      <c r="C42" s="372">
        <f t="shared" si="6"/>
        <v>-830210.6778671582</v>
      </c>
      <c r="E42" s="373">
        <f>W09_PG_5_of_5!V111</f>
        <v>77505.391670394296</v>
      </c>
      <c r="F42" s="372">
        <f t="shared" si="7"/>
        <v>-77505.391670394296</v>
      </c>
      <c r="H42" s="373">
        <f>W09_PG_5_of_5!W111</f>
        <v>74038.107251041365</v>
      </c>
      <c r="I42" s="372">
        <f t="shared" si="8"/>
        <v>-74038.107251041365</v>
      </c>
      <c r="K42" s="373">
        <f t="shared" si="9"/>
        <v>22489955.803828001</v>
      </c>
      <c r="L42" s="337">
        <f t="shared" si="10"/>
        <v>4105230.9821365406</v>
      </c>
      <c r="M42" s="372">
        <f t="shared" si="11"/>
        <v>-2005652.0636154327</v>
      </c>
      <c r="O42" s="368">
        <f>K42-W09_PG_5_of_5!AA111</f>
        <v>0</v>
      </c>
      <c r="P42" s="368">
        <f>L42-W09_PG_5_of_5!AB111</f>
        <v>4.0716081857681274E-3</v>
      </c>
      <c r="Q42" s="368">
        <f>M42-W09_PG_5_of_5!AC111</f>
        <v>6.92795030772686E-4</v>
      </c>
    </row>
    <row r="43" spans="1:17">
      <c r="A43" s="331">
        <v>45962</v>
      </c>
      <c r="B43" s="373">
        <f>W09_PG_5_of_5!U112</f>
        <v>834562.25714050676</v>
      </c>
      <c r="C43" s="372">
        <f t="shared" si="6"/>
        <v>-834562.25714050676</v>
      </c>
      <c r="E43" s="373">
        <f>W09_PG_5_of_5!V112</f>
        <v>77911.638982018994</v>
      </c>
      <c r="F43" s="372">
        <f t="shared" si="7"/>
        <v>-77911.638982018994</v>
      </c>
      <c r="H43" s="373">
        <f>W09_PG_5_of_5!W112</f>
        <v>74426.180666068132</v>
      </c>
      <c r="I43" s="372">
        <f t="shared" si="8"/>
        <v>-74426.180666068132</v>
      </c>
      <c r="K43" s="373">
        <f t="shared" si="9"/>
        <v>21655393.546687495</v>
      </c>
      <c r="L43" s="337">
        <f t="shared" si="10"/>
        <v>3952893.1624884536</v>
      </c>
      <c r="M43" s="372">
        <f t="shared" si="11"/>
        <v>-1931225.8829493646</v>
      </c>
      <c r="O43" s="368">
        <f>K43-W09_PG_5_of_5!AA112</f>
        <v>0</v>
      </c>
      <c r="P43" s="368">
        <f>L43-W09_PG_5_of_5!AB112</f>
        <v>4.0716081857681274E-3</v>
      </c>
      <c r="Q43" s="368">
        <f>M43-W09_PG_5_of_5!AC112</f>
        <v>6.92795030772686E-4</v>
      </c>
    </row>
    <row r="44" spans="1:17">
      <c r="A44" s="331">
        <v>45992</v>
      </c>
      <c r="B44" s="373">
        <f>W09_PG_5_of_5!U113</f>
        <v>838941.463475178</v>
      </c>
      <c r="C44" s="372">
        <f t="shared" si="6"/>
        <v>-838941.463475178</v>
      </c>
      <c r="E44" s="373">
        <f>W09_PG_5_of_5!V113</f>
        <v>78320.465453687764</v>
      </c>
      <c r="F44" s="372">
        <f t="shared" si="7"/>
        <v>-78320.465453687764</v>
      </c>
      <c r="H44" s="373">
        <f>W09_PG_5_of_5!W113</f>
        <v>74816.717859728145</v>
      </c>
      <c r="I44" s="372">
        <f t="shared" si="8"/>
        <v>-74816.717859728145</v>
      </c>
      <c r="K44" s="373">
        <f t="shared" si="9"/>
        <v>20816452.083212316</v>
      </c>
      <c r="L44" s="337">
        <f t="shared" si="10"/>
        <v>3799755.9791750377</v>
      </c>
      <c r="M44" s="372">
        <f t="shared" si="11"/>
        <v>-1856409.1650896366</v>
      </c>
      <c r="O44" s="368">
        <f>K44-W09_PG_5_of_5!AA113</f>
        <v>0</v>
      </c>
      <c r="P44" s="368">
        <f>L44-W09_PG_5_of_5!AB113</f>
        <v>4.0716081857681274E-3</v>
      </c>
      <c r="Q44" s="368">
        <f>M44-W09_PG_5_of_5!AC113</f>
        <v>6.92795030772686E-4</v>
      </c>
    </row>
    <row r="45" spans="1:17">
      <c r="A45" s="331">
        <v>46023</v>
      </c>
      <c r="B45" s="373">
        <f>W09_PG_5_of_5!U114</f>
        <v>843348.47445558815</v>
      </c>
      <c r="C45" s="372">
        <f t="shared" si="6"/>
        <v>-843348.47445558815</v>
      </c>
      <c r="E45" s="373">
        <f>W09_PG_5_of_5!V114</f>
        <v>78731.887664023467</v>
      </c>
      <c r="F45" s="372">
        <f t="shared" si="7"/>
        <v>-78731.887664023467</v>
      </c>
      <c r="H45" s="373">
        <f>W09_PG_5_of_5!W114</f>
        <v>75209.734668982361</v>
      </c>
      <c r="I45" s="372">
        <f t="shared" si="8"/>
        <v>-75209.734668982361</v>
      </c>
      <c r="K45" s="373">
        <f t="shared" si="9"/>
        <v>19973103.608756728</v>
      </c>
      <c r="L45" s="337">
        <f t="shared" si="10"/>
        <v>3645814.3568420322</v>
      </c>
      <c r="M45" s="372">
        <f t="shared" si="11"/>
        <v>-1781199.4304206541</v>
      </c>
      <c r="O45" s="368">
        <f>K45-W09_PG_5_of_5!AA114</f>
        <v>0</v>
      </c>
      <c r="P45" s="368">
        <f>L45-W09_PG_5_of_5!AB114</f>
        <v>4.0716081857681274E-3</v>
      </c>
      <c r="Q45" s="368">
        <f>M45-W09_PG_5_of_5!AC114</f>
        <v>6.92795030772686E-4</v>
      </c>
    </row>
    <row r="46" spans="1:17">
      <c r="A46" s="331">
        <v>46054</v>
      </c>
      <c r="B46" s="373">
        <f>W09_PG_5_of_5!U115</f>
        <v>847783.46766615333</v>
      </c>
      <c r="C46" s="372">
        <f t="shared" si="6"/>
        <v>-847783.46766615333</v>
      </c>
      <c r="E46" s="373">
        <f>W09_PG_5_of_5!V115</f>
        <v>79145.922191649006</v>
      </c>
      <c r="F46" s="372">
        <f t="shared" si="7"/>
        <v>-79145.922191649006</v>
      </c>
      <c r="H46" s="373">
        <f>W09_PG_5_of_5!W115</f>
        <v>75605.246930791647</v>
      </c>
      <c r="I46" s="372">
        <f t="shared" si="8"/>
        <v>-75605.246930791647</v>
      </c>
      <c r="K46" s="373">
        <f t="shared" si="9"/>
        <v>19125320.141090576</v>
      </c>
      <c r="L46" s="337">
        <f t="shared" si="10"/>
        <v>3491063.1877195914</v>
      </c>
      <c r="M46" s="372">
        <f t="shared" si="11"/>
        <v>-1705594.1834898624</v>
      </c>
      <c r="O46" s="368">
        <f>K46-W09_PG_5_of_5!AA115</f>
        <v>0</v>
      </c>
      <c r="P46" s="368">
        <f>L46-W09_PG_5_of_5!AB115</f>
        <v>4.0716081857681274E-3</v>
      </c>
      <c r="Q46" s="368">
        <f>M46-W09_PG_5_of_5!AC115</f>
        <v>6.92795030772686E-4</v>
      </c>
    </row>
    <row r="47" spans="1:17">
      <c r="A47" s="331">
        <v>46082</v>
      </c>
      <c r="B47" s="373">
        <f>W09_PG_5_of_5!U116</f>
        <v>852246.6291476906</v>
      </c>
      <c r="C47" s="372">
        <f t="shared" si="6"/>
        <v>-852246.6291476906</v>
      </c>
      <c r="E47" s="373">
        <f>W09_PG_5_of_5!V116</f>
        <v>79562.586404645437</v>
      </c>
      <c r="F47" s="372">
        <f t="shared" si="7"/>
        <v>-79562.586404645437</v>
      </c>
      <c r="H47" s="373">
        <f>W09_PG_5_of_5!W116</f>
        <v>76003.271236257933</v>
      </c>
      <c r="I47" s="372">
        <f t="shared" si="8"/>
        <v>-76003.271236257933</v>
      </c>
      <c r="K47" s="373">
        <f t="shared" si="9"/>
        <v>18273073.511942886</v>
      </c>
      <c r="L47" s="337">
        <f t="shared" si="10"/>
        <v>3335497.330078688</v>
      </c>
      <c r="M47" s="372">
        <f t="shared" si="11"/>
        <v>-1629590.9122536045</v>
      </c>
      <c r="O47" s="368">
        <f>K47-W09_PG_5_of_5!AA116</f>
        <v>0</v>
      </c>
      <c r="P47" s="368">
        <f>L47-W09_PG_5_of_5!AB116</f>
        <v>4.0716081857681274E-3</v>
      </c>
      <c r="Q47" s="368">
        <f>M47-W09_PG_5_of_5!AC116</f>
        <v>6.92795030772686E-4</v>
      </c>
    </row>
    <row r="48" spans="1:17">
      <c r="A48" s="331">
        <v>46113</v>
      </c>
      <c r="B48" s="373">
        <f>W09_PG_5_of_5!U117</f>
        <v>856738.12802821537</v>
      </c>
      <c r="C48" s="372">
        <f t="shared" si="6"/>
        <v>-856738.12802821537</v>
      </c>
      <c r="E48" s="373">
        <f>W09_PG_5_of_5!V117</f>
        <v>79981.896092177441</v>
      </c>
      <c r="F48" s="372">
        <f t="shared" si="7"/>
        <v>-79981.896092177441</v>
      </c>
      <c r="H48" s="373">
        <f>W09_PG_5_of_5!W117</f>
        <v>76403.822668201145</v>
      </c>
      <c r="I48" s="372">
        <f t="shared" si="8"/>
        <v>-76403.822668201145</v>
      </c>
      <c r="K48" s="373">
        <f t="shared" si="9"/>
        <v>17416335.383914672</v>
      </c>
      <c r="L48" s="337">
        <f t="shared" si="10"/>
        <v>3179111.6113183093</v>
      </c>
      <c r="M48" s="372">
        <f t="shared" si="11"/>
        <v>-1553187.0895854034</v>
      </c>
      <c r="O48" s="368">
        <f>K48-W09_PG_5_of_5!AA117</f>
        <v>0</v>
      </c>
      <c r="P48" s="368">
        <f>L48-W09_PG_5_of_5!AB117</f>
        <v>4.0716081857681274E-3</v>
      </c>
      <c r="Q48" s="368">
        <f>M48-W09_PG_5_of_5!AC117</f>
        <v>6.92795030772686E-4</v>
      </c>
    </row>
    <row r="49" spans="1:17">
      <c r="A49" s="331">
        <v>46143</v>
      </c>
      <c r="B49" s="373">
        <f>W09_PG_5_of_5!U118</f>
        <v>861258.14189214387</v>
      </c>
      <c r="C49" s="372">
        <f t="shared" si="6"/>
        <v>-861258.14189214387</v>
      </c>
      <c r="E49" s="373">
        <f>W09_PG_5_of_5!V118</f>
        <v>80403.86783286788</v>
      </c>
      <c r="F49" s="372">
        <f t="shared" si="7"/>
        <v>-80403.86783286788</v>
      </c>
      <c r="H49" s="373">
        <f>W09_PG_5_of_5!W118</f>
        <v>76806.917063582165</v>
      </c>
      <c r="I49" s="372">
        <f t="shared" si="8"/>
        <v>-76806.917063582165</v>
      </c>
      <c r="K49" s="373">
        <f t="shared" si="9"/>
        <v>16555077.242022527</v>
      </c>
      <c r="L49" s="337">
        <f t="shared" si="10"/>
        <v>3021900.8264218592</v>
      </c>
      <c r="M49" s="372">
        <f t="shared" si="11"/>
        <v>-1476380.1725218212</v>
      </c>
      <c r="O49" s="368">
        <f>K49-W09_PG_5_of_5!AA118</f>
        <v>0</v>
      </c>
      <c r="P49" s="368">
        <f>L49-W09_PG_5_of_5!AB118</f>
        <v>4.0716081857681274E-3</v>
      </c>
      <c r="Q49" s="368">
        <f>M49-W09_PG_5_of_5!AC118</f>
        <v>6.92795030772686E-4</v>
      </c>
    </row>
    <row r="50" spans="1:17">
      <c r="A50" s="331">
        <v>46174</v>
      </c>
      <c r="B50" s="373">
        <f>W09_PG_5_of_5!U119</f>
        <v>865806.87369309471</v>
      </c>
      <c r="C50" s="372">
        <f t="shared" si="6"/>
        <v>-865806.87369309471</v>
      </c>
      <c r="E50" s="373">
        <f>W09_PG_5_of_5!V119</f>
        <v>80828.520573714326</v>
      </c>
      <c r="F50" s="372">
        <f t="shared" si="7"/>
        <v>-80828.520573714326</v>
      </c>
      <c r="H50" s="373">
        <f>W09_PG_5_of_5!W119</f>
        <v>77212.572521784925</v>
      </c>
      <c r="I50" s="372">
        <f t="shared" si="8"/>
        <v>-77212.572521784925</v>
      </c>
      <c r="K50" s="373">
        <f t="shared" si="9"/>
        <v>15689270.368329432</v>
      </c>
      <c r="L50" s="337">
        <f t="shared" si="10"/>
        <v>2863859.7333263601</v>
      </c>
      <c r="M50" s="372">
        <f t="shared" si="11"/>
        <v>-1399167.6000000364</v>
      </c>
      <c r="O50" s="368">
        <f>K50-W09_PG_5_of_5!AA119</f>
        <v>0</v>
      </c>
      <c r="P50" s="368">
        <f>L50-W09_PG_5_of_5!AB119</f>
        <v>4.0716081857681274E-3</v>
      </c>
      <c r="Q50" s="368">
        <f>M50-W09_PG_5_of_5!AC119</f>
        <v>6.92795030772686E-4</v>
      </c>
    </row>
    <row r="51" spans="1:17">
      <c r="A51" s="331">
        <v>46204</v>
      </c>
      <c r="B51" s="373">
        <f>W09_PG_5_of_5!U120</f>
        <v>870384.48410268244</v>
      </c>
      <c r="C51" s="372">
        <f t="shared" si="6"/>
        <v>-870384.48410268244</v>
      </c>
      <c r="E51" s="373">
        <f>W09_PG_5_of_5!V120</f>
        <v>81255.869314423166</v>
      </c>
      <c r="F51" s="372">
        <f t="shared" si="7"/>
        <v>-81255.869314423166</v>
      </c>
      <c r="H51" s="373">
        <f>W09_PG_5_of_5!W120</f>
        <v>77620.803371488306</v>
      </c>
      <c r="I51" s="372">
        <f t="shared" si="8"/>
        <v>-77620.803371488306</v>
      </c>
      <c r="K51" s="373">
        <f t="shared" si="9"/>
        <v>14818885.884226749</v>
      </c>
      <c r="L51" s="337">
        <f t="shared" si="10"/>
        <v>2704983.0606404487</v>
      </c>
      <c r="M51" s="372">
        <f t="shared" si="11"/>
        <v>-1321546.7966285481</v>
      </c>
      <c r="O51" s="368">
        <f>K51-W09_PG_5_of_5!AA120</f>
        <v>0</v>
      </c>
      <c r="P51" s="368">
        <f>L51-W09_PG_5_of_5!AB120</f>
        <v>4.0716081857681274E-3</v>
      </c>
      <c r="Q51" s="368">
        <f>M51-W09_PG_5_of_5!AC120</f>
        <v>6.92795030772686E-4</v>
      </c>
    </row>
    <row r="52" spans="1:17">
      <c r="A52" s="331">
        <v>46235</v>
      </c>
      <c r="B52" s="373">
        <f>W09_PG_5_of_5!U121</f>
        <v>874991.15916172415</v>
      </c>
      <c r="C52" s="372">
        <f t="shared" si="6"/>
        <v>-874991.15916172415</v>
      </c>
      <c r="E52" s="373">
        <f>W09_PG_5_of_5!V121</f>
        <v>81685.931423075541</v>
      </c>
      <c r="F52" s="372">
        <f t="shared" si="7"/>
        <v>-81685.931423075541</v>
      </c>
      <c r="H52" s="373">
        <f>W09_PG_5_of_5!W121</f>
        <v>78031.626203794265</v>
      </c>
      <c r="I52" s="372">
        <f t="shared" si="8"/>
        <v>-78031.626203794265</v>
      </c>
      <c r="K52" s="373">
        <f t="shared" si="9"/>
        <v>13943894.725065025</v>
      </c>
      <c r="L52" s="337">
        <f t="shared" si="10"/>
        <v>2545265.5030135792</v>
      </c>
      <c r="M52" s="372">
        <f t="shared" si="11"/>
        <v>-1243515.1704247538</v>
      </c>
      <c r="O52" s="368">
        <f>K52-W09_PG_5_of_5!AA121</f>
        <v>0</v>
      </c>
      <c r="P52" s="368">
        <f>L52-W09_PG_5_of_5!AB121</f>
        <v>4.0716081857681274E-3</v>
      </c>
      <c r="Q52" s="368">
        <f>M52-W09_PG_5_of_5!AC121</f>
        <v>6.92795030772686E-4</v>
      </c>
    </row>
    <row r="53" spans="1:17">
      <c r="A53" s="331">
        <v>46266</v>
      </c>
      <c r="B53" s="373">
        <f>W09_PG_5_of_5!U122</f>
        <v>879627.08491103677</v>
      </c>
      <c r="C53" s="372">
        <f t="shared" si="6"/>
        <v>-879627.08491103677</v>
      </c>
      <c r="E53" s="373">
        <f>W09_PG_5_of_5!V122</f>
        <v>82118.724267752536</v>
      </c>
      <c r="F53" s="372">
        <f t="shared" si="7"/>
        <v>-82118.724267752536</v>
      </c>
      <c r="H53" s="373">
        <f>W09_PG_5_of_5!W122</f>
        <v>78445.057609804673</v>
      </c>
      <c r="I53" s="372">
        <f t="shared" si="8"/>
        <v>-78445.057609804673</v>
      </c>
      <c r="K53" s="373">
        <f t="shared" si="9"/>
        <v>13064267.640153987</v>
      </c>
      <c r="L53" s="337">
        <f t="shared" si="10"/>
        <v>2384701.7211360224</v>
      </c>
      <c r="M53" s="372">
        <f t="shared" si="11"/>
        <v>-1165070.1128149491</v>
      </c>
      <c r="O53" s="368">
        <f>K53-W09_PG_5_of_5!AA122</f>
        <v>0</v>
      </c>
      <c r="P53" s="368">
        <f>L53-W09_PG_5_of_5!AB122</f>
        <v>4.0716081857681274E-3</v>
      </c>
      <c r="Q53" s="368">
        <f>M53-W09_PG_5_of_5!AC122</f>
        <v>6.92795030772686E-4</v>
      </c>
    </row>
    <row r="54" spans="1:17">
      <c r="A54" s="331">
        <v>46296</v>
      </c>
      <c r="B54" s="373">
        <f>W09_PG_5_of_5!U123</f>
        <v>884292.44739143725</v>
      </c>
      <c r="C54" s="372">
        <f t="shared" si="6"/>
        <v>-884292.44739143725</v>
      </c>
      <c r="E54" s="373">
        <f>W09_PG_5_of_5!V123</f>
        <v>82554.265216535248</v>
      </c>
      <c r="F54" s="372">
        <f t="shared" si="7"/>
        <v>-82554.265216535248</v>
      </c>
      <c r="H54" s="373">
        <f>W09_PG_5_of_5!W123</f>
        <v>78861.114180621429</v>
      </c>
      <c r="I54" s="372">
        <f t="shared" si="8"/>
        <v>-78861.114180621429</v>
      </c>
      <c r="K54" s="373">
        <f t="shared" si="9"/>
        <v>12179975.19276255</v>
      </c>
      <c r="L54" s="337">
        <f t="shared" si="10"/>
        <v>2223286.3417388657</v>
      </c>
      <c r="M54" s="372">
        <f t="shared" si="11"/>
        <v>-1086208.9986343277</v>
      </c>
      <c r="O54" s="368">
        <f>K54-W09_PG_5_of_5!AA123</f>
        <v>0</v>
      </c>
      <c r="P54" s="368">
        <f>L54-W09_PG_5_of_5!AB123</f>
        <v>4.0716081857681274E-3</v>
      </c>
      <c r="Q54" s="368">
        <f>M54-W09_PG_5_of_5!AC123</f>
        <v>6.92795030772686E-4</v>
      </c>
    </row>
    <row r="55" spans="1:17">
      <c r="A55" s="331">
        <v>46327</v>
      </c>
      <c r="B55" s="373">
        <f>W09_PG_5_of_5!U124</f>
        <v>888987.43264374277</v>
      </c>
      <c r="C55" s="372">
        <f t="shared" si="6"/>
        <v>-888987.43264374277</v>
      </c>
      <c r="E55" s="373">
        <f>W09_PG_5_of_5!V124</f>
        <v>82992.571637504807</v>
      </c>
      <c r="F55" s="372">
        <f t="shared" si="7"/>
        <v>-82992.571637504807</v>
      </c>
      <c r="H55" s="373">
        <f>W09_PG_5_of_5!W124</f>
        <v>79279.812507346491</v>
      </c>
      <c r="I55" s="372">
        <f t="shared" si="8"/>
        <v>-79279.812507346491</v>
      </c>
      <c r="K55" s="373">
        <f t="shared" si="9"/>
        <v>11290987.760118807</v>
      </c>
      <c r="L55" s="337">
        <f t="shared" si="10"/>
        <v>2061013.9575940145</v>
      </c>
      <c r="M55" s="372">
        <f t="shared" si="11"/>
        <v>-1006929.1861269812</v>
      </c>
      <c r="O55" s="368">
        <f>K55-W09_PG_5_of_5!AA124</f>
        <v>0</v>
      </c>
      <c r="P55" s="368">
        <f>L55-W09_PG_5_of_5!AB124</f>
        <v>4.0716081857681274E-3</v>
      </c>
      <c r="Q55" s="368">
        <f>M55-W09_PG_5_of_5!AC124</f>
        <v>6.92795030772686E-4</v>
      </c>
    </row>
    <row r="56" spans="1:17">
      <c r="A56" s="331">
        <v>46357</v>
      </c>
      <c r="B56" s="373">
        <f>W09_PG_5_of_5!U125</f>
        <v>893712.23516517086</v>
      </c>
      <c r="C56" s="372">
        <f t="shared" si="6"/>
        <v>-893712.23516517086</v>
      </c>
      <c r="E56" s="373">
        <f>W09_PG_5_of_5!V125</f>
        <v>83433.661688200518</v>
      </c>
      <c r="F56" s="372">
        <f t="shared" si="7"/>
        <v>-83433.661688200518</v>
      </c>
      <c r="H56" s="373">
        <f>W09_PG_5_of_5!W125</f>
        <v>79701.169935222715</v>
      </c>
      <c r="I56" s="372">
        <f t="shared" si="8"/>
        <v>-79701.169935222715</v>
      </c>
      <c r="K56" s="373">
        <f t="shared" si="9"/>
        <v>10397275.524953635</v>
      </c>
      <c r="L56" s="337">
        <f t="shared" si="10"/>
        <v>1897879.1259705913</v>
      </c>
      <c r="M56" s="372">
        <f t="shared" si="11"/>
        <v>-927228.01619175845</v>
      </c>
      <c r="O56" s="368">
        <f>K56-W09_PG_5_of_5!AA125</f>
        <v>0</v>
      </c>
      <c r="P56" s="368">
        <f>L56-W09_PG_5_of_5!AB125</f>
        <v>4.0716081857681274E-3</v>
      </c>
      <c r="Q56" s="368">
        <f>M56-W09_PG_5_of_5!AC125</f>
        <v>6.92795030772686E-4</v>
      </c>
    </row>
    <row r="57" spans="1:17">
      <c r="A57" s="331">
        <v>46388</v>
      </c>
      <c r="B57" s="373">
        <f>W09_PG_5_of_5!U126</f>
        <v>898467.0494529393</v>
      </c>
      <c r="C57" s="372">
        <f t="shared" si="6"/>
        <v>-898467.0494529393</v>
      </c>
      <c r="E57" s="373">
        <f>W09_PG_5_of_5!V126</f>
        <v>83877.553526161733</v>
      </c>
      <c r="F57" s="372">
        <f t="shared" si="7"/>
        <v>-83877.553526161733</v>
      </c>
      <c r="H57" s="373">
        <f>W09_PG_5_of_5!W126</f>
        <v>80125.203809493018</v>
      </c>
      <c r="I57" s="372">
        <f t="shared" si="8"/>
        <v>-80125.203809493018</v>
      </c>
      <c r="K57" s="373">
        <f t="shared" si="9"/>
        <v>9498808.4755006954</v>
      </c>
      <c r="L57" s="337">
        <f t="shared" si="10"/>
        <v>1733876.3686349366</v>
      </c>
      <c r="M57" s="372">
        <f t="shared" si="11"/>
        <v>-847102.81238226546</v>
      </c>
      <c r="O57" s="368">
        <f>K57-W09_PG_5_of_5!AA126</f>
        <v>0</v>
      </c>
      <c r="P57" s="368">
        <f>L57-W09_PG_5_of_5!AB126</f>
        <v>4.0716081857681274E-3</v>
      </c>
      <c r="Q57" s="368">
        <f>M57-W09_PG_5_of_5!AC126</f>
        <v>6.92795030772686E-4</v>
      </c>
    </row>
    <row r="58" spans="1:17">
      <c r="A58" s="331">
        <v>46419</v>
      </c>
      <c r="B58" s="373">
        <f>W09_PG_5_of_5!U127</f>
        <v>903252.05309146433</v>
      </c>
      <c r="C58" s="372">
        <f t="shared" si="6"/>
        <v>-903252.05309146433</v>
      </c>
      <c r="E58" s="373">
        <f>W09_PG_5_of_5!V127</f>
        <v>84324.263730011327</v>
      </c>
      <c r="F58" s="372">
        <f t="shared" si="7"/>
        <v>-84324.263730011327</v>
      </c>
      <c r="H58" s="373">
        <f>W09_PG_5_of_5!W127</f>
        <v>80551.929967118311</v>
      </c>
      <c r="I58" s="372">
        <f t="shared" si="8"/>
        <v>-80551.929967118311</v>
      </c>
      <c r="K58" s="373">
        <f t="shared" si="9"/>
        <v>8595556.4224092308</v>
      </c>
      <c r="L58" s="337">
        <f t="shared" si="10"/>
        <v>1569000.174937807</v>
      </c>
      <c r="M58" s="372">
        <f t="shared" si="11"/>
        <v>-766550.88241514715</v>
      </c>
      <c r="O58" s="368">
        <f>K58-W09_PG_5_of_5!AA127</f>
        <v>0</v>
      </c>
      <c r="P58" s="368">
        <f>L58-W09_PG_5_of_5!AB127</f>
        <v>4.0716081857681274E-3</v>
      </c>
      <c r="Q58" s="368">
        <f>M58-W09_PG_5_of_5!AC127</f>
        <v>6.92795030772686E-4</v>
      </c>
    </row>
    <row r="59" spans="1:17">
      <c r="A59" s="331">
        <v>46447</v>
      </c>
      <c r="B59" s="373">
        <f>W09_PG_5_of_5!U128</f>
        <v>908067.42366516218</v>
      </c>
      <c r="C59" s="372">
        <f t="shared" si="6"/>
        <v>-908067.42366516218</v>
      </c>
      <c r="E59" s="373">
        <f>W09_PG_5_of_5!V128</f>
        <v>84773.808878372161</v>
      </c>
      <c r="F59" s="372">
        <f t="shared" si="7"/>
        <v>-84773.808878372161</v>
      </c>
      <c r="H59" s="373">
        <f>W09_PG_5_of_5!W128</f>
        <v>80981.364245059493</v>
      </c>
      <c r="I59" s="372">
        <f t="shared" si="8"/>
        <v>-80981.364245059493</v>
      </c>
      <c r="K59" s="373">
        <f t="shared" si="9"/>
        <v>7687488.9987440687</v>
      </c>
      <c r="L59" s="337">
        <f t="shared" si="10"/>
        <v>1403245.0018143754</v>
      </c>
      <c r="M59" s="372">
        <f t="shared" si="11"/>
        <v>-685569.5181700876</v>
      </c>
      <c r="O59" s="368">
        <f>K59-W09_PG_5_of_5!AA128</f>
        <v>0</v>
      </c>
      <c r="P59" s="368">
        <f>L59-W09_PG_5_of_5!AB128</f>
        <v>4.0716081857681274E-3</v>
      </c>
      <c r="Q59" s="368">
        <f>M59-W09_PG_5_of_5!AC128</f>
        <v>6.92795030772686E-4</v>
      </c>
    </row>
    <row r="60" spans="1:17">
      <c r="A60" s="331">
        <v>46478</v>
      </c>
      <c r="B60" s="373">
        <f>W09_PG_5_of_5!U129</f>
        <v>912913.39795325464</v>
      </c>
      <c r="C60" s="372">
        <f t="shared" si="6"/>
        <v>-912913.39795325464</v>
      </c>
      <c r="E60" s="373">
        <f>W09_PG_5_of_5!V129</f>
        <v>85226.21107607476</v>
      </c>
      <c r="F60" s="372">
        <f t="shared" si="7"/>
        <v>-85226.21107607476</v>
      </c>
      <c r="H60" s="373">
        <f>W09_PG_5_of_5!W129</f>
        <v>81413.527759264485</v>
      </c>
      <c r="I60" s="372">
        <f t="shared" si="8"/>
        <v>-81413.527759264485</v>
      </c>
      <c r="K60" s="373">
        <f t="shared" si="9"/>
        <v>6774575.6007908136</v>
      </c>
      <c r="L60" s="337">
        <f t="shared" si="10"/>
        <v>1236605.2629790362</v>
      </c>
      <c r="M60" s="372">
        <f t="shared" si="11"/>
        <v>-604155.99041082314</v>
      </c>
      <c r="O60" s="368">
        <f>K60-W09_PG_5_of_5!AA129</f>
        <v>0</v>
      </c>
      <c r="P60" s="368">
        <f>L60-W09_PG_5_of_5!AB129</f>
        <v>4.0716081857681274E-3</v>
      </c>
      <c r="Q60" s="368">
        <f>M60-W09_PG_5_of_5!AC129</f>
        <v>6.92795030772686E-4</v>
      </c>
    </row>
    <row r="61" spans="1:17">
      <c r="A61" s="331">
        <v>46508</v>
      </c>
      <c r="B61" s="373">
        <f>W09_PG_5_of_5!U130</f>
        <v>917790.12817095558</v>
      </c>
      <c r="C61" s="372">
        <f t="shared" si="6"/>
        <v>-917790.12817095558</v>
      </c>
      <c r="E61" s="373">
        <f>W09_PG_5_of_5!V130</f>
        <v>85681.4845333673</v>
      </c>
      <c r="F61" s="372">
        <f t="shared" si="7"/>
        <v>-85681.4845333673</v>
      </c>
      <c r="H61" s="373">
        <f>W09_PG_5_of_5!W130</f>
        <v>81848.434084271197</v>
      </c>
      <c r="I61" s="372">
        <f t="shared" si="8"/>
        <v>-81848.434084271197</v>
      </c>
      <c r="K61" s="373">
        <f t="shared" si="9"/>
        <v>5856785.4726198576</v>
      </c>
      <c r="L61" s="337">
        <f t="shared" si="10"/>
        <v>1069075.3443613979</v>
      </c>
      <c r="M61" s="372">
        <f t="shared" si="11"/>
        <v>-522307.55632655194</v>
      </c>
      <c r="O61" s="368">
        <f>K61-W09_PG_5_of_5!AA130</f>
        <v>0</v>
      </c>
      <c r="P61" s="368">
        <f>L61-W09_PG_5_of_5!AB130</f>
        <v>4.0716081857681274E-3</v>
      </c>
      <c r="Q61" s="368">
        <f>M61-W09_PG_5_of_5!AC130</f>
        <v>6.92795030772686E-4</v>
      </c>
    </row>
    <row r="62" spans="1:17">
      <c r="A62" s="331">
        <v>46539</v>
      </c>
      <c r="B62" s="373">
        <f>W09_PG_5_of_5!U131</f>
        <v>922697.82572828396</v>
      </c>
      <c r="C62" s="372">
        <f t="shared" si="6"/>
        <v>-922697.82572828396</v>
      </c>
      <c r="E62" s="373">
        <f>W09_PG_5_of_5!V131</f>
        <v>86139.648986705535</v>
      </c>
      <c r="F62" s="372">
        <f t="shared" si="7"/>
        <v>-86139.648986705535</v>
      </c>
      <c r="H62" s="373">
        <f>W09_PG_5_of_5!W131</f>
        <v>82286.102073604503</v>
      </c>
      <c r="I62" s="372">
        <f t="shared" si="8"/>
        <v>-82286.102073604503</v>
      </c>
      <c r="K62" s="373">
        <f t="shared" si="9"/>
        <v>4934087.6468915734</v>
      </c>
      <c r="L62" s="337">
        <f t="shared" si="10"/>
        <v>900649.59330108785</v>
      </c>
      <c r="M62" s="372">
        <f t="shared" si="11"/>
        <v>-440021.45425294747</v>
      </c>
      <c r="O62" s="368">
        <f>K62-W09_PG_5_of_5!AA131</f>
        <v>0</v>
      </c>
      <c r="P62" s="368">
        <f>L62-W09_PG_5_of_5!AB131</f>
        <v>4.0716081857681274E-3</v>
      </c>
      <c r="Q62" s="368">
        <f>M62-W09_PG_5_of_5!AC131</f>
        <v>6.92795030772686E-4</v>
      </c>
    </row>
    <row r="63" spans="1:17">
      <c r="A63" s="331">
        <v>46569</v>
      </c>
      <c r="B63" s="373">
        <f>W09_PG_5_of_5!U132</f>
        <v>927636.69357885863</v>
      </c>
      <c r="C63" s="372">
        <f t="shared" si="6"/>
        <v>-927636.69357885863</v>
      </c>
      <c r="E63" s="373">
        <f>W09_PG_5_of_5!V132</f>
        <v>86600.723383087068</v>
      </c>
      <c r="F63" s="372">
        <f t="shared" si="7"/>
        <v>-86600.723383087068</v>
      </c>
      <c r="H63" s="373">
        <f>W09_PG_5_of_5!W132</f>
        <v>82726.549826648305</v>
      </c>
      <c r="I63" s="372">
        <f t="shared" si="8"/>
        <v>-82726.549826648305</v>
      </c>
      <c r="K63" s="373">
        <f t="shared" si="9"/>
        <v>4006450.9533127146</v>
      </c>
      <c r="L63" s="337">
        <f t="shared" si="10"/>
        <v>731322.32009135245</v>
      </c>
      <c r="M63" s="372">
        <f t="shared" si="11"/>
        <v>-357294.90442629915</v>
      </c>
      <c r="O63" s="368">
        <f>K63-W09_PG_5_of_5!AA132</f>
        <v>0</v>
      </c>
      <c r="P63" s="368">
        <f>L63-W09_PG_5_of_5!AB132</f>
        <v>4.0716081857681274E-3</v>
      </c>
      <c r="Q63" s="368">
        <f>M63-W09_PG_5_of_5!AC132</f>
        <v>6.92795030772686E-4</v>
      </c>
    </row>
    <row r="64" spans="1:17">
      <c r="A64" s="331">
        <v>46600</v>
      </c>
      <c r="B64" s="373">
        <f>W09_PG_5_of_5!U133</f>
        <v>932606.92621989723</v>
      </c>
      <c r="C64" s="372">
        <f t="shared" si="6"/>
        <v>-932606.92621989723</v>
      </c>
      <c r="E64" s="373">
        <f>W09_PG_5_of_5!V133</f>
        <v>87064.725880051235</v>
      </c>
      <c r="F64" s="372">
        <f t="shared" si="7"/>
        <v>-87064.725880051235</v>
      </c>
      <c r="H64" s="373">
        <f>W09_PG_5_of_5!W133</f>
        <v>83169.794688645517</v>
      </c>
      <c r="I64" s="372">
        <f t="shared" si="8"/>
        <v>-83169.794688645517</v>
      </c>
      <c r="K64" s="373">
        <f t="shared" si="9"/>
        <v>3073844.0270928172</v>
      </c>
      <c r="L64" s="337">
        <f t="shared" si="10"/>
        <v>561087.79952265567</v>
      </c>
      <c r="M64" s="372">
        <f t="shared" si="11"/>
        <v>-274125.10973765363</v>
      </c>
      <c r="O64" s="368">
        <f>K64-W09_PG_5_of_5!AA133</f>
        <v>0</v>
      </c>
      <c r="P64" s="368">
        <f>L64-W09_PG_5_of_5!AB133</f>
        <v>4.0716081857681274E-3</v>
      </c>
      <c r="Q64" s="368">
        <f>M64-W09_PG_5_of_5!AC133</f>
        <v>6.92795030772686E-4</v>
      </c>
    </row>
    <row r="65" spans="1:17">
      <c r="A65" s="331">
        <v>46631</v>
      </c>
      <c r="B65" s="373">
        <f>W09_PG_5_of_5!U134</f>
        <v>937608.70969221683</v>
      </c>
      <c r="C65" s="372">
        <f t="shared" si="6"/>
        <v>-937608.70969221683</v>
      </c>
      <c r="E65" s="373">
        <f>W09_PG_5_of_5!V134</f>
        <v>87531.67384567915</v>
      </c>
      <c r="F65" s="372">
        <f t="shared" si="7"/>
        <v>-87531.67384567915</v>
      </c>
      <c r="H65" s="373">
        <f>W09_PG_5_of_5!W134</f>
        <v>83615.853250698055</v>
      </c>
      <c r="I65" s="372">
        <f t="shared" si="8"/>
        <v>-83615.853250698055</v>
      </c>
      <c r="K65" s="373">
        <f t="shared" si="9"/>
        <v>2136235.3174006003</v>
      </c>
      <c r="L65" s="337">
        <f t="shared" si="10"/>
        <v>389940.27242627845</v>
      </c>
      <c r="M65" s="372">
        <f t="shared" si="11"/>
        <v>-190509.25648695556</v>
      </c>
      <c r="O65" s="368">
        <f>K65-W09_PG_5_of_5!AA134</f>
        <v>0</v>
      </c>
      <c r="P65" s="368">
        <f>L65-W09_PG_5_of_5!AB134</f>
        <v>4.0716081857681274E-3</v>
      </c>
      <c r="Q65" s="368">
        <f>M65-W09_PG_5_of_5!AC134</f>
        <v>6.92795030772686E-4</v>
      </c>
    </row>
    <row r="66" spans="1:17">
      <c r="A66" s="331">
        <v>46661</v>
      </c>
      <c r="B66" s="373">
        <f>W09_PG_5_of_5!U135</f>
        <v>942642.25540583674</v>
      </c>
      <c r="C66" s="372">
        <f t="shared" si="6"/>
        <v>-942642.25540583674</v>
      </c>
      <c r="E66" s="373">
        <f>W09_PG_5_of_5!V135</f>
        <v>88001.587016426594</v>
      </c>
      <c r="F66" s="372">
        <f t="shared" si="7"/>
        <v>-88001.587016426594</v>
      </c>
      <c r="H66" s="373">
        <f>W09_PG_5_of_5!W135</f>
        <v>84064.744366330793</v>
      </c>
      <c r="I66" s="372">
        <f t="shared" si="8"/>
        <v>-84064.744366330793</v>
      </c>
      <c r="K66" s="373">
        <f t="shared" si="9"/>
        <v>1193593.0619947636</v>
      </c>
      <c r="L66" s="337">
        <f t="shared" si="10"/>
        <v>217873.94104352104</v>
      </c>
      <c r="M66" s="372">
        <f t="shared" si="11"/>
        <v>-106444.51212062477</v>
      </c>
      <c r="O66" s="368">
        <f>K66-W09_PG_5_of_5!AA135</f>
        <v>0</v>
      </c>
      <c r="P66" s="368">
        <f>L66-W09_PG_5_of_5!AB135</f>
        <v>4.0716081857681274E-3</v>
      </c>
      <c r="Q66" s="368">
        <f>M66-W09_PG_5_of_5!AC135</f>
        <v>6.92795030772686E-4</v>
      </c>
    </row>
    <row r="67" spans="1:17">
      <c r="A67" s="331">
        <v>46692</v>
      </c>
      <c r="B67" s="373">
        <f>W09_PG_5_of_5!U136</f>
        <v>947707.76631437521</v>
      </c>
      <c r="C67" s="372">
        <f t="shared" si="6"/>
        <v>-947707.76631437521</v>
      </c>
      <c r="E67" s="373">
        <f>W09_PG_5_of_5!V136</f>
        <v>88474.484339291128</v>
      </c>
      <c r="F67" s="372">
        <f t="shared" si="7"/>
        <v>-88474.484339291128</v>
      </c>
      <c r="H67" s="373">
        <f>W09_PG_5_of_5!W136</f>
        <v>84516.486134927647</v>
      </c>
      <c r="I67" s="372">
        <f t="shared" si="8"/>
        <v>-84516.486134927647</v>
      </c>
      <c r="K67" s="373">
        <f t="shared" si="9"/>
        <v>245885.29568038834</v>
      </c>
      <c r="L67" s="337">
        <f t="shared" si="10"/>
        <v>44882.97056930227</v>
      </c>
      <c r="M67" s="372">
        <f t="shared" si="11"/>
        <v>-21928.025985697124</v>
      </c>
      <c r="O67" s="368">
        <f>K67-W09_PG_5_of_5!AA136</f>
        <v>0</v>
      </c>
      <c r="P67" s="368">
        <f>L67-W09_PG_5_of_5!AB136</f>
        <v>4.0716081857681274E-3</v>
      </c>
      <c r="Q67" s="368">
        <f>M67-W09_PG_5_of_5!AC136</f>
        <v>6.92795030772686E-4</v>
      </c>
    </row>
    <row r="68" spans="1:17" ht="15" thickBot="1">
      <c r="A68" s="331">
        <v>46722</v>
      </c>
      <c r="B68" s="371">
        <f>W09_PG_5_of_5!U137</f>
        <v>245885.29341047927</v>
      </c>
      <c r="C68" s="369">
        <f t="shared" si="6"/>
        <v>-245885.29341047927</v>
      </c>
      <c r="E68" s="371">
        <f>W09_PG_5_of_5!V137</f>
        <v>22954.939607291333</v>
      </c>
      <c r="F68" s="369">
        <f t="shared" si="7"/>
        <v>-22954.939607291333</v>
      </c>
      <c r="H68" s="371">
        <f>W09_PG_5_of_5!W137</f>
        <v>21928.026476060088</v>
      </c>
      <c r="I68" s="369">
        <f t="shared" si="8"/>
        <v>-21928.026476060088</v>
      </c>
      <c r="K68" s="371">
        <f t="shared" si="9"/>
        <v>2.2699090768583119E-3</v>
      </c>
      <c r="L68" s="370">
        <f t="shared" si="10"/>
        <v>4.4859508489025757E-3</v>
      </c>
      <c r="M68" s="369">
        <f t="shared" si="11"/>
        <v>4.903629633190576E-4</v>
      </c>
      <c r="O68" s="368">
        <f>K68-W09_PG_5_of_5!AA137</f>
        <v>0</v>
      </c>
      <c r="P68" s="368">
        <f>L68-W09_PG_5_of_5!AB137</f>
        <v>4.0716081857681274E-3</v>
      </c>
      <c r="Q68" s="368">
        <f>M68-W09_PG_5_of_5!AC137</f>
        <v>6.92795030772686E-4</v>
      </c>
    </row>
    <row r="71" spans="1:17">
      <c r="A71" s="44" t="s">
        <v>2</v>
      </c>
      <c r="B71" s="44" t="s">
        <v>3</v>
      </c>
    </row>
  </sheetData>
  <mergeCells count="4">
    <mergeCell ref="B6:C6"/>
    <mergeCell ref="E6:F6"/>
    <mergeCell ref="H6:I6"/>
    <mergeCell ref="K6:M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perating_x0020_Company xmlns="a1040523-5304-4b09-b6d4-64a124c994e2">AEP Ohio</Operating_x0020_Company>
    <_ip_UnifiedCompliancePolicyUIAction xmlns="http://schemas.microsoft.com/sharepoint/v3" xsi:nil="true"/>
    <lcf76f155ced4ddcb4097134ff3c332f xmlns="5b640fb8-5a34-41c1-9307-1b790ff29a8b">
      <Terms xmlns="http://schemas.microsoft.com/office/infopath/2007/PartnerControls"/>
    </lcf76f155ced4ddcb4097134ff3c332f>
    <_Flow_SignoffStatus xmlns="5b640fb8-5a34-41c1-9307-1b790ff29a8b" xsi:nil="true"/>
    <_ip_UnifiedCompliancePolicyProperties xmlns="http://schemas.microsoft.com/sharepoint/v3" xsi:nil="true"/>
    <TaxCatchAll xmlns="51831b8d-857f-44dd-949b-652450d1a5d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136CE24ED5F449BD16740FFC7FAF6F" ma:contentTypeVersion="31" ma:contentTypeDescription="Create a new document." ma:contentTypeScope="" ma:versionID="b6179feaad23018a41f76eaef5b4f43d">
  <xsd:schema xmlns:xsd="http://www.w3.org/2001/XMLSchema" xmlns:xs="http://www.w3.org/2001/XMLSchema" xmlns:p="http://schemas.microsoft.com/office/2006/metadata/properties" xmlns:ns1="http://schemas.microsoft.com/sharepoint/v3" xmlns:ns2="a1040523-5304-4b09-b6d4-64a124c994e2" xmlns:ns3="5b640fb8-5a34-41c1-9307-1b790ff29a8b" xmlns:ns4="51831b8d-857f-44dd-949b-652450d1a5df" targetNamespace="http://schemas.microsoft.com/office/2006/metadata/properties" ma:root="true" ma:fieldsID="b176c6d2b07027ee7343df1467fc3652" ns1:_="" ns2:_="" ns3:_="" ns4:_="">
    <xsd:import namespace="http://schemas.microsoft.com/sharepoint/v3"/>
    <xsd:import namespace="a1040523-5304-4b09-b6d4-64a124c994e2"/>
    <xsd:import namespace="5b640fb8-5a34-41c1-9307-1b790ff29a8b"/>
    <xsd:import namespace="51831b8d-857f-44dd-949b-652450d1a5df"/>
    <xsd:element name="properties">
      <xsd:complexType>
        <xsd:sequence>
          <xsd:element name="documentManagement">
            <xsd:complexType>
              <xsd:all>
                <xsd:element ref="ns2:Operating_x0020_Company"/>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4:TaxCatchAll" minOccurs="0"/>
                <xsd:element ref="ns3:MediaServiceGenerationTime" minOccurs="0"/>
                <xsd:element ref="ns3:MediaServiceEventHashCode" minOccurs="0"/>
                <xsd:element ref="ns3:MediaServiceOCR" minOccurs="0"/>
                <xsd:element ref="ns3:MediaServiceObjectDetectorVersions" minOccurs="0"/>
                <xsd:element ref="ns3:_Flow_SignoffStatu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040523-5304-4b09-b6d4-64a124c994e2" elementFormDefault="qualified">
    <xsd:import namespace="http://schemas.microsoft.com/office/2006/documentManagement/types"/>
    <xsd:import namespace="http://schemas.microsoft.com/office/infopath/2007/PartnerControls"/>
    <xsd:element name="Operating_x0020_Company" ma:index="8" ma:displayName="Operating Company" ma:default="AEP Ohio" ma:format="Dropdown" ma:internalName="Operating_x0020_Company" ma:readOnly="false">
      <xsd:simpleType>
        <xsd:restriction base="dms:Choice">
          <xsd:enumeration value="AEP Ohio"/>
          <xsd:enumeration value="AEP Texas"/>
          <xsd:enumeration value="Appalachian Power - Tennessee"/>
          <xsd:enumeration value="Appalachian Power - Virginia"/>
          <xsd:enumeration value="Appalachian Power - West Virginia"/>
          <xsd:enumeration value="FERC"/>
          <xsd:enumeration value="Indiana &amp; Michigan Power - Indiana"/>
          <xsd:enumeration value="Indiana &amp; Michigan Power - Michigan"/>
          <xsd:enumeration value="Kentucky Power"/>
          <xsd:enumeration value="PSO"/>
          <xsd:enumeration value="SWEPCO - Arkansas"/>
          <xsd:enumeration value="SWEPCO - Louisiana"/>
          <xsd:enumeration value="SWEPCO - TEXAS"/>
          <xsd:enumeration value="SWEPCO - Peine"/>
          <xsd:enumeration value="ETT"/>
        </xsd:restriction>
      </xsd:simpleType>
    </xsd:element>
  </xsd:schema>
  <xsd:schema xmlns:xsd="http://www.w3.org/2001/XMLSchema" xmlns:xs="http://www.w3.org/2001/XMLSchema" xmlns:dms="http://schemas.microsoft.com/office/2006/documentManagement/types" xmlns:pc="http://schemas.microsoft.com/office/infopath/2007/PartnerControls" targetNamespace="5b640fb8-5a34-41c1-9307-1b790ff29a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fa54f2-5b03-49c6-9483-51c08a9736bb"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831b8d-857f-44dd-949b-652450d1a5d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b4476ce-ac5c-42b1-bccc-28ba47756ae8}" ma:internalName="TaxCatchAll" ma:showField="CatchAllData" ma:web="51831b8d-857f-44dd-949b-652450d1a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PC9zaXNsPjxVc2VyTmFtZT5DT1JQXHMyODIyNjI8L1VzZXJOYW1lPjxEYXRlVGltZT42LzE0LzIwMjMgMzo0MzowNiBQTTwvRGF0ZVRpbWU+PExhYmVsU3RyaW5nPkFFUCBJbnRlcm5hbDwvTGFiZWxTdHJpbmc+PC9pdGVtPjwvbGFiZWxIaXN0b3J5Pg==</Value>
</WrappedLabelHistory>
</file>

<file path=customXml/item5.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element uid="d14f5c36-f44a-4315-b438-005cfe8f069f" value=""/>
</sisl>
</file>

<file path=customXml/itemProps1.xml><?xml version="1.0" encoding="utf-8"?>
<ds:datastoreItem xmlns:ds="http://schemas.openxmlformats.org/officeDocument/2006/customXml" ds:itemID="{47BEDEA1-4D0D-4F05-9BAC-FBEC548CD3CF}">
  <ds:schemaRefs>
    <ds:schemaRef ds:uri="http://schemas.microsoft.com/sharepoint/v3/contenttype/forms"/>
  </ds:schemaRefs>
</ds:datastoreItem>
</file>

<file path=customXml/itemProps2.xml><?xml version="1.0" encoding="utf-8"?>
<ds:datastoreItem xmlns:ds="http://schemas.openxmlformats.org/officeDocument/2006/customXml" ds:itemID="{F4B15562-7377-48CE-BEFE-5B049E524DC3}">
  <ds:schemaRef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51831b8d-857f-44dd-949b-652450d1a5df"/>
    <ds:schemaRef ds:uri="5b640fb8-5a34-41c1-9307-1b790ff29a8b"/>
    <ds:schemaRef ds:uri="http://schemas.microsoft.com/office/2006/documentManagement/types"/>
    <ds:schemaRef ds:uri="a1040523-5304-4b09-b6d4-64a124c994e2"/>
    <ds:schemaRef ds:uri="http://schemas.microsoft.com/sharepoint/v3"/>
    <ds:schemaRef ds:uri="http://purl.org/dc/terms/"/>
    <ds:schemaRef ds:uri="http://purl.org/dc/elements/1.1/"/>
  </ds:schemaRefs>
</ds:datastoreItem>
</file>

<file path=customXml/itemProps3.xml><?xml version="1.0" encoding="utf-8"?>
<ds:datastoreItem xmlns:ds="http://schemas.openxmlformats.org/officeDocument/2006/customXml" ds:itemID="{F3E1822E-DE70-41DD-A1FD-54AD1010FA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040523-5304-4b09-b6d4-64a124c994e2"/>
    <ds:schemaRef ds:uri="5b640fb8-5a34-41c1-9307-1b790ff29a8b"/>
    <ds:schemaRef ds:uri="51831b8d-857f-44dd-949b-652450d1a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C41849D-8C9D-4357-BB1D-08754EB881B1}">
  <ds:schemaRefs>
    <ds:schemaRef ds:uri="http://www.w3.org/2001/XMLSchema"/>
    <ds:schemaRef ds:uri="http://www.boldonjames.com/2016/02/Classifier/internal/wrappedLabelHistory"/>
  </ds:schemaRefs>
</ds:datastoreItem>
</file>

<file path=customXml/itemProps5.xml><?xml version="1.0" encoding="utf-8"?>
<ds:datastoreItem xmlns:ds="http://schemas.openxmlformats.org/officeDocument/2006/customXml" ds:itemID="{06632317-72B4-4778-81CA-57160BDF805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8</vt:i4>
      </vt:variant>
    </vt:vector>
  </HeadingPairs>
  <TitlesOfParts>
    <vt:vector size="87" baseType="lpstr">
      <vt:lpstr>Index</vt:lpstr>
      <vt:lpstr>W02_PG_1_of_4</vt:lpstr>
      <vt:lpstr>W02_PG_2_of_4</vt:lpstr>
      <vt:lpstr>W02_PG_3_of_4</vt:lpstr>
      <vt:lpstr>W02_PG_4_of_4</vt:lpstr>
      <vt:lpstr>W09_PG_1_of_5</vt:lpstr>
      <vt:lpstr>W09_PG_2_of_5</vt:lpstr>
      <vt:lpstr>W09_PG_3_of_5</vt:lpstr>
      <vt:lpstr>W09_PG_4_of_5</vt:lpstr>
      <vt:lpstr>W09_PG_5_of_5</vt:lpstr>
      <vt:lpstr>W10_PG_1_of_2</vt:lpstr>
      <vt:lpstr>W10_PG_2_of_2</vt:lpstr>
      <vt:lpstr>W11_PG_1_of_1</vt:lpstr>
      <vt:lpstr>WP12_PG_1_of_1</vt:lpstr>
      <vt:lpstr>W15_PG_1_of_2</vt:lpstr>
      <vt:lpstr>W15_PG_2_of_2</vt:lpstr>
      <vt:lpstr>W16_PG_1_of_2</vt:lpstr>
      <vt:lpstr>W16_PG_2_of_2</vt:lpstr>
      <vt:lpstr>W17_PG_1_of_1</vt:lpstr>
      <vt:lpstr>W17_PG_2_of_2</vt:lpstr>
      <vt:lpstr>W20_PG_1_of_3</vt:lpstr>
      <vt:lpstr>W20_PG_2_of_3</vt:lpstr>
      <vt:lpstr>W20_PG_3_of_3</vt:lpstr>
      <vt:lpstr>W21_PG_1_of_2</vt:lpstr>
      <vt:lpstr>W21_PG_2_of_2</vt:lpstr>
      <vt:lpstr>W22_PG_1_of_6</vt:lpstr>
      <vt:lpstr>W22_PG_2_of_6</vt:lpstr>
      <vt:lpstr>W22_PG_3_of_6</vt:lpstr>
      <vt:lpstr>W22_PG_4_of_6</vt:lpstr>
      <vt:lpstr>W22_PG_5_of_6</vt:lpstr>
      <vt:lpstr>W22_PG_6_of_6</vt:lpstr>
      <vt:lpstr>W24_PG_1_of_4</vt:lpstr>
      <vt:lpstr>W24_PG_2_of_4</vt:lpstr>
      <vt:lpstr>W24_PG_3_of_4</vt:lpstr>
      <vt:lpstr>W24_PG_4_of_4</vt:lpstr>
      <vt:lpstr>W25_PG_1_of_1</vt:lpstr>
      <vt:lpstr>W26_PG_1_of_3</vt:lpstr>
      <vt:lpstr>W26_PG_2_of_3</vt:lpstr>
      <vt:lpstr>W26_PG_3_of_3</vt:lpstr>
      <vt:lpstr>W27_W32_PG_1_of_1</vt:lpstr>
      <vt:lpstr>W27_PG_1_of_3</vt:lpstr>
      <vt:lpstr>W27_PG_2_of_3</vt:lpstr>
      <vt:lpstr>W27_PG_3_of_3</vt:lpstr>
      <vt:lpstr>W28_PG_1_of_4</vt:lpstr>
      <vt:lpstr>W28_PG_2_of_4</vt:lpstr>
      <vt:lpstr>W28_PG_3_of_4</vt:lpstr>
      <vt:lpstr>W28_PG_4_of_4</vt:lpstr>
      <vt:lpstr>W29_PG_1_of_2</vt:lpstr>
      <vt:lpstr>W29_PG_2_of_2</vt:lpstr>
      <vt:lpstr>W31_PG_1_of_3</vt:lpstr>
      <vt:lpstr>W31_PG_2_of_3</vt:lpstr>
      <vt:lpstr>W31_PG_3_of_3</vt:lpstr>
      <vt:lpstr>W32_PG_1_of_2</vt:lpstr>
      <vt:lpstr>W32_PG_2_of_2</vt:lpstr>
      <vt:lpstr>W34_PG_1_of_3</vt:lpstr>
      <vt:lpstr>W34_PG_2_of_3</vt:lpstr>
      <vt:lpstr>W34_PG_3_of_3</vt:lpstr>
      <vt:lpstr>W35_PG_1_of_1</vt:lpstr>
      <vt:lpstr>W36_PG_1_of_1</vt:lpstr>
      <vt:lpstr>W39_PG_1_of_1</vt:lpstr>
      <vt:lpstr>W44_PG_1_of_1</vt:lpstr>
      <vt:lpstr>W45_PG_1_of_1</vt:lpstr>
      <vt:lpstr>W46_PG_1_of_1</vt:lpstr>
      <vt:lpstr>W47_PG_1_of_1</vt:lpstr>
      <vt:lpstr>W48_PG_1_of_1</vt:lpstr>
      <vt:lpstr>W53_PG_1_of_1</vt:lpstr>
      <vt:lpstr>W57_PG_1_of_1</vt:lpstr>
      <vt:lpstr>W58_PG_1_of_1</vt:lpstr>
      <vt:lpstr>W59_PG_1_of_4</vt:lpstr>
      <vt:lpstr>W59_PG_2_of_4</vt:lpstr>
      <vt:lpstr>W59_PG_3_of_4</vt:lpstr>
      <vt:lpstr>W59_PG_4_of_4</vt:lpstr>
      <vt:lpstr>W61_PG_1_of_7</vt:lpstr>
      <vt:lpstr>W61_PG_2_of_7</vt:lpstr>
      <vt:lpstr>W61_PG_3_of_7</vt:lpstr>
      <vt:lpstr>W61_PG_4_of_7</vt:lpstr>
      <vt:lpstr>W61_PG_5_of_7</vt:lpstr>
      <vt:lpstr>W61_PG_6_of_7</vt:lpstr>
      <vt:lpstr>W61_PG_7_of_7</vt:lpstr>
      <vt:lpstr>W09_PG_1_of_5!Print_Area</vt:lpstr>
      <vt:lpstr>W09_PG_3_of_5!Print_Area</vt:lpstr>
      <vt:lpstr>W09_PG_5_of_5!Print_Area</vt:lpstr>
      <vt:lpstr>W22_PG_4_of_6!Print_Area</vt:lpstr>
      <vt:lpstr>W22_PG_5_of_6!Print_Area</vt:lpstr>
      <vt:lpstr>W09_PG_5_of_5!Print_Titles</vt:lpstr>
      <vt:lpstr>W27_PG_2_of_3!Print_Titles</vt:lpstr>
      <vt:lpstr>W27_PG_3_of_3!Print_Titles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Michelle Caldwell</cp:lastModifiedBy>
  <cp:revision>2</cp:revision>
  <dcterms:created xsi:type="dcterms:W3CDTF">2023-06-08T13:14:21Z</dcterms:created>
  <dcterms:modified xsi:type="dcterms:W3CDTF">2023-08-27T01:25:51Z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dbd393bf-b760-4a77-bba7-fc97022ff641</vt:lpwstr>
  </property>
  <property fmtid="{D5CDD505-2E9C-101B-9397-08002B2CF9AE}" pid="3" name="bjSaver">
    <vt:lpwstr>Vd2RjOoq8XTO/JQFqeoF2zhld0M8eAi5</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uid="50c31824-0780-4910-87d1-eaaffd182d42" value="" /&gt;&lt;element uid="d14f5c36-f44a-4315-b438-005cfe8f069f" value="" /&gt;&lt;/sisl&gt;</vt:lpwstr>
  </property>
  <property fmtid="{D5CDD505-2E9C-101B-9397-08002B2CF9AE}" pid="6" name="bjDocumentSecurityLabel">
    <vt:lpwstr>AEP Internal</vt:lpwstr>
  </property>
  <property fmtid="{D5CDD505-2E9C-101B-9397-08002B2CF9AE}" pid="7" name="MSIP_Label_69f43042-6bda-44b2-91eb-eca3d3d484f4_SiteId">
    <vt:lpwstr>15f3c881-6b03-4ff6-8559-77bf5177818f</vt:lpwstr>
  </property>
  <property fmtid="{D5CDD505-2E9C-101B-9397-08002B2CF9AE}" pid="8" name="MSIP_Label_69f43042-6bda-44b2-91eb-eca3d3d484f4_Name">
    <vt:lpwstr>AEP Internal</vt:lpwstr>
  </property>
  <property fmtid="{D5CDD505-2E9C-101B-9397-08002B2CF9AE}" pid="9" name="MSIP_Label_69f43042-6bda-44b2-91eb-eca3d3d484f4_Enabled">
    <vt:lpwstr>true</vt:lpwstr>
  </property>
  <property fmtid="{D5CDD505-2E9C-101B-9397-08002B2CF9AE}" pid="10" name="bjClsUserRVM">
    <vt:lpwstr>[]</vt:lpwstr>
  </property>
  <property fmtid="{D5CDD505-2E9C-101B-9397-08002B2CF9AE}" pid="11" name="bjLabelHistoryID">
    <vt:lpwstr>{1C41849D-8C9D-4357-BB1D-08754EB881B1}</vt:lpwstr>
  </property>
  <property fmtid="{D5CDD505-2E9C-101B-9397-08002B2CF9AE}" pid="12" name="ContentTypeId">
    <vt:lpwstr>0x01010001136CE24ED5F449BD16740FFC7FAF6F</vt:lpwstr>
  </property>
  <property fmtid="{D5CDD505-2E9C-101B-9397-08002B2CF9AE}" pid="13" name="MediaServiceImageTags">
    <vt:lpwstr/>
  </property>
</Properties>
</file>