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T:\Internal\01_Regulatory Services\02_Cases\2023 Cases\00_2023-00159 Base Rate Case\LMK\Adjustments\Enviro Adjs\"/>
    </mc:Choice>
  </mc:AlternateContent>
  <xr:revisionPtr revIDLastSave="0" documentId="13_ncr:1_{EE4E4534-43F6-410F-A559-0FC486C36171}" xr6:coauthVersionLast="47" xr6:coauthVersionMax="47" xr10:uidLastSave="{00000000-0000-0000-0000-000000000000}"/>
  <bookViews>
    <workbookView xWindow="-120" yWindow="-120" windowWidth="38640" windowHeight="21120" tabRatio="874" xr2:uid="{00000000-000D-0000-FFFF-FFFF00000000}"/>
  </bookViews>
  <sheets>
    <sheet name="LMS-1 Monthly ES BRR" sheetId="6" r:id="rId1"/>
    <sheet name="W03 ML FGD Expense" sheetId="9" r:id="rId2"/>
    <sheet name="W05 ES Revenue Adj" sheetId="11" r:id="rId3"/>
    <sheet name="ML-Non FGD" sheetId="1" r:id="rId4"/>
    <sheet name="ML-FGD" sheetId="2" r:id="rId5"/>
    <sheet name="RP" sheetId="3" r:id="rId6"/>
    <sheet name="Allocation Factors" sheetId="5" r:id="rId7"/>
    <sheet name="Property Tax" sheetId="10" r:id="rId8"/>
    <sheet name="IS" sheetId="8" r:id="rId9"/>
    <sheet name="3.20" sheetId="13" r:id="rId10"/>
  </sheets>
  <externalReferences>
    <externalReference r:id="rId11"/>
    <externalReference r:id="rId12"/>
    <externalReference r:id="rId13"/>
    <externalReference r:id="rId14"/>
  </externalReferences>
  <definedNames>
    <definedName name="AllocFactors">[1]Table!$G$6:$H$13</definedName>
    <definedName name="Begin_Print1" localSheetId="9">'[2]Big Sandy Detail'!#REF!</definedName>
    <definedName name="Begin_Print1" localSheetId="1">'[2]Big Sandy Detail'!#REF!</definedName>
    <definedName name="Begin_Print1">'[2]Big Sandy Detail'!#REF!</definedName>
    <definedName name="Begin_Print2" localSheetId="9">'[2]Big Sandy Detail'!#REF!</definedName>
    <definedName name="Begin_Print2" localSheetId="1">'[2]Big Sandy Detail'!#REF!</definedName>
    <definedName name="Begin_Print2">'[2]Big Sandy Detail'!#REF!</definedName>
    <definedName name="End_of_Report" localSheetId="1">'[2]Big Sandy Detail'!#REF!</definedName>
    <definedName name="End_of_Report">'[2]Big Sandy Detail'!#REF!</definedName>
    <definedName name="End_Print1" localSheetId="1">'[2]Big Sandy Detail'!#REF!</definedName>
    <definedName name="End_Print1">'[2]Big Sandy Detail'!#REF!</definedName>
    <definedName name="End_Print2" localSheetId="1">'[2]Big Sandy Detail'!#REF!</definedName>
    <definedName name="End_Print2">'[2]Big Sandy Detail'!#REF!</definedName>
    <definedName name="Marshall_Rate">'[3]Property Tax'!$B$2</definedName>
    <definedName name="NvsASD">"V2013-03-31"</definedName>
    <definedName name="NvsAutoDrillOk">"VN"</definedName>
    <definedName name="NvsElapsedTime">0.000115740738692693</definedName>
    <definedName name="NvsEndTime">41370.633587963</definedName>
    <definedName name="NvsInstanceHook">"""nvsMacro"""</definedName>
    <definedName name="NvsInstLang">"VENG"</definedName>
    <definedName name="NvsInstSpec">"%,FBUSINESS_UNIT,V117"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"%,X,RZF.ACCOUNT.,CNF.."</definedName>
    <definedName name="NvsPanelBusUnit">"V100"</definedName>
    <definedName name="NvsPanelEffdt">"V2099-01-01"</definedName>
    <definedName name="NvsPanelSetid">"VAEP"</definedName>
    <definedName name="NvsReqBU">"VX999"</definedName>
    <definedName name="NvsReqBUOnly">"VN"</definedName>
    <definedName name="NvsTransLed">"VN"</definedName>
    <definedName name="NvsTree.GL_FERC_ACCT" localSheetId="8">"YSNYN"</definedName>
    <definedName name="NvsTree.GL_PRPT_CONS">"NNNNN"</definedName>
    <definedName name="NvsTreeASD">"V2099-01-01"</definedName>
    <definedName name="NvsValTbl.ACCOUNT">"GL_ACCOUNT_TBL"</definedName>
    <definedName name="NvsValTbl.CURRENCY_CD">"CURRENCY_CD_TBL"</definedName>
    <definedName name="PC_Percent">'[3]Property Tax'!$B$6</definedName>
    <definedName name="_xlnm.Print_Area" localSheetId="1">'W03 ML FGD Expense'!$A$1:$Q$29</definedName>
    <definedName name="Rev_End" localSheetId="9">#REF!</definedName>
    <definedName name="Rev_End">[4]IS!#REF!</definedName>
    <definedName name="search_directory_name">"R:\fcm90prd\nvision\rpts\Fin_Reports\"</definedName>
    <definedName name="tim" localSheetId="9">#REF!</definedName>
    <definedName name="tim">#REF!</definedName>
    <definedName name="WV_List">'[3]Property Tax'!$B$4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6" i="1" l="1"/>
  <c r="D21" i="6"/>
  <c r="D20" i="6"/>
  <c r="D19" i="6"/>
  <c r="D18" i="6"/>
  <c r="D17" i="6"/>
  <c r="D16" i="6"/>
  <c r="D15" i="6"/>
  <c r="D14" i="6"/>
  <c r="D13" i="6"/>
  <c r="D12" i="6"/>
  <c r="D11" i="6"/>
  <c r="D10" i="6"/>
  <c r="G23" i="6"/>
  <c r="N14" i="9"/>
  <c r="M14" i="9"/>
  <c r="L14" i="9"/>
  <c r="K14" i="9"/>
  <c r="J14" i="9"/>
  <c r="I14" i="9"/>
  <c r="H14" i="9"/>
  <c r="G14" i="9"/>
  <c r="F14" i="9"/>
  <c r="E14" i="9"/>
  <c r="D14" i="9"/>
  <c r="C14" i="9"/>
  <c r="N13" i="9"/>
  <c r="M13" i="9"/>
  <c r="L13" i="9"/>
  <c r="K13" i="9"/>
  <c r="J13" i="9"/>
  <c r="I13" i="9"/>
  <c r="H13" i="9"/>
  <c r="G13" i="9"/>
  <c r="F13" i="9"/>
  <c r="E13" i="9"/>
  <c r="D13" i="9"/>
  <c r="C13" i="9"/>
  <c r="N12" i="9"/>
  <c r="M12" i="9"/>
  <c r="L12" i="9"/>
  <c r="K12" i="9"/>
  <c r="J12" i="9"/>
  <c r="I12" i="9"/>
  <c r="H12" i="9"/>
  <c r="G12" i="9"/>
  <c r="F12" i="9"/>
  <c r="E12" i="9"/>
  <c r="D12" i="9"/>
  <c r="C12" i="9"/>
  <c r="N11" i="9"/>
  <c r="M11" i="9"/>
  <c r="L11" i="9"/>
  <c r="K11" i="9"/>
  <c r="J11" i="9"/>
  <c r="I11" i="9"/>
  <c r="H11" i="9"/>
  <c r="G11" i="9"/>
  <c r="F11" i="9"/>
  <c r="E11" i="9"/>
  <c r="D11" i="9"/>
  <c r="C11" i="9"/>
  <c r="N10" i="9"/>
  <c r="M10" i="9"/>
  <c r="L10" i="9"/>
  <c r="K10" i="9"/>
  <c r="J10" i="9"/>
  <c r="I10" i="9"/>
  <c r="H10" i="9"/>
  <c r="G10" i="9"/>
  <c r="F10" i="9"/>
  <c r="E10" i="9"/>
  <c r="D10" i="9"/>
  <c r="C10" i="9"/>
  <c r="E14" i="11"/>
  <c r="C693" i="8"/>
  <c r="C692" i="8"/>
  <c r="C691" i="8"/>
  <c r="C679" i="8"/>
  <c r="AZ662" i="8"/>
  <c r="AW662" i="8"/>
  <c r="AR662" i="8"/>
  <c r="AN662" i="8"/>
  <c r="AI662" i="8"/>
  <c r="AF662" i="8"/>
  <c r="V662" i="8"/>
  <c r="K662" i="8"/>
  <c r="Y660" i="8"/>
  <c r="X660" i="8"/>
  <c r="S660" i="8"/>
  <c r="T660" i="8" s="1"/>
  <c r="N660" i="8"/>
  <c r="M660" i="8"/>
  <c r="I660" i="8"/>
  <c r="H660" i="8"/>
  <c r="BA658" i="8"/>
  <c r="BA662" i="8" s="1"/>
  <c r="AZ658" i="8"/>
  <c r="AY658" i="8"/>
  <c r="AY662" i="8" s="1"/>
  <c r="AX658" i="8"/>
  <c r="AX662" i="8" s="1"/>
  <c r="AW658" i="8"/>
  <c r="AV658" i="8"/>
  <c r="AV662" i="8" s="1"/>
  <c r="AU658" i="8"/>
  <c r="AU662" i="8" s="1"/>
  <c r="AT658" i="8"/>
  <c r="AT662" i="8" s="1"/>
  <c r="AS658" i="8"/>
  <c r="AS662" i="8" s="1"/>
  <c r="AR658" i="8"/>
  <c r="AQ658" i="8"/>
  <c r="AQ662" i="8" s="1"/>
  <c r="AP658" i="8"/>
  <c r="AP662" i="8" s="1"/>
  <c r="AN658" i="8"/>
  <c r="AM658" i="8"/>
  <c r="AM662" i="8" s="1"/>
  <c r="AL658" i="8"/>
  <c r="AL662" i="8" s="1"/>
  <c r="AK658" i="8"/>
  <c r="AK662" i="8" s="1"/>
  <c r="AJ658" i="8"/>
  <c r="AJ662" i="8" s="1"/>
  <c r="AI658" i="8"/>
  <c r="AH658" i="8"/>
  <c r="AH662" i="8" s="1"/>
  <c r="AG658" i="8"/>
  <c r="AG662" i="8" s="1"/>
  <c r="AF658" i="8"/>
  <c r="AE658" i="8"/>
  <c r="AE662" i="8" s="1"/>
  <c r="AD658" i="8"/>
  <c r="AD662" i="8" s="1"/>
  <c r="AC658" i="8"/>
  <c r="AC662" i="8" s="1"/>
  <c r="AA658" i="8"/>
  <c r="AA662" i="8" s="1"/>
  <c r="W658" i="8"/>
  <c r="V658" i="8"/>
  <c r="X658" i="8" s="1"/>
  <c r="R658" i="8"/>
  <c r="Q658" i="8"/>
  <c r="L658" i="8"/>
  <c r="K658" i="8"/>
  <c r="M658" i="8" s="1"/>
  <c r="G658" i="8"/>
  <c r="F658" i="8"/>
  <c r="X656" i="8"/>
  <c r="Y656" i="8" s="1"/>
  <c r="T656" i="8"/>
  <c r="S656" i="8"/>
  <c r="M656" i="8"/>
  <c r="N656" i="8" s="1"/>
  <c r="H656" i="8"/>
  <c r="I656" i="8" s="1"/>
  <c r="X654" i="8"/>
  <c r="Y654" i="8" s="1"/>
  <c r="T654" i="8"/>
  <c r="S654" i="8"/>
  <c r="N654" i="8"/>
  <c r="M654" i="8"/>
  <c r="H654" i="8"/>
  <c r="I654" i="8" s="1"/>
  <c r="BA650" i="8"/>
  <c r="AZ650" i="8"/>
  <c r="AY650" i="8"/>
  <c r="AX650" i="8"/>
  <c r="AW650" i="8"/>
  <c r="AV650" i="8"/>
  <c r="AU650" i="8"/>
  <c r="AT650" i="8"/>
  <c r="AS650" i="8"/>
  <c r="AR650" i="8"/>
  <c r="AQ650" i="8"/>
  <c r="AP650" i="8"/>
  <c r="AN650" i="8"/>
  <c r="AM650" i="8"/>
  <c r="AL650" i="8"/>
  <c r="AK650" i="8"/>
  <c r="AJ650" i="8"/>
  <c r="AI650" i="8"/>
  <c r="AH650" i="8"/>
  <c r="AG650" i="8"/>
  <c r="AF650" i="8"/>
  <c r="AE650" i="8"/>
  <c r="AD650" i="8"/>
  <c r="AC650" i="8"/>
  <c r="AA650" i="8"/>
  <c r="W650" i="8"/>
  <c r="V650" i="8"/>
  <c r="X650" i="8" s="1"/>
  <c r="Y650" i="8" s="1"/>
  <c r="S650" i="8"/>
  <c r="R650" i="8"/>
  <c r="Q650" i="8"/>
  <c r="L650" i="8"/>
  <c r="K650" i="8"/>
  <c r="M650" i="8" s="1"/>
  <c r="N650" i="8" s="1"/>
  <c r="H650" i="8"/>
  <c r="G650" i="8"/>
  <c r="I650" i="8" s="1"/>
  <c r="F650" i="8"/>
  <c r="Y648" i="8"/>
  <c r="X648" i="8"/>
  <c r="S648" i="8"/>
  <c r="T648" i="8" s="1"/>
  <c r="M648" i="8"/>
  <c r="N648" i="8" s="1"/>
  <c r="H648" i="8"/>
  <c r="I648" i="8" s="1"/>
  <c r="Y647" i="8"/>
  <c r="X647" i="8"/>
  <c r="T647" i="8"/>
  <c r="S647" i="8"/>
  <c r="M647" i="8"/>
  <c r="N647" i="8" s="1"/>
  <c r="I647" i="8"/>
  <c r="H647" i="8"/>
  <c r="Y645" i="8"/>
  <c r="X645" i="8"/>
  <c r="T645" i="8"/>
  <c r="S645" i="8"/>
  <c r="M645" i="8"/>
  <c r="N645" i="8" s="1"/>
  <c r="I645" i="8"/>
  <c r="H645" i="8"/>
  <c r="Y644" i="8"/>
  <c r="X644" i="8"/>
  <c r="T644" i="8"/>
  <c r="S644" i="8"/>
  <c r="M644" i="8"/>
  <c r="N644" i="8" s="1"/>
  <c r="I644" i="8"/>
  <c r="H644" i="8"/>
  <c r="Y643" i="8"/>
  <c r="X643" i="8"/>
  <c r="T643" i="8"/>
  <c r="S643" i="8"/>
  <c r="M643" i="8"/>
  <c r="N643" i="8" s="1"/>
  <c r="I643" i="8"/>
  <c r="H643" i="8"/>
  <c r="Y642" i="8"/>
  <c r="X642" i="8"/>
  <c r="T642" i="8"/>
  <c r="S642" i="8"/>
  <c r="M642" i="8"/>
  <c r="N642" i="8" s="1"/>
  <c r="I642" i="8"/>
  <c r="H642" i="8"/>
  <c r="Y640" i="8"/>
  <c r="X640" i="8"/>
  <c r="T640" i="8"/>
  <c r="S640" i="8"/>
  <c r="M640" i="8"/>
  <c r="N640" i="8" s="1"/>
  <c r="I640" i="8"/>
  <c r="H640" i="8"/>
  <c r="Y639" i="8"/>
  <c r="X639" i="8"/>
  <c r="T639" i="8"/>
  <c r="S639" i="8"/>
  <c r="M639" i="8"/>
  <c r="N639" i="8" s="1"/>
  <c r="I639" i="8"/>
  <c r="H639" i="8"/>
  <c r="Y637" i="8"/>
  <c r="X637" i="8"/>
  <c r="T637" i="8"/>
  <c r="S637" i="8"/>
  <c r="M637" i="8"/>
  <c r="N637" i="8" s="1"/>
  <c r="I637" i="8"/>
  <c r="H637" i="8"/>
  <c r="Y635" i="8"/>
  <c r="X635" i="8"/>
  <c r="T635" i="8"/>
  <c r="S635" i="8"/>
  <c r="M635" i="8"/>
  <c r="N635" i="8" s="1"/>
  <c r="I635" i="8"/>
  <c r="H635" i="8"/>
  <c r="Y633" i="8"/>
  <c r="X633" i="8"/>
  <c r="T633" i="8"/>
  <c r="S633" i="8"/>
  <c r="M633" i="8"/>
  <c r="N633" i="8" s="1"/>
  <c r="I633" i="8"/>
  <c r="H633" i="8"/>
  <c r="Y632" i="8"/>
  <c r="X632" i="8"/>
  <c r="T632" i="8"/>
  <c r="S632" i="8"/>
  <c r="M632" i="8"/>
  <c r="N632" i="8" s="1"/>
  <c r="I632" i="8"/>
  <c r="H632" i="8"/>
  <c r="Y630" i="8"/>
  <c r="X630" i="8"/>
  <c r="T630" i="8"/>
  <c r="S630" i="8"/>
  <c r="M630" i="8"/>
  <c r="N630" i="8" s="1"/>
  <c r="I630" i="8"/>
  <c r="H630" i="8"/>
  <c r="Y629" i="8"/>
  <c r="X629" i="8"/>
  <c r="T629" i="8"/>
  <c r="S629" i="8"/>
  <c r="M629" i="8"/>
  <c r="N629" i="8" s="1"/>
  <c r="I629" i="8"/>
  <c r="H629" i="8"/>
  <c r="Y628" i="8"/>
  <c r="X628" i="8"/>
  <c r="T628" i="8"/>
  <c r="S628" i="8"/>
  <c r="M628" i="8"/>
  <c r="N628" i="8" s="1"/>
  <c r="I628" i="8"/>
  <c r="H628" i="8"/>
  <c r="Y627" i="8"/>
  <c r="X627" i="8"/>
  <c r="T627" i="8"/>
  <c r="S627" i="8"/>
  <c r="M627" i="8"/>
  <c r="N627" i="8" s="1"/>
  <c r="I627" i="8"/>
  <c r="H627" i="8"/>
  <c r="Y625" i="8"/>
  <c r="X625" i="8"/>
  <c r="T625" i="8"/>
  <c r="S625" i="8"/>
  <c r="M625" i="8"/>
  <c r="N625" i="8" s="1"/>
  <c r="I625" i="8"/>
  <c r="H625" i="8"/>
  <c r="Y624" i="8"/>
  <c r="X624" i="8"/>
  <c r="T624" i="8"/>
  <c r="S624" i="8"/>
  <c r="M624" i="8"/>
  <c r="N624" i="8" s="1"/>
  <c r="I624" i="8"/>
  <c r="H624" i="8"/>
  <c r="Y623" i="8"/>
  <c r="X623" i="8"/>
  <c r="T623" i="8"/>
  <c r="S623" i="8"/>
  <c r="M623" i="8"/>
  <c r="N623" i="8" s="1"/>
  <c r="I623" i="8"/>
  <c r="H623" i="8"/>
  <c r="Y622" i="8"/>
  <c r="X622" i="8"/>
  <c r="T622" i="8"/>
  <c r="S622" i="8"/>
  <c r="M622" i="8"/>
  <c r="N622" i="8" s="1"/>
  <c r="I622" i="8"/>
  <c r="H622" i="8"/>
  <c r="AM619" i="8"/>
  <c r="AE619" i="8"/>
  <c r="AW618" i="8"/>
  <c r="AN618" i="8"/>
  <c r="AF618" i="8"/>
  <c r="V618" i="8"/>
  <c r="K618" i="8"/>
  <c r="Y616" i="8"/>
  <c r="X616" i="8"/>
  <c r="S616" i="8"/>
  <c r="T616" i="8" s="1"/>
  <c r="N616" i="8"/>
  <c r="M616" i="8"/>
  <c r="I616" i="8"/>
  <c r="H616" i="8"/>
  <c r="Y614" i="8"/>
  <c r="X614" i="8"/>
  <c r="S614" i="8"/>
  <c r="T614" i="8" s="1"/>
  <c r="N614" i="8"/>
  <c r="M614" i="8"/>
  <c r="I614" i="8"/>
  <c r="H614" i="8"/>
  <c r="Y612" i="8"/>
  <c r="X612" i="8"/>
  <c r="S612" i="8"/>
  <c r="T612" i="8" s="1"/>
  <c r="N612" i="8"/>
  <c r="M612" i="8"/>
  <c r="I612" i="8"/>
  <c r="H612" i="8"/>
  <c r="Y611" i="8"/>
  <c r="X611" i="8"/>
  <c r="S611" i="8"/>
  <c r="T611" i="8" s="1"/>
  <c r="N611" i="8"/>
  <c r="M611" i="8"/>
  <c r="I611" i="8"/>
  <c r="H611" i="8"/>
  <c r="Y609" i="8"/>
  <c r="X609" i="8"/>
  <c r="S609" i="8"/>
  <c r="T609" i="8" s="1"/>
  <c r="N609" i="8"/>
  <c r="M609" i="8"/>
  <c r="I609" i="8"/>
  <c r="H609" i="8"/>
  <c r="Y608" i="8"/>
  <c r="X608" i="8"/>
  <c r="S608" i="8"/>
  <c r="T608" i="8" s="1"/>
  <c r="N608" i="8"/>
  <c r="M608" i="8"/>
  <c r="I608" i="8"/>
  <c r="H608" i="8"/>
  <c r="Y606" i="8"/>
  <c r="X606" i="8"/>
  <c r="S606" i="8"/>
  <c r="T606" i="8" s="1"/>
  <c r="N606" i="8"/>
  <c r="M606" i="8"/>
  <c r="I606" i="8"/>
  <c r="H606" i="8"/>
  <c r="Y605" i="8"/>
  <c r="X605" i="8"/>
  <c r="S605" i="8"/>
  <c r="T605" i="8" s="1"/>
  <c r="N605" i="8"/>
  <c r="M605" i="8"/>
  <c r="I605" i="8"/>
  <c r="H605" i="8"/>
  <c r="Y604" i="8"/>
  <c r="X604" i="8"/>
  <c r="S604" i="8"/>
  <c r="T604" i="8" s="1"/>
  <c r="N604" i="8"/>
  <c r="M604" i="8"/>
  <c r="I604" i="8"/>
  <c r="H604" i="8"/>
  <c r="Y603" i="8"/>
  <c r="X603" i="8"/>
  <c r="S603" i="8"/>
  <c r="T603" i="8" s="1"/>
  <c r="N603" i="8"/>
  <c r="M603" i="8"/>
  <c r="I603" i="8"/>
  <c r="H603" i="8"/>
  <c r="BA601" i="8"/>
  <c r="BA618" i="8" s="1"/>
  <c r="AX601" i="8"/>
  <c r="AX618" i="8" s="1"/>
  <c r="AW601" i="8"/>
  <c r="AU601" i="8"/>
  <c r="AU618" i="8" s="1"/>
  <c r="AS601" i="8"/>
  <c r="AS618" i="8" s="1"/>
  <c r="AP601" i="8"/>
  <c r="AP618" i="8" s="1"/>
  <c r="AN601" i="8"/>
  <c r="AL601" i="8"/>
  <c r="AL618" i="8" s="1"/>
  <c r="AJ601" i="8"/>
  <c r="AJ618" i="8" s="1"/>
  <c r="AG601" i="8"/>
  <c r="AG618" i="8" s="1"/>
  <c r="AF601" i="8"/>
  <c r="AD601" i="8"/>
  <c r="AD618" i="8" s="1"/>
  <c r="AA601" i="8"/>
  <c r="AA618" i="8" s="1"/>
  <c r="W601" i="8"/>
  <c r="V601" i="8"/>
  <c r="Q601" i="8"/>
  <c r="Q618" i="8" s="1"/>
  <c r="L601" i="8"/>
  <c r="K601" i="8"/>
  <c r="M601" i="8" s="1"/>
  <c r="F601" i="8"/>
  <c r="F618" i="8" s="1"/>
  <c r="BA600" i="8"/>
  <c r="AZ600" i="8"/>
  <c r="AZ601" i="8" s="1"/>
  <c r="AZ618" i="8" s="1"/>
  <c r="AY600" i="8"/>
  <c r="AY601" i="8" s="1"/>
  <c r="AY618" i="8" s="1"/>
  <c r="AX600" i="8"/>
  <c r="AW600" i="8"/>
  <c r="AV600" i="8"/>
  <c r="AV601" i="8" s="1"/>
  <c r="AV618" i="8" s="1"/>
  <c r="AU600" i="8"/>
  <c r="AT600" i="8"/>
  <c r="AT601" i="8" s="1"/>
  <c r="AT618" i="8" s="1"/>
  <c r="AS600" i="8"/>
  <c r="AR600" i="8"/>
  <c r="AR601" i="8" s="1"/>
  <c r="AR618" i="8" s="1"/>
  <c r="AQ600" i="8"/>
  <c r="AQ601" i="8" s="1"/>
  <c r="AQ618" i="8" s="1"/>
  <c r="AP600" i="8"/>
  <c r="AN600" i="8"/>
  <c r="AM600" i="8"/>
  <c r="AM601" i="8" s="1"/>
  <c r="AM618" i="8" s="1"/>
  <c r="AL600" i="8"/>
  <c r="AK600" i="8"/>
  <c r="AK601" i="8" s="1"/>
  <c r="AK618" i="8" s="1"/>
  <c r="AJ600" i="8"/>
  <c r="AI600" i="8"/>
  <c r="AI601" i="8" s="1"/>
  <c r="AI618" i="8" s="1"/>
  <c r="AH600" i="8"/>
  <c r="AH601" i="8" s="1"/>
  <c r="AH618" i="8" s="1"/>
  <c r="AG600" i="8"/>
  <c r="AF600" i="8"/>
  <c r="AE600" i="8"/>
  <c r="AE601" i="8" s="1"/>
  <c r="AE618" i="8" s="1"/>
  <c r="AD600" i="8"/>
  <c r="AC600" i="8"/>
  <c r="AC601" i="8" s="1"/>
  <c r="AC618" i="8" s="1"/>
  <c r="AA600" i="8"/>
  <c r="X600" i="8"/>
  <c r="W600" i="8"/>
  <c r="V600" i="8"/>
  <c r="R600" i="8"/>
  <c r="R601" i="8" s="1"/>
  <c r="Q600" i="8"/>
  <c r="M600" i="8"/>
  <c r="L600" i="8"/>
  <c r="N600" i="8" s="1"/>
  <c r="K600" i="8"/>
  <c r="G600" i="8"/>
  <c r="G601" i="8" s="1"/>
  <c r="F600" i="8"/>
  <c r="X599" i="8"/>
  <c r="Y599" i="8" s="1"/>
  <c r="T599" i="8"/>
  <c r="S599" i="8"/>
  <c r="N599" i="8"/>
  <c r="M599" i="8"/>
  <c r="I599" i="8"/>
  <c r="H599" i="8"/>
  <c r="X598" i="8"/>
  <c r="Y598" i="8" s="1"/>
  <c r="T598" i="8"/>
  <c r="S598" i="8"/>
  <c r="N598" i="8"/>
  <c r="M598" i="8"/>
  <c r="I598" i="8"/>
  <c r="H598" i="8"/>
  <c r="X597" i="8"/>
  <c r="Y597" i="8" s="1"/>
  <c r="T597" i="8"/>
  <c r="S597" i="8"/>
  <c r="N597" i="8"/>
  <c r="M597" i="8"/>
  <c r="I597" i="8"/>
  <c r="H597" i="8"/>
  <c r="X596" i="8"/>
  <c r="Y596" i="8" s="1"/>
  <c r="T596" i="8"/>
  <c r="S596" i="8"/>
  <c r="N596" i="8"/>
  <c r="M596" i="8"/>
  <c r="I596" i="8"/>
  <c r="H596" i="8"/>
  <c r="X595" i="8"/>
  <c r="Y595" i="8" s="1"/>
  <c r="T595" i="8"/>
  <c r="S595" i="8"/>
  <c r="N595" i="8"/>
  <c r="M595" i="8"/>
  <c r="I595" i="8"/>
  <c r="H595" i="8"/>
  <c r="X592" i="8"/>
  <c r="Y592" i="8" s="1"/>
  <c r="T592" i="8"/>
  <c r="S592" i="8"/>
  <c r="N592" i="8"/>
  <c r="M592" i="8"/>
  <c r="I592" i="8"/>
  <c r="H592" i="8"/>
  <c r="X591" i="8"/>
  <c r="Y591" i="8" s="1"/>
  <c r="T591" i="8"/>
  <c r="S591" i="8"/>
  <c r="N591" i="8"/>
  <c r="M591" i="8"/>
  <c r="I591" i="8"/>
  <c r="H591" i="8"/>
  <c r="X590" i="8"/>
  <c r="Y590" i="8" s="1"/>
  <c r="T590" i="8"/>
  <c r="S590" i="8"/>
  <c r="N590" i="8"/>
  <c r="M590" i="8"/>
  <c r="I590" i="8"/>
  <c r="H590" i="8"/>
  <c r="X589" i="8"/>
  <c r="Y589" i="8" s="1"/>
  <c r="T589" i="8"/>
  <c r="S589" i="8"/>
  <c r="N589" i="8"/>
  <c r="M589" i="8"/>
  <c r="I589" i="8"/>
  <c r="H589" i="8"/>
  <c r="BA586" i="8"/>
  <c r="AZ586" i="8"/>
  <c r="AY586" i="8"/>
  <c r="AX586" i="8"/>
  <c r="AW586" i="8"/>
  <c r="AV586" i="8"/>
  <c r="AU586" i="8"/>
  <c r="AT586" i="8"/>
  <c r="AS586" i="8"/>
  <c r="AR586" i="8"/>
  <c r="AQ586" i="8"/>
  <c r="AP586" i="8"/>
  <c r="AN586" i="8"/>
  <c r="AM586" i="8"/>
  <c r="AL586" i="8"/>
  <c r="AK586" i="8"/>
  <c r="AJ586" i="8"/>
  <c r="AI586" i="8"/>
  <c r="AH586" i="8"/>
  <c r="AG586" i="8"/>
  <c r="AF586" i="8"/>
  <c r="AE586" i="8"/>
  <c r="AD586" i="8"/>
  <c r="AC586" i="8"/>
  <c r="AA586" i="8"/>
  <c r="Y586" i="8"/>
  <c r="W586" i="8"/>
  <c r="V586" i="8"/>
  <c r="X586" i="8" s="1"/>
  <c r="S586" i="8"/>
  <c r="R586" i="8"/>
  <c r="T586" i="8" s="1"/>
  <c r="Q586" i="8"/>
  <c r="N586" i="8"/>
  <c r="L586" i="8"/>
  <c r="K586" i="8"/>
  <c r="M586" i="8" s="1"/>
  <c r="H586" i="8"/>
  <c r="G586" i="8"/>
  <c r="I586" i="8" s="1"/>
  <c r="F586" i="8"/>
  <c r="Y584" i="8"/>
  <c r="X584" i="8"/>
  <c r="S584" i="8"/>
  <c r="T584" i="8" s="1"/>
  <c r="M584" i="8"/>
  <c r="N584" i="8" s="1"/>
  <c r="H584" i="8"/>
  <c r="I584" i="8" s="1"/>
  <c r="Y583" i="8"/>
  <c r="X583" i="8"/>
  <c r="S583" i="8"/>
  <c r="T583" i="8" s="1"/>
  <c r="M583" i="8"/>
  <c r="N583" i="8" s="1"/>
  <c r="H583" i="8"/>
  <c r="I583" i="8" s="1"/>
  <c r="Y582" i="8"/>
  <c r="X582" i="8"/>
  <c r="S582" i="8"/>
  <c r="T582" i="8" s="1"/>
  <c r="M582" i="8"/>
  <c r="N582" i="8" s="1"/>
  <c r="H582" i="8"/>
  <c r="I582" i="8" s="1"/>
  <c r="Y581" i="8"/>
  <c r="X581" i="8"/>
  <c r="S581" i="8"/>
  <c r="T581" i="8" s="1"/>
  <c r="M581" i="8"/>
  <c r="N581" i="8" s="1"/>
  <c r="H581" i="8"/>
  <c r="I581" i="8" s="1"/>
  <c r="Y580" i="8"/>
  <c r="X580" i="8"/>
  <c r="S580" i="8"/>
  <c r="T580" i="8" s="1"/>
  <c r="M580" i="8"/>
  <c r="N580" i="8" s="1"/>
  <c r="H580" i="8"/>
  <c r="I580" i="8" s="1"/>
  <c r="Y579" i="8"/>
  <c r="X579" i="8"/>
  <c r="S579" i="8"/>
  <c r="T579" i="8" s="1"/>
  <c r="M579" i="8"/>
  <c r="N579" i="8" s="1"/>
  <c r="H579" i="8"/>
  <c r="I579" i="8" s="1"/>
  <c r="Y578" i="8"/>
  <c r="X578" i="8"/>
  <c r="S578" i="8"/>
  <c r="T578" i="8" s="1"/>
  <c r="M578" i="8"/>
  <c r="N578" i="8" s="1"/>
  <c r="H578" i="8"/>
  <c r="I578" i="8" s="1"/>
  <c r="Y577" i="8"/>
  <c r="X577" i="8"/>
  <c r="S577" i="8"/>
  <c r="T577" i="8" s="1"/>
  <c r="M577" i="8"/>
  <c r="N577" i="8" s="1"/>
  <c r="H577" i="8"/>
  <c r="I577" i="8" s="1"/>
  <c r="Y575" i="8"/>
  <c r="X575" i="8"/>
  <c r="S575" i="8"/>
  <c r="T575" i="8" s="1"/>
  <c r="M575" i="8"/>
  <c r="N575" i="8" s="1"/>
  <c r="H575" i="8"/>
  <c r="I575" i="8" s="1"/>
  <c r="Y574" i="8"/>
  <c r="X574" i="8"/>
  <c r="S574" i="8"/>
  <c r="T574" i="8" s="1"/>
  <c r="M574" i="8"/>
  <c r="N574" i="8" s="1"/>
  <c r="H574" i="8"/>
  <c r="I574" i="8" s="1"/>
  <c r="Y573" i="8"/>
  <c r="X573" i="8"/>
  <c r="S573" i="8"/>
  <c r="T573" i="8" s="1"/>
  <c r="M573" i="8"/>
  <c r="N573" i="8" s="1"/>
  <c r="H573" i="8"/>
  <c r="I573" i="8" s="1"/>
  <c r="Y571" i="8"/>
  <c r="X571" i="8"/>
  <c r="S571" i="8"/>
  <c r="T571" i="8" s="1"/>
  <c r="M571" i="8"/>
  <c r="N571" i="8" s="1"/>
  <c r="H571" i="8"/>
  <c r="I571" i="8" s="1"/>
  <c r="Y570" i="8"/>
  <c r="X570" i="8"/>
  <c r="S570" i="8"/>
  <c r="T570" i="8" s="1"/>
  <c r="M570" i="8"/>
  <c r="N570" i="8" s="1"/>
  <c r="H570" i="8"/>
  <c r="I570" i="8" s="1"/>
  <c r="Y569" i="8"/>
  <c r="X569" i="8"/>
  <c r="S569" i="8"/>
  <c r="T569" i="8" s="1"/>
  <c r="M569" i="8"/>
  <c r="N569" i="8" s="1"/>
  <c r="H569" i="8"/>
  <c r="I569" i="8" s="1"/>
  <c r="Y567" i="8"/>
  <c r="X567" i="8"/>
  <c r="S567" i="8"/>
  <c r="T567" i="8" s="1"/>
  <c r="M567" i="8"/>
  <c r="N567" i="8" s="1"/>
  <c r="H567" i="8"/>
  <c r="I567" i="8" s="1"/>
  <c r="Y565" i="8"/>
  <c r="X565" i="8"/>
  <c r="S565" i="8"/>
  <c r="T565" i="8" s="1"/>
  <c r="M565" i="8"/>
  <c r="N565" i="8" s="1"/>
  <c r="H565" i="8"/>
  <c r="I565" i="8" s="1"/>
  <c r="Y564" i="8"/>
  <c r="X564" i="8"/>
  <c r="S564" i="8"/>
  <c r="T564" i="8" s="1"/>
  <c r="M564" i="8"/>
  <c r="N564" i="8" s="1"/>
  <c r="H564" i="8"/>
  <c r="I564" i="8" s="1"/>
  <c r="Y562" i="8"/>
  <c r="X562" i="8"/>
  <c r="S562" i="8"/>
  <c r="T562" i="8" s="1"/>
  <c r="M562" i="8"/>
  <c r="N562" i="8" s="1"/>
  <c r="H562" i="8"/>
  <c r="I562" i="8" s="1"/>
  <c r="Y560" i="8"/>
  <c r="X560" i="8"/>
  <c r="S560" i="8"/>
  <c r="T560" i="8" s="1"/>
  <c r="M560" i="8"/>
  <c r="N560" i="8" s="1"/>
  <c r="H560" i="8"/>
  <c r="I560" i="8" s="1"/>
  <c r="Y559" i="8"/>
  <c r="X559" i="8"/>
  <c r="S559" i="8"/>
  <c r="T559" i="8" s="1"/>
  <c r="M559" i="8"/>
  <c r="N559" i="8" s="1"/>
  <c r="H559" i="8"/>
  <c r="I559" i="8" s="1"/>
  <c r="BA556" i="8"/>
  <c r="BA619" i="8" s="1"/>
  <c r="AZ556" i="8"/>
  <c r="AY556" i="8"/>
  <c r="AX556" i="8"/>
  <c r="AX619" i="8" s="1"/>
  <c r="AW556" i="8"/>
  <c r="AW619" i="8" s="1"/>
  <c r="AV556" i="8"/>
  <c r="AV619" i="8" s="1"/>
  <c r="AU556" i="8"/>
  <c r="AU619" i="8" s="1"/>
  <c r="AT556" i="8"/>
  <c r="AS556" i="8"/>
  <c r="AS619" i="8" s="1"/>
  <c r="AR556" i="8"/>
  <c r="AQ556" i="8"/>
  <c r="AP556" i="8"/>
  <c r="AP619" i="8" s="1"/>
  <c r="AN556" i="8"/>
  <c r="AN619" i="8" s="1"/>
  <c r="AM556" i="8"/>
  <c r="AL556" i="8"/>
  <c r="AL619" i="8" s="1"/>
  <c r="AK556" i="8"/>
  <c r="AJ556" i="8"/>
  <c r="AJ619" i="8" s="1"/>
  <c r="AI556" i="8"/>
  <c r="AH556" i="8"/>
  <c r="AG556" i="8"/>
  <c r="AG619" i="8" s="1"/>
  <c r="AF556" i="8"/>
  <c r="AF619" i="8" s="1"/>
  <c r="AE556" i="8"/>
  <c r="AD556" i="8"/>
  <c r="AD619" i="8" s="1"/>
  <c r="AC556" i="8"/>
  <c r="AA556" i="8"/>
  <c r="AA619" i="8" s="1"/>
  <c r="W556" i="8"/>
  <c r="V556" i="8"/>
  <c r="X556" i="8" s="1"/>
  <c r="Y556" i="8" s="1"/>
  <c r="R556" i="8"/>
  <c r="Q556" i="8"/>
  <c r="L556" i="8"/>
  <c r="K556" i="8"/>
  <c r="G556" i="8"/>
  <c r="F556" i="8"/>
  <c r="Y554" i="8"/>
  <c r="X554" i="8"/>
  <c r="T554" i="8"/>
  <c r="S554" i="8"/>
  <c r="N554" i="8"/>
  <c r="M554" i="8"/>
  <c r="H554" i="8"/>
  <c r="I554" i="8" s="1"/>
  <c r="Y553" i="8"/>
  <c r="X553" i="8"/>
  <c r="T553" i="8"/>
  <c r="S553" i="8"/>
  <c r="N553" i="8"/>
  <c r="M553" i="8"/>
  <c r="H553" i="8"/>
  <c r="I553" i="8" s="1"/>
  <c r="Y551" i="8"/>
  <c r="X551" i="8"/>
  <c r="T551" i="8"/>
  <c r="S551" i="8"/>
  <c r="N551" i="8"/>
  <c r="M551" i="8"/>
  <c r="H551" i="8"/>
  <c r="I551" i="8" s="1"/>
  <c r="Y550" i="8"/>
  <c r="X550" i="8"/>
  <c r="T550" i="8"/>
  <c r="S550" i="8"/>
  <c r="N550" i="8"/>
  <c r="M550" i="8"/>
  <c r="H550" i="8"/>
  <c r="I550" i="8" s="1"/>
  <c r="Y549" i="8"/>
  <c r="X549" i="8"/>
  <c r="T549" i="8"/>
  <c r="S549" i="8"/>
  <c r="N549" i="8"/>
  <c r="M549" i="8"/>
  <c r="H549" i="8"/>
  <c r="I549" i="8" s="1"/>
  <c r="Y548" i="8"/>
  <c r="X548" i="8"/>
  <c r="T548" i="8"/>
  <c r="S548" i="8"/>
  <c r="N548" i="8"/>
  <c r="M548" i="8"/>
  <c r="I548" i="8"/>
  <c r="H548" i="8"/>
  <c r="Y547" i="8"/>
  <c r="X547" i="8"/>
  <c r="T547" i="8"/>
  <c r="S547" i="8"/>
  <c r="N547" i="8"/>
  <c r="M547" i="8"/>
  <c r="I547" i="8"/>
  <c r="H547" i="8"/>
  <c r="Y546" i="8"/>
  <c r="X546" i="8"/>
  <c r="T546" i="8"/>
  <c r="S546" i="8"/>
  <c r="N546" i="8"/>
  <c r="M546" i="8"/>
  <c r="I546" i="8"/>
  <c r="H546" i="8"/>
  <c r="Y544" i="8"/>
  <c r="X544" i="8"/>
  <c r="T544" i="8"/>
  <c r="S544" i="8"/>
  <c r="N544" i="8"/>
  <c r="M544" i="8"/>
  <c r="I544" i="8"/>
  <c r="H544" i="8"/>
  <c r="Y543" i="8"/>
  <c r="X543" i="8"/>
  <c r="T543" i="8"/>
  <c r="S543" i="8"/>
  <c r="N543" i="8"/>
  <c r="M543" i="8"/>
  <c r="I543" i="8"/>
  <c r="H543" i="8"/>
  <c r="Y541" i="8"/>
  <c r="X541" i="8"/>
  <c r="T541" i="8"/>
  <c r="S541" i="8"/>
  <c r="N541" i="8"/>
  <c r="M541" i="8"/>
  <c r="I541" i="8"/>
  <c r="H541" i="8"/>
  <c r="Y540" i="8"/>
  <c r="X540" i="8"/>
  <c r="T540" i="8"/>
  <c r="S540" i="8"/>
  <c r="N540" i="8"/>
  <c r="M540" i="8"/>
  <c r="I540" i="8"/>
  <c r="H540" i="8"/>
  <c r="Y539" i="8"/>
  <c r="X539" i="8"/>
  <c r="S539" i="8"/>
  <c r="T539" i="8" s="1"/>
  <c r="N539" i="8"/>
  <c r="M539" i="8"/>
  <c r="I539" i="8"/>
  <c r="H539" i="8"/>
  <c r="Y537" i="8"/>
  <c r="X537" i="8"/>
  <c r="S537" i="8"/>
  <c r="T537" i="8" s="1"/>
  <c r="N537" i="8"/>
  <c r="M537" i="8"/>
  <c r="I537" i="8"/>
  <c r="H537" i="8"/>
  <c r="Y535" i="8"/>
  <c r="X535" i="8"/>
  <c r="S535" i="8"/>
  <c r="T535" i="8" s="1"/>
  <c r="N535" i="8"/>
  <c r="M535" i="8"/>
  <c r="I535" i="8"/>
  <c r="H535" i="8"/>
  <c r="Y534" i="8"/>
  <c r="X534" i="8"/>
  <c r="S534" i="8"/>
  <c r="T534" i="8" s="1"/>
  <c r="N534" i="8"/>
  <c r="M534" i="8"/>
  <c r="I534" i="8"/>
  <c r="H534" i="8"/>
  <c r="Y533" i="8"/>
  <c r="X533" i="8"/>
  <c r="S533" i="8"/>
  <c r="T533" i="8" s="1"/>
  <c r="N533" i="8"/>
  <c r="M533" i="8"/>
  <c r="I533" i="8"/>
  <c r="H533" i="8"/>
  <c r="Y531" i="8"/>
  <c r="X531" i="8"/>
  <c r="S531" i="8"/>
  <c r="T531" i="8" s="1"/>
  <c r="N531" i="8"/>
  <c r="M531" i="8"/>
  <c r="I531" i="8"/>
  <c r="H531" i="8"/>
  <c r="Y530" i="8"/>
  <c r="X530" i="8"/>
  <c r="S530" i="8"/>
  <c r="T530" i="8" s="1"/>
  <c r="N530" i="8"/>
  <c r="M530" i="8"/>
  <c r="I530" i="8"/>
  <c r="H530" i="8"/>
  <c r="Y528" i="8"/>
  <c r="X528" i="8"/>
  <c r="S528" i="8"/>
  <c r="T528" i="8" s="1"/>
  <c r="N528" i="8"/>
  <c r="M528" i="8"/>
  <c r="I528" i="8"/>
  <c r="H528" i="8"/>
  <c r="Y527" i="8"/>
  <c r="X527" i="8"/>
  <c r="S527" i="8"/>
  <c r="T527" i="8" s="1"/>
  <c r="N527" i="8"/>
  <c r="M527" i="8"/>
  <c r="I527" i="8"/>
  <c r="H527" i="8"/>
  <c r="Y525" i="8"/>
  <c r="X525" i="8"/>
  <c r="S525" i="8"/>
  <c r="T525" i="8" s="1"/>
  <c r="N525" i="8"/>
  <c r="M525" i="8"/>
  <c r="I525" i="8"/>
  <c r="H525" i="8"/>
  <c r="Y523" i="8"/>
  <c r="X523" i="8"/>
  <c r="S523" i="8"/>
  <c r="T523" i="8" s="1"/>
  <c r="N523" i="8"/>
  <c r="M523" i="8"/>
  <c r="I523" i="8"/>
  <c r="H523" i="8"/>
  <c r="X514" i="8"/>
  <c r="Y514" i="8" s="1"/>
  <c r="S514" i="8"/>
  <c r="T514" i="8" s="1"/>
  <c r="M514" i="8"/>
  <c r="N514" i="8" s="1"/>
  <c r="H514" i="8"/>
  <c r="I514" i="8" s="1"/>
  <c r="X513" i="8"/>
  <c r="Y513" i="8" s="1"/>
  <c r="S513" i="8"/>
  <c r="T513" i="8" s="1"/>
  <c r="M513" i="8"/>
  <c r="N513" i="8" s="1"/>
  <c r="H513" i="8"/>
  <c r="I513" i="8" s="1"/>
  <c r="X511" i="8"/>
  <c r="Y511" i="8" s="1"/>
  <c r="S511" i="8"/>
  <c r="T511" i="8" s="1"/>
  <c r="M511" i="8"/>
  <c r="N511" i="8" s="1"/>
  <c r="H511" i="8"/>
  <c r="I511" i="8" s="1"/>
  <c r="X509" i="8"/>
  <c r="Y509" i="8" s="1"/>
  <c r="S509" i="8"/>
  <c r="T509" i="8" s="1"/>
  <c r="M509" i="8"/>
  <c r="N509" i="8" s="1"/>
  <c r="H509" i="8"/>
  <c r="I509" i="8" s="1"/>
  <c r="X508" i="8"/>
  <c r="Y508" i="8" s="1"/>
  <c r="S508" i="8"/>
  <c r="T508" i="8" s="1"/>
  <c r="M508" i="8"/>
  <c r="N508" i="8" s="1"/>
  <c r="H508" i="8"/>
  <c r="I508" i="8" s="1"/>
  <c r="X507" i="8"/>
  <c r="Y507" i="8" s="1"/>
  <c r="S507" i="8"/>
  <c r="T507" i="8" s="1"/>
  <c r="M507" i="8"/>
  <c r="N507" i="8" s="1"/>
  <c r="H507" i="8"/>
  <c r="I507" i="8" s="1"/>
  <c r="X505" i="8"/>
  <c r="Y505" i="8" s="1"/>
  <c r="S505" i="8"/>
  <c r="T505" i="8" s="1"/>
  <c r="M505" i="8"/>
  <c r="N505" i="8" s="1"/>
  <c r="H505" i="8"/>
  <c r="I505" i="8" s="1"/>
  <c r="X503" i="8"/>
  <c r="Y503" i="8" s="1"/>
  <c r="S503" i="8"/>
  <c r="T503" i="8" s="1"/>
  <c r="M503" i="8"/>
  <c r="N503" i="8" s="1"/>
  <c r="H503" i="8"/>
  <c r="I503" i="8" s="1"/>
  <c r="X502" i="8"/>
  <c r="Y502" i="8" s="1"/>
  <c r="S502" i="8"/>
  <c r="T502" i="8" s="1"/>
  <c r="M502" i="8"/>
  <c r="N502" i="8" s="1"/>
  <c r="H502" i="8"/>
  <c r="I502" i="8" s="1"/>
  <c r="X500" i="8"/>
  <c r="Y500" i="8" s="1"/>
  <c r="S500" i="8"/>
  <c r="T500" i="8" s="1"/>
  <c r="M500" i="8"/>
  <c r="N500" i="8" s="1"/>
  <c r="H500" i="8"/>
  <c r="I500" i="8" s="1"/>
  <c r="X498" i="8"/>
  <c r="Y498" i="8" s="1"/>
  <c r="S498" i="8"/>
  <c r="T498" i="8" s="1"/>
  <c r="M498" i="8"/>
  <c r="N498" i="8" s="1"/>
  <c r="H498" i="8"/>
  <c r="I498" i="8" s="1"/>
  <c r="X497" i="8"/>
  <c r="Y497" i="8" s="1"/>
  <c r="S497" i="8"/>
  <c r="T497" i="8" s="1"/>
  <c r="M497" i="8"/>
  <c r="N497" i="8" s="1"/>
  <c r="H497" i="8"/>
  <c r="I497" i="8" s="1"/>
  <c r="X496" i="8"/>
  <c r="Y496" i="8" s="1"/>
  <c r="S496" i="8"/>
  <c r="T496" i="8" s="1"/>
  <c r="M496" i="8"/>
  <c r="N496" i="8" s="1"/>
  <c r="I496" i="8"/>
  <c r="H496" i="8"/>
  <c r="X494" i="8"/>
  <c r="Y494" i="8" s="1"/>
  <c r="S494" i="8"/>
  <c r="T494" i="8" s="1"/>
  <c r="M494" i="8"/>
  <c r="N494" i="8" s="1"/>
  <c r="I494" i="8"/>
  <c r="H494" i="8"/>
  <c r="X493" i="8"/>
  <c r="Y493" i="8" s="1"/>
  <c r="S493" i="8"/>
  <c r="T493" i="8" s="1"/>
  <c r="M493" i="8"/>
  <c r="N493" i="8" s="1"/>
  <c r="I493" i="8"/>
  <c r="H493" i="8"/>
  <c r="X492" i="8"/>
  <c r="Y492" i="8" s="1"/>
  <c r="S492" i="8"/>
  <c r="T492" i="8" s="1"/>
  <c r="M492" i="8"/>
  <c r="N492" i="8" s="1"/>
  <c r="I492" i="8"/>
  <c r="H492" i="8"/>
  <c r="X490" i="8"/>
  <c r="Y490" i="8" s="1"/>
  <c r="S490" i="8"/>
  <c r="T490" i="8" s="1"/>
  <c r="M490" i="8"/>
  <c r="N490" i="8" s="1"/>
  <c r="I490" i="8"/>
  <c r="H490" i="8"/>
  <c r="X489" i="8"/>
  <c r="Y489" i="8" s="1"/>
  <c r="S489" i="8"/>
  <c r="T489" i="8" s="1"/>
  <c r="M489" i="8"/>
  <c r="N489" i="8" s="1"/>
  <c r="I489" i="8"/>
  <c r="H489" i="8"/>
  <c r="X488" i="8"/>
  <c r="Y488" i="8" s="1"/>
  <c r="S488" i="8"/>
  <c r="T488" i="8" s="1"/>
  <c r="M488" i="8"/>
  <c r="N488" i="8" s="1"/>
  <c r="I488" i="8"/>
  <c r="H488" i="8"/>
  <c r="X487" i="8"/>
  <c r="Y487" i="8" s="1"/>
  <c r="S487" i="8"/>
  <c r="T487" i="8" s="1"/>
  <c r="M487" i="8"/>
  <c r="N487" i="8" s="1"/>
  <c r="I487" i="8"/>
  <c r="H487" i="8"/>
  <c r="AZ485" i="8"/>
  <c r="AX485" i="8"/>
  <c r="AV485" i="8"/>
  <c r="AU485" i="8"/>
  <c r="AR485" i="8"/>
  <c r="AP485" i="8"/>
  <c r="AM485" i="8"/>
  <c r="AL485" i="8"/>
  <c r="AI485" i="8"/>
  <c r="AG485" i="8"/>
  <c r="AE485" i="8"/>
  <c r="AD485" i="8"/>
  <c r="W485" i="8"/>
  <c r="N485" i="8"/>
  <c r="L485" i="8"/>
  <c r="BA484" i="8"/>
  <c r="BA485" i="8" s="1"/>
  <c r="AZ484" i="8"/>
  <c r="AY484" i="8"/>
  <c r="AY485" i="8" s="1"/>
  <c r="AX484" i="8"/>
  <c r="AW484" i="8"/>
  <c r="AW485" i="8" s="1"/>
  <c r="AV484" i="8"/>
  <c r="AU484" i="8"/>
  <c r="AT484" i="8"/>
  <c r="AT485" i="8" s="1"/>
  <c r="AS484" i="8"/>
  <c r="AS485" i="8" s="1"/>
  <c r="AR484" i="8"/>
  <c r="AQ484" i="8"/>
  <c r="AQ485" i="8" s="1"/>
  <c r="AP484" i="8"/>
  <c r="AN484" i="8"/>
  <c r="AN485" i="8" s="1"/>
  <c r="AM484" i="8"/>
  <c r="AL484" i="8"/>
  <c r="AK484" i="8"/>
  <c r="AK485" i="8" s="1"/>
  <c r="AJ484" i="8"/>
  <c r="AJ485" i="8" s="1"/>
  <c r="AI484" i="8"/>
  <c r="AH484" i="8"/>
  <c r="AH485" i="8" s="1"/>
  <c r="AG484" i="8"/>
  <c r="AF484" i="8"/>
  <c r="AF485" i="8" s="1"/>
  <c r="AE484" i="8"/>
  <c r="AD484" i="8"/>
  <c r="AC484" i="8"/>
  <c r="AC485" i="8" s="1"/>
  <c r="AA484" i="8"/>
  <c r="AA485" i="8" s="1"/>
  <c r="W484" i="8"/>
  <c r="V484" i="8"/>
  <c r="V485" i="8" s="1"/>
  <c r="R484" i="8"/>
  <c r="Q484" i="8"/>
  <c r="L484" i="8"/>
  <c r="K484" i="8"/>
  <c r="K485" i="8" s="1"/>
  <c r="M485" i="8" s="1"/>
  <c r="G484" i="8"/>
  <c r="F484" i="8"/>
  <c r="X483" i="8"/>
  <c r="Y483" i="8" s="1"/>
  <c r="S483" i="8"/>
  <c r="T483" i="8" s="1"/>
  <c r="N483" i="8"/>
  <c r="M483" i="8"/>
  <c r="H483" i="8"/>
  <c r="I483" i="8" s="1"/>
  <c r="X482" i="8"/>
  <c r="Y482" i="8" s="1"/>
  <c r="S482" i="8"/>
  <c r="T482" i="8" s="1"/>
  <c r="N482" i="8"/>
  <c r="M482" i="8"/>
  <c r="I482" i="8"/>
  <c r="H482" i="8"/>
  <c r="X481" i="8"/>
  <c r="Y481" i="8" s="1"/>
  <c r="S481" i="8"/>
  <c r="T481" i="8" s="1"/>
  <c r="N481" i="8"/>
  <c r="M481" i="8"/>
  <c r="I481" i="8"/>
  <c r="H481" i="8"/>
  <c r="X480" i="8"/>
  <c r="Y480" i="8" s="1"/>
  <c r="S480" i="8"/>
  <c r="T480" i="8" s="1"/>
  <c r="N480" i="8"/>
  <c r="M480" i="8"/>
  <c r="I480" i="8"/>
  <c r="H480" i="8"/>
  <c r="X479" i="8"/>
  <c r="Y479" i="8" s="1"/>
  <c r="S479" i="8"/>
  <c r="T479" i="8" s="1"/>
  <c r="N479" i="8"/>
  <c r="M479" i="8"/>
  <c r="H479" i="8"/>
  <c r="I479" i="8" s="1"/>
  <c r="X477" i="8"/>
  <c r="Y477" i="8" s="1"/>
  <c r="S477" i="8"/>
  <c r="T477" i="8" s="1"/>
  <c r="N477" i="8"/>
  <c r="M477" i="8"/>
  <c r="I477" i="8"/>
  <c r="H477" i="8"/>
  <c r="X476" i="8"/>
  <c r="Y476" i="8" s="1"/>
  <c r="S476" i="8"/>
  <c r="T476" i="8" s="1"/>
  <c r="N476" i="8"/>
  <c r="M476" i="8"/>
  <c r="I476" i="8"/>
  <c r="H476" i="8"/>
  <c r="X475" i="8"/>
  <c r="Y475" i="8" s="1"/>
  <c r="S475" i="8"/>
  <c r="T475" i="8" s="1"/>
  <c r="N475" i="8"/>
  <c r="M475" i="8"/>
  <c r="I475" i="8"/>
  <c r="H475" i="8"/>
  <c r="X474" i="8"/>
  <c r="Y474" i="8" s="1"/>
  <c r="S474" i="8"/>
  <c r="T474" i="8" s="1"/>
  <c r="N474" i="8"/>
  <c r="M474" i="8"/>
  <c r="H474" i="8"/>
  <c r="I474" i="8" s="1"/>
  <c r="X473" i="8"/>
  <c r="Y473" i="8" s="1"/>
  <c r="S473" i="8"/>
  <c r="T473" i="8" s="1"/>
  <c r="N473" i="8"/>
  <c r="M473" i="8"/>
  <c r="I473" i="8"/>
  <c r="H473" i="8"/>
  <c r="X472" i="8"/>
  <c r="Y472" i="8" s="1"/>
  <c r="T472" i="8"/>
  <c r="S472" i="8"/>
  <c r="N472" i="8"/>
  <c r="M472" i="8"/>
  <c r="I472" i="8"/>
  <c r="H472" i="8"/>
  <c r="X471" i="8"/>
  <c r="Y471" i="8" s="1"/>
  <c r="S471" i="8"/>
  <c r="T471" i="8" s="1"/>
  <c r="N471" i="8"/>
  <c r="M471" i="8"/>
  <c r="H471" i="8"/>
  <c r="I471" i="8" s="1"/>
  <c r="X470" i="8"/>
  <c r="Y470" i="8" s="1"/>
  <c r="S470" i="8"/>
  <c r="T470" i="8" s="1"/>
  <c r="N470" i="8"/>
  <c r="M470" i="8"/>
  <c r="I470" i="8"/>
  <c r="H470" i="8"/>
  <c r="X469" i="8"/>
  <c r="Y469" i="8" s="1"/>
  <c r="T469" i="8"/>
  <c r="S469" i="8"/>
  <c r="N469" i="8"/>
  <c r="M469" i="8"/>
  <c r="H469" i="8"/>
  <c r="I469" i="8" s="1"/>
  <c r="X468" i="8"/>
  <c r="Y468" i="8" s="1"/>
  <c r="T468" i="8"/>
  <c r="S468" i="8"/>
  <c r="N468" i="8"/>
  <c r="M468" i="8"/>
  <c r="I468" i="8"/>
  <c r="H468" i="8"/>
  <c r="X467" i="8"/>
  <c r="Y467" i="8" s="1"/>
  <c r="S467" i="8"/>
  <c r="T467" i="8" s="1"/>
  <c r="N467" i="8"/>
  <c r="M467" i="8"/>
  <c r="H467" i="8"/>
  <c r="I467" i="8" s="1"/>
  <c r="X466" i="8"/>
  <c r="Y466" i="8" s="1"/>
  <c r="T466" i="8"/>
  <c r="S466" i="8"/>
  <c r="N466" i="8"/>
  <c r="M466" i="8"/>
  <c r="H466" i="8"/>
  <c r="I466" i="8" s="1"/>
  <c r="X465" i="8"/>
  <c r="Y465" i="8" s="1"/>
  <c r="S465" i="8"/>
  <c r="T465" i="8" s="1"/>
  <c r="N465" i="8"/>
  <c r="M465" i="8"/>
  <c r="I465" i="8"/>
  <c r="H465" i="8"/>
  <c r="X464" i="8"/>
  <c r="Y464" i="8" s="1"/>
  <c r="T464" i="8"/>
  <c r="S464" i="8"/>
  <c r="N464" i="8"/>
  <c r="M464" i="8"/>
  <c r="I464" i="8"/>
  <c r="H464" i="8"/>
  <c r="X463" i="8"/>
  <c r="Y463" i="8" s="1"/>
  <c r="S463" i="8"/>
  <c r="T463" i="8" s="1"/>
  <c r="N463" i="8"/>
  <c r="M463" i="8"/>
  <c r="H463" i="8"/>
  <c r="I463" i="8" s="1"/>
  <c r="X462" i="8"/>
  <c r="Y462" i="8" s="1"/>
  <c r="S462" i="8"/>
  <c r="T462" i="8" s="1"/>
  <c r="N462" i="8"/>
  <c r="M462" i="8"/>
  <c r="I462" i="8"/>
  <c r="H462" i="8"/>
  <c r="X461" i="8"/>
  <c r="Y461" i="8" s="1"/>
  <c r="T461" i="8"/>
  <c r="S461" i="8"/>
  <c r="N461" i="8"/>
  <c r="M461" i="8"/>
  <c r="H461" i="8"/>
  <c r="I461" i="8" s="1"/>
  <c r="X460" i="8"/>
  <c r="Y460" i="8" s="1"/>
  <c r="T460" i="8"/>
  <c r="S460" i="8"/>
  <c r="N460" i="8"/>
  <c r="M460" i="8"/>
  <c r="I460" i="8"/>
  <c r="H460" i="8"/>
  <c r="X459" i="8"/>
  <c r="Y459" i="8" s="1"/>
  <c r="S459" i="8"/>
  <c r="T459" i="8" s="1"/>
  <c r="N459" i="8"/>
  <c r="M459" i="8"/>
  <c r="H459" i="8"/>
  <c r="I459" i="8" s="1"/>
  <c r="X458" i="8"/>
  <c r="Y458" i="8" s="1"/>
  <c r="T458" i="8"/>
  <c r="S458" i="8"/>
  <c r="N458" i="8"/>
  <c r="M458" i="8"/>
  <c r="H458" i="8"/>
  <c r="I458" i="8" s="1"/>
  <c r="X457" i="8"/>
  <c r="Y457" i="8" s="1"/>
  <c r="S457" i="8"/>
  <c r="T457" i="8" s="1"/>
  <c r="N457" i="8"/>
  <c r="M457" i="8"/>
  <c r="I457" i="8"/>
  <c r="H457" i="8"/>
  <c r="X456" i="8"/>
  <c r="Y456" i="8" s="1"/>
  <c r="T456" i="8"/>
  <c r="S456" i="8"/>
  <c r="N456" i="8"/>
  <c r="M456" i="8"/>
  <c r="I456" i="8"/>
  <c r="H456" i="8"/>
  <c r="X455" i="8"/>
  <c r="Y455" i="8" s="1"/>
  <c r="S455" i="8"/>
  <c r="T455" i="8" s="1"/>
  <c r="N455" i="8"/>
  <c r="M455" i="8"/>
  <c r="H455" i="8"/>
  <c r="I455" i="8" s="1"/>
  <c r="X454" i="8"/>
  <c r="Y454" i="8" s="1"/>
  <c r="S454" i="8"/>
  <c r="T454" i="8" s="1"/>
  <c r="N454" i="8"/>
  <c r="M454" i="8"/>
  <c r="I454" i="8"/>
  <c r="H454" i="8"/>
  <c r="X453" i="8"/>
  <c r="Y453" i="8" s="1"/>
  <c r="T453" i="8"/>
  <c r="S453" i="8"/>
  <c r="N453" i="8"/>
  <c r="M453" i="8"/>
  <c r="H453" i="8"/>
  <c r="I453" i="8" s="1"/>
  <c r="X452" i="8"/>
  <c r="Y452" i="8" s="1"/>
  <c r="T452" i="8"/>
  <c r="S452" i="8"/>
  <c r="N452" i="8"/>
  <c r="M452" i="8"/>
  <c r="I452" i="8"/>
  <c r="H452" i="8"/>
  <c r="X451" i="8"/>
  <c r="Y451" i="8" s="1"/>
  <c r="S451" i="8"/>
  <c r="T451" i="8" s="1"/>
  <c r="N451" i="8"/>
  <c r="M451" i="8"/>
  <c r="H451" i="8"/>
  <c r="I451" i="8" s="1"/>
  <c r="X450" i="8"/>
  <c r="Y450" i="8" s="1"/>
  <c r="T450" i="8"/>
  <c r="S450" i="8"/>
  <c r="N450" i="8"/>
  <c r="M450" i="8"/>
  <c r="H450" i="8"/>
  <c r="I450" i="8" s="1"/>
  <c r="X449" i="8"/>
  <c r="Y449" i="8" s="1"/>
  <c r="S449" i="8"/>
  <c r="T449" i="8" s="1"/>
  <c r="N449" i="8"/>
  <c r="M449" i="8"/>
  <c r="I449" i="8"/>
  <c r="H449" i="8"/>
  <c r="X448" i="8"/>
  <c r="Y448" i="8" s="1"/>
  <c r="T448" i="8"/>
  <c r="S448" i="8"/>
  <c r="N448" i="8"/>
  <c r="M448" i="8"/>
  <c r="I448" i="8"/>
  <c r="H448" i="8"/>
  <c r="X447" i="8"/>
  <c r="Y447" i="8" s="1"/>
  <c r="S447" i="8"/>
  <c r="T447" i="8" s="1"/>
  <c r="N447" i="8"/>
  <c r="M447" i="8"/>
  <c r="H447" i="8"/>
  <c r="I447" i="8" s="1"/>
  <c r="X446" i="8"/>
  <c r="Y446" i="8" s="1"/>
  <c r="S446" i="8"/>
  <c r="T446" i="8" s="1"/>
  <c r="N446" i="8"/>
  <c r="M446" i="8"/>
  <c r="I446" i="8"/>
  <c r="H446" i="8"/>
  <c r="X445" i="8"/>
  <c r="Y445" i="8" s="1"/>
  <c r="T445" i="8"/>
  <c r="S445" i="8"/>
  <c r="N445" i="8"/>
  <c r="M445" i="8"/>
  <c r="H445" i="8"/>
  <c r="I445" i="8" s="1"/>
  <c r="X444" i="8"/>
  <c r="Y444" i="8" s="1"/>
  <c r="T444" i="8"/>
  <c r="S444" i="8"/>
  <c r="N444" i="8"/>
  <c r="M444" i="8"/>
  <c r="I444" i="8"/>
  <c r="H444" i="8"/>
  <c r="Y443" i="8"/>
  <c r="X443" i="8"/>
  <c r="T443" i="8"/>
  <c r="S443" i="8"/>
  <c r="M443" i="8"/>
  <c r="N443" i="8" s="1"/>
  <c r="I443" i="8"/>
  <c r="H443" i="8"/>
  <c r="Y442" i="8"/>
  <c r="X442" i="8"/>
  <c r="T442" i="8"/>
  <c r="S442" i="8"/>
  <c r="M442" i="8"/>
  <c r="N442" i="8" s="1"/>
  <c r="I442" i="8"/>
  <c r="H442" i="8"/>
  <c r="Y441" i="8"/>
  <c r="X441" i="8"/>
  <c r="T441" i="8"/>
  <c r="S441" i="8"/>
  <c r="M441" i="8"/>
  <c r="N441" i="8" s="1"/>
  <c r="I441" i="8"/>
  <c r="H441" i="8"/>
  <c r="Y440" i="8"/>
  <c r="X440" i="8"/>
  <c r="T440" i="8"/>
  <c r="S440" i="8"/>
  <c r="M440" i="8"/>
  <c r="N440" i="8" s="1"/>
  <c r="I440" i="8"/>
  <c r="H440" i="8"/>
  <c r="Y439" i="8"/>
  <c r="X439" i="8"/>
  <c r="T439" i="8"/>
  <c r="S439" i="8"/>
  <c r="M439" i="8"/>
  <c r="N439" i="8" s="1"/>
  <c r="I439" i="8"/>
  <c r="H439" i="8"/>
  <c r="Y438" i="8"/>
  <c r="X438" i="8"/>
  <c r="T438" i="8"/>
  <c r="S438" i="8"/>
  <c r="M438" i="8"/>
  <c r="N438" i="8" s="1"/>
  <c r="I438" i="8"/>
  <c r="H438" i="8"/>
  <c r="Y436" i="8"/>
  <c r="X436" i="8"/>
  <c r="T436" i="8"/>
  <c r="S436" i="8"/>
  <c r="M436" i="8"/>
  <c r="N436" i="8" s="1"/>
  <c r="I436" i="8"/>
  <c r="H436" i="8"/>
  <c r="Y434" i="8"/>
  <c r="X434" i="8"/>
  <c r="T434" i="8"/>
  <c r="S434" i="8"/>
  <c r="M434" i="8"/>
  <c r="N434" i="8" s="1"/>
  <c r="I434" i="8"/>
  <c r="H434" i="8"/>
  <c r="Y433" i="8"/>
  <c r="X433" i="8"/>
  <c r="T433" i="8"/>
  <c r="S433" i="8"/>
  <c r="M433" i="8"/>
  <c r="N433" i="8" s="1"/>
  <c r="I433" i="8"/>
  <c r="H433" i="8"/>
  <c r="Y432" i="8"/>
  <c r="X432" i="8"/>
  <c r="T432" i="8"/>
  <c r="S432" i="8"/>
  <c r="M432" i="8"/>
  <c r="N432" i="8" s="1"/>
  <c r="I432" i="8"/>
  <c r="H432" i="8"/>
  <c r="Y430" i="8"/>
  <c r="X430" i="8"/>
  <c r="T430" i="8"/>
  <c r="S430" i="8"/>
  <c r="M430" i="8"/>
  <c r="N430" i="8" s="1"/>
  <c r="I430" i="8"/>
  <c r="H430" i="8"/>
  <c r="Y428" i="8"/>
  <c r="X428" i="8"/>
  <c r="T428" i="8"/>
  <c r="S428" i="8"/>
  <c r="M428" i="8"/>
  <c r="N428" i="8" s="1"/>
  <c r="I428" i="8"/>
  <c r="H428" i="8"/>
  <c r="Y426" i="8"/>
  <c r="X426" i="8"/>
  <c r="T426" i="8"/>
  <c r="S426" i="8"/>
  <c r="M426" i="8"/>
  <c r="N426" i="8" s="1"/>
  <c r="I426" i="8"/>
  <c r="H426" i="8"/>
  <c r="Y425" i="8"/>
  <c r="X425" i="8"/>
  <c r="T425" i="8"/>
  <c r="S425" i="8"/>
  <c r="N425" i="8"/>
  <c r="M425" i="8"/>
  <c r="I425" i="8"/>
  <c r="H425" i="8"/>
  <c r="Y423" i="8"/>
  <c r="X423" i="8"/>
  <c r="T423" i="8"/>
  <c r="S423" i="8"/>
  <c r="N423" i="8"/>
  <c r="M423" i="8"/>
  <c r="I423" i="8"/>
  <c r="H423" i="8"/>
  <c r="Y422" i="8"/>
  <c r="X422" i="8"/>
  <c r="T422" i="8"/>
  <c r="S422" i="8"/>
  <c r="N422" i="8"/>
  <c r="M422" i="8"/>
  <c r="I422" i="8"/>
  <c r="H422" i="8"/>
  <c r="Y421" i="8"/>
  <c r="X421" i="8"/>
  <c r="T421" i="8"/>
  <c r="S421" i="8"/>
  <c r="N421" i="8"/>
  <c r="M421" i="8"/>
  <c r="I421" i="8"/>
  <c r="H421" i="8"/>
  <c r="Y419" i="8"/>
  <c r="X419" i="8"/>
  <c r="T419" i="8"/>
  <c r="S419" i="8"/>
  <c r="N419" i="8"/>
  <c r="M419" i="8"/>
  <c r="I419" i="8"/>
  <c r="H419" i="8"/>
  <c r="Y418" i="8"/>
  <c r="X418" i="8"/>
  <c r="T418" i="8"/>
  <c r="S418" i="8"/>
  <c r="N418" i="8"/>
  <c r="M418" i="8"/>
  <c r="I418" i="8"/>
  <c r="H418" i="8"/>
  <c r="Y416" i="8"/>
  <c r="X416" i="8"/>
  <c r="T416" i="8"/>
  <c r="S416" i="8"/>
  <c r="N416" i="8"/>
  <c r="M416" i="8"/>
  <c r="I416" i="8"/>
  <c r="H416" i="8"/>
  <c r="Y415" i="8"/>
  <c r="X415" i="8"/>
  <c r="T415" i="8"/>
  <c r="S415" i="8"/>
  <c r="N415" i="8"/>
  <c r="M415" i="8"/>
  <c r="I415" i="8"/>
  <c r="H415" i="8"/>
  <c r="Y414" i="8"/>
  <c r="X414" i="8"/>
  <c r="T414" i="8"/>
  <c r="S414" i="8"/>
  <c r="N414" i="8"/>
  <c r="M414" i="8"/>
  <c r="I414" i="8"/>
  <c r="H414" i="8"/>
  <c r="BA412" i="8"/>
  <c r="AZ412" i="8"/>
  <c r="AY412" i="8"/>
  <c r="AX412" i="8"/>
  <c r="AW412" i="8"/>
  <c r="AV412" i="8"/>
  <c r="AU412" i="8"/>
  <c r="AT412" i="8"/>
  <c r="AS412" i="8"/>
  <c r="AR412" i="8"/>
  <c r="AQ412" i="8"/>
  <c r="AP412" i="8"/>
  <c r="AN412" i="8"/>
  <c r="AM412" i="8"/>
  <c r="AL412" i="8"/>
  <c r="AK412" i="8"/>
  <c r="AJ412" i="8"/>
  <c r="AI412" i="8"/>
  <c r="AH412" i="8"/>
  <c r="AG412" i="8"/>
  <c r="AF412" i="8"/>
  <c r="AE412" i="8"/>
  <c r="AD412" i="8"/>
  <c r="AC412" i="8"/>
  <c r="AA412" i="8"/>
  <c r="X412" i="8"/>
  <c r="W412" i="8"/>
  <c r="V412" i="8"/>
  <c r="R412" i="8"/>
  <c r="Q412" i="8"/>
  <c r="S412" i="8" s="1"/>
  <c r="M412" i="8"/>
  <c r="L412" i="8"/>
  <c r="N412" i="8" s="1"/>
  <c r="K412" i="8"/>
  <c r="H412" i="8"/>
  <c r="G412" i="8"/>
  <c r="F412" i="8"/>
  <c r="X411" i="8"/>
  <c r="Y411" i="8" s="1"/>
  <c r="S411" i="8"/>
  <c r="T411" i="8" s="1"/>
  <c r="M411" i="8"/>
  <c r="N411" i="8" s="1"/>
  <c r="H411" i="8"/>
  <c r="I411" i="8" s="1"/>
  <c r="X410" i="8"/>
  <c r="Y410" i="8" s="1"/>
  <c r="S410" i="8"/>
  <c r="T410" i="8" s="1"/>
  <c r="M410" i="8"/>
  <c r="N410" i="8" s="1"/>
  <c r="H410" i="8"/>
  <c r="I410" i="8" s="1"/>
  <c r="X409" i="8"/>
  <c r="Y409" i="8" s="1"/>
  <c r="S409" i="8"/>
  <c r="T409" i="8" s="1"/>
  <c r="M409" i="8"/>
  <c r="N409" i="8" s="1"/>
  <c r="H409" i="8"/>
  <c r="I409" i="8" s="1"/>
  <c r="X408" i="8"/>
  <c r="Y408" i="8" s="1"/>
  <c r="S408" i="8"/>
  <c r="T408" i="8" s="1"/>
  <c r="M408" i="8"/>
  <c r="N408" i="8" s="1"/>
  <c r="H408" i="8"/>
  <c r="I408" i="8" s="1"/>
  <c r="X407" i="8"/>
  <c r="Y407" i="8" s="1"/>
  <c r="S407" i="8"/>
  <c r="T407" i="8" s="1"/>
  <c r="M407" i="8"/>
  <c r="N407" i="8" s="1"/>
  <c r="H407" i="8"/>
  <c r="I407" i="8" s="1"/>
  <c r="X406" i="8"/>
  <c r="Y406" i="8" s="1"/>
  <c r="S406" i="8"/>
  <c r="T406" i="8" s="1"/>
  <c r="M406" i="8"/>
  <c r="N406" i="8" s="1"/>
  <c r="H406" i="8"/>
  <c r="I406" i="8" s="1"/>
  <c r="X405" i="8"/>
  <c r="Y405" i="8" s="1"/>
  <c r="S405" i="8"/>
  <c r="T405" i="8" s="1"/>
  <c r="M405" i="8"/>
  <c r="N405" i="8" s="1"/>
  <c r="H405" i="8"/>
  <c r="I405" i="8" s="1"/>
  <c r="X404" i="8"/>
  <c r="Y404" i="8" s="1"/>
  <c r="S404" i="8"/>
  <c r="T404" i="8" s="1"/>
  <c r="M404" i="8"/>
  <c r="N404" i="8" s="1"/>
  <c r="H404" i="8"/>
  <c r="I404" i="8" s="1"/>
  <c r="X403" i="8"/>
  <c r="Y403" i="8" s="1"/>
  <c r="S403" i="8"/>
  <c r="T403" i="8" s="1"/>
  <c r="M403" i="8"/>
  <c r="N403" i="8" s="1"/>
  <c r="H403" i="8"/>
  <c r="I403" i="8" s="1"/>
  <c r="X402" i="8"/>
  <c r="Y402" i="8" s="1"/>
  <c r="S402" i="8"/>
  <c r="T402" i="8" s="1"/>
  <c r="M402" i="8"/>
  <c r="N402" i="8" s="1"/>
  <c r="H402" i="8"/>
  <c r="I402" i="8" s="1"/>
  <c r="X401" i="8"/>
  <c r="Y401" i="8" s="1"/>
  <c r="S401" i="8"/>
  <c r="T401" i="8" s="1"/>
  <c r="M401" i="8"/>
  <c r="N401" i="8" s="1"/>
  <c r="H401" i="8"/>
  <c r="I401" i="8" s="1"/>
  <c r="X400" i="8"/>
  <c r="Y400" i="8" s="1"/>
  <c r="S400" i="8"/>
  <c r="T400" i="8" s="1"/>
  <c r="M400" i="8"/>
  <c r="N400" i="8" s="1"/>
  <c r="H400" i="8"/>
  <c r="I400" i="8" s="1"/>
  <c r="X398" i="8"/>
  <c r="Y398" i="8" s="1"/>
  <c r="S398" i="8"/>
  <c r="T398" i="8" s="1"/>
  <c r="M398" i="8"/>
  <c r="N398" i="8" s="1"/>
  <c r="H398" i="8"/>
  <c r="I398" i="8" s="1"/>
  <c r="X396" i="8"/>
  <c r="Y396" i="8" s="1"/>
  <c r="S396" i="8"/>
  <c r="T396" i="8" s="1"/>
  <c r="M396" i="8"/>
  <c r="N396" i="8" s="1"/>
  <c r="H396" i="8"/>
  <c r="I396" i="8" s="1"/>
  <c r="X395" i="8"/>
  <c r="Y395" i="8" s="1"/>
  <c r="S395" i="8"/>
  <c r="T395" i="8" s="1"/>
  <c r="M395" i="8"/>
  <c r="N395" i="8" s="1"/>
  <c r="H395" i="8"/>
  <c r="I395" i="8" s="1"/>
  <c r="X394" i="8"/>
  <c r="Y394" i="8" s="1"/>
  <c r="S394" i="8"/>
  <c r="T394" i="8" s="1"/>
  <c r="M394" i="8"/>
  <c r="N394" i="8" s="1"/>
  <c r="H394" i="8"/>
  <c r="I394" i="8" s="1"/>
  <c r="X393" i="8"/>
  <c r="Y393" i="8" s="1"/>
  <c r="S393" i="8"/>
  <c r="T393" i="8" s="1"/>
  <c r="M393" i="8"/>
  <c r="N393" i="8" s="1"/>
  <c r="H393" i="8"/>
  <c r="I393" i="8" s="1"/>
  <c r="X392" i="8"/>
  <c r="Y392" i="8" s="1"/>
  <c r="S392" i="8"/>
  <c r="T392" i="8" s="1"/>
  <c r="M392" i="8"/>
  <c r="N392" i="8" s="1"/>
  <c r="H392" i="8"/>
  <c r="I392" i="8" s="1"/>
  <c r="X391" i="8"/>
  <c r="Y391" i="8" s="1"/>
  <c r="S391" i="8"/>
  <c r="T391" i="8" s="1"/>
  <c r="M391" i="8"/>
  <c r="N391" i="8" s="1"/>
  <c r="H391" i="8"/>
  <c r="I391" i="8" s="1"/>
  <c r="X390" i="8"/>
  <c r="Y390" i="8" s="1"/>
  <c r="S390" i="8"/>
  <c r="T390" i="8" s="1"/>
  <c r="M390" i="8"/>
  <c r="N390" i="8" s="1"/>
  <c r="H390" i="8"/>
  <c r="I390" i="8" s="1"/>
  <c r="X389" i="8"/>
  <c r="Y389" i="8" s="1"/>
  <c r="S389" i="8"/>
  <c r="T389" i="8" s="1"/>
  <c r="M389" i="8"/>
  <c r="N389" i="8" s="1"/>
  <c r="H389" i="8"/>
  <c r="I389" i="8" s="1"/>
  <c r="X388" i="8"/>
  <c r="Y388" i="8" s="1"/>
  <c r="S388" i="8"/>
  <c r="T388" i="8" s="1"/>
  <c r="M388" i="8"/>
  <c r="N388" i="8" s="1"/>
  <c r="H388" i="8"/>
  <c r="I388" i="8" s="1"/>
  <c r="X387" i="8"/>
  <c r="Y387" i="8" s="1"/>
  <c r="S387" i="8"/>
  <c r="T387" i="8" s="1"/>
  <c r="M387" i="8"/>
  <c r="N387" i="8" s="1"/>
  <c r="H387" i="8"/>
  <c r="I387" i="8" s="1"/>
  <c r="X386" i="8"/>
  <c r="Y386" i="8" s="1"/>
  <c r="S386" i="8"/>
  <c r="T386" i="8" s="1"/>
  <c r="M386" i="8"/>
  <c r="N386" i="8" s="1"/>
  <c r="H386" i="8"/>
  <c r="I386" i="8" s="1"/>
  <c r="X385" i="8"/>
  <c r="Y385" i="8" s="1"/>
  <c r="S385" i="8"/>
  <c r="T385" i="8" s="1"/>
  <c r="M385" i="8"/>
  <c r="N385" i="8" s="1"/>
  <c r="H385" i="8"/>
  <c r="I385" i="8" s="1"/>
  <c r="X383" i="8"/>
  <c r="Y383" i="8" s="1"/>
  <c r="S383" i="8"/>
  <c r="T383" i="8" s="1"/>
  <c r="M383" i="8"/>
  <c r="N383" i="8" s="1"/>
  <c r="H383" i="8"/>
  <c r="I383" i="8" s="1"/>
  <c r="X382" i="8"/>
  <c r="Y382" i="8" s="1"/>
  <c r="S382" i="8"/>
  <c r="T382" i="8" s="1"/>
  <c r="M382" i="8"/>
  <c r="N382" i="8" s="1"/>
  <c r="H382" i="8"/>
  <c r="I382" i="8" s="1"/>
  <c r="X381" i="8"/>
  <c r="Y381" i="8" s="1"/>
  <c r="S381" i="8"/>
  <c r="T381" i="8" s="1"/>
  <c r="M381" i="8"/>
  <c r="N381" i="8" s="1"/>
  <c r="H381" i="8"/>
  <c r="I381" i="8" s="1"/>
  <c r="X380" i="8"/>
  <c r="Y380" i="8" s="1"/>
  <c r="S380" i="8"/>
  <c r="T380" i="8" s="1"/>
  <c r="M380" i="8"/>
  <c r="N380" i="8" s="1"/>
  <c r="H380" i="8"/>
  <c r="I380" i="8" s="1"/>
  <c r="X379" i="8"/>
  <c r="Y379" i="8" s="1"/>
  <c r="S379" i="8"/>
  <c r="T379" i="8" s="1"/>
  <c r="M379" i="8"/>
  <c r="N379" i="8" s="1"/>
  <c r="H379" i="8"/>
  <c r="I379" i="8" s="1"/>
  <c r="X378" i="8"/>
  <c r="Y378" i="8" s="1"/>
  <c r="S378" i="8"/>
  <c r="T378" i="8" s="1"/>
  <c r="M378" i="8"/>
  <c r="N378" i="8" s="1"/>
  <c r="H378" i="8"/>
  <c r="I378" i="8" s="1"/>
  <c r="X377" i="8"/>
  <c r="Y377" i="8" s="1"/>
  <c r="S377" i="8"/>
  <c r="T377" i="8" s="1"/>
  <c r="M377" i="8"/>
  <c r="N377" i="8" s="1"/>
  <c r="H377" i="8"/>
  <c r="I377" i="8" s="1"/>
  <c r="X376" i="8"/>
  <c r="Y376" i="8" s="1"/>
  <c r="S376" i="8"/>
  <c r="T376" i="8" s="1"/>
  <c r="M376" i="8"/>
  <c r="N376" i="8" s="1"/>
  <c r="H376" i="8"/>
  <c r="I376" i="8" s="1"/>
  <c r="X375" i="8"/>
  <c r="Y375" i="8" s="1"/>
  <c r="S375" i="8"/>
  <c r="T375" i="8" s="1"/>
  <c r="M375" i="8"/>
  <c r="N375" i="8" s="1"/>
  <c r="H375" i="8"/>
  <c r="I375" i="8" s="1"/>
  <c r="X374" i="8"/>
  <c r="Y374" i="8" s="1"/>
  <c r="S374" i="8"/>
  <c r="T374" i="8" s="1"/>
  <c r="M374" i="8"/>
  <c r="N374" i="8" s="1"/>
  <c r="H374" i="8"/>
  <c r="I374" i="8" s="1"/>
  <c r="X372" i="8"/>
  <c r="Y372" i="8" s="1"/>
  <c r="S372" i="8"/>
  <c r="T372" i="8" s="1"/>
  <c r="M372" i="8"/>
  <c r="N372" i="8" s="1"/>
  <c r="H372" i="8"/>
  <c r="I372" i="8" s="1"/>
  <c r="X370" i="8"/>
  <c r="Y370" i="8" s="1"/>
  <c r="S370" i="8"/>
  <c r="T370" i="8" s="1"/>
  <c r="M370" i="8"/>
  <c r="N370" i="8" s="1"/>
  <c r="H370" i="8"/>
  <c r="I370" i="8" s="1"/>
  <c r="X369" i="8"/>
  <c r="Y369" i="8" s="1"/>
  <c r="S369" i="8"/>
  <c r="T369" i="8" s="1"/>
  <c r="M369" i="8"/>
  <c r="N369" i="8" s="1"/>
  <c r="H369" i="8"/>
  <c r="I369" i="8" s="1"/>
  <c r="X367" i="8"/>
  <c r="Y367" i="8" s="1"/>
  <c r="S367" i="8"/>
  <c r="T367" i="8" s="1"/>
  <c r="M367" i="8"/>
  <c r="N367" i="8" s="1"/>
  <c r="H367" i="8"/>
  <c r="I367" i="8" s="1"/>
  <c r="X365" i="8"/>
  <c r="Y365" i="8" s="1"/>
  <c r="S365" i="8"/>
  <c r="T365" i="8" s="1"/>
  <c r="M365" i="8"/>
  <c r="N365" i="8" s="1"/>
  <c r="H365" i="8"/>
  <c r="I365" i="8" s="1"/>
  <c r="X363" i="8"/>
  <c r="Y363" i="8" s="1"/>
  <c r="S363" i="8"/>
  <c r="T363" i="8" s="1"/>
  <c r="M363" i="8"/>
  <c r="N363" i="8" s="1"/>
  <c r="H363" i="8"/>
  <c r="I363" i="8" s="1"/>
  <c r="X362" i="8"/>
  <c r="Y362" i="8" s="1"/>
  <c r="S362" i="8"/>
  <c r="T362" i="8" s="1"/>
  <c r="M362" i="8"/>
  <c r="N362" i="8" s="1"/>
  <c r="H362" i="8"/>
  <c r="I362" i="8" s="1"/>
  <c r="X361" i="8"/>
  <c r="Y361" i="8" s="1"/>
  <c r="S361" i="8"/>
  <c r="T361" i="8" s="1"/>
  <c r="M361" i="8"/>
  <c r="N361" i="8" s="1"/>
  <c r="H361" i="8"/>
  <c r="I361" i="8" s="1"/>
  <c r="X360" i="8"/>
  <c r="Y360" i="8" s="1"/>
  <c r="S360" i="8"/>
  <c r="T360" i="8" s="1"/>
  <c r="M360" i="8"/>
  <c r="N360" i="8" s="1"/>
  <c r="H360" i="8"/>
  <c r="I360" i="8" s="1"/>
  <c r="X359" i="8"/>
  <c r="Y359" i="8" s="1"/>
  <c r="S359" i="8"/>
  <c r="T359" i="8" s="1"/>
  <c r="M359" i="8"/>
  <c r="N359" i="8" s="1"/>
  <c r="H359" i="8"/>
  <c r="I359" i="8" s="1"/>
  <c r="X358" i="8"/>
  <c r="Y358" i="8" s="1"/>
  <c r="S358" i="8"/>
  <c r="T358" i="8" s="1"/>
  <c r="M358" i="8"/>
  <c r="N358" i="8" s="1"/>
  <c r="H358" i="8"/>
  <c r="I358" i="8" s="1"/>
  <c r="X357" i="8"/>
  <c r="Y357" i="8" s="1"/>
  <c r="S357" i="8"/>
  <c r="T357" i="8" s="1"/>
  <c r="M357" i="8"/>
  <c r="N357" i="8" s="1"/>
  <c r="H357" i="8"/>
  <c r="I357" i="8" s="1"/>
  <c r="X356" i="8"/>
  <c r="Y356" i="8" s="1"/>
  <c r="S356" i="8"/>
  <c r="T356" i="8" s="1"/>
  <c r="M356" i="8"/>
  <c r="N356" i="8" s="1"/>
  <c r="H356" i="8"/>
  <c r="I356" i="8" s="1"/>
  <c r="X355" i="8"/>
  <c r="Y355" i="8" s="1"/>
  <c r="S355" i="8"/>
  <c r="T355" i="8" s="1"/>
  <c r="M355" i="8"/>
  <c r="N355" i="8" s="1"/>
  <c r="H355" i="8"/>
  <c r="I355" i="8" s="1"/>
  <c r="X354" i="8"/>
  <c r="Y354" i="8" s="1"/>
  <c r="S354" i="8"/>
  <c r="T354" i="8" s="1"/>
  <c r="M354" i="8"/>
  <c r="N354" i="8" s="1"/>
  <c r="H354" i="8"/>
  <c r="I354" i="8" s="1"/>
  <c r="AZ353" i="8"/>
  <c r="AV353" i="8"/>
  <c r="AT353" i="8"/>
  <c r="AR353" i="8"/>
  <c r="AM353" i="8"/>
  <c r="AK353" i="8"/>
  <c r="AI353" i="8"/>
  <c r="AE353" i="8"/>
  <c r="AC353" i="8"/>
  <c r="R353" i="8"/>
  <c r="L353" i="8"/>
  <c r="G353" i="8"/>
  <c r="BA352" i="8"/>
  <c r="AZ352" i="8"/>
  <c r="AZ516" i="8" s="1"/>
  <c r="AY352" i="8"/>
  <c r="AY353" i="8" s="1"/>
  <c r="AX352" i="8"/>
  <c r="AX516" i="8" s="1"/>
  <c r="AW352" i="8"/>
  <c r="AW516" i="8" s="1"/>
  <c r="AV352" i="8"/>
  <c r="AV516" i="8" s="1"/>
  <c r="AU352" i="8"/>
  <c r="AT352" i="8"/>
  <c r="AT516" i="8" s="1"/>
  <c r="AS352" i="8"/>
  <c r="AR352" i="8"/>
  <c r="AR516" i="8" s="1"/>
  <c r="AQ352" i="8"/>
  <c r="AP352" i="8"/>
  <c r="AP353" i="8" s="1"/>
  <c r="AN352" i="8"/>
  <c r="AN516" i="8" s="1"/>
  <c r="AM352" i="8"/>
  <c r="AM516" i="8" s="1"/>
  <c r="AL352" i="8"/>
  <c r="AK352" i="8"/>
  <c r="AK516" i="8" s="1"/>
  <c r="AJ352" i="8"/>
  <c r="AI352" i="8"/>
  <c r="AI516" i="8" s="1"/>
  <c r="AH352" i="8"/>
  <c r="AH353" i="8" s="1"/>
  <c r="AG352" i="8"/>
  <c r="AG516" i="8" s="1"/>
  <c r="AF352" i="8"/>
  <c r="AF516" i="8" s="1"/>
  <c r="AE352" i="8"/>
  <c r="AE516" i="8" s="1"/>
  <c r="AD352" i="8"/>
  <c r="AC352" i="8"/>
  <c r="AC516" i="8" s="1"/>
  <c r="AA352" i="8"/>
  <c r="X352" i="8"/>
  <c r="W352" i="8"/>
  <c r="W353" i="8" s="1"/>
  <c r="Y353" i="8" s="1"/>
  <c r="V352" i="8"/>
  <c r="V353" i="8" s="1"/>
  <c r="X353" i="8" s="1"/>
  <c r="S352" i="8"/>
  <c r="R352" i="8"/>
  <c r="Q352" i="8"/>
  <c r="M352" i="8"/>
  <c r="L352" i="8"/>
  <c r="L516" i="8" s="1"/>
  <c r="K352" i="8"/>
  <c r="K516" i="8" s="1"/>
  <c r="H352" i="8"/>
  <c r="G352" i="8"/>
  <c r="F352" i="8"/>
  <c r="X351" i="8"/>
  <c r="Y351" i="8" s="1"/>
  <c r="T351" i="8"/>
  <c r="S351" i="8"/>
  <c r="M351" i="8"/>
  <c r="N351" i="8" s="1"/>
  <c r="H351" i="8"/>
  <c r="I351" i="8" s="1"/>
  <c r="X350" i="8"/>
  <c r="Y350" i="8" s="1"/>
  <c r="S350" i="8"/>
  <c r="T350" i="8" s="1"/>
  <c r="M350" i="8"/>
  <c r="N350" i="8" s="1"/>
  <c r="H350" i="8"/>
  <c r="I350" i="8" s="1"/>
  <c r="X349" i="8"/>
  <c r="Y349" i="8" s="1"/>
  <c r="S349" i="8"/>
  <c r="T349" i="8" s="1"/>
  <c r="M349" i="8"/>
  <c r="N349" i="8" s="1"/>
  <c r="I349" i="8"/>
  <c r="H349" i="8"/>
  <c r="X348" i="8"/>
  <c r="Y348" i="8" s="1"/>
  <c r="T348" i="8"/>
  <c r="S348" i="8"/>
  <c r="M348" i="8"/>
  <c r="N348" i="8" s="1"/>
  <c r="I348" i="8"/>
  <c r="H348" i="8"/>
  <c r="X347" i="8"/>
  <c r="Y347" i="8" s="1"/>
  <c r="T347" i="8"/>
  <c r="S347" i="8"/>
  <c r="M347" i="8"/>
  <c r="N347" i="8" s="1"/>
  <c r="H347" i="8"/>
  <c r="I347" i="8" s="1"/>
  <c r="X346" i="8"/>
  <c r="Y346" i="8" s="1"/>
  <c r="S346" i="8"/>
  <c r="T346" i="8" s="1"/>
  <c r="M346" i="8"/>
  <c r="N346" i="8" s="1"/>
  <c r="H346" i="8"/>
  <c r="I346" i="8" s="1"/>
  <c r="X345" i="8"/>
  <c r="Y345" i="8" s="1"/>
  <c r="S345" i="8"/>
  <c r="T345" i="8" s="1"/>
  <c r="M345" i="8"/>
  <c r="N345" i="8" s="1"/>
  <c r="I345" i="8"/>
  <c r="H345" i="8"/>
  <c r="X344" i="8"/>
  <c r="Y344" i="8" s="1"/>
  <c r="T344" i="8"/>
  <c r="S344" i="8"/>
  <c r="M344" i="8"/>
  <c r="N344" i="8" s="1"/>
  <c r="I344" i="8"/>
  <c r="H344" i="8"/>
  <c r="X343" i="8"/>
  <c r="Y343" i="8" s="1"/>
  <c r="T343" i="8"/>
  <c r="S343" i="8"/>
  <c r="M343" i="8"/>
  <c r="N343" i="8" s="1"/>
  <c r="H343" i="8"/>
  <c r="I343" i="8" s="1"/>
  <c r="X342" i="8"/>
  <c r="Y342" i="8" s="1"/>
  <c r="S342" i="8"/>
  <c r="T342" i="8" s="1"/>
  <c r="M342" i="8"/>
  <c r="N342" i="8" s="1"/>
  <c r="H342" i="8"/>
  <c r="I342" i="8" s="1"/>
  <c r="X341" i="8"/>
  <c r="Y341" i="8" s="1"/>
  <c r="S341" i="8"/>
  <c r="T341" i="8" s="1"/>
  <c r="M341" i="8"/>
  <c r="N341" i="8" s="1"/>
  <c r="I341" i="8"/>
  <c r="H341" i="8"/>
  <c r="X340" i="8"/>
  <c r="Y340" i="8" s="1"/>
  <c r="T340" i="8"/>
  <c r="S340" i="8"/>
  <c r="M340" i="8"/>
  <c r="N340" i="8" s="1"/>
  <c r="I340" i="8"/>
  <c r="H340" i="8"/>
  <c r="X339" i="8"/>
  <c r="Y339" i="8" s="1"/>
  <c r="T339" i="8"/>
  <c r="S339" i="8"/>
  <c r="N339" i="8"/>
  <c r="M339" i="8"/>
  <c r="H339" i="8"/>
  <c r="I339" i="8" s="1"/>
  <c r="X338" i="8"/>
  <c r="Y338" i="8" s="1"/>
  <c r="T338" i="8"/>
  <c r="S338" i="8"/>
  <c r="M338" i="8"/>
  <c r="N338" i="8" s="1"/>
  <c r="H338" i="8"/>
  <c r="I338" i="8" s="1"/>
  <c r="Y337" i="8"/>
  <c r="X337" i="8"/>
  <c r="T337" i="8"/>
  <c r="S337" i="8"/>
  <c r="M337" i="8"/>
  <c r="N337" i="8" s="1"/>
  <c r="H337" i="8"/>
  <c r="I337" i="8" s="1"/>
  <c r="Y336" i="8"/>
  <c r="X336" i="8"/>
  <c r="T336" i="8"/>
  <c r="S336" i="8"/>
  <c r="M336" i="8"/>
  <c r="N336" i="8" s="1"/>
  <c r="H336" i="8"/>
  <c r="I336" i="8" s="1"/>
  <c r="Y335" i="8"/>
  <c r="X335" i="8"/>
  <c r="T335" i="8"/>
  <c r="S335" i="8"/>
  <c r="M335" i="8"/>
  <c r="N335" i="8" s="1"/>
  <c r="H335" i="8"/>
  <c r="I335" i="8" s="1"/>
  <c r="Y334" i="8"/>
  <c r="X334" i="8"/>
  <c r="T334" i="8"/>
  <c r="S334" i="8"/>
  <c r="M334" i="8"/>
  <c r="N334" i="8" s="1"/>
  <c r="H334" i="8"/>
  <c r="I334" i="8" s="1"/>
  <c r="Y333" i="8"/>
  <c r="X333" i="8"/>
  <c r="T333" i="8"/>
  <c r="S333" i="8"/>
  <c r="M333" i="8"/>
  <c r="N333" i="8" s="1"/>
  <c r="H333" i="8"/>
  <c r="I333" i="8" s="1"/>
  <c r="Y332" i="8"/>
  <c r="X332" i="8"/>
  <c r="T332" i="8"/>
  <c r="S332" i="8"/>
  <c r="M332" i="8"/>
  <c r="N332" i="8" s="1"/>
  <c r="H332" i="8"/>
  <c r="I332" i="8" s="1"/>
  <c r="Y331" i="8"/>
  <c r="X331" i="8"/>
  <c r="T331" i="8"/>
  <c r="S331" i="8"/>
  <c r="M331" i="8"/>
  <c r="N331" i="8" s="1"/>
  <c r="H331" i="8"/>
  <c r="I331" i="8" s="1"/>
  <c r="Y330" i="8"/>
  <c r="X330" i="8"/>
  <c r="T330" i="8"/>
  <c r="S330" i="8"/>
  <c r="M330" i="8"/>
  <c r="N330" i="8" s="1"/>
  <c r="H330" i="8"/>
  <c r="I330" i="8" s="1"/>
  <c r="Y329" i="8"/>
  <c r="X329" i="8"/>
  <c r="T329" i="8"/>
  <c r="S329" i="8"/>
  <c r="M329" i="8"/>
  <c r="N329" i="8" s="1"/>
  <c r="H329" i="8"/>
  <c r="I329" i="8" s="1"/>
  <c r="Y328" i="8"/>
  <c r="X328" i="8"/>
  <c r="T328" i="8"/>
  <c r="S328" i="8"/>
  <c r="M328" i="8"/>
  <c r="N328" i="8" s="1"/>
  <c r="H328" i="8"/>
  <c r="I328" i="8" s="1"/>
  <c r="Y327" i="8"/>
  <c r="X327" i="8"/>
  <c r="T327" i="8"/>
  <c r="S327" i="8"/>
  <c r="M327" i="8"/>
  <c r="N327" i="8" s="1"/>
  <c r="H327" i="8"/>
  <c r="I327" i="8" s="1"/>
  <c r="Y326" i="8"/>
  <c r="X326" i="8"/>
  <c r="T326" i="8"/>
  <c r="S326" i="8"/>
  <c r="M326" i="8"/>
  <c r="N326" i="8" s="1"/>
  <c r="H326" i="8"/>
  <c r="I326" i="8" s="1"/>
  <c r="Y325" i="8"/>
  <c r="X325" i="8"/>
  <c r="T325" i="8"/>
  <c r="S325" i="8"/>
  <c r="M325" i="8"/>
  <c r="N325" i="8" s="1"/>
  <c r="H325" i="8"/>
  <c r="I325" i="8" s="1"/>
  <c r="Y324" i="8"/>
  <c r="X324" i="8"/>
  <c r="T324" i="8"/>
  <c r="S324" i="8"/>
  <c r="M324" i="8"/>
  <c r="N324" i="8" s="1"/>
  <c r="H324" i="8"/>
  <c r="I324" i="8" s="1"/>
  <c r="Y323" i="8"/>
  <c r="X323" i="8"/>
  <c r="T323" i="8"/>
  <c r="S323" i="8"/>
  <c r="M323" i="8"/>
  <c r="N323" i="8" s="1"/>
  <c r="H323" i="8"/>
  <c r="I323" i="8" s="1"/>
  <c r="Y322" i="8"/>
  <c r="X322" i="8"/>
  <c r="T322" i="8"/>
  <c r="S322" i="8"/>
  <c r="M322" i="8"/>
  <c r="N322" i="8" s="1"/>
  <c r="H322" i="8"/>
  <c r="I322" i="8" s="1"/>
  <c r="Y321" i="8"/>
  <c r="X321" i="8"/>
  <c r="T321" i="8"/>
  <c r="S321" i="8"/>
  <c r="M321" i="8"/>
  <c r="N321" i="8" s="1"/>
  <c r="H321" i="8"/>
  <c r="I321" i="8" s="1"/>
  <c r="Y320" i="8"/>
  <c r="X320" i="8"/>
  <c r="T320" i="8"/>
  <c r="S320" i="8"/>
  <c r="M320" i="8"/>
  <c r="N320" i="8" s="1"/>
  <c r="H320" i="8"/>
  <c r="I320" i="8" s="1"/>
  <c r="Y319" i="8"/>
  <c r="X319" i="8"/>
  <c r="T319" i="8"/>
  <c r="S319" i="8"/>
  <c r="M319" i="8"/>
  <c r="N319" i="8" s="1"/>
  <c r="H319" i="8"/>
  <c r="I319" i="8" s="1"/>
  <c r="Y318" i="8"/>
  <c r="X318" i="8"/>
  <c r="T318" i="8"/>
  <c r="S318" i="8"/>
  <c r="M318" i="8"/>
  <c r="N318" i="8" s="1"/>
  <c r="H318" i="8"/>
  <c r="I318" i="8" s="1"/>
  <c r="Y317" i="8"/>
  <c r="X317" i="8"/>
  <c r="T317" i="8"/>
  <c r="S317" i="8"/>
  <c r="M317" i="8"/>
  <c r="N317" i="8" s="1"/>
  <c r="H317" i="8"/>
  <c r="I317" i="8" s="1"/>
  <c r="Y316" i="8"/>
  <c r="X316" i="8"/>
  <c r="T316" i="8"/>
  <c r="S316" i="8"/>
  <c r="M316" i="8"/>
  <c r="N316" i="8" s="1"/>
  <c r="H316" i="8"/>
  <c r="I316" i="8" s="1"/>
  <c r="Y315" i="8"/>
  <c r="X315" i="8"/>
  <c r="T315" i="8"/>
  <c r="S315" i="8"/>
  <c r="M315" i="8"/>
  <c r="N315" i="8" s="1"/>
  <c r="H315" i="8"/>
  <c r="I315" i="8" s="1"/>
  <c r="Y314" i="8"/>
  <c r="X314" i="8"/>
  <c r="T314" i="8"/>
  <c r="S314" i="8"/>
  <c r="M314" i="8"/>
  <c r="N314" i="8" s="1"/>
  <c r="H314" i="8"/>
  <c r="I314" i="8" s="1"/>
  <c r="Y313" i="8"/>
  <c r="X313" i="8"/>
  <c r="T313" i="8"/>
  <c r="S313" i="8"/>
  <c r="M313" i="8"/>
  <c r="N313" i="8" s="1"/>
  <c r="H313" i="8"/>
  <c r="I313" i="8" s="1"/>
  <c r="Y312" i="8"/>
  <c r="X312" i="8"/>
  <c r="T312" i="8"/>
  <c r="S312" i="8"/>
  <c r="M312" i="8"/>
  <c r="N312" i="8" s="1"/>
  <c r="H312" i="8"/>
  <c r="I312" i="8" s="1"/>
  <c r="Y311" i="8"/>
  <c r="X311" i="8"/>
  <c r="T311" i="8"/>
  <c r="S311" i="8"/>
  <c r="M311" i="8"/>
  <c r="N311" i="8" s="1"/>
  <c r="H311" i="8"/>
  <c r="I311" i="8" s="1"/>
  <c r="Y310" i="8"/>
  <c r="X310" i="8"/>
  <c r="T310" i="8"/>
  <c r="S310" i="8"/>
  <c r="M310" i="8"/>
  <c r="N310" i="8" s="1"/>
  <c r="H310" i="8"/>
  <c r="I310" i="8" s="1"/>
  <c r="Y309" i="8"/>
  <c r="X309" i="8"/>
  <c r="T309" i="8"/>
  <c r="S309" i="8"/>
  <c r="M309" i="8"/>
  <c r="N309" i="8" s="1"/>
  <c r="H309" i="8"/>
  <c r="I309" i="8" s="1"/>
  <c r="Y308" i="8"/>
  <c r="X308" i="8"/>
  <c r="T308" i="8"/>
  <c r="S308" i="8"/>
  <c r="M308" i="8"/>
  <c r="N308" i="8" s="1"/>
  <c r="H308" i="8"/>
  <c r="I308" i="8" s="1"/>
  <c r="Y307" i="8"/>
  <c r="X307" i="8"/>
  <c r="T307" i="8"/>
  <c r="S307" i="8"/>
  <c r="M307" i="8"/>
  <c r="N307" i="8" s="1"/>
  <c r="H307" i="8"/>
  <c r="I307" i="8" s="1"/>
  <c r="Y306" i="8"/>
  <c r="X306" i="8"/>
  <c r="T306" i="8"/>
  <c r="S306" i="8"/>
  <c r="M306" i="8"/>
  <c r="N306" i="8" s="1"/>
  <c r="H306" i="8"/>
  <c r="I306" i="8" s="1"/>
  <c r="Y305" i="8"/>
  <c r="X305" i="8"/>
  <c r="T305" i="8"/>
  <c r="S305" i="8"/>
  <c r="M305" i="8"/>
  <c r="N305" i="8" s="1"/>
  <c r="H305" i="8"/>
  <c r="I305" i="8" s="1"/>
  <c r="Y304" i="8"/>
  <c r="X304" i="8"/>
  <c r="T304" i="8"/>
  <c r="S304" i="8"/>
  <c r="M304" i="8"/>
  <c r="N304" i="8" s="1"/>
  <c r="H304" i="8"/>
  <c r="I304" i="8" s="1"/>
  <c r="Y303" i="8"/>
  <c r="X303" i="8"/>
  <c r="T303" i="8"/>
  <c r="S303" i="8"/>
  <c r="M303" i="8"/>
  <c r="N303" i="8" s="1"/>
  <c r="H303" i="8"/>
  <c r="I303" i="8" s="1"/>
  <c r="Y302" i="8"/>
  <c r="X302" i="8"/>
  <c r="T302" i="8"/>
  <c r="S302" i="8"/>
  <c r="M302" i="8"/>
  <c r="N302" i="8" s="1"/>
  <c r="H302" i="8"/>
  <c r="I302" i="8" s="1"/>
  <c r="Y301" i="8"/>
  <c r="X301" i="8"/>
  <c r="T301" i="8"/>
  <c r="S301" i="8"/>
  <c r="M301" i="8"/>
  <c r="N301" i="8" s="1"/>
  <c r="H301" i="8"/>
  <c r="I301" i="8" s="1"/>
  <c r="Y300" i="8"/>
  <c r="X300" i="8"/>
  <c r="T300" i="8"/>
  <c r="S300" i="8"/>
  <c r="M300" i="8"/>
  <c r="N300" i="8" s="1"/>
  <c r="H300" i="8"/>
  <c r="I300" i="8" s="1"/>
  <c r="Y299" i="8"/>
  <c r="X299" i="8"/>
  <c r="T299" i="8"/>
  <c r="S299" i="8"/>
  <c r="M299" i="8"/>
  <c r="N299" i="8" s="1"/>
  <c r="H299" i="8"/>
  <c r="I299" i="8" s="1"/>
  <c r="Y298" i="8"/>
  <c r="X298" i="8"/>
  <c r="T298" i="8"/>
  <c r="S298" i="8"/>
  <c r="M298" i="8"/>
  <c r="N298" i="8" s="1"/>
  <c r="H298" i="8"/>
  <c r="I298" i="8" s="1"/>
  <c r="Y297" i="8"/>
  <c r="X297" i="8"/>
  <c r="T297" i="8"/>
  <c r="S297" i="8"/>
  <c r="M297" i="8"/>
  <c r="N297" i="8" s="1"/>
  <c r="H297" i="8"/>
  <c r="I297" i="8" s="1"/>
  <c r="Y296" i="8"/>
  <c r="X296" i="8"/>
  <c r="T296" i="8"/>
  <c r="S296" i="8"/>
  <c r="M296" i="8"/>
  <c r="N296" i="8" s="1"/>
  <c r="H296" i="8"/>
  <c r="I296" i="8" s="1"/>
  <c r="Y295" i="8"/>
  <c r="X295" i="8"/>
  <c r="T295" i="8"/>
  <c r="S295" i="8"/>
  <c r="M295" i="8"/>
  <c r="N295" i="8" s="1"/>
  <c r="H295" i="8"/>
  <c r="I295" i="8" s="1"/>
  <c r="Y294" i="8"/>
  <c r="X294" i="8"/>
  <c r="T294" i="8"/>
  <c r="S294" i="8"/>
  <c r="M294" i="8"/>
  <c r="N294" i="8" s="1"/>
  <c r="H294" i="8"/>
  <c r="I294" i="8" s="1"/>
  <c r="Y293" i="8"/>
  <c r="X293" i="8"/>
  <c r="T293" i="8"/>
  <c r="S293" i="8"/>
  <c r="M293" i="8"/>
  <c r="N293" i="8" s="1"/>
  <c r="H293" i="8"/>
  <c r="I293" i="8" s="1"/>
  <c r="Y292" i="8"/>
  <c r="X292" i="8"/>
  <c r="T292" i="8"/>
  <c r="S292" i="8"/>
  <c r="M292" i="8"/>
  <c r="N292" i="8" s="1"/>
  <c r="H292" i="8"/>
  <c r="I292" i="8" s="1"/>
  <c r="Y291" i="8"/>
  <c r="X291" i="8"/>
  <c r="T291" i="8"/>
  <c r="S291" i="8"/>
  <c r="M291" i="8"/>
  <c r="N291" i="8" s="1"/>
  <c r="H291" i="8"/>
  <c r="I291" i="8" s="1"/>
  <c r="Y290" i="8"/>
  <c r="X290" i="8"/>
  <c r="T290" i="8"/>
  <c r="S290" i="8"/>
  <c r="M290" i="8"/>
  <c r="N290" i="8" s="1"/>
  <c r="H290" i="8"/>
  <c r="I290" i="8" s="1"/>
  <c r="Y289" i="8"/>
  <c r="X289" i="8"/>
  <c r="T289" i="8"/>
  <c r="S289" i="8"/>
  <c r="M289" i="8"/>
  <c r="N289" i="8" s="1"/>
  <c r="H289" i="8"/>
  <c r="I289" i="8" s="1"/>
  <c r="Y288" i="8"/>
  <c r="X288" i="8"/>
  <c r="T288" i="8"/>
  <c r="S288" i="8"/>
  <c r="M288" i="8"/>
  <c r="N288" i="8" s="1"/>
  <c r="H288" i="8"/>
  <c r="I288" i="8" s="1"/>
  <c r="Y287" i="8"/>
  <c r="X287" i="8"/>
  <c r="T287" i="8"/>
  <c r="S287" i="8"/>
  <c r="M287" i="8"/>
  <c r="N287" i="8" s="1"/>
  <c r="H287" i="8"/>
  <c r="I287" i="8" s="1"/>
  <c r="Y286" i="8"/>
  <c r="X286" i="8"/>
  <c r="T286" i="8"/>
  <c r="S286" i="8"/>
  <c r="M286" i="8"/>
  <c r="N286" i="8" s="1"/>
  <c r="H286" i="8"/>
  <c r="I286" i="8" s="1"/>
  <c r="Y285" i="8"/>
  <c r="X285" i="8"/>
  <c r="T285" i="8"/>
  <c r="S285" i="8"/>
  <c r="M285" i="8"/>
  <c r="N285" i="8" s="1"/>
  <c r="H285" i="8"/>
  <c r="I285" i="8" s="1"/>
  <c r="Y284" i="8"/>
  <c r="X284" i="8"/>
  <c r="T284" i="8"/>
  <c r="S284" i="8"/>
  <c r="M284" i="8"/>
  <c r="N284" i="8" s="1"/>
  <c r="H284" i="8"/>
  <c r="I284" i="8" s="1"/>
  <c r="Y283" i="8"/>
  <c r="X283" i="8"/>
  <c r="T283" i="8"/>
  <c r="S283" i="8"/>
  <c r="M283" i="8"/>
  <c r="N283" i="8" s="1"/>
  <c r="H283" i="8"/>
  <c r="I283" i="8" s="1"/>
  <c r="Y282" i="8"/>
  <c r="X282" i="8"/>
  <c r="T282" i="8"/>
  <c r="S282" i="8"/>
  <c r="M282" i="8"/>
  <c r="N282" i="8" s="1"/>
  <c r="H282" i="8"/>
  <c r="I282" i="8" s="1"/>
  <c r="Y281" i="8"/>
  <c r="X281" i="8"/>
  <c r="T281" i="8"/>
  <c r="S281" i="8"/>
  <c r="M281" i="8"/>
  <c r="N281" i="8" s="1"/>
  <c r="H281" i="8"/>
  <c r="I281" i="8" s="1"/>
  <c r="Y280" i="8"/>
  <c r="X280" i="8"/>
  <c r="T280" i="8"/>
  <c r="S280" i="8"/>
  <c r="M280" i="8"/>
  <c r="N280" i="8" s="1"/>
  <c r="H280" i="8"/>
  <c r="I280" i="8" s="1"/>
  <c r="Y279" i="8"/>
  <c r="X279" i="8"/>
  <c r="T279" i="8"/>
  <c r="S279" i="8"/>
  <c r="M279" i="8"/>
  <c r="N279" i="8" s="1"/>
  <c r="H279" i="8"/>
  <c r="I279" i="8" s="1"/>
  <c r="Y278" i="8"/>
  <c r="X278" i="8"/>
  <c r="T278" i="8"/>
  <c r="S278" i="8"/>
  <c r="M278" i="8"/>
  <c r="N278" i="8" s="1"/>
  <c r="H278" i="8"/>
  <c r="I278" i="8" s="1"/>
  <c r="Y277" i="8"/>
  <c r="X277" i="8"/>
  <c r="T277" i="8"/>
  <c r="S277" i="8"/>
  <c r="N277" i="8"/>
  <c r="M277" i="8"/>
  <c r="H277" i="8"/>
  <c r="I277" i="8" s="1"/>
  <c r="Y276" i="8"/>
  <c r="X276" i="8"/>
  <c r="T276" i="8"/>
  <c r="S276" i="8"/>
  <c r="N276" i="8"/>
  <c r="M276" i="8"/>
  <c r="H276" i="8"/>
  <c r="I276" i="8" s="1"/>
  <c r="Y275" i="8"/>
  <c r="X275" i="8"/>
  <c r="T275" i="8"/>
  <c r="S275" i="8"/>
  <c r="N275" i="8"/>
  <c r="M275" i="8"/>
  <c r="H275" i="8"/>
  <c r="I275" i="8" s="1"/>
  <c r="Y274" i="8"/>
  <c r="X274" i="8"/>
  <c r="T274" i="8"/>
  <c r="S274" i="8"/>
  <c r="N274" i="8"/>
  <c r="M274" i="8"/>
  <c r="H274" i="8"/>
  <c r="I274" i="8" s="1"/>
  <c r="Y273" i="8"/>
  <c r="X273" i="8"/>
  <c r="T273" i="8"/>
  <c r="S273" i="8"/>
  <c r="N273" i="8"/>
  <c r="M273" i="8"/>
  <c r="H273" i="8"/>
  <c r="I273" i="8" s="1"/>
  <c r="X272" i="8"/>
  <c r="Y272" i="8" s="1"/>
  <c r="T272" i="8"/>
  <c r="S272" i="8"/>
  <c r="N272" i="8"/>
  <c r="M272" i="8"/>
  <c r="H272" i="8"/>
  <c r="I272" i="8" s="1"/>
  <c r="X271" i="8"/>
  <c r="Y271" i="8" s="1"/>
  <c r="T271" i="8"/>
  <c r="S271" i="8"/>
  <c r="N271" i="8"/>
  <c r="M271" i="8"/>
  <c r="H271" i="8"/>
  <c r="I271" i="8" s="1"/>
  <c r="Y270" i="8"/>
  <c r="X270" i="8"/>
  <c r="T270" i="8"/>
  <c r="S270" i="8"/>
  <c r="N270" i="8"/>
  <c r="M270" i="8"/>
  <c r="H270" i="8"/>
  <c r="I270" i="8" s="1"/>
  <c r="X269" i="8"/>
  <c r="Y269" i="8" s="1"/>
  <c r="T269" i="8"/>
  <c r="S269" i="8"/>
  <c r="N269" i="8"/>
  <c r="M269" i="8"/>
  <c r="H269" i="8"/>
  <c r="I269" i="8" s="1"/>
  <c r="Y268" i="8"/>
  <c r="X268" i="8"/>
  <c r="T268" i="8"/>
  <c r="S268" i="8"/>
  <c r="N268" i="8"/>
  <c r="M268" i="8"/>
  <c r="H268" i="8"/>
  <c r="I268" i="8" s="1"/>
  <c r="X267" i="8"/>
  <c r="Y267" i="8" s="1"/>
  <c r="T267" i="8"/>
  <c r="S267" i="8"/>
  <c r="N267" i="8"/>
  <c r="M267" i="8"/>
  <c r="H267" i="8"/>
  <c r="I267" i="8" s="1"/>
  <c r="X266" i="8"/>
  <c r="Y266" i="8" s="1"/>
  <c r="T266" i="8"/>
  <c r="S266" i="8"/>
  <c r="N266" i="8"/>
  <c r="M266" i="8"/>
  <c r="H266" i="8"/>
  <c r="I266" i="8" s="1"/>
  <c r="Y265" i="8"/>
  <c r="X265" i="8"/>
  <c r="T265" i="8"/>
  <c r="S265" i="8"/>
  <c r="N265" i="8"/>
  <c r="M265" i="8"/>
  <c r="H265" i="8"/>
  <c r="I265" i="8" s="1"/>
  <c r="X264" i="8"/>
  <c r="Y264" i="8" s="1"/>
  <c r="T264" i="8"/>
  <c r="S264" i="8"/>
  <c r="N264" i="8"/>
  <c r="M264" i="8"/>
  <c r="H264" i="8"/>
  <c r="I264" i="8" s="1"/>
  <c r="X262" i="8"/>
  <c r="Y262" i="8" s="1"/>
  <c r="T262" i="8"/>
  <c r="S262" i="8"/>
  <c r="N262" i="8"/>
  <c r="M262" i="8"/>
  <c r="H262" i="8"/>
  <c r="I262" i="8" s="1"/>
  <c r="Y261" i="8"/>
  <c r="X261" i="8"/>
  <c r="S261" i="8"/>
  <c r="T261" i="8" s="1"/>
  <c r="N261" i="8"/>
  <c r="M261" i="8"/>
  <c r="H261" i="8"/>
  <c r="I261" i="8" s="1"/>
  <c r="X260" i="8"/>
  <c r="Y260" i="8" s="1"/>
  <c r="S260" i="8"/>
  <c r="T260" i="8" s="1"/>
  <c r="N260" i="8"/>
  <c r="M260" i="8"/>
  <c r="H260" i="8"/>
  <c r="I260" i="8" s="1"/>
  <c r="Y259" i="8"/>
  <c r="X259" i="8"/>
  <c r="T259" i="8"/>
  <c r="S259" i="8"/>
  <c r="N259" i="8"/>
  <c r="M259" i="8"/>
  <c r="H259" i="8"/>
  <c r="I259" i="8" s="1"/>
  <c r="X258" i="8"/>
  <c r="Y258" i="8" s="1"/>
  <c r="S258" i="8"/>
  <c r="T258" i="8" s="1"/>
  <c r="M258" i="8"/>
  <c r="N258" i="8" s="1"/>
  <c r="I258" i="8"/>
  <c r="H258" i="8"/>
  <c r="X257" i="8"/>
  <c r="Y257" i="8" s="1"/>
  <c r="S257" i="8"/>
  <c r="T257" i="8" s="1"/>
  <c r="M257" i="8"/>
  <c r="N257" i="8" s="1"/>
  <c r="I257" i="8"/>
  <c r="H257" i="8"/>
  <c r="X256" i="8"/>
  <c r="Y256" i="8" s="1"/>
  <c r="S256" i="8"/>
  <c r="T256" i="8" s="1"/>
  <c r="M256" i="8"/>
  <c r="N256" i="8" s="1"/>
  <c r="I256" i="8"/>
  <c r="H256" i="8"/>
  <c r="X255" i="8"/>
  <c r="Y255" i="8" s="1"/>
  <c r="S255" i="8"/>
  <c r="T255" i="8" s="1"/>
  <c r="M255" i="8"/>
  <c r="N255" i="8" s="1"/>
  <c r="I255" i="8"/>
  <c r="H255" i="8"/>
  <c r="X254" i="8"/>
  <c r="Y254" i="8" s="1"/>
  <c r="S254" i="8"/>
  <c r="T254" i="8" s="1"/>
  <c r="M254" i="8"/>
  <c r="N254" i="8" s="1"/>
  <c r="I254" i="8"/>
  <c r="H254" i="8"/>
  <c r="X253" i="8"/>
  <c r="Y253" i="8" s="1"/>
  <c r="S253" i="8"/>
  <c r="T253" i="8" s="1"/>
  <c r="M253" i="8"/>
  <c r="N253" i="8" s="1"/>
  <c r="I253" i="8"/>
  <c r="H253" i="8"/>
  <c r="X252" i="8"/>
  <c r="Y252" i="8" s="1"/>
  <c r="S252" i="8"/>
  <c r="T252" i="8" s="1"/>
  <c r="M252" i="8"/>
  <c r="N252" i="8" s="1"/>
  <c r="I252" i="8"/>
  <c r="H252" i="8"/>
  <c r="X251" i="8"/>
  <c r="Y251" i="8" s="1"/>
  <c r="S251" i="8"/>
  <c r="T251" i="8" s="1"/>
  <c r="M251" i="8"/>
  <c r="N251" i="8" s="1"/>
  <c r="I251" i="8"/>
  <c r="H251" i="8"/>
  <c r="X249" i="8"/>
  <c r="Y249" i="8" s="1"/>
  <c r="S249" i="8"/>
  <c r="T249" i="8" s="1"/>
  <c r="M249" i="8"/>
  <c r="N249" i="8" s="1"/>
  <c r="I249" i="8"/>
  <c r="H249" i="8"/>
  <c r="X248" i="8"/>
  <c r="Y248" i="8" s="1"/>
  <c r="S248" i="8"/>
  <c r="T248" i="8" s="1"/>
  <c r="M248" i="8"/>
  <c r="N248" i="8" s="1"/>
  <c r="I248" i="8"/>
  <c r="H248" i="8"/>
  <c r="X247" i="8"/>
  <c r="Y247" i="8" s="1"/>
  <c r="S247" i="8"/>
  <c r="T247" i="8" s="1"/>
  <c r="M247" i="8"/>
  <c r="N247" i="8" s="1"/>
  <c r="I247" i="8"/>
  <c r="H247" i="8"/>
  <c r="X246" i="8"/>
  <c r="Y246" i="8" s="1"/>
  <c r="S246" i="8"/>
  <c r="T246" i="8" s="1"/>
  <c r="M246" i="8"/>
  <c r="N246" i="8" s="1"/>
  <c r="I246" i="8"/>
  <c r="H246" i="8"/>
  <c r="X245" i="8"/>
  <c r="Y245" i="8" s="1"/>
  <c r="S245" i="8"/>
  <c r="T245" i="8" s="1"/>
  <c r="M245" i="8"/>
  <c r="N245" i="8" s="1"/>
  <c r="I245" i="8"/>
  <c r="H245" i="8"/>
  <c r="X244" i="8"/>
  <c r="Y244" i="8" s="1"/>
  <c r="S244" i="8"/>
  <c r="T244" i="8" s="1"/>
  <c r="M244" i="8"/>
  <c r="N244" i="8" s="1"/>
  <c r="I244" i="8"/>
  <c r="H244" i="8"/>
  <c r="X243" i="8"/>
  <c r="Y243" i="8" s="1"/>
  <c r="S243" i="8"/>
  <c r="T243" i="8" s="1"/>
  <c r="M243" i="8"/>
  <c r="N243" i="8" s="1"/>
  <c r="I243" i="8"/>
  <c r="H243" i="8"/>
  <c r="X242" i="8"/>
  <c r="Y242" i="8" s="1"/>
  <c r="S242" i="8"/>
  <c r="T242" i="8" s="1"/>
  <c r="M242" i="8"/>
  <c r="N242" i="8" s="1"/>
  <c r="I242" i="8"/>
  <c r="H242" i="8"/>
  <c r="X241" i="8"/>
  <c r="Y241" i="8" s="1"/>
  <c r="S241" i="8"/>
  <c r="T241" i="8" s="1"/>
  <c r="M241" i="8"/>
  <c r="N241" i="8" s="1"/>
  <c r="I241" i="8"/>
  <c r="H241" i="8"/>
  <c r="X240" i="8"/>
  <c r="Y240" i="8" s="1"/>
  <c r="S240" i="8"/>
  <c r="T240" i="8" s="1"/>
  <c r="M240" i="8"/>
  <c r="N240" i="8" s="1"/>
  <c r="I240" i="8"/>
  <c r="H240" i="8"/>
  <c r="X239" i="8"/>
  <c r="Y239" i="8" s="1"/>
  <c r="S239" i="8"/>
  <c r="T239" i="8" s="1"/>
  <c r="M239" i="8"/>
  <c r="N239" i="8" s="1"/>
  <c r="I239" i="8"/>
  <c r="H239" i="8"/>
  <c r="X238" i="8"/>
  <c r="Y238" i="8" s="1"/>
  <c r="S238" i="8"/>
  <c r="T238" i="8" s="1"/>
  <c r="M238" i="8"/>
  <c r="N238" i="8" s="1"/>
  <c r="I238" i="8"/>
  <c r="H238" i="8"/>
  <c r="X237" i="8"/>
  <c r="Y237" i="8" s="1"/>
  <c r="S237" i="8"/>
  <c r="T237" i="8" s="1"/>
  <c r="M237" i="8"/>
  <c r="N237" i="8" s="1"/>
  <c r="I237" i="8"/>
  <c r="H237" i="8"/>
  <c r="X236" i="8"/>
  <c r="Y236" i="8" s="1"/>
  <c r="S236" i="8"/>
  <c r="T236" i="8" s="1"/>
  <c r="M236" i="8"/>
  <c r="N236" i="8" s="1"/>
  <c r="I236" i="8"/>
  <c r="H236" i="8"/>
  <c r="X235" i="8"/>
  <c r="Y235" i="8" s="1"/>
  <c r="S235" i="8"/>
  <c r="T235" i="8" s="1"/>
  <c r="M235" i="8"/>
  <c r="N235" i="8" s="1"/>
  <c r="I235" i="8"/>
  <c r="H235" i="8"/>
  <c r="X234" i="8"/>
  <c r="Y234" i="8" s="1"/>
  <c r="S234" i="8"/>
  <c r="T234" i="8" s="1"/>
  <c r="M234" i="8"/>
  <c r="N234" i="8" s="1"/>
  <c r="I234" i="8"/>
  <c r="H234" i="8"/>
  <c r="X233" i="8"/>
  <c r="Y233" i="8" s="1"/>
  <c r="S233" i="8"/>
  <c r="T233" i="8" s="1"/>
  <c r="M233" i="8"/>
  <c r="N233" i="8" s="1"/>
  <c r="I233" i="8"/>
  <c r="H233" i="8"/>
  <c r="X231" i="8"/>
  <c r="Y231" i="8" s="1"/>
  <c r="S231" i="8"/>
  <c r="T231" i="8" s="1"/>
  <c r="M231" i="8"/>
  <c r="N231" i="8" s="1"/>
  <c r="I231" i="8"/>
  <c r="H231" i="8"/>
  <c r="X229" i="8"/>
  <c r="Y229" i="8" s="1"/>
  <c r="S229" i="8"/>
  <c r="T229" i="8" s="1"/>
  <c r="M229" i="8"/>
  <c r="N229" i="8" s="1"/>
  <c r="I229" i="8"/>
  <c r="H229" i="8"/>
  <c r="X228" i="8"/>
  <c r="Y228" i="8" s="1"/>
  <c r="S228" i="8"/>
  <c r="T228" i="8" s="1"/>
  <c r="M228" i="8"/>
  <c r="N228" i="8" s="1"/>
  <c r="I228" i="8"/>
  <c r="H228" i="8"/>
  <c r="X227" i="8"/>
  <c r="Y227" i="8" s="1"/>
  <c r="S227" i="8"/>
  <c r="T227" i="8" s="1"/>
  <c r="M227" i="8"/>
  <c r="N227" i="8" s="1"/>
  <c r="I227" i="8"/>
  <c r="H227" i="8"/>
  <c r="X226" i="8"/>
  <c r="Y226" i="8" s="1"/>
  <c r="S226" i="8"/>
  <c r="T226" i="8" s="1"/>
  <c r="M226" i="8"/>
  <c r="N226" i="8" s="1"/>
  <c r="I226" i="8"/>
  <c r="H226" i="8"/>
  <c r="X225" i="8"/>
  <c r="Y225" i="8" s="1"/>
  <c r="S225" i="8"/>
  <c r="T225" i="8" s="1"/>
  <c r="M225" i="8"/>
  <c r="N225" i="8" s="1"/>
  <c r="I225" i="8"/>
  <c r="H225" i="8"/>
  <c r="X224" i="8"/>
  <c r="Y224" i="8" s="1"/>
  <c r="S224" i="8"/>
  <c r="T224" i="8" s="1"/>
  <c r="M224" i="8"/>
  <c r="N224" i="8" s="1"/>
  <c r="I224" i="8"/>
  <c r="H224" i="8"/>
  <c r="X223" i="8"/>
  <c r="Y223" i="8" s="1"/>
  <c r="S223" i="8"/>
  <c r="T223" i="8" s="1"/>
  <c r="M223" i="8"/>
  <c r="N223" i="8" s="1"/>
  <c r="I223" i="8"/>
  <c r="H223" i="8"/>
  <c r="X222" i="8"/>
  <c r="Y222" i="8" s="1"/>
  <c r="S222" i="8"/>
  <c r="T222" i="8" s="1"/>
  <c r="M222" i="8"/>
  <c r="N222" i="8" s="1"/>
  <c r="I222" i="8"/>
  <c r="H222" i="8"/>
  <c r="X221" i="8"/>
  <c r="Y221" i="8" s="1"/>
  <c r="S221" i="8"/>
  <c r="T221" i="8" s="1"/>
  <c r="M221" i="8"/>
  <c r="N221" i="8" s="1"/>
  <c r="I221" i="8"/>
  <c r="H221" i="8"/>
  <c r="X220" i="8"/>
  <c r="Y220" i="8" s="1"/>
  <c r="S220" i="8"/>
  <c r="T220" i="8" s="1"/>
  <c r="M220" i="8"/>
  <c r="N220" i="8" s="1"/>
  <c r="I220" i="8"/>
  <c r="H220" i="8"/>
  <c r="X219" i="8"/>
  <c r="Y219" i="8" s="1"/>
  <c r="S219" i="8"/>
  <c r="T219" i="8" s="1"/>
  <c r="M219" i="8"/>
  <c r="N219" i="8" s="1"/>
  <c r="I219" i="8"/>
  <c r="H219" i="8"/>
  <c r="X218" i="8"/>
  <c r="Y218" i="8" s="1"/>
  <c r="S218" i="8"/>
  <c r="T218" i="8" s="1"/>
  <c r="M218" i="8"/>
  <c r="N218" i="8" s="1"/>
  <c r="I218" i="8"/>
  <c r="H218" i="8"/>
  <c r="X216" i="8"/>
  <c r="Y216" i="8" s="1"/>
  <c r="S216" i="8"/>
  <c r="T216" i="8" s="1"/>
  <c r="M216" i="8"/>
  <c r="N216" i="8" s="1"/>
  <c r="I216" i="8"/>
  <c r="H216" i="8"/>
  <c r="X215" i="8"/>
  <c r="Y215" i="8" s="1"/>
  <c r="S215" i="8"/>
  <c r="T215" i="8" s="1"/>
  <c r="M215" i="8"/>
  <c r="N215" i="8" s="1"/>
  <c r="I215" i="8"/>
  <c r="H215" i="8"/>
  <c r="X214" i="8"/>
  <c r="Y214" i="8" s="1"/>
  <c r="S214" i="8"/>
  <c r="T214" i="8" s="1"/>
  <c r="M214" i="8"/>
  <c r="N214" i="8" s="1"/>
  <c r="I214" i="8"/>
  <c r="H214" i="8"/>
  <c r="X212" i="8"/>
  <c r="Y212" i="8" s="1"/>
  <c r="S212" i="8"/>
  <c r="T212" i="8" s="1"/>
  <c r="M212" i="8"/>
  <c r="N212" i="8" s="1"/>
  <c r="I212" i="8"/>
  <c r="H212" i="8"/>
  <c r="X211" i="8"/>
  <c r="Y211" i="8" s="1"/>
  <c r="S211" i="8"/>
  <c r="T211" i="8" s="1"/>
  <c r="M211" i="8"/>
  <c r="N211" i="8" s="1"/>
  <c r="I211" i="8"/>
  <c r="H211" i="8"/>
  <c r="X210" i="8"/>
  <c r="Y210" i="8" s="1"/>
  <c r="S210" i="8"/>
  <c r="T210" i="8" s="1"/>
  <c r="M210" i="8"/>
  <c r="N210" i="8" s="1"/>
  <c r="I210" i="8"/>
  <c r="H210" i="8"/>
  <c r="X209" i="8"/>
  <c r="Y209" i="8" s="1"/>
  <c r="S209" i="8"/>
  <c r="T209" i="8" s="1"/>
  <c r="M209" i="8"/>
  <c r="N209" i="8" s="1"/>
  <c r="I209" i="8"/>
  <c r="H209" i="8"/>
  <c r="X208" i="8"/>
  <c r="Y208" i="8" s="1"/>
  <c r="S208" i="8"/>
  <c r="T208" i="8" s="1"/>
  <c r="M208" i="8"/>
  <c r="N208" i="8" s="1"/>
  <c r="I208" i="8"/>
  <c r="H208" i="8"/>
  <c r="X207" i="8"/>
  <c r="Y207" i="8" s="1"/>
  <c r="S207" i="8"/>
  <c r="T207" i="8" s="1"/>
  <c r="M207" i="8"/>
  <c r="N207" i="8" s="1"/>
  <c r="I207" i="8"/>
  <c r="H207" i="8"/>
  <c r="X206" i="8"/>
  <c r="Y206" i="8" s="1"/>
  <c r="S206" i="8"/>
  <c r="T206" i="8" s="1"/>
  <c r="M206" i="8"/>
  <c r="N206" i="8" s="1"/>
  <c r="I206" i="8"/>
  <c r="H206" i="8"/>
  <c r="X205" i="8"/>
  <c r="Y205" i="8" s="1"/>
  <c r="S205" i="8"/>
  <c r="T205" i="8" s="1"/>
  <c r="M205" i="8"/>
  <c r="N205" i="8" s="1"/>
  <c r="I205" i="8"/>
  <c r="H205" i="8"/>
  <c r="X204" i="8"/>
  <c r="Y204" i="8" s="1"/>
  <c r="S204" i="8"/>
  <c r="T204" i="8" s="1"/>
  <c r="M204" i="8"/>
  <c r="N204" i="8" s="1"/>
  <c r="I204" i="8"/>
  <c r="H204" i="8"/>
  <c r="X203" i="8"/>
  <c r="Y203" i="8" s="1"/>
  <c r="S203" i="8"/>
  <c r="T203" i="8" s="1"/>
  <c r="M203" i="8"/>
  <c r="N203" i="8" s="1"/>
  <c r="I203" i="8"/>
  <c r="H203" i="8"/>
  <c r="X202" i="8"/>
  <c r="Y202" i="8" s="1"/>
  <c r="S202" i="8"/>
  <c r="T202" i="8" s="1"/>
  <c r="M202" i="8"/>
  <c r="N202" i="8" s="1"/>
  <c r="I202" i="8"/>
  <c r="H202" i="8"/>
  <c r="X201" i="8"/>
  <c r="Y201" i="8" s="1"/>
  <c r="S201" i="8"/>
  <c r="T201" i="8" s="1"/>
  <c r="M201" i="8"/>
  <c r="N201" i="8" s="1"/>
  <c r="I201" i="8"/>
  <c r="H201" i="8"/>
  <c r="X200" i="8"/>
  <c r="Y200" i="8" s="1"/>
  <c r="S200" i="8"/>
  <c r="T200" i="8" s="1"/>
  <c r="M200" i="8"/>
  <c r="N200" i="8" s="1"/>
  <c r="I200" i="8"/>
  <c r="H200" i="8"/>
  <c r="X199" i="8"/>
  <c r="Y199" i="8" s="1"/>
  <c r="S199" i="8"/>
  <c r="T199" i="8" s="1"/>
  <c r="M199" i="8"/>
  <c r="N199" i="8" s="1"/>
  <c r="I199" i="8"/>
  <c r="H199" i="8"/>
  <c r="X198" i="8"/>
  <c r="Y198" i="8" s="1"/>
  <c r="S198" i="8"/>
  <c r="T198" i="8" s="1"/>
  <c r="M198" i="8"/>
  <c r="N198" i="8" s="1"/>
  <c r="I198" i="8"/>
  <c r="H198" i="8"/>
  <c r="X197" i="8"/>
  <c r="Y197" i="8" s="1"/>
  <c r="S197" i="8"/>
  <c r="T197" i="8" s="1"/>
  <c r="M197" i="8"/>
  <c r="N197" i="8" s="1"/>
  <c r="I197" i="8"/>
  <c r="H197" i="8"/>
  <c r="X196" i="8"/>
  <c r="Y196" i="8" s="1"/>
  <c r="S196" i="8"/>
  <c r="T196" i="8" s="1"/>
  <c r="M196" i="8"/>
  <c r="N196" i="8" s="1"/>
  <c r="I196" i="8"/>
  <c r="H196" i="8"/>
  <c r="X195" i="8"/>
  <c r="Y195" i="8" s="1"/>
  <c r="S195" i="8"/>
  <c r="T195" i="8" s="1"/>
  <c r="M195" i="8"/>
  <c r="N195" i="8" s="1"/>
  <c r="I195" i="8"/>
  <c r="H195" i="8"/>
  <c r="X194" i="8"/>
  <c r="Y194" i="8" s="1"/>
  <c r="S194" i="8"/>
  <c r="T194" i="8" s="1"/>
  <c r="M194" i="8"/>
  <c r="N194" i="8" s="1"/>
  <c r="I194" i="8"/>
  <c r="H194" i="8"/>
  <c r="X193" i="8"/>
  <c r="Y193" i="8" s="1"/>
  <c r="S193" i="8"/>
  <c r="T193" i="8" s="1"/>
  <c r="M193" i="8"/>
  <c r="N193" i="8" s="1"/>
  <c r="I193" i="8"/>
  <c r="H193" i="8"/>
  <c r="X192" i="8"/>
  <c r="Y192" i="8" s="1"/>
  <c r="S192" i="8"/>
  <c r="T192" i="8" s="1"/>
  <c r="M192" i="8"/>
  <c r="N192" i="8" s="1"/>
  <c r="I192" i="8"/>
  <c r="H192" i="8"/>
  <c r="X191" i="8"/>
  <c r="Y191" i="8" s="1"/>
  <c r="S191" i="8"/>
  <c r="T191" i="8" s="1"/>
  <c r="M191" i="8"/>
  <c r="N191" i="8" s="1"/>
  <c r="I191" i="8"/>
  <c r="H191" i="8"/>
  <c r="X190" i="8"/>
  <c r="Y190" i="8" s="1"/>
  <c r="S190" i="8"/>
  <c r="T190" i="8" s="1"/>
  <c r="M190" i="8"/>
  <c r="N190" i="8" s="1"/>
  <c r="I190" i="8"/>
  <c r="H190" i="8"/>
  <c r="X189" i="8"/>
  <c r="Y189" i="8" s="1"/>
  <c r="S189" i="8"/>
  <c r="T189" i="8" s="1"/>
  <c r="M189" i="8"/>
  <c r="N189" i="8" s="1"/>
  <c r="I189" i="8"/>
  <c r="H189" i="8"/>
  <c r="X188" i="8"/>
  <c r="Y188" i="8" s="1"/>
  <c r="S188" i="8"/>
  <c r="T188" i="8" s="1"/>
  <c r="M188" i="8"/>
  <c r="N188" i="8" s="1"/>
  <c r="I188" i="8"/>
  <c r="H188" i="8"/>
  <c r="X187" i="8"/>
  <c r="Y187" i="8" s="1"/>
  <c r="S187" i="8"/>
  <c r="T187" i="8" s="1"/>
  <c r="M187" i="8"/>
  <c r="N187" i="8" s="1"/>
  <c r="I187" i="8"/>
  <c r="H187" i="8"/>
  <c r="X186" i="8"/>
  <c r="Y186" i="8" s="1"/>
  <c r="S186" i="8"/>
  <c r="T186" i="8" s="1"/>
  <c r="M186" i="8"/>
  <c r="N186" i="8" s="1"/>
  <c r="I186" i="8"/>
  <c r="H186" i="8"/>
  <c r="X185" i="8"/>
  <c r="Y185" i="8" s="1"/>
  <c r="S185" i="8"/>
  <c r="T185" i="8" s="1"/>
  <c r="M185" i="8"/>
  <c r="N185" i="8" s="1"/>
  <c r="I185" i="8"/>
  <c r="H185" i="8"/>
  <c r="X184" i="8"/>
  <c r="Y184" i="8" s="1"/>
  <c r="S184" i="8"/>
  <c r="T184" i="8" s="1"/>
  <c r="M184" i="8"/>
  <c r="N184" i="8" s="1"/>
  <c r="I184" i="8"/>
  <c r="H184" i="8"/>
  <c r="X183" i="8"/>
  <c r="Y183" i="8" s="1"/>
  <c r="S183" i="8"/>
  <c r="T183" i="8" s="1"/>
  <c r="M183" i="8"/>
  <c r="N183" i="8" s="1"/>
  <c r="I183" i="8"/>
  <c r="H183" i="8"/>
  <c r="X182" i="8"/>
  <c r="Y182" i="8" s="1"/>
  <c r="S182" i="8"/>
  <c r="T182" i="8" s="1"/>
  <c r="M182" i="8"/>
  <c r="N182" i="8" s="1"/>
  <c r="I182" i="8"/>
  <c r="H182" i="8"/>
  <c r="X181" i="8"/>
  <c r="Y181" i="8" s="1"/>
  <c r="S181" i="8"/>
  <c r="T181" i="8" s="1"/>
  <c r="M181" i="8"/>
  <c r="N181" i="8" s="1"/>
  <c r="I181" i="8"/>
  <c r="H181" i="8"/>
  <c r="X180" i="8"/>
  <c r="Y180" i="8" s="1"/>
  <c r="S180" i="8"/>
  <c r="T180" i="8" s="1"/>
  <c r="M180" i="8"/>
  <c r="N180" i="8" s="1"/>
  <c r="I180" i="8"/>
  <c r="H180" i="8"/>
  <c r="X179" i="8"/>
  <c r="Y179" i="8" s="1"/>
  <c r="S179" i="8"/>
  <c r="T179" i="8" s="1"/>
  <c r="M179" i="8"/>
  <c r="N179" i="8" s="1"/>
  <c r="I179" i="8"/>
  <c r="H179" i="8"/>
  <c r="X177" i="8"/>
  <c r="Y177" i="8" s="1"/>
  <c r="S177" i="8"/>
  <c r="T177" i="8" s="1"/>
  <c r="N177" i="8"/>
  <c r="M177" i="8"/>
  <c r="I177" i="8"/>
  <c r="H177" i="8"/>
  <c r="X175" i="8"/>
  <c r="Y175" i="8" s="1"/>
  <c r="S175" i="8"/>
  <c r="T175" i="8" s="1"/>
  <c r="N175" i="8"/>
  <c r="M175" i="8"/>
  <c r="I175" i="8"/>
  <c r="H175" i="8"/>
  <c r="X174" i="8"/>
  <c r="Y174" i="8" s="1"/>
  <c r="S174" i="8"/>
  <c r="T174" i="8" s="1"/>
  <c r="N174" i="8"/>
  <c r="M174" i="8"/>
  <c r="I174" i="8"/>
  <c r="H174" i="8"/>
  <c r="X173" i="8"/>
  <c r="Y173" i="8" s="1"/>
  <c r="S173" i="8"/>
  <c r="T173" i="8" s="1"/>
  <c r="N173" i="8"/>
  <c r="M173" i="8"/>
  <c r="I173" i="8"/>
  <c r="H173" i="8"/>
  <c r="X172" i="8"/>
  <c r="Y172" i="8" s="1"/>
  <c r="S172" i="8"/>
  <c r="T172" i="8" s="1"/>
  <c r="N172" i="8"/>
  <c r="M172" i="8"/>
  <c r="I172" i="8"/>
  <c r="H172" i="8"/>
  <c r="X171" i="8"/>
  <c r="Y171" i="8" s="1"/>
  <c r="S171" i="8"/>
  <c r="T171" i="8" s="1"/>
  <c r="N171" i="8"/>
  <c r="M171" i="8"/>
  <c r="I171" i="8"/>
  <c r="H171" i="8"/>
  <c r="X170" i="8"/>
  <c r="Y170" i="8" s="1"/>
  <c r="S170" i="8"/>
  <c r="T170" i="8" s="1"/>
  <c r="N170" i="8"/>
  <c r="M170" i="8"/>
  <c r="I170" i="8"/>
  <c r="H170" i="8"/>
  <c r="X169" i="8"/>
  <c r="Y169" i="8" s="1"/>
  <c r="S169" i="8"/>
  <c r="T169" i="8" s="1"/>
  <c r="N169" i="8"/>
  <c r="M169" i="8"/>
  <c r="I169" i="8"/>
  <c r="H169" i="8"/>
  <c r="X168" i="8"/>
  <c r="Y168" i="8" s="1"/>
  <c r="S168" i="8"/>
  <c r="T168" i="8" s="1"/>
  <c r="N168" i="8"/>
  <c r="M168" i="8"/>
  <c r="I168" i="8"/>
  <c r="H168" i="8"/>
  <c r="X167" i="8"/>
  <c r="Y167" i="8" s="1"/>
  <c r="S167" i="8"/>
  <c r="T167" i="8" s="1"/>
  <c r="N167" i="8"/>
  <c r="M167" i="8"/>
  <c r="I167" i="8"/>
  <c r="H167" i="8"/>
  <c r="Y166" i="8"/>
  <c r="X166" i="8"/>
  <c r="S166" i="8"/>
  <c r="T166" i="8" s="1"/>
  <c r="N166" i="8"/>
  <c r="M166" i="8"/>
  <c r="I166" i="8"/>
  <c r="H166" i="8"/>
  <c r="X165" i="8"/>
  <c r="Y165" i="8" s="1"/>
  <c r="S165" i="8"/>
  <c r="T165" i="8" s="1"/>
  <c r="N165" i="8"/>
  <c r="M165" i="8"/>
  <c r="I165" i="8"/>
  <c r="H165" i="8"/>
  <c r="X164" i="8"/>
  <c r="Y164" i="8" s="1"/>
  <c r="S164" i="8"/>
  <c r="T164" i="8" s="1"/>
  <c r="N164" i="8"/>
  <c r="M164" i="8"/>
  <c r="I164" i="8"/>
  <c r="H164" i="8"/>
  <c r="Y163" i="8"/>
  <c r="X163" i="8"/>
  <c r="S163" i="8"/>
  <c r="T163" i="8" s="1"/>
  <c r="N163" i="8"/>
  <c r="M163" i="8"/>
  <c r="I163" i="8"/>
  <c r="H163" i="8"/>
  <c r="X162" i="8"/>
  <c r="Y162" i="8" s="1"/>
  <c r="S162" i="8"/>
  <c r="T162" i="8" s="1"/>
  <c r="N162" i="8"/>
  <c r="M162" i="8"/>
  <c r="I162" i="8"/>
  <c r="H162" i="8"/>
  <c r="X161" i="8"/>
  <c r="Y161" i="8" s="1"/>
  <c r="S161" i="8"/>
  <c r="T161" i="8" s="1"/>
  <c r="N161" i="8"/>
  <c r="M161" i="8"/>
  <c r="I161" i="8"/>
  <c r="H161" i="8"/>
  <c r="Y160" i="8"/>
  <c r="X160" i="8"/>
  <c r="S160" i="8"/>
  <c r="T160" i="8" s="1"/>
  <c r="N160" i="8"/>
  <c r="M160" i="8"/>
  <c r="I160" i="8"/>
  <c r="H160" i="8"/>
  <c r="X159" i="8"/>
  <c r="Y159" i="8" s="1"/>
  <c r="S159" i="8"/>
  <c r="T159" i="8" s="1"/>
  <c r="N159" i="8"/>
  <c r="M159" i="8"/>
  <c r="I159" i="8"/>
  <c r="H159" i="8"/>
  <c r="Y158" i="8"/>
  <c r="X158" i="8"/>
  <c r="S158" i="8"/>
  <c r="T158" i="8" s="1"/>
  <c r="N158" i="8"/>
  <c r="M158" i="8"/>
  <c r="I158" i="8"/>
  <c r="H158" i="8"/>
  <c r="X157" i="8"/>
  <c r="Y157" i="8" s="1"/>
  <c r="S157" i="8"/>
  <c r="T157" i="8" s="1"/>
  <c r="N157" i="8"/>
  <c r="M157" i="8"/>
  <c r="I157" i="8"/>
  <c r="H157" i="8"/>
  <c r="X156" i="8"/>
  <c r="Y156" i="8" s="1"/>
  <c r="S156" i="8"/>
  <c r="T156" i="8" s="1"/>
  <c r="N156" i="8"/>
  <c r="M156" i="8"/>
  <c r="I156" i="8"/>
  <c r="H156" i="8"/>
  <c r="Y155" i="8"/>
  <c r="X155" i="8"/>
  <c r="S155" i="8"/>
  <c r="T155" i="8" s="1"/>
  <c r="N155" i="8"/>
  <c r="M155" i="8"/>
  <c r="I155" i="8"/>
  <c r="H155" i="8"/>
  <c r="X154" i="8"/>
  <c r="Y154" i="8" s="1"/>
  <c r="S154" i="8"/>
  <c r="T154" i="8" s="1"/>
  <c r="N154" i="8"/>
  <c r="M154" i="8"/>
  <c r="I154" i="8"/>
  <c r="H154" i="8"/>
  <c r="X153" i="8"/>
  <c r="Y153" i="8" s="1"/>
  <c r="S153" i="8"/>
  <c r="T153" i="8" s="1"/>
  <c r="N153" i="8"/>
  <c r="M153" i="8"/>
  <c r="I153" i="8"/>
  <c r="H153" i="8"/>
  <c r="Y152" i="8"/>
  <c r="X152" i="8"/>
  <c r="S152" i="8"/>
  <c r="T152" i="8" s="1"/>
  <c r="N152" i="8"/>
  <c r="M152" i="8"/>
  <c r="I152" i="8"/>
  <c r="H152" i="8"/>
  <c r="X151" i="8"/>
  <c r="Y151" i="8" s="1"/>
  <c r="S151" i="8"/>
  <c r="T151" i="8" s="1"/>
  <c r="N151" i="8"/>
  <c r="M151" i="8"/>
  <c r="I151" i="8"/>
  <c r="H151" i="8"/>
  <c r="Y150" i="8"/>
  <c r="X150" i="8"/>
  <c r="S150" i="8"/>
  <c r="T150" i="8" s="1"/>
  <c r="N150" i="8"/>
  <c r="M150" i="8"/>
  <c r="I150" i="8"/>
  <c r="H150" i="8"/>
  <c r="X149" i="8"/>
  <c r="Y149" i="8" s="1"/>
  <c r="S149" i="8"/>
  <c r="T149" i="8" s="1"/>
  <c r="N149" i="8"/>
  <c r="M149" i="8"/>
  <c r="I149" i="8"/>
  <c r="H149" i="8"/>
  <c r="X148" i="8"/>
  <c r="Y148" i="8" s="1"/>
  <c r="S148" i="8"/>
  <c r="T148" i="8" s="1"/>
  <c r="N148" i="8"/>
  <c r="M148" i="8"/>
  <c r="I148" i="8"/>
  <c r="H148" i="8"/>
  <c r="Y147" i="8"/>
  <c r="X147" i="8"/>
  <c r="S147" i="8"/>
  <c r="T147" i="8" s="1"/>
  <c r="N147" i="8"/>
  <c r="M147" i="8"/>
  <c r="I147" i="8"/>
  <c r="H147" i="8"/>
  <c r="X146" i="8"/>
  <c r="Y146" i="8" s="1"/>
  <c r="S146" i="8"/>
  <c r="T146" i="8" s="1"/>
  <c r="N146" i="8"/>
  <c r="M146" i="8"/>
  <c r="I146" i="8"/>
  <c r="H146" i="8"/>
  <c r="X145" i="8"/>
  <c r="Y145" i="8" s="1"/>
  <c r="S145" i="8"/>
  <c r="T145" i="8" s="1"/>
  <c r="N145" i="8"/>
  <c r="M145" i="8"/>
  <c r="I145" i="8"/>
  <c r="H145" i="8"/>
  <c r="Y144" i="8"/>
  <c r="X144" i="8"/>
  <c r="S144" i="8"/>
  <c r="T144" i="8" s="1"/>
  <c r="N144" i="8"/>
  <c r="M144" i="8"/>
  <c r="I144" i="8"/>
  <c r="H144" i="8"/>
  <c r="X143" i="8"/>
  <c r="Y143" i="8" s="1"/>
  <c r="S143" i="8"/>
  <c r="T143" i="8" s="1"/>
  <c r="N143" i="8"/>
  <c r="M143" i="8"/>
  <c r="I143" i="8"/>
  <c r="H143" i="8"/>
  <c r="Y141" i="8"/>
  <c r="X141" i="8"/>
  <c r="S141" i="8"/>
  <c r="T141" i="8" s="1"/>
  <c r="N141" i="8"/>
  <c r="M141" i="8"/>
  <c r="I141" i="8"/>
  <c r="H141" i="8"/>
  <c r="X140" i="8"/>
  <c r="Y140" i="8" s="1"/>
  <c r="S140" i="8"/>
  <c r="T140" i="8" s="1"/>
  <c r="N140" i="8"/>
  <c r="M140" i="8"/>
  <c r="I140" i="8"/>
  <c r="H140" i="8"/>
  <c r="X139" i="8"/>
  <c r="Y139" i="8" s="1"/>
  <c r="S139" i="8"/>
  <c r="T139" i="8" s="1"/>
  <c r="N139" i="8"/>
  <c r="M139" i="8"/>
  <c r="I139" i="8"/>
  <c r="H139" i="8"/>
  <c r="Y138" i="8"/>
  <c r="X138" i="8"/>
  <c r="S138" i="8"/>
  <c r="T138" i="8" s="1"/>
  <c r="N138" i="8"/>
  <c r="M138" i="8"/>
  <c r="I138" i="8"/>
  <c r="H138" i="8"/>
  <c r="X136" i="8"/>
  <c r="Y136" i="8" s="1"/>
  <c r="S136" i="8"/>
  <c r="T136" i="8" s="1"/>
  <c r="N136" i="8"/>
  <c r="M136" i="8"/>
  <c r="I136" i="8"/>
  <c r="H136" i="8"/>
  <c r="X134" i="8"/>
  <c r="Y134" i="8" s="1"/>
  <c r="S134" i="8"/>
  <c r="T134" i="8" s="1"/>
  <c r="N134" i="8"/>
  <c r="M134" i="8"/>
  <c r="I134" i="8"/>
  <c r="H134" i="8"/>
  <c r="Y132" i="8"/>
  <c r="X132" i="8"/>
  <c r="S132" i="8"/>
  <c r="T132" i="8" s="1"/>
  <c r="N132" i="8"/>
  <c r="M132" i="8"/>
  <c r="I132" i="8"/>
  <c r="H132" i="8"/>
  <c r="X131" i="8"/>
  <c r="Y131" i="8" s="1"/>
  <c r="S131" i="8"/>
  <c r="T131" i="8" s="1"/>
  <c r="N131" i="8"/>
  <c r="M131" i="8"/>
  <c r="I131" i="8"/>
  <c r="H131" i="8"/>
  <c r="Y130" i="8"/>
  <c r="X130" i="8"/>
  <c r="S130" i="8"/>
  <c r="T130" i="8" s="1"/>
  <c r="N130" i="8"/>
  <c r="M130" i="8"/>
  <c r="I130" i="8"/>
  <c r="H130" i="8"/>
  <c r="X129" i="8"/>
  <c r="Y129" i="8" s="1"/>
  <c r="S129" i="8"/>
  <c r="T129" i="8" s="1"/>
  <c r="N129" i="8"/>
  <c r="M129" i="8"/>
  <c r="I129" i="8"/>
  <c r="H129" i="8"/>
  <c r="X128" i="8"/>
  <c r="Y128" i="8" s="1"/>
  <c r="S128" i="8"/>
  <c r="T128" i="8" s="1"/>
  <c r="N128" i="8"/>
  <c r="M128" i="8"/>
  <c r="I128" i="8"/>
  <c r="H128" i="8"/>
  <c r="Y127" i="8"/>
  <c r="X127" i="8"/>
  <c r="S127" i="8"/>
  <c r="T127" i="8" s="1"/>
  <c r="N127" i="8"/>
  <c r="M127" i="8"/>
  <c r="I127" i="8"/>
  <c r="H127" i="8"/>
  <c r="X126" i="8"/>
  <c r="Y126" i="8" s="1"/>
  <c r="S126" i="8"/>
  <c r="T126" i="8" s="1"/>
  <c r="N126" i="8"/>
  <c r="M126" i="8"/>
  <c r="I126" i="8"/>
  <c r="H126" i="8"/>
  <c r="X125" i="8"/>
  <c r="Y125" i="8" s="1"/>
  <c r="S125" i="8"/>
  <c r="T125" i="8" s="1"/>
  <c r="N125" i="8"/>
  <c r="M125" i="8"/>
  <c r="I125" i="8"/>
  <c r="H125" i="8"/>
  <c r="Y124" i="8"/>
  <c r="X124" i="8"/>
  <c r="S124" i="8"/>
  <c r="T124" i="8" s="1"/>
  <c r="N124" i="8"/>
  <c r="M124" i="8"/>
  <c r="I124" i="8"/>
  <c r="H124" i="8"/>
  <c r="X123" i="8"/>
  <c r="Y123" i="8" s="1"/>
  <c r="S123" i="8"/>
  <c r="T123" i="8" s="1"/>
  <c r="N123" i="8"/>
  <c r="M123" i="8"/>
  <c r="I123" i="8"/>
  <c r="H123" i="8"/>
  <c r="Y122" i="8"/>
  <c r="X122" i="8"/>
  <c r="S122" i="8"/>
  <c r="T122" i="8" s="1"/>
  <c r="N122" i="8"/>
  <c r="M122" i="8"/>
  <c r="I122" i="8"/>
  <c r="H122" i="8"/>
  <c r="X121" i="8"/>
  <c r="Y121" i="8" s="1"/>
  <c r="S121" i="8"/>
  <c r="T121" i="8" s="1"/>
  <c r="N121" i="8"/>
  <c r="M121" i="8"/>
  <c r="I121" i="8"/>
  <c r="H121" i="8"/>
  <c r="X120" i="8"/>
  <c r="Y120" i="8" s="1"/>
  <c r="S120" i="8"/>
  <c r="T120" i="8" s="1"/>
  <c r="N120" i="8"/>
  <c r="M120" i="8"/>
  <c r="I120" i="8"/>
  <c r="H120" i="8"/>
  <c r="Y119" i="8"/>
  <c r="X119" i="8"/>
  <c r="S119" i="8"/>
  <c r="T119" i="8" s="1"/>
  <c r="N119" i="8"/>
  <c r="M119" i="8"/>
  <c r="I119" i="8"/>
  <c r="H119" i="8"/>
  <c r="X118" i="8"/>
  <c r="Y118" i="8" s="1"/>
  <c r="S118" i="8"/>
  <c r="T118" i="8" s="1"/>
  <c r="N118" i="8"/>
  <c r="M118" i="8"/>
  <c r="I118" i="8"/>
  <c r="H118" i="8"/>
  <c r="X117" i="8"/>
  <c r="Y117" i="8" s="1"/>
  <c r="S117" i="8"/>
  <c r="T117" i="8" s="1"/>
  <c r="N117" i="8"/>
  <c r="M117" i="8"/>
  <c r="I117" i="8"/>
  <c r="H117" i="8"/>
  <c r="Y116" i="8"/>
  <c r="X116" i="8"/>
  <c r="S116" i="8"/>
  <c r="T116" i="8" s="1"/>
  <c r="N116" i="8"/>
  <c r="M116" i="8"/>
  <c r="I116" i="8"/>
  <c r="H116" i="8"/>
  <c r="X115" i="8"/>
  <c r="Y115" i="8" s="1"/>
  <c r="S115" i="8"/>
  <c r="T115" i="8" s="1"/>
  <c r="N115" i="8"/>
  <c r="M115" i="8"/>
  <c r="I115" i="8"/>
  <c r="H115" i="8"/>
  <c r="Y114" i="8"/>
  <c r="X114" i="8"/>
  <c r="S114" i="8"/>
  <c r="T114" i="8" s="1"/>
  <c r="N114" i="8"/>
  <c r="M114" i="8"/>
  <c r="I114" i="8"/>
  <c r="H114" i="8"/>
  <c r="X113" i="8"/>
  <c r="Y113" i="8" s="1"/>
  <c r="S113" i="8"/>
  <c r="T113" i="8" s="1"/>
  <c r="N113" i="8"/>
  <c r="M113" i="8"/>
  <c r="I113" i="8"/>
  <c r="H113" i="8"/>
  <c r="X111" i="8"/>
  <c r="Y111" i="8" s="1"/>
  <c r="S111" i="8"/>
  <c r="T111" i="8" s="1"/>
  <c r="N111" i="8"/>
  <c r="M111" i="8"/>
  <c r="I111" i="8"/>
  <c r="H111" i="8"/>
  <c r="Y110" i="8"/>
  <c r="X110" i="8"/>
  <c r="S110" i="8"/>
  <c r="T110" i="8" s="1"/>
  <c r="N110" i="8"/>
  <c r="M110" i="8"/>
  <c r="I110" i="8"/>
  <c r="H110" i="8"/>
  <c r="X109" i="8"/>
  <c r="Y109" i="8" s="1"/>
  <c r="S109" i="8"/>
  <c r="T109" i="8" s="1"/>
  <c r="N109" i="8"/>
  <c r="M109" i="8"/>
  <c r="I109" i="8"/>
  <c r="H109" i="8"/>
  <c r="X108" i="8"/>
  <c r="Y108" i="8" s="1"/>
  <c r="S108" i="8"/>
  <c r="T108" i="8" s="1"/>
  <c r="N108" i="8"/>
  <c r="M108" i="8"/>
  <c r="I108" i="8"/>
  <c r="H108" i="8"/>
  <c r="Y107" i="8"/>
  <c r="X107" i="8"/>
  <c r="S107" i="8"/>
  <c r="T107" i="8" s="1"/>
  <c r="N107" i="8"/>
  <c r="M107" i="8"/>
  <c r="I107" i="8"/>
  <c r="H107" i="8"/>
  <c r="X106" i="8"/>
  <c r="Y106" i="8" s="1"/>
  <c r="S106" i="8"/>
  <c r="T106" i="8" s="1"/>
  <c r="N106" i="8"/>
  <c r="M106" i="8"/>
  <c r="I106" i="8"/>
  <c r="H106" i="8"/>
  <c r="Y105" i="8"/>
  <c r="X105" i="8"/>
  <c r="S105" i="8"/>
  <c r="T105" i="8" s="1"/>
  <c r="N105" i="8"/>
  <c r="M105" i="8"/>
  <c r="I105" i="8"/>
  <c r="H105" i="8"/>
  <c r="X104" i="8"/>
  <c r="Y104" i="8" s="1"/>
  <c r="S104" i="8"/>
  <c r="T104" i="8" s="1"/>
  <c r="N104" i="8"/>
  <c r="M104" i="8"/>
  <c r="I104" i="8"/>
  <c r="H104" i="8"/>
  <c r="X103" i="8"/>
  <c r="Y103" i="8" s="1"/>
  <c r="S103" i="8"/>
  <c r="T103" i="8" s="1"/>
  <c r="N103" i="8"/>
  <c r="M103" i="8"/>
  <c r="I103" i="8"/>
  <c r="H103" i="8"/>
  <c r="Y102" i="8"/>
  <c r="X102" i="8"/>
  <c r="S102" i="8"/>
  <c r="T102" i="8" s="1"/>
  <c r="N102" i="8"/>
  <c r="M102" i="8"/>
  <c r="I102" i="8"/>
  <c r="H102" i="8"/>
  <c r="X101" i="8"/>
  <c r="Y101" i="8" s="1"/>
  <c r="S101" i="8"/>
  <c r="T101" i="8" s="1"/>
  <c r="N101" i="8"/>
  <c r="M101" i="8"/>
  <c r="I101" i="8"/>
  <c r="H101" i="8"/>
  <c r="X100" i="8"/>
  <c r="Y100" i="8" s="1"/>
  <c r="S100" i="8"/>
  <c r="T100" i="8" s="1"/>
  <c r="N100" i="8"/>
  <c r="M100" i="8"/>
  <c r="I100" i="8"/>
  <c r="H100" i="8"/>
  <c r="Y99" i="8"/>
  <c r="X99" i="8"/>
  <c r="S99" i="8"/>
  <c r="T99" i="8" s="1"/>
  <c r="N99" i="8"/>
  <c r="M99" i="8"/>
  <c r="I99" i="8"/>
  <c r="H99" i="8"/>
  <c r="X98" i="8"/>
  <c r="Y98" i="8" s="1"/>
  <c r="S98" i="8"/>
  <c r="T98" i="8" s="1"/>
  <c r="N98" i="8"/>
  <c r="M98" i="8"/>
  <c r="I98" i="8"/>
  <c r="H98" i="8"/>
  <c r="Y97" i="8"/>
  <c r="X97" i="8"/>
  <c r="S97" i="8"/>
  <c r="T97" i="8" s="1"/>
  <c r="N97" i="8"/>
  <c r="M97" i="8"/>
  <c r="I97" i="8"/>
  <c r="H97" i="8"/>
  <c r="BA94" i="8"/>
  <c r="AZ94" i="8"/>
  <c r="AZ517" i="8" s="1"/>
  <c r="AZ518" i="8" s="1"/>
  <c r="AY94" i="8"/>
  <c r="AX94" i="8"/>
  <c r="AX517" i="8" s="1"/>
  <c r="AX518" i="8" s="1"/>
  <c r="AX651" i="8" s="1"/>
  <c r="AX663" i="8" s="1"/>
  <c r="AX667" i="8" s="1"/>
  <c r="AW94" i="8"/>
  <c r="AW517" i="8" s="1"/>
  <c r="AW518" i="8" s="1"/>
  <c r="AW651" i="8" s="1"/>
  <c r="AW663" i="8" s="1"/>
  <c r="AW667" i="8" s="1"/>
  <c r="AV94" i="8"/>
  <c r="AV517" i="8" s="1"/>
  <c r="AV518" i="8" s="1"/>
  <c r="AV651" i="8" s="1"/>
  <c r="AV663" i="8" s="1"/>
  <c r="AV667" i="8" s="1"/>
  <c r="AU94" i="8"/>
  <c r="AT94" i="8"/>
  <c r="AT517" i="8" s="1"/>
  <c r="AT518" i="8" s="1"/>
  <c r="AS94" i="8"/>
  <c r="AR94" i="8"/>
  <c r="AR517" i="8" s="1"/>
  <c r="AR518" i="8" s="1"/>
  <c r="AQ94" i="8"/>
  <c r="AP94" i="8"/>
  <c r="AN94" i="8"/>
  <c r="AN517" i="8" s="1"/>
  <c r="AN518" i="8" s="1"/>
  <c r="AN651" i="8" s="1"/>
  <c r="AN663" i="8" s="1"/>
  <c r="AN667" i="8" s="1"/>
  <c r="AM94" i="8"/>
  <c r="AM517" i="8" s="1"/>
  <c r="AM518" i="8" s="1"/>
  <c r="AM651" i="8" s="1"/>
  <c r="AM663" i="8" s="1"/>
  <c r="AM667" i="8" s="1"/>
  <c r="AL94" i="8"/>
  <c r="AK94" i="8"/>
  <c r="AK517" i="8" s="1"/>
  <c r="AK518" i="8" s="1"/>
  <c r="AJ94" i="8"/>
  <c r="AI94" i="8"/>
  <c r="AI517" i="8" s="1"/>
  <c r="AI518" i="8" s="1"/>
  <c r="AH94" i="8"/>
  <c r="AG94" i="8"/>
  <c r="AG517" i="8" s="1"/>
  <c r="AG518" i="8" s="1"/>
  <c r="AG651" i="8" s="1"/>
  <c r="AG663" i="8" s="1"/>
  <c r="AG667" i="8" s="1"/>
  <c r="AF94" i="8"/>
  <c r="AF517" i="8" s="1"/>
  <c r="AF518" i="8" s="1"/>
  <c r="AF651" i="8" s="1"/>
  <c r="AF663" i="8" s="1"/>
  <c r="AF667" i="8" s="1"/>
  <c r="AE94" i="8"/>
  <c r="AE517" i="8" s="1"/>
  <c r="AE518" i="8" s="1"/>
  <c r="AE651" i="8" s="1"/>
  <c r="AE663" i="8" s="1"/>
  <c r="AE667" i="8" s="1"/>
  <c r="AD94" i="8"/>
  <c r="AC94" i="8"/>
  <c r="AC517" i="8" s="1"/>
  <c r="AC518" i="8" s="1"/>
  <c r="AA94" i="8"/>
  <c r="W94" i="8"/>
  <c r="V94" i="8"/>
  <c r="R94" i="8"/>
  <c r="Q94" i="8"/>
  <c r="L94" i="8"/>
  <c r="L517" i="8" s="1"/>
  <c r="K94" i="8"/>
  <c r="H94" i="8"/>
  <c r="I94" i="8" s="1"/>
  <c r="G94" i="8"/>
  <c r="F94" i="8"/>
  <c r="Y93" i="8"/>
  <c r="X93" i="8"/>
  <c r="S93" i="8"/>
  <c r="T93" i="8" s="1"/>
  <c r="M93" i="8"/>
  <c r="N93" i="8" s="1"/>
  <c r="H93" i="8"/>
  <c r="I93" i="8" s="1"/>
  <c r="Y92" i="8"/>
  <c r="X92" i="8"/>
  <c r="S92" i="8"/>
  <c r="T92" i="8" s="1"/>
  <c r="M92" i="8"/>
  <c r="N92" i="8" s="1"/>
  <c r="H92" i="8"/>
  <c r="I92" i="8" s="1"/>
  <c r="Y91" i="8"/>
  <c r="X91" i="8"/>
  <c r="T91" i="8"/>
  <c r="S91" i="8"/>
  <c r="M91" i="8"/>
  <c r="N91" i="8" s="1"/>
  <c r="H91" i="8"/>
  <c r="I91" i="8" s="1"/>
  <c r="Y90" i="8"/>
  <c r="X90" i="8"/>
  <c r="S90" i="8"/>
  <c r="T90" i="8" s="1"/>
  <c r="M90" i="8"/>
  <c r="N90" i="8" s="1"/>
  <c r="H90" i="8"/>
  <c r="I90" i="8" s="1"/>
  <c r="Y89" i="8"/>
  <c r="X89" i="8"/>
  <c r="T89" i="8"/>
  <c r="S89" i="8"/>
  <c r="N89" i="8"/>
  <c r="M89" i="8"/>
  <c r="H89" i="8"/>
  <c r="I89" i="8" s="1"/>
  <c r="Y88" i="8"/>
  <c r="X88" i="8"/>
  <c r="S88" i="8"/>
  <c r="T88" i="8" s="1"/>
  <c r="M88" i="8"/>
  <c r="N88" i="8" s="1"/>
  <c r="H88" i="8"/>
  <c r="I88" i="8" s="1"/>
  <c r="Y87" i="8"/>
  <c r="X87" i="8"/>
  <c r="S87" i="8"/>
  <c r="T87" i="8" s="1"/>
  <c r="N87" i="8"/>
  <c r="M87" i="8"/>
  <c r="H87" i="8"/>
  <c r="I87" i="8" s="1"/>
  <c r="Y86" i="8"/>
  <c r="X86" i="8"/>
  <c r="T86" i="8"/>
  <c r="S86" i="8"/>
  <c r="M86" i="8"/>
  <c r="N86" i="8" s="1"/>
  <c r="H86" i="8"/>
  <c r="I86" i="8" s="1"/>
  <c r="Y85" i="8"/>
  <c r="X85" i="8"/>
  <c r="S85" i="8"/>
  <c r="T85" i="8" s="1"/>
  <c r="M85" i="8"/>
  <c r="N85" i="8" s="1"/>
  <c r="H85" i="8"/>
  <c r="I85" i="8" s="1"/>
  <c r="Y84" i="8"/>
  <c r="X84" i="8"/>
  <c r="S84" i="8"/>
  <c r="T84" i="8" s="1"/>
  <c r="N84" i="8"/>
  <c r="M84" i="8"/>
  <c r="H84" i="8"/>
  <c r="I84" i="8" s="1"/>
  <c r="Y83" i="8"/>
  <c r="X83" i="8"/>
  <c r="T83" i="8"/>
  <c r="S83" i="8"/>
  <c r="M83" i="8"/>
  <c r="N83" i="8" s="1"/>
  <c r="H83" i="8"/>
  <c r="I83" i="8" s="1"/>
  <c r="Y82" i="8"/>
  <c r="X82" i="8"/>
  <c r="S82" i="8"/>
  <c r="T82" i="8" s="1"/>
  <c r="M82" i="8"/>
  <c r="N82" i="8" s="1"/>
  <c r="H82" i="8"/>
  <c r="I82" i="8" s="1"/>
  <c r="Y81" i="8"/>
  <c r="X81" i="8"/>
  <c r="T81" i="8"/>
  <c r="S81" i="8"/>
  <c r="N81" i="8"/>
  <c r="M81" i="8"/>
  <c r="H81" i="8"/>
  <c r="I81" i="8" s="1"/>
  <c r="Y80" i="8"/>
  <c r="X80" i="8"/>
  <c r="S80" i="8"/>
  <c r="T80" i="8" s="1"/>
  <c r="M80" i="8"/>
  <c r="N80" i="8" s="1"/>
  <c r="H80" i="8"/>
  <c r="I80" i="8" s="1"/>
  <c r="Y79" i="8"/>
  <c r="X79" i="8"/>
  <c r="S79" i="8"/>
  <c r="T79" i="8" s="1"/>
  <c r="N79" i="8"/>
  <c r="M79" i="8"/>
  <c r="H79" i="8"/>
  <c r="I79" i="8" s="1"/>
  <c r="Y78" i="8"/>
  <c r="X78" i="8"/>
  <c r="T78" i="8"/>
  <c r="S78" i="8"/>
  <c r="M78" i="8"/>
  <c r="N78" i="8" s="1"/>
  <c r="H78" i="8"/>
  <c r="I78" i="8" s="1"/>
  <c r="Y77" i="8"/>
  <c r="X77" i="8"/>
  <c r="S77" i="8"/>
  <c r="T77" i="8" s="1"/>
  <c r="M77" i="8"/>
  <c r="N77" i="8" s="1"/>
  <c r="H77" i="8"/>
  <c r="I77" i="8" s="1"/>
  <c r="Y76" i="8"/>
  <c r="X76" i="8"/>
  <c r="S76" i="8"/>
  <c r="T76" i="8" s="1"/>
  <c r="N76" i="8"/>
  <c r="M76" i="8"/>
  <c r="H76" i="8"/>
  <c r="I76" i="8" s="1"/>
  <c r="Y75" i="8"/>
  <c r="X75" i="8"/>
  <c r="T75" i="8"/>
  <c r="S75" i="8"/>
  <c r="M75" i="8"/>
  <c r="N75" i="8" s="1"/>
  <c r="H75" i="8"/>
  <c r="I75" i="8" s="1"/>
  <c r="Y74" i="8"/>
  <c r="X74" i="8"/>
  <c r="S74" i="8"/>
  <c r="T74" i="8" s="1"/>
  <c r="M74" i="8"/>
  <c r="N74" i="8" s="1"/>
  <c r="H74" i="8"/>
  <c r="I74" i="8" s="1"/>
  <c r="Y73" i="8"/>
  <c r="X73" i="8"/>
  <c r="T73" i="8"/>
  <c r="S73" i="8"/>
  <c r="N73" i="8"/>
  <c r="M73" i="8"/>
  <c r="H73" i="8"/>
  <c r="I73" i="8" s="1"/>
  <c r="Y72" i="8"/>
  <c r="X72" i="8"/>
  <c r="S72" i="8"/>
  <c r="T72" i="8" s="1"/>
  <c r="M72" i="8"/>
  <c r="N72" i="8" s="1"/>
  <c r="H72" i="8"/>
  <c r="I72" i="8" s="1"/>
  <c r="Y71" i="8"/>
  <c r="X71" i="8"/>
  <c r="S71" i="8"/>
  <c r="T71" i="8" s="1"/>
  <c r="N71" i="8"/>
  <c r="M71" i="8"/>
  <c r="I71" i="8"/>
  <c r="H71" i="8"/>
  <c r="Y70" i="8"/>
  <c r="X70" i="8"/>
  <c r="S70" i="8"/>
  <c r="T70" i="8" s="1"/>
  <c r="N70" i="8"/>
  <c r="M70" i="8"/>
  <c r="I70" i="8"/>
  <c r="H70" i="8"/>
  <c r="Y69" i="8"/>
  <c r="X69" i="8"/>
  <c r="S69" i="8"/>
  <c r="T69" i="8" s="1"/>
  <c r="N69" i="8"/>
  <c r="M69" i="8"/>
  <c r="I69" i="8"/>
  <c r="H69" i="8"/>
  <c r="Y68" i="8"/>
  <c r="X68" i="8"/>
  <c r="S68" i="8"/>
  <c r="T68" i="8" s="1"/>
  <c r="N68" i="8"/>
  <c r="M68" i="8"/>
  <c r="I68" i="8"/>
  <c r="H68" i="8"/>
  <c r="Y67" i="8"/>
  <c r="X67" i="8"/>
  <c r="S67" i="8"/>
  <c r="T67" i="8" s="1"/>
  <c r="N67" i="8"/>
  <c r="M67" i="8"/>
  <c r="I67" i="8"/>
  <c r="H67" i="8"/>
  <c r="Y66" i="8"/>
  <c r="X66" i="8"/>
  <c r="S66" i="8"/>
  <c r="T66" i="8" s="1"/>
  <c r="N66" i="8"/>
  <c r="M66" i="8"/>
  <c r="I66" i="8"/>
  <c r="H66" i="8"/>
  <c r="Y65" i="8"/>
  <c r="X65" i="8"/>
  <c r="S65" i="8"/>
  <c r="T65" i="8" s="1"/>
  <c r="N65" i="8"/>
  <c r="M65" i="8"/>
  <c r="I65" i="8"/>
  <c r="H65" i="8"/>
  <c r="Y64" i="8"/>
  <c r="X64" i="8"/>
  <c r="S64" i="8"/>
  <c r="T64" i="8" s="1"/>
  <c r="N64" i="8"/>
  <c r="M64" i="8"/>
  <c r="I64" i="8"/>
  <c r="H64" i="8"/>
  <c r="X62" i="8"/>
  <c r="Y62" i="8" s="1"/>
  <c r="S62" i="8"/>
  <c r="T62" i="8" s="1"/>
  <c r="N62" i="8"/>
  <c r="M62" i="8"/>
  <c r="I62" i="8"/>
  <c r="H62" i="8"/>
  <c r="X61" i="8"/>
  <c r="Y61" i="8" s="1"/>
  <c r="S61" i="8"/>
  <c r="T61" i="8" s="1"/>
  <c r="N61" i="8"/>
  <c r="M61" i="8"/>
  <c r="I61" i="8"/>
  <c r="H61" i="8"/>
  <c r="X60" i="8"/>
  <c r="Y60" i="8" s="1"/>
  <c r="S60" i="8"/>
  <c r="T60" i="8" s="1"/>
  <c r="N60" i="8"/>
  <c r="M60" i="8"/>
  <c r="I60" i="8"/>
  <c r="H60" i="8"/>
  <c r="X59" i="8"/>
  <c r="Y59" i="8" s="1"/>
  <c r="S59" i="8"/>
  <c r="T59" i="8" s="1"/>
  <c r="N59" i="8"/>
  <c r="M59" i="8"/>
  <c r="I59" i="8"/>
  <c r="H59" i="8"/>
  <c r="BA58" i="8"/>
  <c r="AZ58" i="8"/>
  <c r="AY58" i="8"/>
  <c r="AX58" i="8"/>
  <c r="AW58" i="8"/>
  <c r="AV58" i="8"/>
  <c r="AU58" i="8"/>
  <c r="AT58" i="8"/>
  <c r="AS58" i="8"/>
  <c r="AR58" i="8"/>
  <c r="AQ58" i="8"/>
  <c r="AP58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A58" i="8"/>
  <c r="W58" i="8"/>
  <c r="Y58" i="8" s="1"/>
  <c r="V58" i="8"/>
  <c r="X58" i="8" s="1"/>
  <c r="T58" i="8"/>
  <c r="S58" i="8"/>
  <c r="R58" i="8"/>
  <c r="Q58" i="8"/>
  <c r="L58" i="8"/>
  <c r="N58" i="8" s="1"/>
  <c r="K58" i="8"/>
  <c r="M58" i="8" s="1"/>
  <c r="I58" i="8"/>
  <c r="H58" i="8"/>
  <c r="G58" i="8"/>
  <c r="F58" i="8"/>
  <c r="Y57" i="8"/>
  <c r="X57" i="8"/>
  <c r="H57" i="8"/>
  <c r="I57" i="8" s="1"/>
  <c r="X56" i="8"/>
  <c r="Y56" i="8" s="1"/>
  <c r="H56" i="8"/>
  <c r="I56" i="8" s="1"/>
  <c r="Y55" i="8"/>
  <c r="X55" i="8"/>
  <c r="H55" i="8"/>
  <c r="I55" i="8" s="1"/>
  <c r="X54" i="8"/>
  <c r="Y54" i="8" s="1"/>
  <c r="H54" i="8"/>
  <c r="I54" i="8" s="1"/>
  <c r="Y53" i="8"/>
  <c r="X53" i="8"/>
  <c r="H53" i="8"/>
  <c r="I53" i="8" s="1"/>
  <c r="X52" i="8"/>
  <c r="Y52" i="8" s="1"/>
  <c r="H52" i="8"/>
  <c r="I52" i="8" s="1"/>
  <c r="Y51" i="8"/>
  <c r="X51" i="8"/>
  <c r="H51" i="8"/>
  <c r="I51" i="8" s="1"/>
  <c r="X50" i="8"/>
  <c r="Y50" i="8" s="1"/>
  <c r="H50" i="8"/>
  <c r="I50" i="8" s="1"/>
  <c r="Y49" i="8"/>
  <c r="X49" i="8"/>
  <c r="H49" i="8"/>
  <c r="I49" i="8" s="1"/>
  <c r="X48" i="8"/>
  <c r="Y48" i="8" s="1"/>
  <c r="H48" i="8"/>
  <c r="I48" i="8" s="1"/>
  <c r="Y47" i="8"/>
  <c r="X47" i="8"/>
  <c r="H47" i="8"/>
  <c r="I47" i="8" s="1"/>
  <c r="X46" i="8"/>
  <c r="Y46" i="8" s="1"/>
  <c r="H46" i="8"/>
  <c r="I46" i="8" s="1"/>
  <c r="Y45" i="8"/>
  <c r="X45" i="8"/>
  <c r="H45" i="8"/>
  <c r="I45" i="8" s="1"/>
  <c r="X44" i="8"/>
  <c r="Y44" i="8" s="1"/>
  <c r="H44" i="8"/>
  <c r="I44" i="8" s="1"/>
  <c r="Y43" i="8"/>
  <c r="X43" i="8"/>
  <c r="H43" i="8"/>
  <c r="I43" i="8" s="1"/>
  <c r="X42" i="8"/>
  <c r="Y42" i="8" s="1"/>
  <c r="H42" i="8"/>
  <c r="I42" i="8" s="1"/>
  <c r="Y41" i="8"/>
  <c r="X41" i="8"/>
  <c r="H41" i="8"/>
  <c r="I41" i="8" s="1"/>
  <c r="X40" i="8"/>
  <c r="Y40" i="8" s="1"/>
  <c r="H40" i="8"/>
  <c r="I40" i="8" s="1"/>
  <c r="Y39" i="8"/>
  <c r="X39" i="8"/>
  <c r="H39" i="8"/>
  <c r="I39" i="8" s="1"/>
  <c r="X38" i="8"/>
  <c r="Y38" i="8" s="1"/>
  <c r="H38" i="8"/>
  <c r="I38" i="8" s="1"/>
  <c r="Y37" i="8"/>
  <c r="X37" i="8"/>
  <c r="H37" i="8"/>
  <c r="I37" i="8" s="1"/>
  <c r="X36" i="8"/>
  <c r="Y36" i="8" s="1"/>
  <c r="H36" i="8"/>
  <c r="I36" i="8" s="1"/>
  <c r="Y35" i="8"/>
  <c r="X35" i="8"/>
  <c r="H35" i="8"/>
  <c r="I35" i="8" s="1"/>
  <c r="X34" i="8"/>
  <c r="Y34" i="8" s="1"/>
  <c r="H34" i="8"/>
  <c r="I34" i="8" s="1"/>
  <c r="Y33" i="8"/>
  <c r="X33" i="8"/>
  <c r="H33" i="8"/>
  <c r="I33" i="8" s="1"/>
  <c r="X32" i="8"/>
  <c r="Y32" i="8" s="1"/>
  <c r="H32" i="8"/>
  <c r="I32" i="8" s="1"/>
  <c r="Y31" i="8"/>
  <c r="X31" i="8"/>
  <c r="H31" i="8"/>
  <c r="I31" i="8" s="1"/>
  <c r="X30" i="8"/>
  <c r="Y30" i="8" s="1"/>
  <c r="H30" i="8"/>
  <c r="I30" i="8" s="1"/>
  <c r="Y29" i="8"/>
  <c r="X29" i="8"/>
  <c r="H29" i="8"/>
  <c r="I29" i="8" s="1"/>
  <c r="X27" i="8"/>
  <c r="Y27" i="8" s="1"/>
  <c r="H27" i="8"/>
  <c r="I27" i="8" s="1"/>
  <c r="Y26" i="8"/>
  <c r="X26" i="8"/>
  <c r="H26" i="8"/>
  <c r="I26" i="8" s="1"/>
  <c r="X25" i="8"/>
  <c r="Y25" i="8" s="1"/>
  <c r="H25" i="8"/>
  <c r="I25" i="8" s="1"/>
  <c r="Y23" i="8"/>
  <c r="X23" i="8"/>
  <c r="H23" i="8"/>
  <c r="I23" i="8" s="1"/>
  <c r="X22" i="8"/>
  <c r="Y22" i="8" s="1"/>
  <c r="H22" i="8"/>
  <c r="I22" i="8" s="1"/>
  <c r="Y21" i="8"/>
  <c r="X21" i="8"/>
  <c r="H21" i="8"/>
  <c r="I21" i="8" s="1"/>
  <c r="X20" i="8"/>
  <c r="Y20" i="8" s="1"/>
  <c r="H20" i="8"/>
  <c r="I20" i="8" s="1"/>
  <c r="Y19" i="8"/>
  <c r="X19" i="8"/>
  <c r="H19" i="8"/>
  <c r="I19" i="8" s="1"/>
  <c r="X18" i="8"/>
  <c r="Y18" i="8" s="1"/>
  <c r="H18" i="8"/>
  <c r="I18" i="8" s="1"/>
  <c r="Y17" i="8"/>
  <c r="X17" i="8"/>
  <c r="H17" i="8"/>
  <c r="I17" i="8" s="1"/>
  <c r="X16" i="8"/>
  <c r="Y16" i="8" s="1"/>
  <c r="H16" i="8"/>
  <c r="I16" i="8" s="1"/>
  <c r="Y14" i="8"/>
  <c r="X14" i="8"/>
  <c r="H14" i="8"/>
  <c r="I14" i="8" s="1"/>
  <c r="X13" i="8"/>
  <c r="Y13" i="8" s="1"/>
  <c r="H13" i="8"/>
  <c r="I13" i="8" s="1"/>
  <c r="Y12" i="8"/>
  <c r="X12" i="8"/>
  <c r="H12" i="8"/>
  <c r="I12" i="8" s="1"/>
  <c r="X11" i="8"/>
  <c r="Y11" i="8" s="1"/>
  <c r="H11" i="8"/>
  <c r="I11" i="8" s="1"/>
  <c r="BA6" i="8"/>
  <c r="AZ6" i="8"/>
  <c r="AY6" i="8"/>
  <c r="AX6" i="8"/>
  <c r="AW6" i="8"/>
  <c r="AV6" i="8"/>
  <c r="AU6" i="8"/>
  <c r="AT6" i="8"/>
  <c r="AS6" i="8"/>
  <c r="AR6" i="8"/>
  <c r="AQ6" i="8"/>
  <c r="AP6" i="8"/>
  <c r="AN6" i="8"/>
  <c r="AM6" i="8"/>
  <c r="AL6" i="8"/>
  <c r="AK6" i="8"/>
  <c r="AJ6" i="8"/>
  <c r="AI6" i="8"/>
  <c r="AH6" i="8"/>
  <c r="AG6" i="8"/>
  <c r="AF6" i="8"/>
  <c r="AE6" i="8"/>
  <c r="AD6" i="8"/>
  <c r="AC6" i="8"/>
  <c r="AA6" i="8"/>
  <c r="V6" i="8"/>
  <c r="W6" i="8" s="1"/>
  <c r="R6" i="8"/>
  <c r="Q6" i="8"/>
  <c r="L6" i="8"/>
  <c r="K6" i="8"/>
  <c r="F6" i="8"/>
  <c r="G6" i="8" s="1"/>
  <c r="C6" i="8"/>
  <c r="B6" i="8"/>
  <c r="C5" i="8"/>
  <c r="B5" i="8"/>
  <c r="AP4" i="8"/>
  <c r="B4" i="8"/>
  <c r="G3" i="8"/>
  <c r="AA3" i="8" s="1"/>
  <c r="C3" i="8"/>
  <c r="C2" i="8"/>
  <c r="AP2" i="8" s="1"/>
  <c r="M15" i="5"/>
  <c r="M14" i="5"/>
  <c r="M13" i="5"/>
  <c r="M12" i="5"/>
  <c r="L15" i="5"/>
  <c r="L14" i="5"/>
  <c r="L13" i="5"/>
  <c r="L12" i="5"/>
  <c r="K15" i="5"/>
  <c r="K14" i="5"/>
  <c r="K13" i="5"/>
  <c r="K12" i="5"/>
  <c r="J15" i="5"/>
  <c r="J14" i="5"/>
  <c r="J13" i="5"/>
  <c r="J12" i="5"/>
  <c r="I15" i="5"/>
  <c r="I14" i="5"/>
  <c r="I13" i="5"/>
  <c r="I12" i="5"/>
  <c r="H15" i="5"/>
  <c r="H14" i="5"/>
  <c r="H13" i="5"/>
  <c r="H12" i="5"/>
  <c r="G15" i="5"/>
  <c r="G14" i="5"/>
  <c r="G13" i="5"/>
  <c r="G12" i="5"/>
  <c r="F15" i="5"/>
  <c r="F14" i="5"/>
  <c r="F13" i="5"/>
  <c r="F12" i="5"/>
  <c r="E15" i="5"/>
  <c r="E14" i="5"/>
  <c r="E13" i="5"/>
  <c r="E12" i="5"/>
  <c r="D15" i="5"/>
  <c r="D14" i="5"/>
  <c r="D13" i="5"/>
  <c r="D12" i="5"/>
  <c r="C15" i="5"/>
  <c r="C14" i="5"/>
  <c r="C13" i="5"/>
  <c r="C12" i="5"/>
  <c r="B15" i="5"/>
  <c r="B14" i="5"/>
  <c r="B13" i="5"/>
  <c r="B12" i="5"/>
  <c r="K517" i="8" l="1"/>
  <c r="M94" i="8"/>
  <c r="AZ651" i="8"/>
  <c r="AZ663" i="8" s="1"/>
  <c r="AZ667" i="8" s="1"/>
  <c r="G2" i="8"/>
  <c r="L2" i="8" s="1"/>
  <c r="R2" i="8" s="1"/>
  <c r="W2" i="8" s="1"/>
  <c r="L3" i="8"/>
  <c r="R3" i="8" s="1"/>
  <c r="W3" i="8" s="1"/>
  <c r="L518" i="8"/>
  <c r="BA517" i="8"/>
  <c r="BA518" i="8" s="1"/>
  <c r="BA651" i="8" s="1"/>
  <c r="BA663" i="8" s="1"/>
  <c r="BA667" i="8" s="1"/>
  <c r="N94" i="8"/>
  <c r="AA2" i="8"/>
  <c r="S94" i="8"/>
  <c r="T94" i="8" s="1"/>
  <c r="X94" i="8"/>
  <c r="Y94" i="8" s="1"/>
  <c r="W517" i="8"/>
  <c r="AT651" i="8"/>
  <c r="AT663" i="8" s="1"/>
  <c r="AT667" i="8" s="1"/>
  <c r="F353" i="8"/>
  <c r="H353" i="8" s="1"/>
  <c r="I353" i="8" s="1"/>
  <c r="X485" i="8"/>
  <c r="Y485" i="8" s="1"/>
  <c r="AQ353" i="8"/>
  <c r="AQ516" i="8"/>
  <c r="AQ517" i="8" s="1"/>
  <c r="AQ518" i="8" s="1"/>
  <c r="AQ651" i="8" s="1"/>
  <c r="AQ663" i="8" s="1"/>
  <c r="AQ667" i="8" s="1"/>
  <c r="T412" i="8"/>
  <c r="M516" i="8"/>
  <c r="X484" i="8"/>
  <c r="N516" i="8"/>
  <c r="AA516" i="8"/>
  <c r="AA517" i="8" s="1"/>
  <c r="AA518" i="8" s="1"/>
  <c r="AA651" i="8" s="1"/>
  <c r="AA663" i="8" s="1"/>
  <c r="AA667" i="8" s="1"/>
  <c r="AA353" i="8"/>
  <c r="AJ516" i="8"/>
  <c r="AJ517" i="8" s="1"/>
  <c r="AJ518" i="8" s="1"/>
  <c r="AJ651" i="8" s="1"/>
  <c r="AJ663" i="8" s="1"/>
  <c r="AJ667" i="8" s="1"/>
  <c r="AJ353" i="8"/>
  <c r="AS516" i="8"/>
  <c r="AS517" i="8" s="1"/>
  <c r="AS518" i="8" s="1"/>
  <c r="AS651" i="8" s="1"/>
  <c r="AS663" i="8" s="1"/>
  <c r="AS667" i="8" s="1"/>
  <c r="AS353" i="8"/>
  <c r="BA516" i="8"/>
  <c r="BA353" i="8"/>
  <c r="I412" i="8"/>
  <c r="G485" i="8"/>
  <c r="AH516" i="8"/>
  <c r="AH517" i="8" s="1"/>
  <c r="AH518" i="8" s="1"/>
  <c r="AH651" i="8" s="1"/>
  <c r="AH663" i="8" s="1"/>
  <c r="AH667" i="8" s="1"/>
  <c r="Y412" i="8"/>
  <c r="AY516" i="8"/>
  <c r="AY517" i="8" s="1"/>
  <c r="AY518" i="8" s="1"/>
  <c r="AY651" i="8" s="1"/>
  <c r="AY663" i="8" s="1"/>
  <c r="AY667" i="8" s="1"/>
  <c r="Q353" i="8"/>
  <c r="S353" i="8" s="1"/>
  <c r="T353" i="8" s="1"/>
  <c r="AD516" i="8"/>
  <c r="AD517" i="8" s="1"/>
  <c r="AD518" i="8" s="1"/>
  <c r="AD651" i="8" s="1"/>
  <c r="AD663" i="8" s="1"/>
  <c r="AD667" i="8" s="1"/>
  <c r="AD353" i="8"/>
  <c r="AL516" i="8"/>
  <c r="AL517" i="8" s="1"/>
  <c r="AL518" i="8" s="1"/>
  <c r="AL651" i="8" s="1"/>
  <c r="AL663" i="8" s="1"/>
  <c r="AL667" i="8" s="1"/>
  <c r="AL353" i="8"/>
  <c r="AU516" i="8"/>
  <c r="AU517" i="8" s="1"/>
  <c r="AU518" i="8" s="1"/>
  <c r="AU651" i="8" s="1"/>
  <c r="AU663" i="8" s="1"/>
  <c r="AU667" i="8" s="1"/>
  <c r="AU353" i="8"/>
  <c r="R516" i="8"/>
  <c r="R517" i="8" s="1"/>
  <c r="H484" i="8"/>
  <c r="I484" i="8" s="1"/>
  <c r="F485" i="8"/>
  <c r="H485" i="8" s="1"/>
  <c r="Y484" i="8"/>
  <c r="H618" i="8"/>
  <c r="I352" i="8"/>
  <c r="T352" i="8"/>
  <c r="AF353" i="8"/>
  <c r="AN353" i="8"/>
  <c r="AW353" i="8"/>
  <c r="H658" i="8"/>
  <c r="F662" i="8"/>
  <c r="H662" i="8" s="1"/>
  <c r="M662" i="8"/>
  <c r="V516" i="8"/>
  <c r="V517" i="8" s="1"/>
  <c r="AG353" i="8"/>
  <c r="AX353" i="8"/>
  <c r="W516" i="8"/>
  <c r="AP516" i="8"/>
  <c r="AP517" i="8" s="1"/>
  <c r="AP518" i="8" s="1"/>
  <c r="AP651" i="8" s="1"/>
  <c r="AP663" i="8" s="1"/>
  <c r="AP667" i="8" s="1"/>
  <c r="K353" i="8"/>
  <c r="M484" i="8"/>
  <c r="N484" i="8" s="1"/>
  <c r="F619" i="8"/>
  <c r="H556" i="8"/>
  <c r="I556" i="8" s="1"/>
  <c r="S484" i="8"/>
  <c r="Q485" i="8"/>
  <c r="S485" i="8" s="1"/>
  <c r="N352" i="8"/>
  <c r="Y352" i="8"/>
  <c r="T484" i="8"/>
  <c r="R619" i="8"/>
  <c r="Y658" i="8"/>
  <c r="I658" i="8"/>
  <c r="R485" i="8"/>
  <c r="W619" i="8"/>
  <c r="AH619" i="8"/>
  <c r="AQ619" i="8"/>
  <c r="AY619" i="8"/>
  <c r="N601" i="8"/>
  <c r="L618" i="8"/>
  <c r="X618" i="8"/>
  <c r="M556" i="8"/>
  <c r="AI619" i="8"/>
  <c r="AI651" i="8" s="1"/>
  <c r="AI663" i="8" s="1"/>
  <c r="AI667" i="8" s="1"/>
  <c r="AR619" i="8"/>
  <c r="AR651" i="8" s="1"/>
  <c r="AR663" i="8" s="1"/>
  <c r="AR667" i="8" s="1"/>
  <c r="AZ619" i="8"/>
  <c r="R618" i="8"/>
  <c r="S601" i="8"/>
  <c r="T601" i="8" s="1"/>
  <c r="S618" i="8"/>
  <c r="T650" i="8"/>
  <c r="N658" i="8"/>
  <c r="L619" i="8"/>
  <c r="X601" i="8"/>
  <c r="S658" i="8"/>
  <c r="Q662" i="8"/>
  <c r="N556" i="8"/>
  <c r="AC619" i="8"/>
  <c r="AC651" i="8" s="1"/>
  <c r="AC663" i="8" s="1"/>
  <c r="AC667" i="8" s="1"/>
  <c r="AK619" i="8"/>
  <c r="AK651" i="8" s="1"/>
  <c r="AK663" i="8" s="1"/>
  <c r="AK667" i="8" s="1"/>
  <c r="AT619" i="8"/>
  <c r="Y600" i="8"/>
  <c r="Y601" i="8"/>
  <c r="W618" i="8"/>
  <c r="T658" i="8"/>
  <c r="Q619" i="8"/>
  <c r="S556" i="8"/>
  <c r="T556" i="8" s="1"/>
  <c r="G618" i="8"/>
  <c r="H601" i="8"/>
  <c r="I601" i="8" s="1"/>
  <c r="K619" i="8"/>
  <c r="V619" i="8"/>
  <c r="G662" i="8"/>
  <c r="I662" i="8" s="1"/>
  <c r="R662" i="8"/>
  <c r="H600" i="8"/>
  <c r="I600" i="8" s="1"/>
  <c r="S600" i="8"/>
  <c r="T600" i="8" s="1"/>
  <c r="L662" i="8"/>
  <c r="W662" i="8"/>
  <c r="X662" i="8" s="1"/>
  <c r="X517" i="8" l="1"/>
  <c r="Y517" i="8" s="1"/>
  <c r="V518" i="8"/>
  <c r="R518" i="8"/>
  <c r="L651" i="8"/>
  <c r="I618" i="8"/>
  <c r="I485" i="8"/>
  <c r="M517" i="8"/>
  <c r="N517" i="8" s="1"/>
  <c r="K518" i="8"/>
  <c r="N662" i="8"/>
  <c r="T485" i="8"/>
  <c r="Y516" i="8"/>
  <c r="G516" i="8"/>
  <c r="Y662" i="8"/>
  <c r="T619" i="8"/>
  <c r="W518" i="8"/>
  <c r="Q516" i="8"/>
  <c r="S662" i="8"/>
  <c r="T662" i="8" s="1"/>
  <c r="T618" i="8"/>
  <c r="M618" i="8"/>
  <c r="N618" i="8" s="1"/>
  <c r="F516" i="8"/>
  <c r="S619" i="8"/>
  <c r="X619" i="8"/>
  <c r="Y619" i="8" s="1"/>
  <c r="Y618" i="8"/>
  <c r="G619" i="8"/>
  <c r="M619" i="8"/>
  <c r="N619" i="8" s="1"/>
  <c r="X516" i="8"/>
  <c r="I619" i="8" l="1"/>
  <c r="G517" i="8"/>
  <c r="S516" i="8"/>
  <c r="T516" i="8" s="1"/>
  <c r="Q517" i="8"/>
  <c r="R651" i="8"/>
  <c r="L663" i="8"/>
  <c r="W651" i="8"/>
  <c r="Y518" i="8"/>
  <c r="H619" i="8"/>
  <c r="H516" i="8"/>
  <c r="I516" i="8" s="1"/>
  <c r="F517" i="8"/>
  <c r="K651" i="8"/>
  <c r="M518" i="8"/>
  <c r="N518" i="8" s="1"/>
  <c r="V651" i="8"/>
  <c r="X518" i="8"/>
  <c r="L667" i="8" l="1"/>
  <c r="V663" i="8"/>
  <c r="X651" i="8"/>
  <c r="K663" i="8"/>
  <c r="M651" i="8"/>
  <c r="N651" i="8" s="1"/>
  <c r="H517" i="8"/>
  <c r="I517" i="8" s="1"/>
  <c r="F518" i="8"/>
  <c r="R663" i="8"/>
  <c r="S517" i="8"/>
  <c r="T517" i="8" s="1"/>
  <c r="Q518" i="8"/>
  <c r="G518" i="8"/>
  <c r="W663" i="8"/>
  <c r="Y651" i="8"/>
  <c r="W667" i="8" l="1"/>
  <c r="I518" i="8"/>
  <c r="G651" i="8"/>
  <c r="K667" i="8"/>
  <c r="M663" i="8"/>
  <c r="N663" i="8" s="1"/>
  <c r="R667" i="8"/>
  <c r="F651" i="8"/>
  <c r="H518" i="8"/>
  <c r="Q651" i="8"/>
  <c r="S518" i="8"/>
  <c r="T518" i="8" s="1"/>
  <c r="V667" i="8"/>
  <c r="X663" i="8"/>
  <c r="Y663" i="8" s="1"/>
  <c r="G663" i="8" l="1"/>
  <c r="Q663" i="8"/>
  <c r="S651" i="8"/>
  <c r="T651" i="8" s="1"/>
  <c r="F663" i="8"/>
  <c r="H651" i="8"/>
  <c r="I651" i="8" s="1"/>
  <c r="Q667" i="8" l="1"/>
  <c r="S663" i="8"/>
  <c r="T663" i="8" s="1"/>
  <c r="H663" i="8"/>
  <c r="F667" i="8"/>
  <c r="I663" i="8"/>
  <c r="G667" i="8"/>
  <c r="N19" i="2" l="1"/>
  <c r="K27" i="3" l="1"/>
  <c r="K26" i="3"/>
  <c r="K28" i="3" s="1"/>
  <c r="K25" i="3"/>
  <c r="K9" i="3"/>
  <c r="K14" i="3" s="1"/>
  <c r="K17" i="3" s="1"/>
  <c r="K23" i="3" s="1"/>
  <c r="G9" i="3"/>
  <c r="E47" i="1"/>
  <c r="E41" i="2"/>
  <c r="D47" i="1"/>
  <c r="D41" i="2"/>
  <c r="G27" i="3"/>
  <c r="F27" i="3"/>
  <c r="E27" i="3"/>
  <c r="D27" i="3"/>
  <c r="C27" i="3"/>
  <c r="G26" i="3"/>
  <c r="F26" i="3"/>
  <c r="F28" i="3" s="1"/>
  <c r="E26" i="3"/>
  <c r="D26" i="3"/>
  <c r="C26" i="3"/>
  <c r="C28" i="3" s="1"/>
  <c r="G25" i="3"/>
  <c r="F25" i="3"/>
  <c r="E25" i="3"/>
  <c r="D25" i="3"/>
  <c r="C25" i="3"/>
  <c r="C29" i="3" s="1"/>
  <c r="C31" i="3" s="1"/>
  <c r="G14" i="3"/>
  <c r="G17" i="3" s="1"/>
  <c r="G23" i="3" s="1"/>
  <c r="F9" i="3"/>
  <c r="F14" i="3" s="1"/>
  <c r="F17" i="3" s="1"/>
  <c r="F23" i="3" s="1"/>
  <c r="E9" i="3"/>
  <c r="E14" i="3" s="1"/>
  <c r="E17" i="3" s="1"/>
  <c r="E23" i="3" s="1"/>
  <c r="D9" i="3"/>
  <c r="D14" i="3" s="1"/>
  <c r="D17" i="3" s="1"/>
  <c r="D23" i="3" s="1"/>
  <c r="C9" i="3"/>
  <c r="C14" i="3" s="1"/>
  <c r="C17" i="3" s="1"/>
  <c r="C23" i="3" s="1"/>
  <c r="C47" i="1"/>
  <c r="G47" i="1"/>
  <c r="F47" i="1"/>
  <c r="G42" i="1"/>
  <c r="F42" i="1"/>
  <c r="E42" i="1"/>
  <c r="D42" i="1"/>
  <c r="C42" i="1"/>
  <c r="G8" i="1"/>
  <c r="G21" i="1" s="1"/>
  <c r="G20" i="1" s="1"/>
  <c r="F8" i="1"/>
  <c r="F21" i="1" s="1"/>
  <c r="F20" i="1" s="1"/>
  <c r="E8" i="1"/>
  <c r="E21" i="1" s="1"/>
  <c r="E20" i="1" s="1"/>
  <c r="D8" i="1"/>
  <c r="D21" i="1" s="1"/>
  <c r="D20" i="1" s="1"/>
  <c r="C8" i="1"/>
  <c r="C21" i="1" s="1"/>
  <c r="C20" i="1" s="1"/>
  <c r="C41" i="2"/>
  <c r="C39" i="2"/>
  <c r="C42" i="2" s="1"/>
  <c r="C38" i="2"/>
  <c r="C21" i="2"/>
  <c r="C8" i="2"/>
  <c r="C19" i="2" s="1"/>
  <c r="C22" i="2" s="1"/>
  <c r="C35" i="2" s="1"/>
  <c r="G41" i="2"/>
  <c r="G39" i="2"/>
  <c r="G38" i="2"/>
  <c r="G21" i="2"/>
  <c r="G8" i="2"/>
  <c r="G19" i="2" s="1"/>
  <c r="G22" i="2" s="1"/>
  <c r="G35" i="2" s="1"/>
  <c r="F41" i="2"/>
  <c r="F39" i="2"/>
  <c r="F38" i="2"/>
  <c r="F21" i="2"/>
  <c r="F8" i="2"/>
  <c r="F19" i="2" s="1"/>
  <c r="F22" i="2" s="1"/>
  <c r="F35" i="2" s="1"/>
  <c r="E39" i="2"/>
  <c r="E38" i="2"/>
  <c r="E21" i="2"/>
  <c r="E8" i="2"/>
  <c r="E19" i="2" s="1"/>
  <c r="E22" i="2" s="1"/>
  <c r="E35" i="2" s="1"/>
  <c r="D39" i="2"/>
  <c r="D38" i="2"/>
  <c r="D21" i="2"/>
  <c r="D8" i="2"/>
  <c r="D19" i="2" s="1"/>
  <c r="D22" i="2" s="1"/>
  <c r="D35" i="2" s="1"/>
  <c r="D23" i="6"/>
  <c r="E28" i="3" l="1"/>
  <c r="G42" i="2"/>
  <c r="K29" i="3"/>
  <c r="K31" i="3" s="1"/>
  <c r="G28" i="3"/>
  <c r="G29" i="3" s="1"/>
  <c r="E29" i="3"/>
  <c r="E31" i="3" s="1"/>
  <c r="E42" i="2"/>
  <c r="E43" i="2" s="1"/>
  <c r="E45" i="2" s="1"/>
  <c r="D28" i="3"/>
  <c r="D29" i="3" s="1"/>
  <c r="D31" i="3" s="1"/>
  <c r="F29" i="3"/>
  <c r="F31" i="3" s="1"/>
  <c r="C43" i="2"/>
  <c r="C45" i="2" s="1"/>
  <c r="F42" i="2"/>
  <c r="F43" i="2" s="1"/>
  <c r="F45" i="2" s="1"/>
  <c r="G43" i="2"/>
  <c r="G45" i="2" s="1"/>
  <c r="D42" i="2"/>
  <c r="D43" i="2"/>
  <c r="D45" i="2" s="1"/>
  <c r="G31" i="3" l="1"/>
  <c r="N21" i="2"/>
  <c r="M21" i="2"/>
  <c r="L21" i="2"/>
  <c r="K21" i="2"/>
  <c r="J21" i="2"/>
  <c r="I21" i="2"/>
  <c r="H21" i="2"/>
  <c r="B38" i="13" l="1"/>
  <c r="B40" i="13" s="1"/>
  <c r="B42" i="13" s="1"/>
  <c r="O32" i="13"/>
  <c r="O42" i="13" s="1"/>
  <c r="S30" i="13"/>
  <c r="S28" i="13"/>
  <c r="S26" i="13"/>
  <c r="F18" i="13"/>
  <c r="H15" i="13" s="1"/>
  <c r="M15" i="13" s="1"/>
  <c r="B14" i="13"/>
  <c r="B15" i="13" s="1"/>
  <c r="B16" i="13" s="1"/>
  <c r="B18" i="13" s="1"/>
  <c r="H16" i="13" l="1"/>
  <c r="M16" i="13" s="1"/>
  <c r="B32" i="3"/>
  <c r="B52" i="1"/>
  <c r="B46" i="2"/>
  <c r="C46" i="2" s="1"/>
  <c r="C47" i="2" s="1"/>
  <c r="S32" i="13"/>
  <c r="S34" i="13" s="1"/>
  <c r="S36" i="13" s="1"/>
  <c r="S38" i="13" s="1"/>
  <c r="H13" i="13"/>
  <c r="M13" i="13" s="1"/>
  <c r="O13" i="13"/>
  <c r="O14" i="13"/>
  <c r="O15" i="13"/>
  <c r="S15" i="13" s="1"/>
  <c r="H14" i="13"/>
  <c r="M14" i="13" s="1"/>
  <c r="M18" i="13" l="1"/>
  <c r="S13" i="13"/>
  <c r="S14" i="13"/>
  <c r="C32" i="3"/>
  <c r="C33" i="3" s="1"/>
  <c r="C34" i="3" s="1"/>
  <c r="D32" i="3"/>
  <c r="D33" i="3" s="1"/>
  <c r="D34" i="3" s="1"/>
  <c r="F32" i="3"/>
  <c r="F33" i="3" s="1"/>
  <c r="F34" i="3" s="1"/>
  <c r="E32" i="3"/>
  <c r="E33" i="3" s="1"/>
  <c r="E34" i="3" s="1"/>
  <c r="K32" i="3"/>
  <c r="K33" i="3" s="1"/>
  <c r="K34" i="3" s="1"/>
  <c r="G32" i="3"/>
  <c r="G33" i="3" s="1"/>
  <c r="G34" i="3" s="1"/>
  <c r="G46" i="2"/>
  <c r="G47" i="2" s="1"/>
  <c r="E46" i="2"/>
  <c r="E47" i="2" s="1"/>
  <c r="F46" i="2"/>
  <c r="F47" i="2" s="1"/>
  <c r="D46" i="2"/>
  <c r="D47" i="2" s="1"/>
  <c r="S40" i="13"/>
  <c r="S42" i="13" s="1"/>
  <c r="O16" i="13" s="1"/>
  <c r="S16" i="13" s="1"/>
  <c r="H18" i="13"/>
  <c r="S18" i="13" l="1"/>
  <c r="G14" i="11"/>
  <c r="J14" i="11" s="1"/>
  <c r="B24" i="1" l="1"/>
  <c r="B23" i="1"/>
  <c r="M16" i="5"/>
  <c r="H23" i="1" l="1"/>
  <c r="H25" i="1" s="1"/>
  <c r="G23" i="1"/>
  <c r="G25" i="1" s="1"/>
  <c r="M23" i="1"/>
  <c r="M25" i="1" s="1"/>
  <c r="D23" i="1"/>
  <c r="D25" i="1" s="1"/>
  <c r="N23" i="1"/>
  <c r="N25" i="1" s="1"/>
  <c r="I23" i="1"/>
  <c r="I25" i="1" s="1"/>
  <c r="F23" i="1"/>
  <c r="F25" i="1" s="1"/>
  <c r="L23" i="1"/>
  <c r="L25" i="1" s="1"/>
  <c r="E23" i="1"/>
  <c r="E25" i="1" s="1"/>
  <c r="K23" i="1"/>
  <c r="K25" i="1" s="1"/>
  <c r="J23" i="1"/>
  <c r="J25" i="1" s="1"/>
  <c r="C23" i="1"/>
  <c r="C25" i="1" s="1"/>
  <c r="D24" i="1"/>
  <c r="D26" i="1" s="1"/>
  <c r="D39" i="1" s="1"/>
  <c r="I24" i="1"/>
  <c r="L24" i="1"/>
  <c r="F24" i="1"/>
  <c r="F26" i="1" s="1"/>
  <c r="K24" i="1"/>
  <c r="E24" i="1"/>
  <c r="E26" i="1" s="1"/>
  <c r="H24" i="1"/>
  <c r="C24" i="1"/>
  <c r="C26" i="1" s="1"/>
  <c r="N24" i="1"/>
  <c r="M24" i="1"/>
  <c r="G24" i="1"/>
  <c r="G26" i="1" s="1"/>
  <c r="G39" i="1" s="1"/>
  <c r="J24" i="1"/>
  <c r="N27" i="3"/>
  <c r="M27" i="3"/>
  <c r="L27" i="3"/>
  <c r="J27" i="3"/>
  <c r="I27" i="3"/>
  <c r="H27" i="3"/>
  <c r="N26" i="3"/>
  <c r="M26" i="3"/>
  <c r="L26" i="3"/>
  <c r="J26" i="3"/>
  <c r="I26" i="3"/>
  <c r="H26" i="3"/>
  <c r="N25" i="3"/>
  <c r="M25" i="3"/>
  <c r="L25" i="3"/>
  <c r="J25" i="3"/>
  <c r="I25" i="3"/>
  <c r="H25" i="3"/>
  <c r="N9" i="3"/>
  <c r="N14" i="3" s="1"/>
  <c r="N17" i="3" s="1"/>
  <c r="N23" i="3" s="1"/>
  <c r="M9" i="3"/>
  <c r="M14" i="3" s="1"/>
  <c r="M17" i="3" s="1"/>
  <c r="M23" i="3" s="1"/>
  <c r="L9" i="3"/>
  <c r="L14" i="3" s="1"/>
  <c r="L17" i="3" s="1"/>
  <c r="L23" i="3" s="1"/>
  <c r="J9" i="3"/>
  <c r="J14" i="3" s="1"/>
  <c r="J17" i="3" s="1"/>
  <c r="J23" i="3" s="1"/>
  <c r="I9" i="3"/>
  <c r="I14" i="3" s="1"/>
  <c r="I17" i="3" s="1"/>
  <c r="I23" i="3" s="1"/>
  <c r="H9" i="3"/>
  <c r="H14" i="3" s="1"/>
  <c r="H17" i="3" s="1"/>
  <c r="H23" i="3" s="1"/>
  <c r="N41" i="2"/>
  <c r="M41" i="2"/>
  <c r="L41" i="2"/>
  <c r="K41" i="2"/>
  <c r="J41" i="2"/>
  <c r="I41" i="2"/>
  <c r="H41" i="2"/>
  <c r="N39" i="2"/>
  <c r="M39" i="2"/>
  <c r="L39" i="2"/>
  <c r="K39" i="2"/>
  <c r="J39" i="2"/>
  <c r="I39" i="2"/>
  <c r="H39" i="2"/>
  <c r="N38" i="2"/>
  <c r="M38" i="2"/>
  <c r="L38" i="2"/>
  <c r="K38" i="2"/>
  <c r="J38" i="2"/>
  <c r="I38" i="2"/>
  <c r="H38" i="2"/>
  <c r="N8" i="2"/>
  <c r="N22" i="2" s="1"/>
  <c r="N35" i="2" s="1"/>
  <c r="M8" i="2"/>
  <c r="M19" i="2" s="1"/>
  <c r="M22" i="2" s="1"/>
  <c r="M35" i="2" s="1"/>
  <c r="L8" i="2"/>
  <c r="L19" i="2" s="1"/>
  <c r="L22" i="2" s="1"/>
  <c r="L35" i="2" s="1"/>
  <c r="K8" i="2"/>
  <c r="K19" i="2" s="1"/>
  <c r="K22" i="2" s="1"/>
  <c r="K35" i="2" s="1"/>
  <c r="J8" i="2"/>
  <c r="J19" i="2" s="1"/>
  <c r="J22" i="2" s="1"/>
  <c r="J35" i="2" s="1"/>
  <c r="I8" i="2"/>
  <c r="I19" i="2" s="1"/>
  <c r="I22" i="2" s="1"/>
  <c r="I35" i="2" s="1"/>
  <c r="H8" i="2"/>
  <c r="H19" i="2" s="1"/>
  <c r="H22" i="2" s="1"/>
  <c r="H35" i="2" s="1"/>
  <c r="C39" i="1" l="1"/>
  <c r="F39" i="1"/>
  <c r="E39" i="1"/>
  <c r="I42" i="2"/>
  <c r="I43" i="2" s="1"/>
  <c r="I45" i="2" s="1"/>
  <c r="I46" i="2" s="1"/>
  <c r="I47" i="2" s="1"/>
  <c r="M42" i="2"/>
  <c r="M43" i="2"/>
  <c r="M45" i="2" s="1"/>
  <c r="M46" i="2" s="1"/>
  <c r="M47" i="2" s="1"/>
  <c r="J42" i="2"/>
  <c r="J43" i="2" s="1"/>
  <c r="J45" i="2" s="1"/>
  <c r="J46" i="2" s="1"/>
  <c r="J47" i="2" s="1"/>
  <c r="N42" i="2"/>
  <c r="N43" i="2" s="1"/>
  <c r="N45" i="2" s="1"/>
  <c r="N46" i="2" s="1"/>
  <c r="N47" i="2" s="1"/>
  <c r="K42" i="2"/>
  <c r="K43" i="2" s="1"/>
  <c r="K45" i="2" s="1"/>
  <c r="K46" i="2" s="1"/>
  <c r="K47" i="2" s="1"/>
  <c r="H42" i="2"/>
  <c r="H43" i="2" s="1"/>
  <c r="H45" i="2" s="1"/>
  <c r="H46" i="2" s="1"/>
  <c r="H47" i="2" s="1"/>
  <c r="L42" i="2"/>
  <c r="L43" i="2" s="1"/>
  <c r="L45" i="2" s="1"/>
  <c r="L46" i="2" s="1"/>
  <c r="L47" i="2" s="1"/>
  <c r="J28" i="3"/>
  <c r="J29" i="3" s="1"/>
  <c r="J31" i="3" s="1"/>
  <c r="J32" i="3" s="1"/>
  <c r="J33" i="3" s="1"/>
  <c r="J34" i="3" s="1"/>
  <c r="N28" i="3"/>
  <c r="H28" i="3"/>
  <c r="H29" i="3" s="1"/>
  <c r="H31" i="3" s="1"/>
  <c r="H32" i="3" s="1"/>
  <c r="H33" i="3" s="1"/>
  <c r="H34" i="3" s="1"/>
  <c r="I28" i="3"/>
  <c r="I29" i="3" s="1"/>
  <c r="I31" i="3" s="1"/>
  <c r="I32" i="3" s="1"/>
  <c r="I33" i="3" s="1"/>
  <c r="I34" i="3" s="1"/>
  <c r="M28" i="3"/>
  <c r="M29" i="3" s="1"/>
  <c r="M31" i="3" s="1"/>
  <c r="M32" i="3" s="1"/>
  <c r="M33" i="3" s="1"/>
  <c r="M34" i="3" s="1"/>
  <c r="N29" i="3"/>
  <c r="N31" i="3" s="1"/>
  <c r="N32" i="3" s="1"/>
  <c r="N33" i="3" s="1"/>
  <c r="N34" i="3" s="1"/>
  <c r="L28" i="3"/>
  <c r="L29" i="3" s="1"/>
  <c r="L31" i="3" s="1"/>
  <c r="L32" i="3" s="1"/>
  <c r="L33" i="3" s="1"/>
  <c r="L34" i="3" s="1"/>
  <c r="N47" i="1"/>
  <c r="M47" i="1"/>
  <c r="L47" i="1"/>
  <c r="K47" i="1"/>
  <c r="J47" i="1"/>
  <c r="I47" i="1"/>
  <c r="H47" i="1"/>
  <c r="B89" i="1"/>
  <c r="N42" i="1"/>
  <c r="M42" i="1"/>
  <c r="L42" i="1"/>
  <c r="K42" i="1"/>
  <c r="J42" i="1"/>
  <c r="I42" i="1"/>
  <c r="N8" i="1"/>
  <c r="N21" i="1" s="1"/>
  <c r="M8" i="1"/>
  <c r="M21" i="1" s="1"/>
  <c r="L8" i="1"/>
  <c r="L21" i="1" s="1"/>
  <c r="K8" i="1"/>
  <c r="K21" i="1" s="1"/>
  <c r="J8" i="1"/>
  <c r="J21" i="1" s="1"/>
  <c r="I8" i="1"/>
  <c r="I21" i="1" s="1"/>
  <c r="G44" i="1" l="1"/>
  <c r="C44" i="1"/>
  <c r="D43" i="1"/>
  <c r="E43" i="1"/>
  <c r="F44" i="1"/>
  <c r="G43" i="1"/>
  <c r="C43" i="1"/>
  <c r="E44" i="1"/>
  <c r="F43" i="1"/>
  <c r="D44" i="1"/>
  <c r="L20" i="1"/>
  <c r="L26" i="1" s="1"/>
  <c r="L39" i="1" s="1"/>
  <c r="M20" i="1"/>
  <c r="M26" i="1" s="1"/>
  <c r="M39" i="1" s="1"/>
  <c r="K20" i="1"/>
  <c r="K26" i="1" s="1"/>
  <c r="K39" i="1" s="1"/>
  <c r="I20" i="1"/>
  <c r="I26" i="1" s="1"/>
  <c r="I39" i="1" s="1"/>
  <c r="J20" i="1"/>
  <c r="J26" i="1" s="1"/>
  <c r="J39" i="1" s="1"/>
  <c r="N20" i="1"/>
  <c r="N26" i="1" s="1"/>
  <c r="N39" i="1" s="1"/>
  <c r="H44" i="1"/>
  <c r="H43" i="1"/>
  <c r="L44" i="1"/>
  <c r="L43" i="1"/>
  <c r="L48" i="1" s="1"/>
  <c r="L49" i="1" s="1"/>
  <c r="L51" i="1" s="1"/>
  <c r="L52" i="1" s="1"/>
  <c r="I43" i="1"/>
  <c r="M43" i="1"/>
  <c r="I44" i="1"/>
  <c r="M44" i="1"/>
  <c r="J43" i="1"/>
  <c r="N43" i="1"/>
  <c r="J44" i="1"/>
  <c r="N44" i="1"/>
  <c r="K43" i="1"/>
  <c r="K44" i="1"/>
  <c r="F48" i="1" l="1"/>
  <c r="F49" i="1" s="1"/>
  <c r="F51" i="1" s="1"/>
  <c r="F52" i="1" s="1"/>
  <c r="F53" i="1" s="1"/>
  <c r="C13" i="6" s="1"/>
  <c r="C48" i="1"/>
  <c r="G48" i="1"/>
  <c r="M48" i="1"/>
  <c r="M49" i="1" s="1"/>
  <c r="M51" i="1" s="1"/>
  <c r="M52" i="1" s="1"/>
  <c r="M53" i="1" s="1"/>
  <c r="E48" i="1"/>
  <c r="E49" i="1" s="1"/>
  <c r="E51" i="1" s="1"/>
  <c r="E52" i="1" s="1"/>
  <c r="E53" i="1" s="1"/>
  <c r="C12" i="6" s="1"/>
  <c r="C49" i="1"/>
  <c r="C51" i="1" s="1"/>
  <c r="C52" i="1" s="1"/>
  <c r="C53" i="1" s="1"/>
  <c r="D48" i="1"/>
  <c r="G49" i="1"/>
  <c r="G51" i="1" s="1"/>
  <c r="G52" i="1" s="1"/>
  <c r="G53" i="1" s="1"/>
  <c r="C14" i="6" s="1"/>
  <c r="N48" i="1"/>
  <c r="N49" i="1" s="1"/>
  <c r="N51" i="1" s="1"/>
  <c r="N52" i="1" s="1"/>
  <c r="N53" i="1" s="1"/>
  <c r="C21" i="6" s="1"/>
  <c r="K48" i="1"/>
  <c r="K49" i="1" s="1"/>
  <c r="K51" i="1" s="1"/>
  <c r="K52" i="1" s="1"/>
  <c r="K53" i="1" s="1"/>
  <c r="C18" i="6" s="1"/>
  <c r="I48" i="1"/>
  <c r="I49" i="1" s="1"/>
  <c r="I51" i="1" s="1"/>
  <c r="I52" i="1" s="1"/>
  <c r="I53" i="1" s="1"/>
  <c r="C16" i="6" s="1"/>
  <c r="L53" i="1"/>
  <c r="C19" i="6" s="1"/>
  <c r="J48" i="1"/>
  <c r="J49" i="1" s="1"/>
  <c r="J51" i="1" s="1"/>
  <c r="C10" i="6" l="1"/>
  <c r="E10" i="6" s="1"/>
  <c r="M57" i="1"/>
  <c r="M58" i="1" s="1"/>
  <c r="C20" i="6"/>
  <c r="E20" i="6" s="1"/>
  <c r="G57" i="1"/>
  <c r="G58" i="1" s="1"/>
  <c r="E14" i="6"/>
  <c r="C57" i="1"/>
  <c r="E57" i="1"/>
  <c r="E58" i="1" s="1"/>
  <c r="E12" i="6"/>
  <c r="L57" i="1"/>
  <c r="L58" i="1" s="1"/>
  <c r="I57" i="1"/>
  <c r="I58" i="1" s="1"/>
  <c r="E16" i="6"/>
  <c r="F57" i="1"/>
  <c r="F58" i="1" s="1"/>
  <c r="E13" i="6"/>
  <c r="K57" i="1"/>
  <c r="K58" i="1" s="1"/>
  <c r="E18" i="6"/>
  <c r="E19" i="6"/>
  <c r="E21" i="6"/>
  <c r="N57" i="1"/>
  <c r="N58" i="1" s="1"/>
  <c r="D49" i="1"/>
  <c r="D51" i="1" s="1"/>
  <c r="D52" i="1" s="1"/>
  <c r="D53" i="1" s="1"/>
  <c r="C11" i="6" s="1"/>
  <c r="J52" i="1"/>
  <c r="J53" i="1" s="1"/>
  <c r="C17" i="6" s="1"/>
  <c r="H48" i="1"/>
  <c r="H42" i="1"/>
  <c r="H8" i="1"/>
  <c r="H21" i="1" s="1"/>
  <c r="C58" i="1" l="1"/>
  <c r="J57" i="1"/>
  <c r="J58" i="1" s="1"/>
  <c r="E17" i="6"/>
  <c r="D57" i="1"/>
  <c r="D58" i="1" s="1"/>
  <c r="E11" i="6"/>
  <c r="H20" i="1"/>
  <c r="H26" i="1" s="1"/>
  <c r="H39" i="1" s="1"/>
  <c r="H49" i="1"/>
  <c r="H51" i="1" s="1"/>
  <c r="H52" i="1" l="1"/>
  <c r="H53" i="1" s="1"/>
  <c r="A10" i="11"/>
  <c r="A11" i="11" s="1"/>
  <c r="C15" i="6" l="1"/>
  <c r="O53" i="1"/>
  <c r="H57" i="1"/>
  <c r="N17" i="9"/>
  <c r="L17" i="9"/>
  <c r="A20" i="9"/>
  <c r="A21" i="9" s="1"/>
  <c r="A22" i="9" s="1"/>
  <c r="A23" i="9" s="1"/>
  <c r="M17" i="9"/>
  <c r="K16" i="5"/>
  <c r="H58" i="1" l="1"/>
  <c r="O58" i="1" s="1"/>
  <c r="E11" i="11" s="1"/>
  <c r="O57" i="1"/>
  <c r="C23" i="6"/>
  <c r="E15" i="6"/>
  <c r="L20" i="9"/>
  <c r="L21" i="9"/>
  <c r="M19" i="9"/>
  <c r="M23" i="9"/>
  <c r="M22" i="9"/>
  <c r="M21" i="9"/>
  <c r="M20" i="9"/>
  <c r="N15" i="9"/>
  <c r="L16" i="5"/>
  <c r="N22" i="9"/>
  <c r="L22" i="9"/>
  <c r="N20" i="9"/>
  <c r="N21" i="9"/>
  <c r="N23" i="9"/>
  <c r="N19" i="9"/>
  <c r="E23" i="6"/>
  <c r="L19" i="9"/>
  <c r="L23" i="9"/>
  <c r="E15" i="9"/>
  <c r="I15" i="9"/>
  <c r="M15" i="9"/>
  <c r="F15" i="9"/>
  <c r="J15" i="9"/>
  <c r="C15" i="9"/>
  <c r="G15" i="9"/>
  <c r="K15" i="9"/>
  <c r="D15" i="9"/>
  <c r="H15" i="9"/>
  <c r="L15" i="9"/>
  <c r="K17" i="9"/>
  <c r="K22" i="9" s="1"/>
  <c r="I16" i="5"/>
  <c r="J17" i="9"/>
  <c r="J20" i="9" s="1"/>
  <c r="I17" i="9"/>
  <c r="I19" i="9" s="1"/>
  <c r="H17" i="9"/>
  <c r="H19" i="9" s="1"/>
  <c r="G17" i="9"/>
  <c r="G20" i="9" s="1"/>
  <c r="F17" i="9"/>
  <c r="F19" i="9" s="1"/>
  <c r="E17" i="9"/>
  <c r="D17" i="9"/>
  <c r="D21" i="9" s="1"/>
  <c r="C17" i="9"/>
  <c r="C19" i="9" s="1"/>
  <c r="G23" i="9" l="1"/>
  <c r="K20" i="9"/>
  <c r="K19" i="9"/>
  <c r="J19" i="9"/>
  <c r="G22" i="9"/>
  <c r="E16" i="5"/>
  <c r="D16" i="5"/>
  <c r="C16" i="5"/>
  <c r="C20" i="9"/>
  <c r="I22" i="9"/>
  <c r="I21" i="9"/>
  <c r="I23" i="9"/>
  <c r="H16" i="5"/>
  <c r="H23" i="9"/>
  <c r="K21" i="9"/>
  <c r="F21" i="9"/>
  <c r="D23" i="9"/>
  <c r="G21" i="9"/>
  <c r="I20" i="9"/>
  <c r="H21" i="9"/>
  <c r="H22" i="9"/>
  <c r="G16" i="5"/>
  <c r="C23" i="9"/>
  <c r="C22" i="9"/>
  <c r="D19" i="9"/>
  <c r="D22" i="9"/>
  <c r="E19" i="9"/>
  <c r="E21" i="9"/>
  <c r="E23" i="9"/>
  <c r="E22" i="9"/>
  <c r="E20" i="9"/>
  <c r="F22" i="9"/>
  <c r="F23" i="9"/>
  <c r="B16" i="5"/>
  <c r="F16" i="5"/>
  <c r="J23" i="9"/>
  <c r="J22" i="9"/>
  <c r="J21" i="9"/>
  <c r="J16" i="5"/>
  <c r="G19" i="9"/>
  <c r="K23" i="9"/>
  <c r="C21" i="9"/>
  <c r="D20" i="9"/>
  <c r="F20" i="9"/>
  <c r="H20" i="9"/>
  <c r="O23" i="9" l="1"/>
  <c r="O19" i="9"/>
  <c r="O20" i="9"/>
  <c r="O21" i="9"/>
  <c r="O22" i="9"/>
  <c r="E12" i="11"/>
  <c r="L14" i="11" s="1"/>
  <c r="O26" i="9" l="1"/>
</calcChain>
</file>

<file path=xl/sharedStrings.xml><?xml version="1.0" encoding="utf-8"?>
<sst xmlns="http://schemas.openxmlformats.org/spreadsheetml/2006/main" count="2017" uniqueCount="1815">
  <si>
    <t>Cost Component</t>
  </si>
  <si>
    <t>Utility Plant at Original Cost</t>
  </si>
  <si>
    <t>Less Accumulated Depreciation</t>
  </si>
  <si>
    <t>Less Accumulated Deferred Income Tax</t>
  </si>
  <si>
    <t>Net Utility Plant</t>
  </si>
  <si>
    <t>*SO2 Emission Allowance Inventory</t>
  </si>
  <si>
    <t>*CSAPR S02 Emission Allowance Inventory</t>
  </si>
  <si>
    <t>*CSAPR NOx Emission Allowance Inventory (Seasonal)</t>
  </si>
  <si>
    <t>*CSAPR AN Emission Allowance Inventory (Annual)</t>
  </si>
  <si>
    <t>Limestone Inventory (1540006)</t>
  </si>
  <si>
    <t>Urea Inventory (1540012)</t>
  </si>
  <si>
    <t>Limestone In-Transit Inventory (1540022)</t>
  </si>
  <si>
    <t>Urea In-Transit Inventory (1540023)</t>
  </si>
  <si>
    <t>Cash Working Capital Allowance</t>
  </si>
  <si>
    <t>Total Rate Base</t>
  </si>
  <si>
    <t>Weighted Average Cost of Capital</t>
  </si>
  <si>
    <t>Monthly Weighted Avg. Cost of Capital</t>
  </si>
  <si>
    <t>Monthly Return on Rate Base</t>
  </si>
  <si>
    <t>Monthly Disposal (5010000)</t>
  </si>
  <si>
    <t>Monthly Fly Ash Sales (5010012)***</t>
  </si>
  <si>
    <t>Monthly Urea Expense (5020002)</t>
  </si>
  <si>
    <t>Monthly Trona Expense (5020003)</t>
  </si>
  <si>
    <t>Monthly Lime Stone Expense (5020004)</t>
  </si>
  <si>
    <t>Monthly Polymer Expense (5020005)*</t>
  </si>
  <si>
    <t>Monthly Lime Hydrate Expense (5020007)</t>
  </si>
  <si>
    <t>Monthly WV Air Emission Fee</t>
  </si>
  <si>
    <t>SO2 Consumption **</t>
  </si>
  <si>
    <t>CSAPR S02 Consumption  **</t>
  </si>
  <si>
    <t>CSAPR Annual NOx Consumption</t>
  </si>
  <si>
    <t>CSAPR Seasonal NOx consumption</t>
  </si>
  <si>
    <t>Total Monthly Operation Costs</t>
  </si>
  <si>
    <t>Monthly FGD Maintenance Expense</t>
  </si>
  <si>
    <t>Monthly Non-FGD Maintenance Expense</t>
  </si>
  <si>
    <t xml:space="preserve"> </t>
  </si>
  <si>
    <t>Total Monthly Maintenance Expense</t>
  </si>
  <si>
    <t>Monthly Depreciation Expense</t>
  </si>
  <si>
    <t>Monthly Catalyst Amortization Expense</t>
  </si>
  <si>
    <t>Monthly Property Tax</t>
  </si>
  <si>
    <t>Total Monthly Other Expenses</t>
  </si>
  <si>
    <t>Total Monthly Operation, Maintenance, and Other Expenses</t>
  </si>
  <si>
    <t>O&amp;M for corresponding month of test year</t>
  </si>
  <si>
    <t>Difference in Test Year Month O&amp;M &amp; Current Month O&amp;M</t>
  </si>
  <si>
    <t>Total Revenue Requirement</t>
  </si>
  <si>
    <t>ML Non-FGD Revenue Requirement</t>
  </si>
  <si>
    <t>Utility Plant at Original Cost Unit 1</t>
  </si>
  <si>
    <t>Utility Plant at Original Cost Unit 2</t>
  </si>
  <si>
    <t>Activated Carbon Inventory (1540025)</t>
  </si>
  <si>
    <t>Anhydrous Ammonia Inventory (1540028)</t>
  </si>
  <si>
    <t>Sodium Bicarbonate Inventory (1540029)</t>
  </si>
  <si>
    <t>Monthly Sodium Bicarbonate (5020028)</t>
  </si>
  <si>
    <t>Monthly Brominated Activated Carbon (5020008)</t>
  </si>
  <si>
    <t>Monthly Anhydrous Ammonia (5020013)</t>
  </si>
  <si>
    <t>Monthly IN Air Emission Fee</t>
  </si>
  <si>
    <t>Monthly Maintenance Expense</t>
  </si>
  <si>
    <t>Monthly Depreciation Expense Unit 1</t>
  </si>
  <si>
    <t>Monthly Depreciation Expense Unit 2</t>
  </si>
  <si>
    <t xml:space="preserve">Difference in Base Level O&amp;M &amp; Current Month O&amp;M </t>
  </si>
  <si>
    <t>KPCo Share of Environmental Revenue Requirement</t>
  </si>
  <si>
    <t>Gain or Loss on Sale of Allowances</t>
  </si>
  <si>
    <t>Kentucky Retail Revenues</t>
  </si>
  <si>
    <t>FERC Wholesale Revenues</t>
  </si>
  <si>
    <t>Associated Utilities Revenues</t>
  </si>
  <si>
    <t>Non-Assoc. Utilties Revenues</t>
  </si>
  <si>
    <t>Total Revenues for Surcharges Purposes</t>
  </si>
  <si>
    <t>-------------------</t>
  </si>
  <si>
    <t>Kentucky Retail % of Total Revenues</t>
  </si>
  <si>
    <t>FERC Wholesale % of Total Revenues</t>
  </si>
  <si>
    <t>Associated Utilities % of Total Revenues</t>
  </si>
  <si>
    <t>Non-Assoc. Utilties % of Total Revenues</t>
  </si>
  <si>
    <t>ES FORM 3.30</t>
  </si>
  <si>
    <t>Allocation Factors</t>
  </si>
  <si>
    <t>Total %</t>
  </si>
  <si>
    <t>Ln No.</t>
  </si>
  <si>
    <t>Mitchell Non-FGD</t>
  </si>
  <si>
    <t>Adjusted Environmental Base</t>
  </si>
  <si>
    <t>Month / Year</t>
  </si>
  <si>
    <t/>
  </si>
  <si>
    <t>Total</t>
  </si>
  <si>
    <t>Kentucky Power Company</t>
  </si>
  <si>
    <t>Description</t>
  </si>
  <si>
    <t>Total Operating Expense</t>
  </si>
  <si>
    <t>502X-Consumables</t>
  </si>
  <si>
    <t>408100515--Property Tax</t>
  </si>
  <si>
    <t>4030001--Depreciation</t>
  </si>
  <si>
    <t>5010027--Gypsum Disposal</t>
  </si>
  <si>
    <t>5120000--FGD Maintenance Expense</t>
  </si>
  <si>
    <t>Total Mitchell FGD Operating Expenses</t>
  </si>
  <si>
    <t xml:space="preserve">Retail Allocation Factor </t>
  </si>
  <si>
    <t>Retail Allocation of  FGD Expenses</t>
  </si>
  <si>
    <t>Total FGD Operating Expense Adjustment</t>
  </si>
  <si>
    <r>
      <t xml:space="preserve">Line </t>
    </r>
    <r>
      <rPr>
        <b/>
        <u/>
        <sz val="10"/>
        <rFont val="Times New Roman"/>
        <family val="1"/>
      </rPr>
      <t>No.</t>
    </r>
  </si>
  <si>
    <t>Witness: Lerah M. Scott</t>
  </si>
  <si>
    <t>WV Listing Percentage</t>
  </si>
  <si>
    <t>Pollution Control Value (Salvage)</t>
  </si>
  <si>
    <t>Line No.</t>
  </si>
  <si>
    <t>Amount</t>
  </si>
  <si>
    <t>Tariff ES</t>
  </si>
  <si>
    <t>Subtotal Environmental Cost Recovery Revenues (1+2-3)</t>
  </si>
  <si>
    <t>Reduce Base Revenues</t>
  </si>
  <si>
    <t>Less Deferrals:</t>
  </si>
  <si>
    <t>Allocated Adj Amount</t>
  </si>
  <si>
    <t>PDAF</t>
  </si>
  <si>
    <t>Billed &amp; Accrued Environmental Surcharge Revenues for Test Year</t>
  </si>
  <si>
    <t>Formula</t>
  </si>
  <si>
    <t>Total Adjusted Non-FGD Revenue Requirement</t>
  </si>
  <si>
    <t>Retail Non-FGD Allocation</t>
  </si>
  <si>
    <t>Check</t>
  </si>
  <si>
    <t>SCR Depreciated at 12.5%</t>
  </si>
  <si>
    <t>Property Tax *</t>
  </si>
  <si>
    <t>* Indiana does not currently assess property taxes on environmental controls.</t>
  </si>
  <si>
    <t>%,LACTUALS,SBAL</t>
  </si>
  <si>
    <t>%,ATF,FACCOUNT</t>
  </si>
  <si>
    <t>%,ATT,FDESCR,UDESCR</t>
  </si>
  <si>
    <t>%,LACTUALS,SPER</t>
  </si>
  <si>
    <t>%,LACTUALS,SPER-1YR</t>
  </si>
  <si>
    <t>%,C</t>
  </si>
  <si>
    <t>%,LACTUALS,SYTD</t>
  </si>
  <si>
    <t>%,LACTUALS,SYTD-1YR</t>
  </si>
  <si>
    <t>%,LACTUALS,SQTR</t>
  </si>
  <si>
    <t>%,LACTUALS,SQTR-1YR</t>
  </si>
  <si>
    <t>%,LACTUALS,SROLLING12</t>
  </si>
  <si>
    <t>%,LACTUALS,SROLNG12-1Y</t>
  </si>
  <si>
    <t>%,LACTUALS,SPER12-2Y</t>
  </si>
  <si>
    <t>%,LACTUALS,SPER1-1YR</t>
  </si>
  <si>
    <t>%,LACTUALS,SPER2-1YR</t>
  </si>
  <si>
    <t>%,LACTUALS,SPER3-1YR</t>
  </si>
  <si>
    <t>%,LACTUALS,SPER4-1YR</t>
  </si>
  <si>
    <t>%,LACTUALS,SPER5-1YR</t>
  </si>
  <si>
    <t>%,LACTUALS,SPER6-1YR</t>
  </si>
  <si>
    <t>%,LACTUALS,SPER7-1YR</t>
  </si>
  <si>
    <t>%,LACTUALS,SPER8-1YR</t>
  </si>
  <si>
    <t>%,LACTUALS,SPER9-1YR</t>
  </si>
  <si>
    <t>%,LACTUALS,SPER10-1YR</t>
  </si>
  <si>
    <t>%,LACTUALS,SPER11-1YR</t>
  </si>
  <si>
    <t>%,LACTUALS,SPER12-YR</t>
  </si>
  <si>
    <t>%,LACTUALS,SPER1</t>
  </si>
  <si>
    <t>%,LACTUALS,SPER2</t>
  </si>
  <si>
    <t>%,LACTUALS,SPER3</t>
  </si>
  <si>
    <t>%,LACTUALS,SPER4</t>
  </si>
  <si>
    <t>%,LACTUALS,SPER5</t>
  </si>
  <si>
    <t>%,LACTUALS,SPER6</t>
  </si>
  <si>
    <t>%,LACTUALS,SPER7</t>
  </si>
  <si>
    <t>%,LACTUALS,SPER8</t>
  </si>
  <si>
    <t>%,LACTUALS,SPER9</t>
  </si>
  <si>
    <t>%,LACTUALS,SPER10</t>
  </si>
  <si>
    <t>%,LACTUALS,SPER11</t>
  </si>
  <si>
    <t>%,LACTUALS,SPER12</t>
  </si>
  <si>
    <t>Kentucky Power Corp Consol</t>
  </si>
  <si>
    <t>GLR6283P</t>
  </si>
  <si>
    <t>ONE MONTH ENDED</t>
  </si>
  <si>
    <t>Variance</t>
  </si>
  <si>
    <t>YEAR TO DATE</t>
  </si>
  <si>
    <t>THREE MONTHS ENDED</t>
  </si>
  <si>
    <t>TWELVE MONTHS ENDED</t>
  </si>
  <si>
    <t>KYP_CORP_CONSOL</t>
  </si>
  <si>
    <t>$</t>
  </si>
  <si>
    <t>%</t>
  </si>
  <si>
    <t>Explanation</t>
  </si>
  <si>
    <t>FERC Form</t>
  </si>
  <si>
    <t>INCOME STATEMENT</t>
  </si>
  <si>
    <t>Line 1</t>
  </si>
  <si>
    <t>Utility Operating Income</t>
  </si>
  <si>
    <t>%,V4400001</t>
  </si>
  <si>
    <t>4400001</t>
  </si>
  <si>
    <t>Residential Sales-W/Space Htg</t>
  </si>
  <si>
    <t>%,V4400002</t>
  </si>
  <si>
    <t>4400002</t>
  </si>
  <si>
    <t>Residential Sales-W/O Space Ht</t>
  </si>
  <si>
    <t>%,V4400005</t>
  </si>
  <si>
    <t>4400005</t>
  </si>
  <si>
    <t>Residential Fuel Rev</t>
  </si>
  <si>
    <t>%,R,FACCOUNT,TGL_FERC_ACCT,XDYYNNY01,N4400</t>
  </si>
  <si>
    <t>Residential Sales</t>
  </si>
  <si>
    <t>%,V4420001</t>
  </si>
  <si>
    <t>4420001</t>
  </si>
  <si>
    <t>Commercial Sales</t>
  </si>
  <si>
    <t>%,V4420002</t>
  </si>
  <si>
    <t>4420002</t>
  </si>
  <si>
    <t>Industrial Sales (Excl Mines)</t>
  </si>
  <si>
    <t>%,V4420004</t>
  </si>
  <si>
    <t>4420004</t>
  </si>
  <si>
    <t>Ind Sales-NonAffil(Incl Mines)</t>
  </si>
  <si>
    <t>%,V4420006</t>
  </si>
  <si>
    <t>4420006</t>
  </si>
  <si>
    <t>Sales to Pub Auth - Schools</t>
  </si>
  <si>
    <t>%,V4420007</t>
  </si>
  <si>
    <t>4420007</t>
  </si>
  <si>
    <t>Sales to Pub Auth - Ex Schools</t>
  </si>
  <si>
    <t>%,V4420013</t>
  </si>
  <si>
    <t>4420013</t>
  </si>
  <si>
    <t>Commercial Fuel Rev</t>
  </si>
  <si>
    <t>%,V4420016</t>
  </si>
  <si>
    <t>4420016</t>
  </si>
  <si>
    <t>Industrial Fuel Rev</t>
  </si>
  <si>
    <t>%,R,FACCOUNT,TGL_FERC_ACCT,XDYYNNY01,N4420</t>
  </si>
  <si>
    <t>%,V4440000</t>
  </si>
  <si>
    <t>4440000</t>
  </si>
  <si>
    <t>Public Street/Highway Lighting</t>
  </si>
  <si>
    <t>%,V4440002</t>
  </si>
  <si>
    <t>4440002</t>
  </si>
  <si>
    <t>Public St &amp; Hwy Light Fuel Rev</t>
  </si>
  <si>
    <t>%,R,FACCOUNT,TGL_FERC_ACCT,XDYYNNY01,N4440,N4450,N4460,N4480</t>
  </si>
  <si>
    <t>Public Streets and Highway Lighting</t>
  </si>
  <si>
    <t>%,V4470006</t>
  </si>
  <si>
    <t>4470006</t>
  </si>
  <si>
    <t>Sales for Resale-Bookout Sales</t>
  </si>
  <si>
    <t>%,V4470010</t>
  </si>
  <si>
    <t>4470010</t>
  </si>
  <si>
    <t>Sales for Resale-Bookout Purch</t>
  </si>
  <si>
    <t>%,V4470027</t>
  </si>
  <si>
    <t>4470027</t>
  </si>
  <si>
    <t>Whsal/Muni/Pb Ath Fuel Rev</t>
  </si>
  <si>
    <t>%,V4470033</t>
  </si>
  <si>
    <t>4470033</t>
  </si>
  <si>
    <t>Whsal/Muni/Pub Auth Base Rev</t>
  </si>
  <si>
    <t>%,V4470074</t>
  </si>
  <si>
    <t>4470074</t>
  </si>
  <si>
    <t>Sale for Resale-Aff-Trnf Price</t>
  </si>
  <si>
    <t>%,V4470082</t>
  </si>
  <si>
    <t>4470082</t>
  </si>
  <si>
    <t>Financial Electric Realized</t>
  </si>
  <si>
    <t>%,V4470089</t>
  </si>
  <si>
    <t>4470089</t>
  </si>
  <si>
    <t>PJM Energy Sales Margin</t>
  </si>
  <si>
    <t>%,V4470098</t>
  </si>
  <si>
    <t>4470098</t>
  </si>
  <si>
    <t>PJM Oper.Reserve Rev-OSS</t>
  </si>
  <si>
    <t>%,V4470099</t>
  </si>
  <si>
    <t>4470099</t>
  </si>
  <si>
    <t>Capacity Cr. Net Sales</t>
  </si>
  <si>
    <t>%,V4470100</t>
  </si>
  <si>
    <t>4470100</t>
  </si>
  <si>
    <t>PJM FTR Revenue-OSS</t>
  </si>
  <si>
    <t>%,V4470103</t>
  </si>
  <si>
    <t>4470103</t>
  </si>
  <si>
    <t>PJM Energy Sales Cost</t>
  </si>
  <si>
    <t>%,V4470110</t>
  </si>
  <si>
    <t>4470110</t>
  </si>
  <si>
    <t>PJM TO Admin. Exp.-NonAff.</t>
  </si>
  <si>
    <t>%,V4470115</t>
  </si>
  <si>
    <t>4470115</t>
  </si>
  <si>
    <t>PJM Meter Corrections-OSS</t>
  </si>
  <si>
    <t>%,V4470116</t>
  </si>
  <si>
    <t>4470116</t>
  </si>
  <si>
    <t>PJM Meter Corrections-LSE</t>
  </si>
  <si>
    <t>%,V4470126</t>
  </si>
  <si>
    <t>4470126</t>
  </si>
  <si>
    <t>PJM Incremental Imp Cong-OSS</t>
  </si>
  <si>
    <t>%,V4470131</t>
  </si>
  <si>
    <t>4470131</t>
  </si>
  <si>
    <t>Non-Trading Bookout Purch-OSS</t>
  </si>
  <si>
    <t>%,V4470143</t>
  </si>
  <si>
    <t>4470143</t>
  </si>
  <si>
    <t>Financial Hedge Realized</t>
  </si>
  <si>
    <t>%,V4470150</t>
  </si>
  <si>
    <t>4470150</t>
  </si>
  <si>
    <t>Transm. Rev.-Dedic. Whlsl/Muni</t>
  </si>
  <si>
    <t>%,V4470151</t>
  </si>
  <si>
    <t>4470151</t>
  </si>
  <si>
    <t>Trading Auction Sales Affil</t>
  </si>
  <si>
    <t>%,V4470175</t>
  </si>
  <si>
    <t>4470175</t>
  </si>
  <si>
    <t>OSS Sharing Reclass - Retail</t>
  </si>
  <si>
    <t>%,V4470176</t>
  </si>
  <si>
    <t>4470176</t>
  </si>
  <si>
    <t>OSS Sharing Reclass-Reduction</t>
  </si>
  <si>
    <t>%,V4470206</t>
  </si>
  <si>
    <t>4470206</t>
  </si>
  <si>
    <t>PJM Trans loss credits-OSS</t>
  </si>
  <si>
    <t>%,V4470209</t>
  </si>
  <si>
    <t>4470209</t>
  </si>
  <si>
    <t>PJM transm loss charges-OSS</t>
  </si>
  <si>
    <t>%,V4470214</t>
  </si>
  <si>
    <t>4470214</t>
  </si>
  <si>
    <t>PJM 30m Suppl Reserve CR OSS</t>
  </si>
  <si>
    <t>%,V4470215</t>
  </si>
  <si>
    <t>4470215</t>
  </si>
  <si>
    <t>PJM 30m Suppl Reserve CH OSS</t>
  </si>
  <si>
    <t>%,V4470220</t>
  </si>
  <si>
    <t>4470220</t>
  </si>
  <si>
    <t>PJM Regulation - OSS</t>
  </si>
  <si>
    <t>%,V4470221</t>
  </si>
  <si>
    <t>4470221</t>
  </si>
  <si>
    <t>PJM Spinning Reserve - OSS</t>
  </si>
  <si>
    <t>%,V4470222</t>
  </si>
  <si>
    <t>4470222</t>
  </si>
  <si>
    <t>PJM Reasctive - OSS</t>
  </si>
  <si>
    <t>%,R,FACCOUNT,TGL_FERC_ACCT,XDYYNNY01,N4470</t>
  </si>
  <si>
    <t>Sales for Resale</t>
  </si>
  <si>
    <t>Sales of Electricity</t>
  </si>
  <si>
    <t>%,V4491002</t>
  </si>
  <si>
    <t>4491002</t>
  </si>
  <si>
    <t>Prov Rate Refund-Nonaffiliated</t>
  </si>
  <si>
    <t>%,V4491003</t>
  </si>
  <si>
    <t>4491003</t>
  </si>
  <si>
    <t>Prov Rate Refund - Retail</t>
  </si>
  <si>
    <t>%,V4491004</t>
  </si>
  <si>
    <t>4491004</t>
  </si>
  <si>
    <t>Prov Rate Refund - Affiliated</t>
  </si>
  <si>
    <t>%,R,FACCOUNT,TGL_FERC_ACCT,XDYYNNY01,N449</t>
  </si>
  <si>
    <t>Less Rate Refund Provision</t>
  </si>
  <si>
    <t>%,V4500000</t>
  </si>
  <si>
    <t>4500000</t>
  </si>
  <si>
    <t>Forfeited Discounts</t>
  </si>
  <si>
    <t>%,V4510001</t>
  </si>
  <si>
    <t>4510001</t>
  </si>
  <si>
    <t>Misc Service Rev - Nonaffil</t>
  </si>
  <si>
    <t>%,V4540001</t>
  </si>
  <si>
    <t>4540001</t>
  </si>
  <si>
    <t>Rent From Elect Property - Af</t>
  </si>
  <si>
    <t>%,V4540002</t>
  </si>
  <si>
    <t>4540002</t>
  </si>
  <si>
    <t>Rent From Elect Property-NAC</t>
  </si>
  <si>
    <t>%,V4540004</t>
  </si>
  <si>
    <t>4540004</t>
  </si>
  <si>
    <t>Rent From Elect Prop-ABD-Nonaf</t>
  </si>
  <si>
    <t>%,V4540005</t>
  </si>
  <si>
    <t>4540005</t>
  </si>
  <si>
    <t>Rent from Elec Prop-Pole Attch</t>
  </si>
  <si>
    <t>%,V4560007</t>
  </si>
  <si>
    <t>4560007</t>
  </si>
  <si>
    <t>Oth Elect Rev - DSM Program</t>
  </si>
  <si>
    <t>%,V4560012</t>
  </si>
  <si>
    <t>4560012</t>
  </si>
  <si>
    <t>Oth Elect Rev - Nonaffiliated</t>
  </si>
  <si>
    <t>%,V4560015</t>
  </si>
  <si>
    <t>4560015</t>
  </si>
  <si>
    <t>Other Electric Revenues - ABD</t>
  </si>
  <si>
    <t>%,V4560043</t>
  </si>
  <si>
    <t>4560043</t>
  </si>
  <si>
    <t>Oth Elec Rv-Trn-Aff-Trnf Price</t>
  </si>
  <si>
    <t>%,V4561005</t>
  </si>
  <si>
    <t>4561005</t>
  </si>
  <si>
    <t>PJM Point to Point Trans Svc</t>
  </si>
  <si>
    <t>%,V4561006</t>
  </si>
  <si>
    <t>4561006</t>
  </si>
  <si>
    <t>PJM Trans Owner Admin Rev</t>
  </si>
  <si>
    <t>%,V4561007</t>
  </si>
  <si>
    <t>4561007</t>
  </si>
  <si>
    <t>PJM Network Integ Trans Svc</t>
  </si>
  <si>
    <t>%,V4561019</t>
  </si>
  <si>
    <t>4561019</t>
  </si>
  <si>
    <t>Oth Elec Rev Trans Non Affil</t>
  </si>
  <si>
    <t>%,V4561028</t>
  </si>
  <si>
    <t>4561028</t>
  </si>
  <si>
    <t>PJM Pow Fac Cre Rev Whsl Cu-NA</t>
  </si>
  <si>
    <t>%,V4561029</t>
  </si>
  <si>
    <t>4561029</t>
  </si>
  <si>
    <t>PJM NITS Revenue Whsl Cus-NAff</t>
  </si>
  <si>
    <t>%,V4561030</t>
  </si>
  <si>
    <t>4561030</t>
  </si>
  <si>
    <t>PJM TO Serv Rev Whls Cus-NAff</t>
  </si>
  <si>
    <t>%,V4561033</t>
  </si>
  <si>
    <t>4561033</t>
  </si>
  <si>
    <t>PJM NITS Revenue - Affiliated</t>
  </si>
  <si>
    <t>%,V4561034</t>
  </si>
  <si>
    <t>4561034</t>
  </si>
  <si>
    <t>PJM TO Adm. Serv Rev - Aff</t>
  </si>
  <si>
    <t>%,V4561035</t>
  </si>
  <si>
    <t>4561035</t>
  </si>
  <si>
    <t>PJM Affiliated Trans NITS Cost</t>
  </si>
  <si>
    <t>%,V4561036</t>
  </si>
  <si>
    <t>4561036</t>
  </si>
  <si>
    <t>PJM Affiliated Trans TO Cost</t>
  </si>
  <si>
    <t>%,V4561058</t>
  </si>
  <si>
    <t>4561058</t>
  </si>
  <si>
    <t>NonAffil PJM Trans Enhncmt Rev</t>
  </si>
  <si>
    <t>%,V4561059</t>
  </si>
  <si>
    <t>4561059</t>
  </si>
  <si>
    <t>Affil PJM Trans Enhancmnt Rev</t>
  </si>
  <si>
    <t>%,V4561060</t>
  </si>
  <si>
    <t>4561060</t>
  </si>
  <si>
    <t>Affil PJM Trans Enhancmnt Cost</t>
  </si>
  <si>
    <t>%,V4561061</t>
  </si>
  <si>
    <t>4561061</t>
  </si>
  <si>
    <t>NAff PJM RTEP Rev for Whsl-FR</t>
  </si>
  <si>
    <t>%,V4561062</t>
  </si>
  <si>
    <t>4561062</t>
  </si>
  <si>
    <t>PROVISION RTO Cost - Affi</t>
  </si>
  <si>
    <t>%,V4561063</t>
  </si>
  <si>
    <t>4561063</t>
  </si>
  <si>
    <t>PROVISION RTO Rev Affiliated</t>
  </si>
  <si>
    <t>%,V4561064</t>
  </si>
  <si>
    <t>4561064</t>
  </si>
  <si>
    <t>PROVISION RTO Rev WhslCus-NAf</t>
  </si>
  <si>
    <t>%,V4561065</t>
  </si>
  <si>
    <t>4561065</t>
  </si>
  <si>
    <t>PROVISION RTO Rev - NonAff</t>
  </si>
  <si>
    <t>%,R,FACCOUNT,TGL_FERC_ACCT,XDYYNNY01,NOTHER_OPER_REVENUES</t>
  </si>
  <si>
    <t>Other Operating Revenues</t>
  </si>
  <si>
    <t>Line 2</t>
  </si>
  <si>
    <t>Operating Revenues (400)</t>
  </si>
  <si>
    <t>Line 3</t>
  </si>
  <si>
    <t>Operating Expenses</t>
  </si>
  <si>
    <t>%,V5010000</t>
  </si>
  <si>
    <t>5010000</t>
  </si>
  <si>
    <t>Fuel</t>
  </si>
  <si>
    <t>%,V5010001</t>
  </si>
  <si>
    <t>5010001</t>
  </si>
  <si>
    <t>Fuel Consumed</t>
  </si>
  <si>
    <t>%,V5010003</t>
  </si>
  <si>
    <t>5010003</t>
  </si>
  <si>
    <t>Fuel - Procure Unload &amp; Handle</t>
  </si>
  <si>
    <t>%,V5010005</t>
  </si>
  <si>
    <t>5010005</t>
  </si>
  <si>
    <t>Fuel - Deferred</t>
  </si>
  <si>
    <t>%,V5010012</t>
  </si>
  <si>
    <t>5010012</t>
  </si>
  <si>
    <t>Ash Sales Proceeds</t>
  </si>
  <si>
    <t>%,V5010013</t>
  </si>
  <si>
    <t>5010013</t>
  </si>
  <si>
    <t>Fuel Survey Activity</t>
  </si>
  <si>
    <t>%,V5010019</t>
  </si>
  <si>
    <t>5010019</t>
  </si>
  <si>
    <t>Fuel Oil Consumed</t>
  </si>
  <si>
    <t>%,V5010020</t>
  </si>
  <si>
    <t>5010020</t>
  </si>
  <si>
    <t>Nat Gas Consumed Steam</t>
  </si>
  <si>
    <t>%,V5010021</t>
  </si>
  <si>
    <t>5010021</t>
  </si>
  <si>
    <t>Transp Gas Consumed Steam</t>
  </si>
  <si>
    <t>%,V5010027</t>
  </si>
  <si>
    <t>5010027</t>
  </si>
  <si>
    <t>Gypsum handling/disposal costs</t>
  </si>
  <si>
    <t>%,V5010028</t>
  </si>
  <si>
    <t>5010028</t>
  </si>
  <si>
    <t>Gypsum Sales Proceeds</t>
  </si>
  <si>
    <t>%,V5010034</t>
  </si>
  <si>
    <t>5010034</t>
  </si>
  <si>
    <t>Gas Transp Res Fees-Steam</t>
  </si>
  <si>
    <t>%,V5010040</t>
  </si>
  <si>
    <t>5010040</t>
  </si>
  <si>
    <t>Gas Procuremnt Sales Net</t>
  </si>
  <si>
    <t>%,FACCOUNT,TGL_FERC_ACCT,XDYYNNY01,N5010</t>
  </si>
  <si>
    <t>Fuel Expense</t>
  </si>
  <si>
    <t>%,V5000000</t>
  </si>
  <si>
    <t>5000000</t>
  </si>
  <si>
    <t>Oper Supervision &amp; Engineering</t>
  </si>
  <si>
    <t>%,V5000001</t>
  </si>
  <si>
    <t>5000001</t>
  </si>
  <si>
    <t>Oper Super &amp; Eng-RATA-Affil</t>
  </si>
  <si>
    <t>%,V5020000</t>
  </si>
  <si>
    <t>5020000</t>
  </si>
  <si>
    <t>Steam Expenses</t>
  </si>
  <si>
    <t>%,V5020002</t>
  </si>
  <si>
    <t>5020002</t>
  </si>
  <si>
    <t>Urea Expense</t>
  </si>
  <si>
    <t>%,V5020003</t>
  </si>
  <si>
    <t>5020003</t>
  </si>
  <si>
    <t>Trona Expense</t>
  </si>
  <si>
    <t>%,V5020004</t>
  </si>
  <si>
    <t>5020004</t>
  </si>
  <si>
    <t>%,V5020005</t>
  </si>
  <si>
    <t>5020005</t>
  </si>
  <si>
    <t>Polymer expense</t>
  </si>
  <si>
    <t>%,V5020007</t>
  </si>
  <si>
    <t>5020007</t>
  </si>
  <si>
    <t>Lime Hydrate Expense</t>
  </si>
  <si>
    <t>%,V5050000</t>
  </si>
  <si>
    <t>5050000</t>
  </si>
  <si>
    <t>Electric Expenses</t>
  </si>
  <si>
    <t>%,V5060000</t>
  </si>
  <si>
    <t>5060000</t>
  </si>
  <si>
    <t>Misc Steam Power Expenses</t>
  </si>
  <si>
    <t>%,V5060002</t>
  </si>
  <si>
    <t>5060002</t>
  </si>
  <si>
    <t>Misc Steam Power Exp-Assoc</t>
  </si>
  <si>
    <t>%,V5060003</t>
  </si>
  <si>
    <t>5060003</t>
  </si>
  <si>
    <t>Removal Cost Expense - Steam</t>
  </si>
  <si>
    <t>%,V5060004</t>
  </si>
  <si>
    <t>5060004</t>
  </si>
  <si>
    <t>NSR Settlement Expense</t>
  </si>
  <si>
    <t>%,V5060011</t>
  </si>
  <si>
    <t>5060011</t>
  </si>
  <si>
    <t>BSRR O/U Recovery-Oper Costs</t>
  </si>
  <si>
    <t>%,V5070000</t>
  </si>
  <si>
    <t>5070000</t>
  </si>
  <si>
    <t>Rents</t>
  </si>
  <si>
    <t>%,V5090000</t>
  </si>
  <si>
    <t>5090000</t>
  </si>
  <si>
    <t>Allow Consum Title IV SO2</t>
  </si>
  <si>
    <t>%,V5090009</t>
  </si>
  <si>
    <t>5090009</t>
  </si>
  <si>
    <t>Allow Consumpt CSAPR SO2</t>
  </si>
  <si>
    <t>%,FACCOUNT,TGL_FERC_ACCT,XDYYNNY01,N500-509_EXC_501</t>
  </si>
  <si>
    <t>Steam Power Operations</t>
  </si>
  <si>
    <t>%,FACCOUNT,TGL_FERC_ACCT,XDYYNNY01,N517-525</t>
  </si>
  <si>
    <t>Nuclear Power Operations</t>
  </si>
  <si>
    <t>%,FACCOUNT,TGL_FERC_ACCT,XDYYNNY01,N535-540</t>
  </si>
  <si>
    <t>Hydraulic Power Operations</t>
  </si>
  <si>
    <t>%,FACCOUNT,TGL_FERC_ACCT,XDYYNNY01,N546-550</t>
  </si>
  <si>
    <t>Other Power Operations</t>
  </si>
  <si>
    <t>%,V5550001</t>
  </si>
  <si>
    <t>5550001</t>
  </si>
  <si>
    <t>Purch Pwr-NonTrading-Nonassoc</t>
  </si>
  <si>
    <t>%,V5550027</t>
  </si>
  <si>
    <t>5550027</t>
  </si>
  <si>
    <t>Purch Pwr-Non-Fuel Portion-Aff</t>
  </si>
  <si>
    <t>%,V5550029</t>
  </si>
  <si>
    <t>5550029</t>
  </si>
  <si>
    <t>Purch Power-Assoc-Trnsfr Price</t>
  </si>
  <si>
    <t>%,V5550039</t>
  </si>
  <si>
    <t>5550039</t>
  </si>
  <si>
    <t>PJM Inadvertent Mtr Res-OSS</t>
  </si>
  <si>
    <t>%,V5550040</t>
  </si>
  <si>
    <t>5550040</t>
  </si>
  <si>
    <t>PJM Inadvertent Mtr Res-LSE</t>
  </si>
  <si>
    <t>%,V5550046</t>
  </si>
  <si>
    <t>5550046</t>
  </si>
  <si>
    <t>Purch Power-Fuel Portion-Affil</t>
  </si>
  <si>
    <t>%,V5550074</t>
  </si>
  <si>
    <t>5550074</t>
  </si>
  <si>
    <t>PJM Reactive-Charge</t>
  </si>
  <si>
    <t>%,V5550075</t>
  </si>
  <si>
    <t>5550075</t>
  </si>
  <si>
    <t>PJM Reactive-Credit</t>
  </si>
  <si>
    <t>%,V5550076</t>
  </si>
  <si>
    <t>5550076</t>
  </si>
  <si>
    <t>PJM Black Start-Charge</t>
  </si>
  <si>
    <t>%,V5550078</t>
  </si>
  <si>
    <t>5550078</t>
  </si>
  <si>
    <t>PJM Regulation-Charge</t>
  </si>
  <si>
    <t>%,V5550079</t>
  </si>
  <si>
    <t>5550079</t>
  </si>
  <si>
    <t>PJM Regulation-Credit</t>
  </si>
  <si>
    <t>%,V5550080</t>
  </si>
  <si>
    <t>5550080</t>
  </si>
  <si>
    <t>PJM Hourly Net Purch.-FERC</t>
  </si>
  <si>
    <t>%,V5550083</t>
  </si>
  <si>
    <t>5550083</t>
  </si>
  <si>
    <t>PJM Spinning Reserve-Charge</t>
  </si>
  <si>
    <t>%,V5550084</t>
  </si>
  <si>
    <t>5550084</t>
  </si>
  <si>
    <t>PJM Spinning Reserve-Credit</t>
  </si>
  <si>
    <t>%,V5550090</t>
  </si>
  <si>
    <t>5550090</t>
  </si>
  <si>
    <t>PJM 30m Suppl Rserv Charge LSE</t>
  </si>
  <si>
    <t>%,V5550094</t>
  </si>
  <si>
    <t>5550094</t>
  </si>
  <si>
    <t>Purchased Power - Fuel</t>
  </si>
  <si>
    <t>%,V5550123</t>
  </si>
  <si>
    <t>5550123</t>
  </si>
  <si>
    <t>PJM OpRes-LSE-Charge</t>
  </si>
  <si>
    <t>%,V5550124</t>
  </si>
  <si>
    <t>5550124</t>
  </si>
  <si>
    <t>PJM Implicit Congestion-LSE</t>
  </si>
  <si>
    <t>%,V5550132</t>
  </si>
  <si>
    <t>5550132</t>
  </si>
  <si>
    <t>PJM FTR Revenue-LSE</t>
  </si>
  <si>
    <t>%,V5550137</t>
  </si>
  <si>
    <t>5550137</t>
  </si>
  <si>
    <t>PJM OpRes-LSE-Credit</t>
  </si>
  <si>
    <t>%,V5550153</t>
  </si>
  <si>
    <t>5550153</t>
  </si>
  <si>
    <t>PurchPower-Rockport Def-NonAff</t>
  </si>
  <si>
    <t>%,V5550326</t>
  </si>
  <si>
    <t>5550326</t>
  </si>
  <si>
    <t>PJM Transm Loss Charges - LSE</t>
  </si>
  <si>
    <t>%,V5550327</t>
  </si>
  <si>
    <t>5550327</t>
  </si>
  <si>
    <t>PJM Transm Loss Credits-LSE</t>
  </si>
  <si>
    <t>%,V5550328</t>
  </si>
  <si>
    <t>5550328</t>
  </si>
  <si>
    <t>PJM FC Penalty Credit</t>
  </si>
  <si>
    <t>%,V5550329</t>
  </si>
  <si>
    <t>5550329</t>
  </si>
  <si>
    <t>PJM FC Penalty Charge</t>
  </si>
  <si>
    <t>%,V5560000</t>
  </si>
  <si>
    <t>5560000</t>
  </si>
  <si>
    <t>Sys Control &amp; Load Dispatching</t>
  </si>
  <si>
    <t>%,V5570000</t>
  </si>
  <si>
    <t>5570000</t>
  </si>
  <si>
    <t>Other Expenses</t>
  </si>
  <si>
    <t>%,V5570007</t>
  </si>
  <si>
    <t>5570007</t>
  </si>
  <si>
    <t>Other Pwr Exp - Wholesale RECs</t>
  </si>
  <si>
    <t>%,FACCOUNT,TGL_FERC_ACCT,XDYYNNY01,N555-557</t>
  </si>
  <si>
    <t>Purchased Power</t>
  </si>
  <si>
    <t>%,FACCOUNT,TGL_FERC_ACCT,XDYYNNY01,N401_OPERATION</t>
  </si>
  <si>
    <t>401 Operation Expense</t>
  </si>
  <si>
    <t>%,V5600000</t>
  </si>
  <si>
    <t>5600000</t>
  </si>
  <si>
    <t>%,V5611000</t>
  </si>
  <si>
    <t>5611000</t>
  </si>
  <si>
    <t>Load Dispatch - Reliability</t>
  </si>
  <si>
    <t>%,V5612000</t>
  </si>
  <si>
    <t>5612000</t>
  </si>
  <si>
    <t>Load Dispatch-Mntr&amp;Op TransSys</t>
  </si>
  <si>
    <t>%,V5614000</t>
  </si>
  <si>
    <t>5614000</t>
  </si>
  <si>
    <t>PJM Admin-SSC&amp;DS-OSS</t>
  </si>
  <si>
    <t>%,V5614001</t>
  </si>
  <si>
    <t>5614001</t>
  </si>
  <si>
    <t>PJM Admin-SSC&amp;DS-Internal</t>
  </si>
  <si>
    <t>%,V5614007</t>
  </si>
  <si>
    <t>5614007</t>
  </si>
  <si>
    <t>RTO Admin Default LSE.</t>
  </si>
  <si>
    <t>%,V5614008</t>
  </si>
  <si>
    <t>5614008</t>
  </si>
  <si>
    <t>PJM Admin Defaults OSS</t>
  </si>
  <si>
    <t>%,V5614009</t>
  </si>
  <si>
    <t>5614009</t>
  </si>
  <si>
    <t>GreenHat Settlement</t>
  </si>
  <si>
    <t>%,V5615000</t>
  </si>
  <si>
    <t>5615000</t>
  </si>
  <si>
    <t>Reliability,Plng&amp;Stds Develop</t>
  </si>
  <si>
    <t>%,V5618000</t>
  </si>
  <si>
    <t>5618000</t>
  </si>
  <si>
    <t>PJM Admin-RP&amp;SDS-OSS</t>
  </si>
  <si>
    <t>%,V5618001</t>
  </si>
  <si>
    <t>5618001</t>
  </si>
  <si>
    <t>PJM Admin-RP&amp;SDS- Internal</t>
  </si>
  <si>
    <t>%,V5620001</t>
  </si>
  <si>
    <t>5620001</t>
  </si>
  <si>
    <t>Station Expenses - Nonassoc</t>
  </si>
  <si>
    <t>%,V5630000</t>
  </si>
  <si>
    <t>5630000</t>
  </si>
  <si>
    <t>Overhead Line Expenses</t>
  </si>
  <si>
    <t>%,V5640000</t>
  </si>
  <si>
    <t>5640000</t>
  </si>
  <si>
    <t>Underground Line Expenses</t>
  </si>
  <si>
    <t>%,V5650002</t>
  </si>
  <si>
    <t>5650002</t>
  </si>
  <si>
    <t>Transmssn Elec by Others-NAC</t>
  </si>
  <si>
    <t>%,V5650007</t>
  </si>
  <si>
    <t>5650007</t>
  </si>
  <si>
    <t>Tran Elec by Oth-Aff-Trn Price</t>
  </si>
  <si>
    <t>%,V5650012</t>
  </si>
  <si>
    <t>5650012</t>
  </si>
  <si>
    <t>PJM Trans Enhancement Charge</t>
  </si>
  <si>
    <t>%,V5650015</t>
  </si>
  <si>
    <t>5650015</t>
  </si>
  <si>
    <t>PJM TO Serv Exp - Aff</t>
  </si>
  <si>
    <t>%,V5650016</t>
  </si>
  <si>
    <t>5650016</t>
  </si>
  <si>
    <t>PJM NITS Expense - Affiliated</t>
  </si>
  <si>
    <t>%,V5650019</t>
  </si>
  <si>
    <t>5650019</t>
  </si>
  <si>
    <t>Affil PJM Trans Enhncement Exp</t>
  </si>
  <si>
    <t>%,V5650020</t>
  </si>
  <si>
    <t>5650020</t>
  </si>
  <si>
    <t>PROVISION RTO Affl Expense</t>
  </si>
  <si>
    <t>%,V5650021</t>
  </si>
  <si>
    <t>5650021</t>
  </si>
  <si>
    <t>PJM NITS Expense - Non-Affilia</t>
  </si>
  <si>
    <t>%,V5650060</t>
  </si>
  <si>
    <t>5650060</t>
  </si>
  <si>
    <t>PJM trans enhancement refund</t>
  </si>
  <si>
    <t>%,V5660000</t>
  </si>
  <si>
    <t>5660000</t>
  </si>
  <si>
    <t>Misc Transmission Expenses</t>
  </si>
  <si>
    <t>%,V5660009</t>
  </si>
  <si>
    <t>5660009</t>
  </si>
  <si>
    <t>PJM OATT LSE Over-Under Adjust</t>
  </si>
  <si>
    <t>%,V5660010</t>
  </si>
  <si>
    <t>5660010</t>
  </si>
  <si>
    <t>%,V5660011</t>
  </si>
  <si>
    <t>5660011</t>
  </si>
  <si>
    <t>Misc Transm Exp - Affiliate</t>
  </si>
  <si>
    <t>%,V5670001</t>
  </si>
  <si>
    <t>5670001</t>
  </si>
  <si>
    <t>Rents - Nonassociated</t>
  </si>
  <si>
    <t>%,V5670002</t>
  </si>
  <si>
    <t>5670002</t>
  </si>
  <si>
    <t>Rents - Associated</t>
  </si>
  <si>
    <t>%,FACCOUNT,TGL_FERC_ACCT,XDYYNNY01,N560-567</t>
  </si>
  <si>
    <t>Transmission Operations</t>
  </si>
  <si>
    <t>%,V5757000</t>
  </si>
  <si>
    <t>5757000</t>
  </si>
  <si>
    <t>PJM Admin-MAM&amp;SC- OSS</t>
  </si>
  <si>
    <t>%,V5757001</t>
  </si>
  <si>
    <t>5757001</t>
  </si>
  <si>
    <t>PJM Admin-MAM&amp;SC- Internal</t>
  </si>
  <si>
    <t>%,FACCOUNT,TGL_FERC_ACCT,XDYYNNY01,N575-576</t>
  </si>
  <si>
    <t>Regional Market Expense</t>
  </si>
  <si>
    <t>%,V5800000</t>
  </si>
  <si>
    <t>5800000</t>
  </si>
  <si>
    <t>%,V5810000</t>
  </si>
  <si>
    <t>5810000</t>
  </si>
  <si>
    <t>Load Dispatching</t>
  </si>
  <si>
    <t>%,V5820000</t>
  </si>
  <si>
    <t>5820000</t>
  </si>
  <si>
    <t>Station Expenses</t>
  </si>
  <si>
    <t>%,V5830000</t>
  </si>
  <si>
    <t>5830000</t>
  </si>
  <si>
    <t>%,V5840000</t>
  </si>
  <si>
    <t>5840000</t>
  </si>
  <si>
    <t>%,V5850000</t>
  </si>
  <si>
    <t>5850000</t>
  </si>
  <si>
    <t>Street Lighting &amp; Signal Sys E</t>
  </si>
  <si>
    <t>%,V5860000</t>
  </si>
  <si>
    <t>5860000</t>
  </si>
  <si>
    <t>Meter Expenses</t>
  </si>
  <si>
    <t>%,V5870000</t>
  </si>
  <si>
    <t>5870000</t>
  </si>
  <si>
    <t>Customer Installations Exp</t>
  </si>
  <si>
    <t>%,V5880000</t>
  </si>
  <si>
    <t>5880000</t>
  </si>
  <si>
    <t>Miscellaneous Distribution Exp</t>
  </si>
  <si>
    <t>%,V5890001</t>
  </si>
  <si>
    <t>5890001</t>
  </si>
  <si>
    <t>%,V5890002</t>
  </si>
  <si>
    <t>5890002</t>
  </si>
  <si>
    <t>%,FACCOUNT,TGL_FERC_ACCT,XDYYNNY01,N580-589</t>
  </si>
  <si>
    <t>Distribution Expense</t>
  </si>
  <si>
    <t>%,FACCOUNT,TGL_FERC_ACCT,XDYYNNY01,N814-826,N871-881</t>
  </si>
  <si>
    <t>Gas Operations</t>
  </si>
  <si>
    <t>%,V9010000</t>
  </si>
  <si>
    <t>9010000</t>
  </si>
  <si>
    <t>Supervision - Customer Accts</t>
  </si>
  <si>
    <t>%,V9020000</t>
  </si>
  <si>
    <t>9020000</t>
  </si>
  <si>
    <t>Meter Reading Expenses</t>
  </si>
  <si>
    <t>%,V9020002</t>
  </si>
  <si>
    <t>9020002</t>
  </si>
  <si>
    <t>Meter Reading - Regular</t>
  </si>
  <si>
    <t>%,V9020003</t>
  </si>
  <si>
    <t>9020003</t>
  </si>
  <si>
    <t>Meter Reading - Large Power</t>
  </si>
  <si>
    <t>%,V9030000</t>
  </si>
  <si>
    <t>9030000</t>
  </si>
  <si>
    <t>Cust Records &amp; Collection Exp</t>
  </si>
  <si>
    <t>%,V9030001</t>
  </si>
  <si>
    <t>9030001</t>
  </si>
  <si>
    <t>Customer Orders &amp; Inquiries</t>
  </si>
  <si>
    <t>%,V9030002</t>
  </si>
  <si>
    <t>9030002</t>
  </si>
  <si>
    <t>Manual Billing</t>
  </si>
  <si>
    <t>%,V9030003</t>
  </si>
  <si>
    <t>9030003</t>
  </si>
  <si>
    <t>Postage - Customer Bills</t>
  </si>
  <si>
    <t>%,V9030004</t>
  </si>
  <si>
    <t>9030004</t>
  </si>
  <si>
    <t>Cashiering</t>
  </si>
  <si>
    <t>%,V9030005</t>
  </si>
  <si>
    <t>9030005</t>
  </si>
  <si>
    <t>Collection Agents Fees &amp; Exp</t>
  </si>
  <si>
    <t>%,V9030006</t>
  </si>
  <si>
    <t>9030006</t>
  </si>
  <si>
    <t>Credit &amp; Oth Collection Activi</t>
  </si>
  <si>
    <t>%,V9030007</t>
  </si>
  <si>
    <t>9030007</t>
  </si>
  <si>
    <t>Collectors</t>
  </si>
  <si>
    <t>%,V9030009</t>
  </si>
  <si>
    <t>9030009</t>
  </si>
  <si>
    <t>Data Processing</t>
  </si>
  <si>
    <t>%,V9040007</t>
  </si>
  <si>
    <t>9040007</t>
  </si>
  <si>
    <t>Uncoll Accts - Misc Receivable</t>
  </si>
  <si>
    <t>%,V9050000</t>
  </si>
  <si>
    <t>9050000</t>
  </si>
  <si>
    <t>Misc Customer Accounts Exp</t>
  </si>
  <si>
    <t>%,FACCOUNT,TGL_FERC_ACCT,XDYYNNY01,N901-905</t>
  </si>
  <si>
    <t>Customer Account Expense</t>
  </si>
  <si>
    <t>%,V9070000</t>
  </si>
  <si>
    <t>9070000</t>
  </si>
  <si>
    <t>Supervision - Customer Service</t>
  </si>
  <si>
    <t>%,V9070001</t>
  </si>
  <si>
    <t>9070001</t>
  </si>
  <si>
    <t>Supervision - DSM</t>
  </si>
  <si>
    <t>%,V9080000</t>
  </si>
  <si>
    <t>9080000</t>
  </si>
  <si>
    <t>Customer Assistance Expenses</t>
  </si>
  <si>
    <t>%,V9080009</t>
  </si>
  <si>
    <t>9080009</t>
  </si>
  <si>
    <t>Cust Assistance Expense - DSM</t>
  </si>
  <si>
    <t>%,V9090000</t>
  </si>
  <si>
    <t>9090000</t>
  </si>
  <si>
    <t>Information &amp; Instruct Advrtis</t>
  </si>
  <si>
    <t>%,V9100000</t>
  </si>
  <si>
    <t>9100000</t>
  </si>
  <si>
    <t>Misc Cust Svc&amp;Informational Ex</t>
  </si>
  <si>
    <t>%,V9100001</t>
  </si>
  <si>
    <t>9100001</t>
  </si>
  <si>
    <t>Misc Cust Svc &amp; Info Exp - RCS</t>
  </si>
  <si>
    <t>%,V9120000</t>
  </si>
  <si>
    <t>9120000</t>
  </si>
  <si>
    <t>Demonstrating &amp; Selling Exp</t>
  </si>
  <si>
    <t>%,V9120001</t>
  </si>
  <si>
    <t>9120001</t>
  </si>
  <si>
    <t>Demo &amp; Selling Exp - Res</t>
  </si>
  <si>
    <t>%,V9120003</t>
  </si>
  <si>
    <t>9120003</t>
  </si>
  <si>
    <t>Demo &amp; Selling Exp - Area Dev</t>
  </si>
  <si>
    <t>%,V9130000</t>
  </si>
  <si>
    <t>9130000</t>
  </si>
  <si>
    <t>Advertising Expenses</t>
  </si>
  <si>
    <t>%,FACCOUNT,TGL_FERC_ACCT,XDYYNNY01,N906-917</t>
  </si>
  <si>
    <t>Customer Service Information &amp; Sales</t>
  </si>
  <si>
    <t>%,V9200000</t>
  </si>
  <si>
    <t>9200000</t>
  </si>
  <si>
    <t>Administrative &amp; Gen Salaries</t>
  </si>
  <si>
    <t>%,V9210001</t>
  </si>
  <si>
    <t>9210001</t>
  </si>
  <si>
    <t>Off Supl &amp; Exp - Nonassociated</t>
  </si>
  <si>
    <t>%,V9210003</t>
  </si>
  <si>
    <t>9210003</t>
  </si>
  <si>
    <t>Office Supplies &amp; Exp - Trnsf</t>
  </si>
  <si>
    <t>%,V9210004</t>
  </si>
  <si>
    <t>9210004</t>
  </si>
  <si>
    <t>Office Utilites</t>
  </si>
  <si>
    <t>%,V9210005</t>
  </si>
  <si>
    <t>9210005</t>
  </si>
  <si>
    <t>Cellular Phones and Pagers</t>
  </si>
  <si>
    <t>%,V9210006</t>
  </si>
  <si>
    <t>9210006</t>
  </si>
  <si>
    <t>O&amp;M Reconciliation</t>
  </si>
  <si>
    <t>%,V9210021</t>
  </si>
  <si>
    <t>9210021</t>
  </si>
  <si>
    <t>EMP TRAVEL - Airfare</t>
  </si>
  <si>
    <t>%,V9210022</t>
  </si>
  <si>
    <t>9210022</t>
  </si>
  <si>
    <t>MEALS &amp; ENT-100 Pct DEDUCTIBLE</t>
  </si>
  <si>
    <t>%,V9210023</t>
  </si>
  <si>
    <t>9210023</t>
  </si>
  <si>
    <t>EMP TRAVEL-MILEAGE</t>
  </si>
  <si>
    <t>%,V9210024</t>
  </si>
  <si>
    <t>9210024</t>
  </si>
  <si>
    <t>EMP TRAVEL-PARKING</t>
  </si>
  <si>
    <t>%,V9210025</t>
  </si>
  <si>
    <t>9210025</t>
  </si>
  <si>
    <t>MEALS &amp; ENT-50 Pct DEDUCTIBLE</t>
  </si>
  <si>
    <t>%,V9210026</t>
  </si>
  <si>
    <t>9210026</t>
  </si>
  <si>
    <t>EMP TRAVEL-CAR RENTAL</t>
  </si>
  <si>
    <t>%,V9210027</t>
  </si>
  <si>
    <t>9210027</t>
  </si>
  <si>
    <t>EMP TRAVEL-TAXI AND SHUTTLE</t>
  </si>
  <si>
    <t>%,V9210028</t>
  </si>
  <si>
    <t>9210028</t>
  </si>
  <si>
    <t>EMP TRAVEL-HOTEL &amp; LODGING</t>
  </si>
  <si>
    <t>%,V9210030</t>
  </si>
  <si>
    <t>9210030</t>
  </si>
  <si>
    <t>EMP TRAVEL-OTHER</t>
  </si>
  <si>
    <t>%,V9210031</t>
  </si>
  <si>
    <t>9210031</t>
  </si>
  <si>
    <t>SAFETY EQUIPMENT AND SUPPLIES</t>
  </si>
  <si>
    <t>%,V9210032</t>
  </si>
  <si>
    <t>9210032</t>
  </si>
  <si>
    <t>FUEL</t>
  </si>
  <si>
    <t>%,V9210033</t>
  </si>
  <si>
    <t>9210033</t>
  </si>
  <si>
    <t>FOOD SERVICE-CATERING</t>
  </si>
  <si>
    <t>%,V9210034</t>
  </si>
  <si>
    <t>9210034</t>
  </si>
  <si>
    <t>In-House Training &amp; Seminars</t>
  </si>
  <si>
    <t>%,V9210035</t>
  </si>
  <si>
    <t>9210035</t>
  </si>
  <si>
    <t>RECRUITING AND SCREENING</t>
  </si>
  <si>
    <t>%,V9210036</t>
  </si>
  <si>
    <t>9210036</t>
  </si>
  <si>
    <t>SAFETY TRAINING</t>
  </si>
  <si>
    <t>%,V9210040</t>
  </si>
  <si>
    <t>9210040</t>
  </si>
  <si>
    <t>DUES-BUSINESS/PROFESSIONAL</t>
  </si>
  <si>
    <t>%,V9220000</t>
  </si>
  <si>
    <t>9220000</t>
  </si>
  <si>
    <t>Administrative Exp Trnsf - Cr</t>
  </si>
  <si>
    <t>%,V9220001</t>
  </si>
  <si>
    <t>9220001</t>
  </si>
  <si>
    <t>Admin Exp Trnsf to Cnstrction</t>
  </si>
  <si>
    <t>%,V9220004</t>
  </si>
  <si>
    <t>9220004</t>
  </si>
  <si>
    <t>Admin Exp Trnsf to ABD</t>
  </si>
  <si>
    <t>%,V9230001</t>
  </si>
  <si>
    <t>9230001</t>
  </si>
  <si>
    <t>Outside Svcs Empl - Nonassoc</t>
  </si>
  <si>
    <t>%,V9230003</t>
  </si>
  <si>
    <t>9230003</t>
  </si>
  <si>
    <t>AEPSC Billed to Client Co</t>
  </si>
  <si>
    <t>%,V9230034</t>
  </si>
  <si>
    <t>9230034</t>
  </si>
  <si>
    <t>SRV-SOFTWARE LICENSING</t>
  </si>
  <si>
    <t>%,V9240000</t>
  </si>
  <si>
    <t>9240000</t>
  </si>
  <si>
    <t>Property Insurance</t>
  </si>
  <si>
    <t>%,V9250000</t>
  </si>
  <si>
    <t>9250000</t>
  </si>
  <si>
    <t>Injuries and Damages</t>
  </si>
  <si>
    <t>%,V9250001</t>
  </si>
  <si>
    <t>9250001</t>
  </si>
  <si>
    <t>Safety Dinners and Awards</t>
  </si>
  <si>
    <t>%,V9250002</t>
  </si>
  <si>
    <t>9250002</t>
  </si>
  <si>
    <t>Emp Accdent Prvntion-Adm Exp</t>
  </si>
  <si>
    <t>%,V9250006</t>
  </si>
  <si>
    <t>9250006</t>
  </si>
  <si>
    <t>Wrkrs Cmpnstn Pre&amp;Slf Ins Prv</t>
  </si>
  <si>
    <t>%,V9250007</t>
  </si>
  <si>
    <t>9250007</t>
  </si>
  <si>
    <t>Prsnal Injries&amp;Prop Dmage-Pub</t>
  </si>
  <si>
    <t>%,V9250010</t>
  </si>
  <si>
    <t>9250010</t>
  </si>
  <si>
    <t>Frg Ben Loading - Workers Comp</t>
  </si>
  <si>
    <t>%,V9260000</t>
  </si>
  <si>
    <t>9260000</t>
  </si>
  <si>
    <t>Employee Pensions &amp; Benefits</t>
  </si>
  <si>
    <t>%,V9260001</t>
  </si>
  <si>
    <t>9260001</t>
  </si>
  <si>
    <t>Edit &amp; Print Empl Pub-Salaries</t>
  </si>
  <si>
    <t>%,V9260002</t>
  </si>
  <si>
    <t>9260002</t>
  </si>
  <si>
    <t>Pension &amp; Group Ins Admin</t>
  </si>
  <si>
    <t>%,V9260003</t>
  </si>
  <si>
    <t>9260003</t>
  </si>
  <si>
    <t>Pension Plan</t>
  </si>
  <si>
    <t>%,V9260004</t>
  </si>
  <si>
    <t>9260004</t>
  </si>
  <si>
    <t>Group Life Insurance Premiums</t>
  </si>
  <si>
    <t>%,V9260005</t>
  </si>
  <si>
    <t>9260005</t>
  </si>
  <si>
    <t>Group Medical Ins Premiums</t>
  </si>
  <si>
    <t>%,V9260007</t>
  </si>
  <si>
    <t>9260007</t>
  </si>
  <si>
    <t>Group L-T Disability Ins Prem</t>
  </si>
  <si>
    <t>%,V9260009</t>
  </si>
  <si>
    <t>9260009</t>
  </si>
  <si>
    <t>Group Dental Insurance Prem</t>
  </si>
  <si>
    <t>%,V9260010</t>
  </si>
  <si>
    <t>9260010</t>
  </si>
  <si>
    <t>Training Administration Exp</t>
  </si>
  <si>
    <t>%,V9260012</t>
  </si>
  <si>
    <t>9260012</t>
  </si>
  <si>
    <t>Employee Activities</t>
  </si>
  <si>
    <t>%,V9260014</t>
  </si>
  <si>
    <t>9260014</t>
  </si>
  <si>
    <t>Educational Assistance Pmts</t>
  </si>
  <si>
    <t>%,V9260021</t>
  </si>
  <si>
    <t>9260021</t>
  </si>
  <si>
    <t>Postretirement Benefits - OPEB</t>
  </si>
  <si>
    <t>%,V9260027</t>
  </si>
  <si>
    <t>9260027</t>
  </si>
  <si>
    <t>Savings Plan Contributions</t>
  </si>
  <si>
    <t>%,V9260036</t>
  </si>
  <si>
    <t>9260036</t>
  </si>
  <si>
    <t>Deferred Compensation</t>
  </si>
  <si>
    <t>%,V9260037</t>
  </si>
  <si>
    <t>9260037</t>
  </si>
  <si>
    <t>Supplemental Pension</t>
  </si>
  <si>
    <t>%,V9260040</t>
  </si>
  <si>
    <t>9260040</t>
  </si>
  <si>
    <t>SFAS 112 Postemployment Benef</t>
  </si>
  <si>
    <t>%,V9260042</t>
  </si>
  <si>
    <t>9260042</t>
  </si>
  <si>
    <t>SERP Pension  - Non-Service</t>
  </si>
  <si>
    <t>%,V9260043</t>
  </si>
  <si>
    <t>9260043</t>
  </si>
  <si>
    <t>OPEB - Non-Service</t>
  </si>
  <si>
    <t>%,V9260050</t>
  </si>
  <si>
    <t>9260050</t>
  </si>
  <si>
    <t>Frg Ben Loading - Pension</t>
  </si>
  <si>
    <t>%,V9260051</t>
  </si>
  <si>
    <t>9260051</t>
  </si>
  <si>
    <t>Frg Ben Loading - Grp Ins</t>
  </si>
  <si>
    <t>%,V9260052</t>
  </si>
  <si>
    <t>9260052</t>
  </si>
  <si>
    <t>Frg Ben Loading - Savings</t>
  </si>
  <si>
    <t>%,V9260053</t>
  </si>
  <si>
    <t>9260053</t>
  </si>
  <si>
    <t>Frg Ben Loading - OPEB</t>
  </si>
  <si>
    <t>%,V9260055</t>
  </si>
  <si>
    <t>9260055</t>
  </si>
  <si>
    <t>IntercoFringeOffset- Don't Use</t>
  </si>
  <si>
    <t>%,V9260058</t>
  </si>
  <si>
    <t>9260058</t>
  </si>
  <si>
    <t>Frg Ben Loading - Accrual</t>
  </si>
  <si>
    <t>%,V9260060</t>
  </si>
  <si>
    <t>9260060</t>
  </si>
  <si>
    <t>Amort-Post Retirerment Benefit</t>
  </si>
  <si>
    <t>%,V9260062</t>
  </si>
  <si>
    <t>9260062</t>
  </si>
  <si>
    <t>Pension Plan - Non-Service</t>
  </si>
  <si>
    <t>%,V9270000</t>
  </si>
  <si>
    <t>9270000</t>
  </si>
  <si>
    <t>Franchise Requirements</t>
  </si>
  <si>
    <t>%,V9280000</t>
  </si>
  <si>
    <t>9280000</t>
  </si>
  <si>
    <t>Regulatory Commission Exp</t>
  </si>
  <si>
    <t>%,V9280001</t>
  </si>
  <si>
    <t>9280001</t>
  </si>
  <si>
    <t>Regulatory Commission Exp-Adm</t>
  </si>
  <si>
    <t>%,V9280002</t>
  </si>
  <si>
    <t>9280002</t>
  </si>
  <si>
    <t>Regulatory Commission Exp-Case</t>
  </si>
  <si>
    <t>%,V9280005</t>
  </si>
  <si>
    <t>9280005</t>
  </si>
  <si>
    <t>Reg Com Exp-FERC Trans Cases</t>
  </si>
  <si>
    <t>%,V9301000</t>
  </si>
  <si>
    <t>9301000</t>
  </si>
  <si>
    <t>General Advertising Expenses</t>
  </si>
  <si>
    <t>%,V9301001</t>
  </si>
  <si>
    <t>9301001</t>
  </si>
  <si>
    <t>Newspaper Advertising Space</t>
  </si>
  <si>
    <t>%,V9301002</t>
  </si>
  <si>
    <t>9301002</t>
  </si>
  <si>
    <t>Radio Station Advertising Time</t>
  </si>
  <si>
    <t>%,V9301003</t>
  </si>
  <si>
    <t>9301003</t>
  </si>
  <si>
    <t>TV Station Advertising Time</t>
  </si>
  <si>
    <t>%,V9301010</t>
  </si>
  <si>
    <t>9301010</t>
  </si>
  <si>
    <t>Publicity</t>
  </si>
  <si>
    <t>%,V9301012</t>
  </si>
  <si>
    <t>9301012</t>
  </si>
  <si>
    <t>Public Opinion Surveys</t>
  </si>
  <si>
    <t>%,V9301014</t>
  </si>
  <si>
    <t>9301014</t>
  </si>
  <si>
    <t>Video Communications</t>
  </si>
  <si>
    <t>%,V9301015</t>
  </si>
  <si>
    <t>9301015</t>
  </si>
  <si>
    <t>Other Corporate Comm Exp</t>
  </si>
  <si>
    <t>%,V9302000</t>
  </si>
  <si>
    <t>9302000</t>
  </si>
  <si>
    <t>Misc General Expenses</t>
  </si>
  <si>
    <t>%,V9302003</t>
  </si>
  <si>
    <t>9302003</t>
  </si>
  <si>
    <t>Corporate &amp; Fiscal Expenses</t>
  </si>
  <si>
    <t>%,V9302004</t>
  </si>
  <si>
    <t>9302004</t>
  </si>
  <si>
    <t>Research, Develop&amp;Demonstr Exp</t>
  </si>
  <si>
    <t>%,V9302006</t>
  </si>
  <si>
    <t>9302006</t>
  </si>
  <si>
    <t>Assoc Bus Dev - Materials Sold</t>
  </si>
  <si>
    <t>%,V9302007</t>
  </si>
  <si>
    <t>9302007</t>
  </si>
  <si>
    <t>Assoc Business Development Exp</t>
  </si>
  <si>
    <t>%,V9310001</t>
  </si>
  <si>
    <t>9310001</t>
  </si>
  <si>
    <t>Rents - Real Property</t>
  </si>
  <si>
    <t>%,V9310002</t>
  </si>
  <si>
    <t>9310002</t>
  </si>
  <si>
    <t>Rents - Personal Property</t>
  </si>
  <si>
    <t>%,V9310005</t>
  </si>
  <si>
    <t>9310005</t>
  </si>
  <si>
    <t>Int on Regulated Fin Leases</t>
  </si>
  <si>
    <t>%,FACCOUNT,TGL_FERC_ACCT,XDYYNNY01,N920-933</t>
  </si>
  <si>
    <t>Administration &amp; General Operations</t>
  </si>
  <si>
    <t>Line 4</t>
  </si>
  <si>
    <t>Operating Expenses (401)</t>
  </si>
  <si>
    <t>%,V5100000</t>
  </si>
  <si>
    <t>5100000</t>
  </si>
  <si>
    <t>Maint Supv &amp; Engineering</t>
  </si>
  <si>
    <t>%,V5110000</t>
  </si>
  <si>
    <t>5110000</t>
  </si>
  <si>
    <t>Maintenance of Structures</t>
  </si>
  <si>
    <t>%,V5120000</t>
  </si>
  <si>
    <t>5120000</t>
  </si>
  <si>
    <t>Maintenance of Boiler Plant</t>
  </si>
  <si>
    <t>%,V5120025</t>
  </si>
  <si>
    <t>5120025</t>
  </si>
  <si>
    <t>Maint of Blr Plt Environmental</t>
  </si>
  <si>
    <t>%,V5120034</t>
  </si>
  <si>
    <t>5120034</t>
  </si>
  <si>
    <t>BSDR O/U Recovery - Maint Cost</t>
  </si>
  <si>
    <t>%,V5130000</t>
  </si>
  <si>
    <t>5130000</t>
  </si>
  <si>
    <t>Maintenance of Electric Plant</t>
  </si>
  <si>
    <t>%,V5140000</t>
  </si>
  <si>
    <t>5140000</t>
  </si>
  <si>
    <t>Maintenance of Misc Steam Plt</t>
  </si>
  <si>
    <t>%,V5140025</t>
  </si>
  <si>
    <t>5140025</t>
  </si>
  <si>
    <t>Maint MiscStmPlt Environmental</t>
  </si>
  <si>
    <t>%,FACCOUNT,TGL_FERC_ACCT,XDYYNNY01,N510-515</t>
  </si>
  <si>
    <t>Steam Plant Maintenance</t>
  </si>
  <si>
    <t>%,FACCOUNT,TGL_FERC_ACCT,XDYYNNY01,N528-533</t>
  </si>
  <si>
    <t>Nuclear Plant Maintenance</t>
  </si>
  <si>
    <t>%,FACCOUNT,TGL_FERC_ACCT,XDYYNNY01,N541-545</t>
  </si>
  <si>
    <t>Hydraulic Plant Maintenance</t>
  </si>
  <si>
    <t>%,FACCOUNT,TGL_FERC_ACCT,XDYYNNY01,N551-554</t>
  </si>
  <si>
    <t>Other Power Plant Maintenance</t>
  </si>
  <si>
    <t>%,FACCOUNT,TGL_FERC_ACCT,XDYYNNY01,N402_MAINTENANCE</t>
  </si>
  <si>
    <t>402 Maintenance Expense</t>
  </si>
  <si>
    <t>%,V5680000</t>
  </si>
  <si>
    <t>5680000</t>
  </si>
  <si>
    <t>%,V5690000</t>
  </si>
  <si>
    <t>5690000</t>
  </si>
  <si>
    <t>%,V5691000</t>
  </si>
  <si>
    <t>5691000</t>
  </si>
  <si>
    <t>Maint of Computer Hardware</t>
  </si>
  <si>
    <t>%,V5692000</t>
  </si>
  <si>
    <t>5692000</t>
  </si>
  <si>
    <t>Maint of Computer Software</t>
  </si>
  <si>
    <t>%,V5693000</t>
  </si>
  <si>
    <t>5693000</t>
  </si>
  <si>
    <t>Maint of Communication Equip</t>
  </si>
  <si>
    <t>%,V5700000</t>
  </si>
  <si>
    <t>5700000</t>
  </si>
  <si>
    <t>Maint of Station Equipment</t>
  </si>
  <si>
    <t>%,V5710000</t>
  </si>
  <si>
    <t>5710000</t>
  </si>
  <si>
    <t>Maintenance of Overhead Lines</t>
  </si>
  <si>
    <t>%,V5720000</t>
  </si>
  <si>
    <t>5720000</t>
  </si>
  <si>
    <t>Maint of Underground Lines</t>
  </si>
  <si>
    <t>%,V5730000</t>
  </si>
  <si>
    <t>5730000</t>
  </si>
  <si>
    <t>Maint of Misc Trnsmssion Plt</t>
  </si>
  <si>
    <t>%,FACCOUNT,TGL_FERC_ACCT,XDYYNNY01,N568-574</t>
  </si>
  <si>
    <t>Transmission Maintenance</t>
  </si>
  <si>
    <t>%,V5900000</t>
  </si>
  <si>
    <t>5900000</t>
  </si>
  <si>
    <t>%,V5910000</t>
  </si>
  <si>
    <t>5910000</t>
  </si>
  <si>
    <t>%,V5920000</t>
  </si>
  <si>
    <t>5920000</t>
  </si>
  <si>
    <t>%,V5930000</t>
  </si>
  <si>
    <t>5930000</t>
  </si>
  <si>
    <t>%,V5930001</t>
  </si>
  <si>
    <t>5930001</t>
  </si>
  <si>
    <t>Tree and Brush Control</t>
  </si>
  <si>
    <t>%,V5930010</t>
  </si>
  <si>
    <t>5930010</t>
  </si>
  <si>
    <t>Storm Expense Amortization</t>
  </si>
  <si>
    <t>%,V5940000</t>
  </si>
  <si>
    <t>5940000</t>
  </si>
  <si>
    <t>%,V5950000</t>
  </si>
  <si>
    <t>5950000</t>
  </si>
  <si>
    <t>Maint of Lne Trnf,Rglators&amp;Dvi</t>
  </si>
  <si>
    <t>%,V5960000</t>
  </si>
  <si>
    <t>5960000</t>
  </si>
  <si>
    <t>Maint of Strt Lghtng &amp; Sgnal S</t>
  </si>
  <si>
    <t>%,V5970000</t>
  </si>
  <si>
    <t>5970000</t>
  </si>
  <si>
    <t>Maintenance of Meters</t>
  </si>
  <si>
    <t>%,V5980000</t>
  </si>
  <si>
    <t>5980000</t>
  </si>
  <si>
    <t>Maint of Misc Distribution Plt</t>
  </si>
  <si>
    <t>%,FACCOUNT,TGL_FERC_ACCT,XDYYNNY01,N590-599</t>
  </si>
  <si>
    <t>Distribution Maintenance</t>
  </si>
  <si>
    <t>%,FACCOUNT,TGL_FERC_ACCT,XDYYNNY01,N830-837,N861-870</t>
  </si>
  <si>
    <t>Gas Maintenance</t>
  </si>
  <si>
    <t>%,V9350000</t>
  </si>
  <si>
    <t>9350000</t>
  </si>
  <si>
    <t>Maintenance of General Plant</t>
  </si>
  <si>
    <t>%,V9350001</t>
  </si>
  <si>
    <t>9350001</t>
  </si>
  <si>
    <t>Maint of Structures - Owned</t>
  </si>
  <si>
    <t>%,V9350002</t>
  </si>
  <si>
    <t>9350002</t>
  </si>
  <si>
    <t>Maint of Structures - Leased</t>
  </si>
  <si>
    <t>%,V9350012</t>
  </si>
  <si>
    <t>9350012</t>
  </si>
  <si>
    <t>Maint of Data Equipment</t>
  </si>
  <si>
    <t>%,V9350013</t>
  </si>
  <si>
    <t>9350013</t>
  </si>
  <si>
    <t>Maint of Cmmncation Eq-Unall</t>
  </si>
  <si>
    <t>%,V9350015</t>
  </si>
  <si>
    <t>9350015</t>
  </si>
  <si>
    <t>Maint of Office Furniture &amp; Eq</t>
  </si>
  <si>
    <t>%,V9350016</t>
  </si>
  <si>
    <t>9350016</t>
  </si>
  <si>
    <t>Maintenance of Video Equipment</t>
  </si>
  <si>
    <t>%,V9350017</t>
  </si>
  <si>
    <t>9350017</t>
  </si>
  <si>
    <t>Maint of Misc General Property</t>
  </si>
  <si>
    <t>%,V9350019</t>
  </si>
  <si>
    <t>9350019</t>
  </si>
  <si>
    <t>Maint of Gen Plant-SCADA Equ</t>
  </si>
  <si>
    <t>%,V9350024</t>
  </si>
  <si>
    <t>9350024</t>
  </si>
  <si>
    <t>Maint of DA-AMI Comm Equip</t>
  </si>
  <si>
    <t>%,FACCOUNT,TGL_FERC_ACCT,XDYYNNY01,N935</t>
  </si>
  <si>
    <t>Adminstration &amp; General Maintenance</t>
  </si>
  <si>
    <t>Line 5</t>
  </si>
  <si>
    <t>Maintenance Expenses (402)</t>
  </si>
  <si>
    <t>%,V4030001</t>
  </si>
  <si>
    <t>4030001</t>
  </si>
  <si>
    <t>Depreciation Exp</t>
  </si>
  <si>
    <t>%,V4030029</t>
  </si>
  <si>
    <t>4030029</t>
  </si>
  <si>
    <t>Over/Undr Depr Exp Var Riders</t>
  </si>
  <si>
    <t>%,FACCOUNT,TGL_FERC_ACCT,XDYYNNY01,NDEPR_EXP_OTHER,NDEPR_EXP_REG,NSTP_NUCLEAR_DECOMM</t>
  </si>
  <si>
    <t>Line 6</t>
  </si>
  <si>
    <t>Depreciation Expense (403)</t>
  </si>
  <si>
    <t>%,V4031001</t>
  </si>
  <si>
    <t>4031001</t>
  </si>
  <si>
    <t>Depr - Asset Retirement Oblig</t>
  </si>
  <si>
    <t>%,FACCOUNT,TGL_FERC_ACCT,XDYYNNY01,NDEPR_EXP_ARO</t>
  </si>
  <si>
    <t>Line 7</t>
  </si>
  <si>
    <t>Depreciation Expense for Asset Retirement Costs (403.1)</t>
  </si>
  <si>
    <t>%,V4040001</t>
  </si>
  <si>
    <t>4040001</t>
  </si>
  <si>
    <t>Amort. of Plant</t>
  </si>
  <si>
    <t>%,V4040007</t>
  </si>
  <si>
    <t>4040007</t>
  </si>
  <si>
    <t>Cloud Implement - Amort Plant</t>
  </si>
  <si>
    <t>%,FACCOUNT,TGL_FERC_ACCT,XDYYNNY01,NAMORT_&amp;_DEPL_OF_PLT</t>
  </si>
  <si>
    <t>Line 8</t>
  </si>
  <si>
    <t>Amort. &amp; Depl. Of Utility Plant (404-405)</t>
  </si>
  <si>
    <t>%,V4060001</t>
  </si>
  <si>
    <t>4060001</t>
  </si>
  <si>
    <t>Amort of Plt Acq Adj</t>
  </si>
  <si>
    <t>%,FACCOUNT,TGL_FERC_ACCT,XDYYNNY01,N406</t>
  </si>
  <si>
    <t>Line 9</t>
  </si>
  <si>
    <t>Amort. Of Utility Plant Acq. Adj. (406)</t>
  </si>
  <si>
    <t>%,FACCOUNT,TGL_FERC_ACCT,XDYYNNY01,N407</t>
  </si>
  <si>
    <t>Line 10</t>
  </si>
  <si>
    <t>Amort. Property Losses, Unrecov Plant and Regulatory Study Costs (407)</t>
  </si>
  <si>
    <t>Line 11</t>
  </si>
  <si>
    <t>Amort. Of Conversion Expenses (407)</t>
  </si>
  <si>
    <t>%,V4073000</t>
  </si>
  <si>
    <t>4073000</t>
  </si>
  <si>
    <t>Regulatory Debits</t>
  </si>
  <si>
    <t>%,V4073014</t>
  </si>
  <si>
    <t>4073014</t>
  </si>
  <si>
    <t>Regulatory Debit - BSDR</t>
  </si>
  <si>
    <t>%,FACCOUNT,TGL_FERC_ACCT,XDYYNNY01,N4073</t>
  </si>
  <si>
    <t>Line 12</t>
  </si>
  <si>
    <t>Regulatory Debits (407.3)</t>
  </si>
  <si>
    <t>%,R,FACCOUNT,TGL_FERC_ACCT,XDYYNNY01,N4074</t>
  </si>
  <si>
    <t>Line 13</t>
  </si>
  <si>
    <t>(Less) Regulatory Credits (407.4)</t>
  </si>
  <si>
    <t>%,V4081002</t>
  </si>
  <si>
    <t>4081002</t>
  </si>
  <si>
    <t>FICA</t>
  </si>
  <si>
    <t>%,V4081003</t>
  </si>
  <si>
    <t>4081003</t>
  </si>
  <si>
    <t>Federal Unemployment Tax</t>
  </si>
  <si>
    <t>Real Personal Property Taxes</t>
  </si>
  <si>
    <t>%,V408100518</t>
  </si>
  <si>
    <t>408100518</t>
  </si>
  <si>
    <t>%,V408100519</t>
  </si>
  <si>
    <t>408100519</t>
  </si>
  <si>
    <t>State Gross Receipts Tax</t>
  </si>
  <si>
    <t>%,V408100619</t>
  </si>
  <si>
    <t>408100619</t>
  </si>
  <si>
    <t>%,V408100620</t>
  </si>
  <si>
    <t>408100620</t>
  </si>
  <si>
    <t>%,V4081007</t>
  </si>
  <si>
    <t>4081007</t>
  </si>
  <si>
    <t>State Unemployment Tax</t>
  </si>
  <si>
    <t>State Franchise Taxes</t>
  </si>
  <si>
    <t>%,V408100820</t>
  </si>
  <si>
    <t>408100820</t>
  </si>
  <si>
    <t>Federal Excise Taxes</t>
  </si>
  <si>
    <t>St Lic-Rgstrtion Tax-Fees</t>
  </si>
  <si>
    <t>%,V408101719</t>
  </si>
  <si>
    <t>408101719</t>
  </si>
  <si>
    <t>St Publ Serv Comm Tax-Fees</t>
  </si>
  <si>
    <t>%,V408101900</t>
  </si>
  <si>
    <t>408101900</t>
  </si>
  <si>
    <t>State Sales and Use Taxes</t>
  </si>
  <si>
    <t>%,V408101918</t>
  </si>
  <si>
    <t>408101918</t>
  </si>
  <si>
    <t>State Business Occup Taxes</t>
  </si>
  <si>
    <t>%,V408102020</t>
  </si>
  <si>
    <t>408102020</t>
  </si>
  <si>
    <t>Real-Pers Prop Tax-Cap Leases</t>
  </si>
  <si>
    <t>%,V408102920</t>
  </si>
  <si>
    <t>408102920</t>
  </si>
  <si>
    <t>%,V4081033</t>
  </si>
  <si>
    <t>4081033</t>
  </si>
  <si>
    <t>Fringe Benefit Loading - FICA</t>
  </si>
  <si>
    <t>%,V4081034</t>
  </si>
  <si>
    <t>4081034</t>
  </si>
  <si>
    <t>Fringe Benefit Loading - FUT</t>
  </si>
  <si>
    <t>%,V4081035</t>
  </si>
  <si>
    <t>4081035</t>
  </si>
  <si>
    <t>Fringe Benefit Loading - SUT</t>
  </si>
  <si>
    <t>Real Prop Tax-Cap Leases</t>
  </si>
  <si>
    <t>%,V408103620</t>
  </si>
  <si>
    <t>408103620</t>
  </si>
  <si>
    <t>%,FACCOUNT,TGL_FERC_ACCT,XDYYNNY01,N408</t>
  </si>
  <si>
    <t>Line 14</t>
  </si>
  <si>
    <t>Taxes Other Than Income Taxes (408.1)</t>
  </si>
  <si>
    <t>%,V4091001</t>
  </si>
  <si>
    <t>4091001</t>
  </si>
  <si>
    <t>Income Taxes, UOI - Federal</t>
  </si>
  <si>
    <t>%,FACCOUNT,TGL_FERC_ACCT,XDYYNNY01,NINCOME_TAXES_FEDERAL</t>
  </si>
  <si>
    <t>Income Taxes Federal</t>
  </si>
  <si>
    <t>%,V4265009</t>
  </si>
  <si>
    <t>4265009</t>
  </si>
  <si>
    <t>Factored Cust A/R Exp - Affil</t>
  </si>
  <si>
    <t>%,V4265010</t>
  </si>
  <si>
    <t>4265010</t>
  </si>
  <si>
    <t>Fact Cust A/R-Bad Debts-Affil</t>
  </si>
  <si>
    <t>%,FACCOUNT,TGL_FERC_ACCT,XDYYNNY01,NMISC_INC_DED_FAR</t>
  </si>
  <si>
    <t>Factored Accounts Rec Expenses</t>
  </si>
  <si>
    <t>Tax Effect on Factored Accounts Rec Expenses (21%)</t>
  </si>
  <si>
    <t>Line 15</t>
  </si>
  <si>
    <t>Income Taxes - Federal (409.1)</t>
  </si>
  <si>
    <t>Income Taxes UOI - State</t>
  </si>
  <si>
    <t>%,FACCOUNT,TGL_FERC_ACCT,XDYYNNY01,NINCOME_TAXES_OTHER</t>
  </si>
  <si>
    <t>Line 16</t>
  </si>
  <si>
    <t>Income Taxes - Other (409.1)</t>
  </si>
  <si>
    <t>%,V4101001</t>
  </si>
  <si>
    <t>4101001</t>
  </si>
  <si>
    <t>Prov Def I/T Util Op Inc-Fed</t>
  </si>
  <si>
    <t>%,V4101002</t>
  </si>
  <si>
    <t>4101002</t>
  </si>
  <si>
    <t>Prov Def I/T Util Op Inc-State</t>
  </si>
  <si>
    <t>%,FACCOUNT,TGL_FERC_ACCT,XDYYNNY01,NDEFER_FIT</t>
  </si>
  <si>
    <t>Line 17</t>
  </si>
  <si>
    <t>Provision for Deferred Income Taxes (410.1)</t>
  </si>
  <si>
    <t>%,V4111001</t>
  </si>
  <si>
    <t>4111001</t>
  </si>
  <si>
    <t>Prv Def I/T-Cr Util Op Inc-Fed</t>
  </si>
  <si>
    <t>%,V4111002</t>
  </si>
  <si>
    <t>4111002</t>
  </si>
  <si>
    <t>Prv Def I/T-Cr UtilOpInc-State</t>
  </si>
  <si>
    <t>%,R,FACCOUNT,TGL_FERC_ACCT,XDYYNNY01,NPROV_DEFER_FIT,</t>
  </si>
  <si>
    <t>Line 18</t>
  </si>
  <si>
    <t>(Less) Provision for Deferred Income Taxes-Cr (411.1)</t>
  </si>
  <si>
    <t>%,FACCOUNT,TGL_FERC_ACCT,XDYYNNY01,NDEFRRD_ITC_UTIL_OPER</t>
  </si>
  <si>
    <t>Line 19</t>
  </si>
  <si>
    <t>Investment Tax Credit Adj. - Net (411.4)</t>
  </si>
  <si>
    <t>%,V4116000</t>
  </si>
  <si>
    <t>4116000</t>
  </si>
  <si>
    <t>Gain From Disposition of Plant</t>
  </si>
  <si>
    <t>%,R,FACCOUNT,TGL_FERC_ACCT,XDYYNNY01,NGN_FRM_DISP_UT_PLT</t>
  </si>
  <si>
    <t>Line 20</t>
  </si>
  <si>
    <t>(Less) Gains from Disp. Of Utility Plant (411.6)</t>
  </si>
  <si>
    <t>%,FACCOUNT,TGL_FERC_ACCT,XDYYNNY01,NLSES_FRM_DISP_UT_PLT</t>
  </si>
  <si>
    <t>Line 21</t>
  </si>
  <si>
    <t>Losses from Disp. Of Utility Plant (411.7)</t>
  </si>
  <si>
    <t>%,V4118002</t>
  </si>
  <si>
    <t>4118002</t>
  </si>
  <si>
    <t>Comp. Allow Gains Title IV SO2</t>
  </si>
  <si>
    <t>%,V4118008</t>
  </si>
  <si>
    <t>4118008</t>
  </si>
  <si>
    <t>Comp Allow Gain CSAPR Seas NOx</t>
  </si>
  <si>
    <t>%,R,FACCOUNT,TGL_FERC_ACCT,XDYYNNY01,NGN_FRM_DISP_ALLOWAN</t>
  </si>
  <si>
    <t>Line 22</t>
  </si>
  <si>
    <t>(Less) Gains from Disposition of Allowances (411.8)</t>
  </si>
  <si>
    <t>%,FACCOUNT,TGL_FERC_ACCT,XDYYNNY01,NLOSS_FRM_DISP_ALLOW</t>
  </si>
  <si>
    <t>Line 23</t>
  </si>
  <si>
    <t>Losses from Disposition of Allowances (411.9)</t>
  </si>
  <si>
    <t>%,V4111005</t>
  </si>
  <si>
    <t>4111005</t>
  </si>
  <si>
    <t>Accretion Expense</t>
  </si>
  <si>
    <t>%,FACCOUNT,TGL_FERC_ACCT,XDYYNNY01,NACCRETION</t>
  </si>
  <si>
    <t>Line 24</t>
  </si>
  <si>
    <t>Accretion Expense (411.10)</t>
  </si>
  <si>
    <t>Line 25</t>
  </si>
  <si>
    <t>TOTAL Utility Operating Expenses (Enter Total of lines 4 thru 24)</t>
  </si>
  <si>
    <t>Line 26</t>
  </si>
  <si>
    <t>Net Util Oper Inc (Enter Tot. line 2 less 25) Carry to Pg 117, line 27</t>
  </si>
  <si>
    <t>Line 27</t>
  </si>
  <si>
    <t>Net Util Oper Inc (Carried FORWARD FROM PAGE 114)</t>
  </si>
  <si>
    <t>Line 28</t>
  </si>
  <si>
    <t>Other Income and Deductions</t>
  </si>
  <si>
    <t>Line 29</t>
  </si>
  <si>
    <t>Other Income</t>
  </si>
  <si>
    <t>Line 30</t>
  </si>
  <si>
    <t>Nonutility Operating Income</t>
  </si>
  <si>
    <t>%,R,FACCOUNT,TGL_FERC_ACCT,XDYYNNY01,N415</t>
  </si>
  <si>
    <t>Line 31</t>
  </si>
  <si>
    <t>Revenues From Merchandising, Jobbing &amp; Contract Work (415)</t>
  </si>
  <si>
    <t>%,FACCOUNT,TGL_FERC_ACCT,XDYYNNY01,N416</t>
  </si>
  <si>
    <t>Line 32</t>
  </si>
  <si>
    <t>(Less) Costs and Exp. Merchandising, Job. &amp; Contract Work (416)</t>
  </si>
  <si>
    <t>%,V4170004</t>
  </si>
  <si>
    <t>4170004</t>
  </si>
  <si>
    <t>Rev from Non-Util Oper NonAfil</t>
  </si>
  <si>
    <t>%,R,FACCOUNT,TGL_FERC_ACCT,XDYYNNY01,NREV_NONUTIL_OPS</t>
  </si>
  <si>
    <t>Line 33</t>
  </si>
  <si>
    <t>Revenues From Nonutility Operations (417)</t>
  </si>
  <si>
    <t>%,FACCOUNT,TGL_FERC_ACCT,XDYYNNY01,NEXP_NONUTIL_OPS</t>
  </si>
  <si>
    <t>Line 34</t>
  </si>
  <si>
    <t>(Less) Expenses of Nonutility Operations (417.1)</t>
  </si>
  <si>
    <t>%,V4180001</t>
  </si>
  <si>
    <t>4180001</t>
  </si>
  <si>
    <t>Non-Operatng Rental Income</t>
  </si>
  <si>
    <t>%,V4180005</t>
  </si>
  <si>
    <t>4180005</t>
  </si>
  <si>
    <t>Non-Opratng Rntal Inc-Depr</t>
  </si>
  <si>
    <t>%,R,FACCOUNT,TGL_FERC_ACCT,XDYYNNY01,NNON_OP_RENTAL_INCOME</t>
  </si>
  <si>
    <t>Line 35</t>
  </si>
  <si>
    <t>Nonoperating Rental Income (418)</t>
  </si>
  <si>
    <t>%,R,FACCOUNT,TGL_FERC_ACCT,XDYYNNY01,NEQUITY_IN_SUB_EARN</t>
  </si>
  <si>
    <t>Line 36</t>
  </si>
  <si>
    <t>Equity in Earnings of Subsidiary Companies (418.1)</t>
  </si>
  <si>
    <t>%,V4190002</t>
  </si>
  <si>
    <t>4190002</t>
  </si>
  <si>
    <t>Int &amp; Dividend Inc - Nonassoc</t>
  </si>
  <si>
    <t>%,V4190005</t>
  </si>
  <si>
    <t>4190005</t>
  </si>
  <si>
    <t>Interest Income - Assoc CBP</t>
  </si>
  <si>
    <t>%,R,FACCOUNT,TGL_FERC_ACCT,XDYYNNY01,NINTEREST_INCOME</t>
  </si>
  <si>
    <t>Line 37</t>
  </si>
  <si>
    <t>Interest and Dividend Income (419)</t>
  </si>
  <si>
    <t>%,V4191000</t>
  </si>
  <si>
    <t>4191000</t>
  </si>
  <si>
    <t>Allw Oth Fnds Usd Drng Cnstr</t>
  </si>
  <si>
    <t>%,R,FACCOUNT,TGL_FERC_ACCT,XDYYNNY01,NAFUDC_OTH_FUNDS-CR</t>
  </si>
  <si>
    <t>Line 38</t>
  </si>
  <si>
    <t>Allowance for Other Funds Used During Construction (419.1)</t>
  </si>
  <si>
    <t>%,V4210002</t>
  </si>
  <si>
    <t>4210002</t>
  </si>
  <si>
    <t>Misc Non-Op Inc-NonAsc-Rents</t>
  </si>
  <si>
    <t>%,V4210005</t>
  </si>
  <si>
    <t>4210005</t>
  </si>
  <si>
    <t>Misc Non-Op Inc-NonAsc-Timber</t>
  </si>
  <si>
    <t>%,V4210007</t>
  </si>
  <si>
    <t>4210007</t>
  </si>
  <si>
    <t>Misc Non-Op Inc - NonAsc - Oth</t>
  </si>
  <si>
    <t>%,V4210009</t>
  </si>
  <si>
    <t>4210009</t>
  </si>
  <si>
    <t>Misc Non-Op Exp - NonAssoc</t>
  </si>
  <si>
    <t>%,V4210031</t>
  </si>
  <si>
    <t>4210031</t>
  </si>
  <si>
    <t>Pwr Sales Outside Svc Territry</t>
  </si>
  <si>
    <t>%,R,FACCOUNT,TGL_FERC_ACCT,XDYYNNY01,NMISC_NONOP_INC</t>
  </si>
  <si>
    <t>Line 39</t>
  </si>
  <si>
    <t>Miscellaneous Nonoperating Income (421)</t>
  </si>
  <si>
    <t>%,V4211000</t>
  </si>
  <si>
    <t>4211000</t>
  </si>
  <si>
    <t>Gain on Dspsition of Property</t>
  </si>
  <si>
    <t>%,R,FACCOUNT,TGL_FERC_ACCT,XDYYNNY01,NGAIN_ON_DIST_PROPERT</t>
  </si>
  <si>
    <t>Line 40</t>
  </si>
  <si>
    <t>Gain on Disposition of Property (421.1)</t>
  </si>
  <si>
    <t>Line 41</t>
  </si>
  <si>
    <t>TOTAL Other Income (Enter Total of lines 31 thru 40)</t>
  </si>
  <si>
    <t>Line 42</t>
  </si>
  <si>
    <t>Other Income Deductions</t>
  </si>
  <si>
    <t>%,V4212000</t>
  </si>
  <si>
    <t>4212000</t>
  </si>
  <si>
    <t>Loss on Dspsition of Property</t>
  </si>
  <si>
    <t>%,FACCOUNT,TGL_FERC_ACCT,XDYYNNY01,NLOSS_DIST_PROPERTY</t>
  </si>
  <si>
    <t>Line 43</t>
  </si>
  <si>
    <t>Loss on Disposition of Property (421.2)</t>
  </si>
  <si>
    <t>%,FACCOUNT,TGL_FERC_ACCT,XDYYNNY01,NMISC_AMORT_PLT_ADJ</t>
  </si>
  <si>
    <t>Line 44</t>
  </si>
  <si>
    <t>Miscellaneous Amortization (425)</t>
  </si>
  <si>
    <t>%,V4261000</t>
  </si>
  <si>
    <t>4261000</t>
  </si>
  <si>
    <t>Donations</t>
  </si>
  <si>
    <t>%,FACCOUNT,TGL_FERC_ACCT,XDYYNNY01,N4261</t>
  </si>
  <si>
    <t>Line 45</t>
  </si>
  <si>
    <t>Donations (426.1)</t>
  </si>
  <si>
    <t>%,FACCOUNT,TGL_FERC_ACCT,XDYYNNY01,N4262</t>
  </si>
  <si>
    <t>Line 46</t>
  </si>
  <si>
    <t>Life Insurance (426.2)</t>
  </si>
  <si>
    <t>%,V4263001</t>
  </si>
  <si>
    <t>4263001</t>
  </si>
  <si>
    <t>Penalties</t>
  </si>
  <si>
    <t>%,V4263003</t>
  </si>
  <si>
    <t>4263003</t>
  </si>
  <si>
    <t>Penalties - Quality of Service</t>
  </si>
  <si>
    <t>%,FACCOUNT,TGL_FERC_ACCT,XDYYNNY01,N4263</t>
  </si>
  <si>
    <t>Line 47</t>
  </si>
  <si>
    <t>Penalties (426.3)</t>
  </si>
  <si>
    <t>%,V4264000</t>
  </si>
  <si>
    <t>4264000</t>
  </si>
  <si>
    <t>Civic and Political Activity</t>
  </si>
  <si>
    <t>%,V4264001</t>
  </si>
  <si>
    <t>4264001</t>
  </si>
  <si>
    <t>Non-deduct Lobbying per IRS</t>
  </si>
  <si>
    <t>%,FACCOUNT,TGL_FERC_ACCT,XDYYNNY01,N4264</t>
  </si>
  <si>
    <t>Line 48</t>
  </si>
  <si>
    <t>Exp. For Certain Civic, Political &amp; Related Activities (426.4)</t>
  </si>
  <si>
    <t>%,V4265002</t>
  </si>
  <si>
    <t>4265002</t>
  </si>
  <si>
    <t>Other Deductions - Nonassoc</t>
  </si>
  <si>
    <t>%,V4265004</t>
  </si>
  <si>
    <t>4265004</t>
  </si>
  <si>
    <t>Social &amp; Service Club Dues</t>
  </si>
  <si>
    <t>%,V4265007</t>
  </si>
  <si>
    <t>4265007</t>
  </si>
  <si>
    <t>Regulatory Expenses</t>
  </si>
  <si>
    <t>%,V4265033</t>
  </si>
  <si>
    <t>4265033</t>
  </si>
  <si>
    <t>Transition Costs</t>
  </si>
  <si>
    <t>%,FACCOUNT,TGL_FERC_ACCT,XDYYNNY01,N4265</t>
  </si>
  <si>
    <t>Line 49</t>
  </si>
  <si>
    <t>Other Deductions (426.5)</t>
  </si>
  <si>
    <t>Line 50</t>
  </si>
  <si>
    <t>TOTAL Other Income Deductions(Total of lines 43 thru 49)</t>
  </si>
  <si>
    <t>Line 51</t>
  </si>
  <si>
    <t>Taxes Applic. To Other Income and Deductions</t>
  </si>
  <si>
    <t>%,FACCOUNT,TGL_FERC_ACCT,XDYYNNY01,NTAXES_OTHER_THN_INC</t>
  </si>
  <si>
    <t>Line 52</t>
  </si>
  <si>
    <t>Taxes Other Than Income Taxes (408.2)</t>
  </si>
  <si>
    <t>%,V4092001</t>
  </si>
  <si>
    <t>4092001</t>
  </si>
  <si>
    <t>Inc Tax, Oth Inc&amp;Ded-Federal</t>
  </si>
  <si>
    <t>%,FACCOUNT,TGL_FERC_ACCT,XDYYNNY01,NINCOME_TAX_FED_NONOP</t>
  </si>
  <si>
    <t>Federal Income Taxes NonOperating</t>
  </si>
  <si>
    <t>Line 53</t>
  </si>
  <si>
    <t>Income Taxes - Federal (409.2)</t>
  </si>
  <si>
    <t>Inc Tax Oth Inc  Ded - State</t>
  </si>
  <si>
    <t>%,FACCOUNT,TGL_FERC_ACCT,XDYYNNY01,NINCOME_TAX_OTH_NONOP</t>
  </si>
  <si>
    <t>Line 54</t>
  </si>
  <si>
    <t>Income Taxes - Other (409.2)</t>
  </si>
  <si>
    <t>%,V4102001</t>
  </si>
  <si>
    <t>4102001</t>
  </si>
  <si>
    <t>Prov Def I/T Oth I&amp;D - Federal</t>
  </si>
  <si>
    <t>%,FACCOUNT,TGL_FERC_ACCT,XDYYNNY01,NPROV_FOR_DEF_TAX_NON</t>
  </si>
  <si>
    <t>Line 55</t>
  </si>
  <si>
    <t>Provision for Deferred Inc. Taxes (410.2)</t>
  </si>
  <si>
    <t>%,V4112001</t>
  </si>
  <si>
    <t>4112001</t>
  </si>
  <si>
    <t>Prv Def I/T-Cr Oth I&amp;D-Fed</t>
  </si>
  <si>
    <t>%,R,FACCOUNT,TGL_FERC_ACCT,XDYYNNY01,NPROV_DEF_TX_NON_CR</t>
  </si>
  <si>
    <t>Line 56</t>
  </si>
  <si>
    <t xml:space="preserve">(Less) Provision for Deferred Income Taxes-Cr (411.2) </t>
  </si>
  <si>
    <t>%,FACCOUNT,TGL_FERC_ACCT,XDYYNNY01,NINVESTMENT_TAX</t>
  </si>
  <si>
    <t>Line 57</t>
  </si>
  <si>
    <t>Investment Tax Credit Adj.-Net (411.5)</t>
  </si>
  <si>
    <t>%,R,FACCOUNT,TGL_FERC_ACCT,XDYYNNY01,N420</t>
  </si>
  <si>
    <t>Line 58</t>
  </si>
  <si>
    <t>(Less) Investment Tax Credits (420)</t>
  </si>
  <si>
    <t>Line 59</t>
  </si>
  <si>
    <t>TOTAL Taxes on Other Income and Deductions (Total of lines 52-58)</t>
  </si>
  <si>
    <t>Line 60</t>
  </si>
  <si>
    <t>Net Other Income and Deductions (Total of lines 41, 50, 59)</t>
  </si>
  <si>
    <t>Line 61</t>
  </si>
  <si>
    <t xml:space="preserve">Interest Charges </t>
  </si>
  <si>
    <t>%,V4270002</t>
  </si>
  <si>
    <t>4270002</t>
  </si>
  <si>
    <t>Int on LTD - Install Pur Contr</t>
  </si>
  <si>
    <t>%,V4270005</t>
  </si>
  <si>
    <t>4270005</t>
  </si>
  <si>
    <t>Int on LTD - Other LTD</t>
  </si>
  <si>
    <t>%,V4270006</t>
  </si>
  <si>
    <t>4270006</t>
  </si>
  <si>
    <t>Int on LTD - Sen Unsec Notes</t>
  </si>
  <si>
    <t>%,FACCOUNT,TGL_FERC_ACCT,XDYYNNY01,NINT_LONG-TERM_DEBT</t>
  </si>
  <si>
    <t>Line 62</t>
  </si>
  <si>
    <t>Interest on Long-Term Debt (427)</t>
  </si>
  <si>
    <t>%,V4280002</t>
  </si>
  <si>
    <t>4280002</t>
  </si>
  <si>
    <t>Amrtz Debt Dscnt&amp;Exp-Instl Pur</t>
  </si>
  <si>
    <t>%,V4280003</t>
  </si>
  <si>
    <t>4280003</t>
  </si>
  <si>
    <t>Amrtz Debt Dscnt&amp;Exp-N/P</t>
  </si>
  <si>
    <t>%,V4280006</t>
  </si>
  <si>
    <t>4280006</t>
  </si>
  <si>
    <t>Amrtz Dscnt&amp;Exp-Sn Unsec Note</t>
  </si>
  <si>
    <t>%,FACCOUNT,TGL_FERC_ACCT,XDYYNNY01,NAMORT_DEBT_DISC&amp;EXP</t>
  </si>
  <si>
    <t>Line 63</t>
  </si>
  <si>
    <t>Amort. Of Debt Disc. And Expense (428)</t>
  </si>
  <si>
    <t>%,V4281004</t>
  </si>
  <si>
    <t>4281004</t>
  </si>
  <si>
    <t>Amrtz Loss Rcquired Debt-Dbnt</t>
  </si>
  <si>
    <t>%,FACCOUNT,TGL_FERC_ACCT,XDYYNNY01,NAMORT_LOSS_REACQ_DBT</t>
  </si>
  <si>
    <t>Line 64</t>
  </si>
  <si>
    <t>Amortization of Loss on Reacquired Debt (428.1)</t>
  </si>
  <si>
    <t>%,R,FACCOUNT,TGL_FERC_ACCT,XDYYNNY01,NAMORT_DBT_PREM</t>
  </si>
  <si>
    <t>Line 65</t>
  </si>
  <si>
    <t>(Less) Amort. Of Premium on Debt-Credit (429)</t>
  </si>
  <si>
    <t>%,R,FACCOUNT,TGL_FERC_ACCT,XDYYNNY01,NAMORT_GAIN_REAQUIRED</t>
  </si>
  <si>
    <t>Line 66</t>
  </si>
  <si>
    <t>(Less) Amortization of Gain on Reacquired Debt-Credit (429.1)</t>
  </si>
  <si>
    <t>%,V4300003</t>
  </si>
  <si>
    <t>4300003</t>
  </si>
  <si>
    <t>Int to Assoc Co - CBP</t>
  </si>
  <si>
    <t>%,FACCOUNT,TGL_FERC_ACCT,XDYYNNY01,NINTEREST_ASSOC_COS</t>
  </si>
  <si>
    <t>Line 67</t>
  </si>
  <si>
    <t>Interest on Debt to Assoc. Companies (430)</t>
  </si>
  <si>
    <t>%,V4310001</t>
  </si>
  <si>
    <t>4310001</t>
  </si>
  <si>
    <t>Other Interest Expense</t>
  </si>
  <si>
    <t>%,V4310002</t>
  </si>
  <si>
    <t>4310002</t>
  </si>
  <si>
    <t>Interest on Customer Deposits</t>
  </si>
  <si>
    <t>%,V4310007</t>
  </si>
  <si>
    <t>4310007</t>
  </si>
  <si>
    <t>Lines Of Credit</t>
  </si>
  <si>
    <t>%,FACCOUNT,TGL_FERC_ACCT,XDYYNNY01,NOTH_INTEREST_EXP</t>
  </si>
  <si>
    <t>Line 68</t>
  </si>
  <si>
    <t>Other Interest Expense (431)</t>
  </si>
  <si>
    <t>%,V4320000</t>
  </si>
  <si>
    <t>4320000</t>
  </si>
  <si>
    <t>Allw Brrwed Fnds Used Cnstr-Cr</t>
  </si>
  <si>
    <t>%,R,FACCOUNT,TGL_FERC_ACCT,XDYYNNY01,NAFUDC-BRWD_FUNDS-CR</t>
  </si>
  <si>
    <t>Line 69</t>
  </si>
  <si>
    <t>(Less) Allowance for Borrowed Funds Used During Construction-Cr. (432)</t>
  </si>
  <si>
    <t>Line 70</t>
  </si>
  <si>
    <t>Net Interest Charges (Total of lines 62 thru 69)</t>
  </si>
  <si>
    <t>Line 71</t>
  </si>
  <si>
    <t>Income Before Extraordinary Items (Total of lines 27, 60 and 70)</t>
  </si>
  <si>
    <t>Line 72</t>
  </si>
  <si>
    <t>Extraordinary Items</t>
  </si>
  <si>
    <t>%,R,FACCOUNT,TGL_FERC_ACCT,XDYYNNY01,NEXTRAORDINARY_INCOME</t>
  </si>
  <si>
    <t>Line 73</t>
  </si>
  <si>
    <t>Extraordinary Income (434)</t>
  </si>
  <si>
    <t>%,FACCOUNT,TGL_FERC_ACCT,XDYYNNY01,NEXTRAORDINARY_DEDUCT</t>
  </si>
  <si>
    <t>Line 74</t>
  </si>
  <si>
    <t>(Less) Extraordinary Deductions (435)</t>
  </si>
  <si>
    <t>Line 75</t>
  </si>
  <si>
    <t>Net Extraordinary Items (Total of line 73 less line 74)</t>
  </si>
  <si>
    <t>%,FACCOUNT,TGL_FERC_ACCT,XDYYNNY01,NINC_TX_FED_&amp;_OTH_EXT</t>
  </si>
  <si>
    <t>Line 76</t>
  </si>
  <si>
    <t>Income Taxes-Federal and Other (409.3)</t>
  </si>
  <si>
    <t>Line 77</t>
  </si>
  <si>
    <t>Extraordinary Items After Taxes (line 75 less line 76)</t>
  </si>
  <si>
    <t>Line 78</t>
  </si>
  <si>
    <t>Net Income (Total of line 71 and 77)</t>
  </si>
  <si>
    <t>%,FACCOUNT,TGL_FERC_ACCT,NINCOME_STATEMENT</t>
  </si>
  <si>
    <t>Net Income Verification</t>
  </si>
  <si>
    <t>This line should be zero</t>
  </si>
  <si>
    <t xml:space="preserve">Report as of Date: </t>
  </si>
  <si>
    <t>Rounding Tolerance:</t>
  </si>
  <si>
    <t>Error Message Shown:</t>
  </si>
  <si>
    <t>ERROR ABOVE</t>
  </si>
  <si>
    <t>E</t>
  </si>
  <si>
    <t>Error Message Counter</t>
  </si>
  <si>
    <t>Total Error Message Count</t>
  </si>
  <si>
    <t>Operator</t>
  </si>
  <si>
    <t>S295458</t>
  </si>
  <si>
    <t>RID   Report ID</t>
  </si>
  <si>
    <t>FERC_IS1</t>
  </si>
  <si>
    <t>LYN   Report Layout</t>
  </si>
  <si>
    <t>BUN   Business Unit</t>
  </si>
  <si>
    <t>Error</t>
  </si>
  <si>
    <t>RBN   Report Request</t>
  </si>
  <si>
    <t>Kentucky Power Integrated Elim</t>
  </si>
  <si>
    <t>RBU   Request Bus Unit</t>
  </si>
  <si>
    <t>X992</t>
  </si>
  <si>
    <t>SCN   Scope Decrip</t>
  </si>
  <si>
    <t>SCD   Scope Description</t>
  </si>
  <si>
    <t>KYP CORP CONSOLIDATED</t>
  </si>
  <si>
    <t>SFD   Scope Field Descr</t>
  </si>
  <si>
    <t>SFV   Scope Field Value</t>
  </si>
  <si>
    <t>STN   Scope Tree Name</t>
  </si>
  <si>
    <t>GL_PRPT_CONS</t>
  </si>
  <si>
    <t>Elapsed Run Time</t>
  </si>
  <si>
    <t>Performance : GL_FERC_ACCT</t>
  </si>
  <si>
    <t>Performance: GL_PRPT_CONS</t>
  </si>
  <si>
    <t>Reserved Section</t>
  </si>
  <si>
    <t>Over/Under</t>
  </si>
  <si>
    <t>KENTUCKY POWER COMPANY - ENVIRONMENTAL SURCHARGE REPORT</t>
  </si>
  <si>
    <t>CURRENT PERIOD REVENUE REQUIREMENT</t>
  </si>
  <si>
    <t xml:space="preserve">       MITCHELL PLANT COST OF CAPITAL</t>
  </si>
  <si>
    <t>LINE NO.</t>
  </si>
  <si>
    <t>Component</t>
  </si>
  <si>
    <t>Balances</t>
  </si>
  <si>
    <t>Cap.                                Structure</t>
  </si>
  <si>
    <t>Cost                                                Rates</t>
  </si>
  <si>
    <t>WACC                                              (Net of Tax)</t>
  </si>
  <si>
    <t>GRCF</t>
  </si>
  <si>
    <t>WACC       (PRE-TAX)</t>
  </si>
  <si>
    <t>L/T DEBT</t>
  </si>
  <si>
    <t>S/T DEBT</t>
  </si>
  <si>
    <t>ACCTS REC FINANCING</t>
  </si>
  <si>
    <t>C EQUITY</t>
  </si>
  <si>
    <t>**</t>
  </si>
  <si>
    <t>TOTAL</t>
  </si>
  <si>
    <t>Debt</t>
  </si>
  <si>
    <t>Equity</t>
  </si>
  <si>
    <t>Operating Revenues</t>
  </si>
  <si>
    <t>Less Uncollectible Accounts Expense</t>
  </si>
  <si>
    <t>KPSC Maintenance Assessment Fee</t>
  </si>
  <si>
    <t>Income Before Income Taxes</t>
  </si>
  <si>
    <t>Income Before Federal Income Taxes</t>
  </si>
  <si>
    <t>Operating  Income Percentage</t>
  </si>
  <si>
    <t>Gross Up Factor  (100.00/Ln 9)</t>
  </si>
  <si>
    <t>Rate of Return on Common Equity as authorized by the Public Service Commission in Order Dated June 22, 2015 in Case No. 2014-00396.</t>
  </si>
  <si>
    <t xml:space="preserve">  </t>
  </si>
  <si>
    <t>Less Federal Income Taxes (Ln 13*21%)</t>
  </si>
  <si>
    <t>ML FGD Revenue Requirement</t>
  </si>
  <si>
    <t>Marshall County, WV rate</t>
  </si>
  <si>
    <t>Gross-up for Uncollectible Expense &amp; KPSC Maint Fee (Ln 40 * .006093)</t>
  </si>
  <si>
    <t>Gross-up for Uncollectible Expense &amp; KPSC Maint Fee (Ln 25 * .006093)</t>
  </si>
  <si>
    <t>Mitchell Retail Revenues to Remain in Base Rates</t>
  </si>
  <si>
    <t>Construction Work in Progress (CWIP)</t>
  </si>
  <si>
    <t>Non-FGD Rate Base as of 3/31/2020</t>
  </si>
  <si>
    <t>Additional Non-FGD Rate Base Post 3/31/2020</t>
  </si>
  <si>
    <t>Monthly Installment of ELG Regulatory Asset Amortization****</t>
  </si>
  <si>
    <t>Environmental Base Revenue for Base Period</t>
  </si>
  <si>
    <t>Current Enironmental Base (Includes Rockport)</t>
  </si>
  <si>
    <t>2020-00174</t>
  </si>
  <si>
    <t>July 2022 - March 2023</t>
  </si>
  <si>
    <t>April 2022 - June 2022</t>
  </si>
  <si>
    <t>%,V5010031</t>
  </si>
  <si>
    <t>5010031</t>
  </si>
  <si>
    <t>Fuel Contract Termination Adj.</t>
  </si>
  <si>
    <t>Lime-Related Expenses</t>
  </si>
  <si>
    <t>%,V5020020</t>
  </si>
  <si>
    <t>5020020</t>
  </si>
  <si>
    <t>Misc Consumable Exp</t>
  </si>
  <si>
    <t>%,V5060025</t>
  </si>
  <si>
    <t>5060025</t>
  </si>
  <si>
    <t>Misc Stm Pwr Exp Environmental</t>
  </si>
  <si>
    <t>%,V5490000</t>
  </si>
  <si>
    <t>5490000</t>
  </si>
  <si>
    <t>Misc Other Pwer Generation Exp</t>
  </si>
  <si>
    <t>%,V5500004</t>
  </si>
  <si>
    <t>5500004</t>
  </si>
  <si>
    <t>Wind Easement Exp - NonLease</t>
  </si>
  <si>
    <t>%,V5500005</t>
  </si>
  <si>
    <t>5500005</t>
  </si>
  <si>
    <t>Lease Expense - Wind Leases</t>
  </si>
  <si>
    <t>%,V5550004</t>
  </si>
  <si>
    <t>5550004</t>
  </si>
  <si>
    <t>Purchased Power-Pool Capacity</t>
  </si>
  <si>
    <t>%,V5570020</t>
  </si>
  <si>
    <t>5570020</t>
  </si>
  <si>
    <t>MATL-COMPUTER HARDWARE</t>
  </si>
  <si>
    <t>%,V5570021</t>
  </si>
  <si>
    <t>5570021</t>
  </si>
  <si>
    <t>MATL-CONSUMABLES</t>
  </si>
  <si>
    <t>%,V5570024</t>
  </si>
  <si>
    <t>5570024</t>
  </si>
  <si>
    <t>MATL-REPAIR PARTS</t>
  </si>
  <si>
    <t>%,V5616000</t>
  </si>
  <si>
    <t>5616000</t>
  </si>
  <si>
    <t>Transmission Service Studies</t>
  </si>
  <si>
    <t>%,V5650023</t>
  </si>
  <si>
    <t>5650023</t>
  </si>
  <si>
    <t>Amort of PROVISION RTO Expense</t>
  </si>
  <si>
    <t>%,V5650024</t>
  </si>
  <si>
    <t>5650024</t>
  </si>
  <si>
    <t>Schedule 1A-Non-Affiliated</t>
  </si>
  <si>
    <t>%,V5650062</t>
  </si>
  <si>
    <t>5650062</t>
  </si>
  <si>
    <t>Deferral of Provision RTO Exp</t>
  </si>
  <si>
    <t>%,V9040000</t>
  </si>
  <si>
    <t>9040000</t>
  </si>
  <si>
    <t>Uncollectible Accounts</t>
  </si>
  <si>
    <t>%,V9210020</t>
  </si>
  <si>
    <t>9210020</t>
  </si>
  <si>
    <t>EMP RECOG - Over 100 Dollars</t>
  </si>
  <si>
    <t>%,V9210029</t>
  </si>
  <si>
    <t>9210029</t>
  </si>
  <si>
    <t>NON-EMP TRAVEL-RECRUITING EXP</t>
  </si>
  <si>
    <t>%,V9210037</t>
  </si>
  <si>
    <t>9210037</t>
  </si>
  <si>
    <t>OEM/TECHNICAL TRAINING</t>
  </si>
  <si>
    <t>%,V9220002</t>
  </si>
  <si>
    <t>9220002</t>
  </si>
  <si>
    <t>Admin Exp Trnsf Const-Mngerial</t>
  </si>
  <si>
    <t>%,V9280006</t>
  </si>
  <si>
    <t>9280006</t>
  </si>
  <si>
    <t>State Publ Serv CommissionFees</t>
  </si>
  <si>
    <t>%,V5120037</t>
  </si>
  <si>
    <t>5120037</t>
  </si>
  <si>
    <t>KY Steam Maint O/U</t>
  </si>
  <si>
    <t>%,V5540001</t>
  </si>
  <si>
    <t>5540001</t>
  </si>
  <si>
    <t>Maint of Oth Pwr Gen Plt-GT</t>
  </si>
  <si>
    <t>%,V9350023</t>
  </si>
  <si>
    <t>9350023</t>
  </si>
  <si>
    <t>Site Communications Services</t>
  </si>
  <si>
    <t>%,V408100520</t>
  </si>
  <si>
    <t>408100520</t>
  </si>
  <si>
    <t>%,V408100521</t>
  </si>
  <si>
    <t>408100521</t>
  </si>
  <si>
    <t>%,V408100522</t>
  </si>
  <si>
    <t>408100522</t>
  </si>
  <si>
    <t>%,V408100621</t>
  </si>
  <si>
    <t>408100621</t>
  </si>
  <si>
    <t>%,V408100622</t>
  </si>
  <si>
    <t>408100622</t>
  </si>
  <si>
    <t>%,V408100623</t>
  </si>
  <si>
    <t>408100623</t>
  </si>
  <si>
    <t>%,V408101421</t>
  </si>
  <si>
    <t>408101421</t>
  </si>
  <si>
    <t>%,V408101422</t>
  </si>
  <si>
    <t>408101422</t>
  </si>
  <si>
    <t>%,V408101820</t>
  </si>
  <si>
    <t>408101820</t>
  </si>
  <si>
    <t>%,V408101821</t>
  </si>
  <si>
    <t>408101821</t>
  </si>
  <si>
    <t>%,V408101921</t>
  </si>
  <si>
    <t>408101921</t>
  </si>
  <si>
    <t>%,V408101922</t>
  </si>
  <si>
    <t>408101922</t>
  </si>
  <si>
    <t>%,V408101923</t>
  </si>
  <si>
    <t>408101923</t>
  </si>
  <si>
    <t>%,V408102021</t>
  </si>
  <si>
    <t>408102021</t>
  </si>
  <si>
    <t>%,V408102022</t>
  </si>
  <si>
    <t>408102022</t>
  </si>
  <si>
    <t>%,V408102023</t>
  </si>
  <si>
    <t>408102023</t>
  </si>
  <si>
    <t>%,V408102921</t>
  </si>
  <si>
    <t>408102921</t>
  </si>
  <si>
    <t>%,V408102922</t>
  </si>
  <si>
    <t>408102922</t>
  </si>
  <si>
    <t>%,V408102923</t>
  </si>
  <si>
    <t>408102923</t>
  </si>
  <si>
    <t>%,V408103621</t>
  </si>
  <si>
    <t>408103621</t>
  </si>
  <si>
    <t>%,V408103622</t>
  </si>
  <si>
    <t>408103622</t>
  </si>
  <si>
    <t>%,V408103623</t>
  </si>
  <si>
    <t>408103623</t>
  </si>
  <si>
    <t>%,V409100221</t>
  </si>
  <si>
    <t>409100221</t>
  </si>
  <si>
    <t>%,V409100222</t>
  </si>
  <si>
    <t>409100222</t>
  </si>
  <si>
    <t>%,V409100223</t>
  </si>
  <si>
    <t>409100223</t>
  </si>
  <si>
    <t>%,V4171009</t>
  </si>
  <si>
    <t>4171009</t>
  </si>
  <si>
    <t>Office Supplies &amp; Expense</t>
  </si>
  <si>
    <t>%,V4265001</t>
  </si>
  <si>
    <t>4265001</t>
  </si>
  <si>
    <t>Other Deductions - Associated</t>
  </si>
  <si>
    <t>%,V408200520</t>
  </si>
  <si>
    <t>408200520</t>
  </si>
  <si>
    <t>%,V408200521</t>
  </si>
  <si>
    <t>408200521</t>
  </si>
  <si>
    <t>%,V408200522</t>
  </si>
  <si>
    <t>408200522</t>
  </si>
  <si>
    <t>%,V409200220</t>
  </si>
  <si>
    <t>409200220</t>
  </si>
  <si>
    <t>%,V409200222</t>
  </si>
  <si>
    <t>409200222</t>
  </si>
  <si>
    <t>%,V409200223</t>
  </si>
  <si>
    <t>409200223</t>
  </si>
  <si>
    <t>2023-03-31</t>
  </si>
  <si>
    <t>Removal of Mitchell FGD and Rockport Environmental Surcharge Rider Revenues</t>
  </si>
  <si>
    <t>=(3)-(4)</t>
  </si>
  <si>
    <t>Eliminate Mitchell FGD Operating Expenses</t>
  </si>
  <si>
    <t>Not included in BRR</t>
  </si>
  <si>
    <t>As of 3/31/2023*</t>
  </si>
  <si>
    <t>Less State Income Taxes (Ln 4 x 5.0065)</t>
  </si>
  <si>
    <t>Gross-up for Uncollectible Expense &amp; KPSC Maint Fee (Ln 40 * .005523)</t>
  </si>
  <si>
    <t>Test Year Ended 3/31/2023</t>
  </si>
  <si>
    <t>Environmental Base Revenue Requirement (BRR)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</si>
</sst>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5" formatCode="&quot;$&quot;#,##0_);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0.0%"/>
    <numFmt numFmtId="167" formatCode="0_);\(0\)"/>
    <numFmt numFmtId="168" formatCode="&quot;$&quot;#,##0.00"/>
    <numFmt numFmtId="169" formatCode="#,##0.000_);\(#,##0.000\)"/>
    <numFmt numFmtId="170" formatCode="&quot;$&quot;#,##0"/>
    <numFmt numFmtId="171" formatCode="_(* #,##0_);_(* \(#,##0\);_(* &quot;-&quot;??_);_(@_)"/>
    <numFmt numFmtId="172" formatCode="0.0%;[Red]\(0.0\)%"/>
    <numFmt numFmtId="173" formatCode="&quot;ID: &quot;\ #,##0"/>
    <numFmt numFmtId="174" formatCode="0.00%_);[Red]\(0.00%\)"/>
    <numFmt numFmtId="175" formatCode="0.000%"/>
    <numFmt numFmtId="176" formatCode="0.000000"/>
    <numFmt numFmtId="177" formatCode="#,##0.0000_);\(#,##0.0000\)"/>
    <numFmt numFmtId="178" formatCode="_(* #,##0.0000_);_(* \(#,##0.0000\);_(* &quot;-&quot;??_);_(@_)"/>
    <numFmt numFmtId="179" formatCode="0.000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10"/>
      <name val="MS Sans Serif"/>
      <family val="2"/>
    </font>
    <font>
      <sz val="10"/>
      <name val="MS Sans Serif"/>
      <family val="2"/>
    </font>
    <font>
      <b/>
      <sz val="10"/>
      <name val="Times New Roman"/>
      <family val="1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0"/>
      <name val="Arial Unicode MS"/>
      <family val="2"/>
    </font>
    <font>
      <b/>
      <u/>
      <sz val="10"/>
      <name val="Times New Roman"/>
      <family val="1"/>
    </font>
    <font>
      <sz val="10"/>
      <name val="Arial Unicode MS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 Unicode MS"/>
    </font>
    <font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u/>
      <sz val="10"/>
      <color indexed="9"/>
      <name val="Arial"/>
      <family val="2"/>
    </font>
    <font>
      <u/>
      <sz val="10"/>
      <color indexed="8"/>
      <name val="Arial"/>
      <family val="2"/>
    </font>
    <font>
      <b/>
      <sz val="10"/>
      <color indexed="33"/>
      <name val="Arial"/>
      <family val="2"/>
    </font>
    <font>
      <sz val="10"/>
      <color indexed="14"/>
      <name val="Arial"/>
      <family val="2"/>
    </font>
    <font>
      <u/>
      <sz val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i/>
      <sz val="10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2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8" applyNumberFormat="0" applyAlignment="0" applyProtection="0"/>
    <xf numFmtId="0" fontId="22" fillId="21" borderId="19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20" applyNumberFormat="0" applyFill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8" applyNumberFormat="0" applyAlignment="0" applyProtection="0"/>
    <xf numFmtId="0" fontId="29" fillId="0" borderId="23" applyNumberFormat="0" applyFill="0" applyAlignment="0" applyProtection="0"/>
    <xf numFmtId="0" fontId="30" fillId="22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8" fillId="0" borderId="0"/>
    <xf numFmtId="0" fontId="18" fillId="0" borderId="0"/>
    <xf numFmtId="0" fontId="7" fillId="0" borderId="0"/>
    <xf numFmtId="0" fontId="14" fillId="0" borderId="0"/>
    <xf numFmtId="0" fontId="7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8" fillId="0" borderId="0"/>
    <xf numFmtId="0" fontId="35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2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23" borderId="24" applyNumberFormat="0" applyFont="0" applyAlignment="0" applyProtection="0"/>
    <xf numFmtId="0" fontId="31" fillId="20" borderId="25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11" fillId="0" borderId="10">
      <alignment horizontal="center"/>
    </xf>
    <xf numFmtId="0" fontId="11" fillId="0" borderId="10">
      <alignment horizontal="center"/>
    </xf>
    <xf numFmtId="0" fontId="11" fillId="0" borderId="10">
      <alignment horizontal="center"/>
    </xf>
    <xf numFmtId="0" fontId="11" fillId="0" borderId="10">
      <alignment horizontal="center"/>
    </xf>
    <xf numFmtId="0" fontId="11" fillId="0" borderId="10">
      <alignment horizontal="center"/>
    </xf>
    <xf numFmtId="0" fontId="11" fillId="0" borderId="10">
      <alignment horizontal="center"/>
    </xf>
    <xf numFmtId="0" fontId="11" fillId="0" borderId="10">
      <alignment horizontal="center"/>
    </xf>
    <xf numFmtId="0" fontId="11" fillId="0" borderId="10">
      <alignment horizontal="center"/>
    </xf>
    <xf numFmtId="0" fontId="11" fillId="0" borderId="10">
      <alignment horizontal="center"/>
    </xf>
    <xf numFmtId="0" fontId="11" fillId="0" borderId="10">
      <alignment horizontal="center"/>
    </xf>
    <xf numFmtId="0" fontId="11" fillId="0" borderId="10">
      <alignment horizontal="center"/>
    </xf>
    <xf numFmtId="0" fontId="11" fillId="0" borderId="10">
      <alignment horizontal="center"/>
    </xf>
    <xf numFmtId="0" fontId="11" fillId="0" borderId="10">
      <alignment horizontal="center"/>
    </xf>
    <xf numFmtId="0" fontId="11" fillId="0" borderId="10">
      <alignment horizontal="center"/>
    </xf>
    <xf numFmtId="0" fontId="11" fillId="0" borderId="10">
      <alignment horizontal="center"/>
    </xf>
    <xf numFmtId="0" fontId="11" fillId="0" borderId="10">
      <alignment horizontal="center"/>
    </xf>
    <xf numFmtId="0" fontId="11" fillId="0" borderId="10">
      <alignment horizontal="center"/>
    </xf>
    <xf numFmtId="0" fontId="11" fillId="0" borderId="10">
      <alignment horizontal="center"/>
    </xf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0" fontId="12" fillId="24" borderId="0" applyNumberFormat="0" applyFont="0" applyBorder="0" applyAlignment="0" applyProtection="0"/>
    <xf numFmtId="0" fontId="12" fillId="24" borderId="0" applyNumberFormat="0" applyFont="0" applyBorder="0" applyAlignment="0" applyProtection="0"/>
    <xf numFmtId="0" fontId="12" fillId="24" borderId="0" applyNumberFormat="0" applyFont="0" applyBorder="0" applyAlignment="0" applyProtection="0"/>
    <xf numFmtId="0" fontId="12" fillId="24" borderId="0" applyNumberFormat="0" applyFont="0" applyBorder="0" applyAlignment="0" applyProtection="0"/>
    <xf numFmtId="0" fontId="12" fillId="24" borderId="0" applyNumberFormat="0" applyFont="0" applyBorder="0" applyAlignment="0" applyProtection="0"/>
    <xf numFmtId="0" fontId="12" fillId="24" borderId="0" applyNumberFormat="0" applyFont="0" applyBorder="0" applyAlignment="0" applyProtection="0"/>
    <xf numFmtId="0" fontId="12" fillId="24" borderId="0" applyNumberFormat="0" applyFont="0" applyBorder="0" applyAlignment="0" applyProtection="0"/>
    <xf numFmtId="0" fontId="12" fillId="24" borderId="0" applyNumberFormat="0" applyFont="0" applyBorder="0" applyAlignment="0" applyProtection="0"/>
    <xf numFmtId="0" fontId="12" fillId="24" borderId="0" applyNumberFormat="0" applyFont="0" applyBorder="0" applyAlignment="0" applyProtection="0"/>
    <xf numFmtId="0" fontId="12" fillId="24" borderId="0" applyNumberFormat="0" applyFont="0" applyBorder="0" applyAlignment="0" applyProtection="0"/>
    <xf numFmtId="0" fontId="12" fillId="24" borderId="0" applyNumberFormat="0" applyFont="0" applyBorder="0" applyAlignment="0" applyProtection="0"/>
    <xf numFmtId="0" fontId="12" fillId="24" borderId="0" applyNumberFormat="0" applyFont="0" applyBorder="0" applyAlignment="0" applyProtection="0"/>
    <xf numFmtId="0" fontId="12" fillId="24" borderId="0" applyNumberFormat="0" applyFont="0" applyBorder="0" applyAlignment="0" applyProtection="0"/>
    <xf numFmtId="0" fontId="12" fillId="24" borderId="0" applyNumberFormat="0" applyFont="0" applyBorder="0" applyAlignment="0" applyProtection="0"/>
    <xf numFmtId="0" fontId="12" fillId="24" borderId="0" applyNumberFormat="0" applyFont="0" applyBorder="0" applyAlignment="0" applyProtection="0"/>
    <xf numFmtId="0" fontId="12" fillId="24" borderId="0" applyNumberFormat="0" applyFont="0" applyBorder="0" applyAlignment="0" applyProtection="0"/>
    <xf numFmtId="0" fontId="12" fillId="24" borderId="0" applyNumberFormat="0" applyFont="0" applyBorder="0" applyAlignment="0" applyProtection="0"/>
    <xf numFmtId="0" fontId="12" fillId="24" borderId="0" applyNumberFormat="0" applyFont="0" applyBorder="0" applyAlignment="0" applyProtection="0"/>
    <xf numFmtId="0" fontId="12" fillId="24" borderId="0" applyNumberFormat="0" applyFont="0" applyBorder="0" applyAlignment="0" applyProtection="0"/>
    <xf numFmtId="0" fontId="12" fillId="24" borderId="0" applyNumberFormat="0" applyFont="0" applyBorder="0" applyAlignment="0" applyProtection="0"/>
    <xf numFmtId="0" fontId="32" fillId="0" borderId="0" applyNumberFormat="0" applyFill="0" applyBorder="0" applyAlignment="0" applyProtection="0"/>
    <xf numFmtId="0" fontId="33" fillId="0" borderId="26" applyNumberFormat="0" applyFill="0" applyAlignment="0" applyProtection="0"/>
    <xf numFmtId="0" fontId="34" fillId="0" borderId="0" applyNumberFormat="0" applyFill="0" applyBorder="0" applyAlignment="0" applyProtection="0"/>
  </cellStyleXfs>
  <cellXfs count="481">
    <xf numFmtId="0" fontId="0" fillId="0" borderId="0" xfId="0"/>
    <xf numFmtId="0" fontId="3" fillId="0" borderId="0" xfId="0" applyFont="1"/>
    <xf numFmtId="0" fontId="4" fillId="0" borderId="1" xfId="3" applyFont="1" applyBorder="1"/>
    <xf numFmtId="0" fontId="4" fillId="0" borderId="2" xfId="3" applyFont="1" applyBorder="1"/>
    <xf numFmtId="0" fontId="3" fillId="0" borderId="4" xfId="3" applyFont="1" applyBorder="1"/>
    <xf numFmtId="0" fontId="3" fillId="0" borderId="0" xfId="3" applyFont="1" applyBorder="1"/>
    <xf numFmtId="0" fontId="3" fillId="0" borderId="5" xfId="3" applyFont="1" applyBorder="1"/>
    <xf numFmtId="164" fontId="5" fillId="0" borderId="5" xfId="4" applyNumberFormat="1" applyFont="1" applyBorder="1"/>
    <xf numFmtId="164" fontId="3" fillId="0" borderId="5" xfId="3" applyNumberFormat="1" applyFont="1" applyBorder="1"/>
    <xf numFmtId="0" fontId="3" fillId="0" borderId="4" xfId="3" applyFont="1" applyFill="1" applyBorder="1"/>
    <xf numFmtId="0" fontId="3" fillId="0" borderId="0" xfId="3" applyFont="1" applyFill="1" applyBorder="1"/>
    <xf numFmtId="164" fontId="3" fillId="0" borderId="5" xfId="3" applyNumberFormat="1" applyFont="1" applyFill="1" applyBorder="1"/>
    <xf numFmtId="164" fontId="3" fillId="0" borderId="7" xfId="3" applyNumberFormat="1" applyFont="1" applyBorder="1"/>
    <xf numFmtId="0" fontId="4" fillId="0" borderId="4" xfId="3" applyFont="1" applyBorder="1" applyAlignment="1">
      <alignment horizontal="right"/>
    </xf>
    <xf numFmtId="0" fontId="4" fillId="0" borderId="0" xfId="3" applyFont="1" applyBorder="1"/>
    <xf numFmtId="44" fontId="5" fillId="0" borderId="5" xfId="1" applyFont="1" applyBorder="1"/>
    <xf numFmtId="164" fontId="5" fillId="0" borderId="5" xfId="1" applyNumberFormat="1" applyFont="1" applyBorder="1"/>
    <xf numFmtId="164" fontId="5" fillId="0" borderId="5" xfId="3" applyNumberFormat="1" applyFont="1" applyBorder="1"/>
    <xf numFmtId="164" fontId="3" fillId="0" borderId="5" xfId="3" quotePrefix="1" applyNumberFormat="1" applyFont="1" applyBorder="1" applyAlignment="1">
      <alignment horizontal="center"/>
    </xf>
    <xf numFmtId="164" fontId="3" fillId="0" borderId="5" xfId="6" applyNumberFormat="1" applyFont="1" applyBorder="1"/>
    <xf numFmtId="0" fontId="4" fillId="0" borderId="9" xfId="3" applyFont="1" applyBorder="1" applyAlignment="1">
      <alignment horizontal="right"/>
    </xf>
    <xf numFmtId="0" fontId="4" fillId="0" borderId="10" xfId="3" applyFont="1" applyBorder="1"/>
    <xf numFmtId="0" fontId="4" fillId="0" borderId="3" xfId="3" applyFont="1" applyBorder="1"/>
    <xf numFmtId="0" fontId="3" fillId="0" borderId="5" xfId="3" applyFont="1" applyFill="1" applyBorder="1"/>
    <xf numFmtId="0" fontId="3" fillId="0" borderId="13" xfId="3" applyFont="1" applyFill="1" applyBorder="1"/>
    <xf numFmtId="164" fontId="5" fillId="0" borderId="13" xfId="4" applyNumberFormat="1" applyFont="1" applyFill="1" applyBorder="1"/>
    <xf numFmtId="164" fontId="3" fillId="0" borderId="13" xfId="3" applyNumberFormat="1" applyFont="1" applyFill="1" applyBorder="1"/>
    <xf numFmtId="164" fontId="5" fillId="0" borderId="13" xfId="3" applyNumberFormat="1" applyFont="1" applyFill="1" applyBorder="1"/>
    <xf numFmtId="164" fontId="3" fillId="0" borderId="14" xfId="3" applyNumberFormat="1" applyFont="1" applyFill="1" applyBorder="1"/>
    <xf numFmtId="0" fontId="4" fillId="0" borderId="4" xfId="3" applyFont="1" applyFill="1" applyBorder="1" applyAlignment="1">
      <alignment horizontal="right"/>
    </xf>
    <xf numFmtId="0" fontId="4" fillId="0" borderId="5" xfId="3" applyFont="1" applyFill="1" applyBorder="1"/>
    <xf numFmtId="0" fontId="3" fillId="0" borderId="4" xfId="3" applyFont="1" applyFill="1" applyBorder="1" applyAlignment="1">
      <alignment horizontal="right"/>
    </xf>
    <xf numFmtId="0" fontId="5" fillId="0" borderId="4" xfId="3" applyFont="1" applyFill="1" applyBorder="1" applyAlignment="1">
      <alignment horizontal="right"/>
    </xf>
    <xf numFmtId="164" fontId="3" fillId="0" borderId="13" xfId="7" applyNumberFormat="1" applyFont="1" applyBorder="1"/>
    <xf numFmtId="0" fontId="4" fillId="0" borderId="9" xfId="3" applyFont="1" applyFill="1" applyBorder="1" applyAlignment="1">
      <alignment horizontal="right"/>
    </xf>
    <xf numFmtId="9" fontId="4" fillId="0" borderId="11" xfId="3" applyNumberFormat="1" applyFont="1" applyFill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0" xfId="0" applyFont="1"/>
    <xf numFmtId="164" fontId="3" fillId="0" borderId="0" xfId="0" applyNumberFormat="1" applyFont="1"/>
    <xf numFmtId="0" fontId="10" fillId="0" borderId="0" xfId="9" applyFont="1"/>
    <xf numFmtId="0" fontId="10" fillId="0" borderId="0" xfId="9" applyFont="1" applyAlignment="1">
      <alignment horizontal="right"/>
    </xf>
    <xf numFmtId="49" fontId="10" fillId="0" borderId="0" xfId="9" applyNumberFormat="1" applyFont="1" applyAlignment="1">
      <alignment horizontal="center" wrapText="1"/>
    </xf>
    <xf numFmtId="0" fontId="10" fillId="0" borderId="0" xfId="9" applyFont="1" applyAlignment="1">
      <alignment horizontal="center"/>
    </xf>
    <xf numFmtId="170" fontId="5" fillId="0" borderId="0" xfId="392" applyNumberFormat="1" applyFont="1"/>
    <xf numFmtId="170" fontId="5" fillId="0" borderId="0" xfId="392" applyNumberFormat="1" applyFont="1" applyBorder="1"/>
    <xf numFmtId="168" fontId="10" fillId="0" borderId="0" xfId="9" applyNumberFormat="1" applyFont="1" applyBorder="1"/>
    <xf numFmtId="0" fontId="10" fillId="0" borderId="0" xfId="9" applyFont="1" applyBorder="1"/>
    <xf numFmtId="0" fontId="13" fillId="0" borderId="0" xfId="9" applyFont="1"/>
    <xf numFmtId="5" fontId="13" fillId="0" borderId="0" xfId="431" applyNumberFormat="1" applyFont="1" applyBorder="1" applyAlignment="1">
      <alignment horizontal="right"/>
    </xf>
    <xf numFmtId="164" fontId="10" fillId="0" borderId="0" xfId="392" applyNumberFormat="1" applyFont="1" applyFill="1" applyAlignment="1">
      <alignment horizontal="right"/>
    </xf>
    <xf numFmtId="169" fontId="10" fillId="0" borderId="0" xfId="431" applyNumberFormat="1" applyFont="1" applyFill="1" applyBorder="1" applyAlignment="1">
      <alignment horizontal="right"/>
    </xf>
    <xf numFmtId="0" fontId="10" fillId="0" borderId="0" xfId="431" applyFont="1" applyFill="1" applyBorder="1" applyAlignment="1">
      <alignment horizontal="right"/>
    </xf>
    <xf numFmtId="171" fontId="10" fillId="0" borderId="0" xfId="9" applyNumberFormat="1" applyFont="1"/>
    <xf numFmtId="0" fontId="13" fillId="0" borderId="0" xfId="9" applyFont="1" applyAlignment="1">
      <alignment horizontal="right"/>
    </xf>
    <xf numFmtId="49" fontId="13" fillId="0" borderId="0" xfId="9" applyNumberFormat="1" applyFont="1" applyAlignment="1">
      <alignment horizontal="center" wrapText="1"/>
    </xf>
    <xf numFmtId="49" fontId="17" fillId="0" borderId="0" xfId="9" applyNumberFormat="1" applyFont="1" applyAlignment="1">
      <alignment horizontal="center" wrapText="1"/>
    </xf>
    <xf numFmtId="37" fontId="13" fillId="0" borderId="0" xfId="9" applyNumberFormat="1" applyFont="1" applyAlignment="1">
      <alignment horizontal="center"/>
    </xf>
    <xf numFmtId="37" fontId="13" fillId="0" borderId="0" xfId="9" applyNumberFormat="1" applyFont="1" applyFill="1" applyAlignment="1">
      <alignment horizontal="center"/>
    </xf>
    <xf numFmtId="0" fontId="13" fillId="0" borderId="0" xfId="9" applyFont="1" applyFill="1"/>
    <xf numFmtId="49" fontId="17" fillId="0" borderId="0" xfId="9" applyNumberFormat="1" applyFont="1" applyFill="1" applyAlignment="1">
      <alignment horizontal="left"/>
    </xf>
    <xf numFmtId="0" fontId="13" fillId="0" borderId="0" xfId="9" applyFont="1" applyFill="1" applyAlignment="1">
      <alignment horizontal="center"/>
    </xf>
    <xf numFmtId="49" fontId="10" fillId="0" borderId="0" xfId="9" applyNumberFormat="1" applyFont="1" applyFill="1"/>
    <xf numFmtId="0" fontId="10" fillId="0" borderId="0" xfId="9" applyFont="1" applyFill="1" applyBorder="1"/>
    <xf numFmtId="49" fontId="10" fillId="0" borderId="0" xfId="9" applyNumberFormat="1" applyFont="1" applyFill="1" applyAlignment="1">
      <alignment horizontal="left" wrapText="1"/>
    </xf>
    <xf numFmtId="49" fontId="13" fillId="0" borderId="0" xfId="9" applyNumberFormat="1" applyFont="1" applyFill="1" applyAlignment="1">
      <alignment horizontal="left"/>
    </xf>
    <xf numFmtId="49" fontId="10" fillId="0" borderId="0" xfId="9" applyNumberFormat="1" applyFont="1" applyFill="1" applyAlignment="1">
      <alignment horizontal="left"/>
    </xf>
    <xf numFmtId="49" fontId="17" fillId="0" borderId="0" xfId="9" applyNumberFormat="1" applyFont="1" applyFill="1" applyAlignment="1">
      <alignment horizontal="left" wrapText="1"/>
    </xf>
    <xf numFmtId="0" fontId="10" fillId="0" borderId="0" xfId="9" applyFont="1" applyFill="1"/>
    <xf numFmtId="0" fontId="10" fillId="0" borderId="0" xfId="507" applyFont="1" applyAlignment="1">
      <alignment horizontal="center"/>
    </xf>
    <xf numFmtId="0" fontId="10" fillId="0" borderId="0" xfId="507" applyFont="1"/>
    <xf numFmtId="0" fontId="10" fillId="0" borderId="0" xfId="507" applyFont="1" applyAlignment="1">
      <alignment horizontal="right"/>
    </xf>
    <xf numFmtId="44" fontId="10" fillId="0" borderId="0" xfId="9" applyNumberFormat="1" applyFont="1" applyFill="1" applyBorder="1"/>
    <xf numFmtId="0" fontId="10" fillId="0" borderId="0" xfId="9" applyFont="1" applyFill="1" applyAlignment="1">
      <alignment horizontal="center"/>
    </xf>
    <xf numFmtId="40" fontId="10" fillId="0" borderId="0" xfId="0" applyNumberFormat="1" applyFont="1" applyFill="1" applyAlignment="1">
      <alignment horizontal="left" vertical="top"/>
    </xf>
    <xf numFmtId="0" fontId="10" fillId="0" borderId="0" xfId="0" applyNumberFormat="1" applyFont="1" applyFill="1" applyAlignment="1">
      <alignment horizontal="center"/>
    </xf>
    <xf numFmtId="49" fontId="10" fillId="0" borderId="0" xfId="434" applyNumberFormat="1" applyFont="1" applyAlignment="1">
      <alignment horizontal="left"/>
    </xf>
    <xf numFmtId="0" fontId="3" fillId="0" borderId="0" xfId="6" applyFont="1"/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center"/>
    </xf>
    <xf numFmtId="0" fontId="17" fillId="25" borderId="0" xfId="9" applyFont="1" applyFill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5" fontId="4" fillId="0" borderId="5" xfId="5" applyNumberFormat="1" applyFont="1" applyFill="1" applyBorder="1"/>
    <xf numFmtId="10" fontId="5" fillId="0" borderId="13" xfId="5" applyNumberFormat="1" applyFont="1" applyFill="1" applyBorder="1"/>
    <xf numFmtId="10" fontId="4" fillId="0" borderId="5" xfId="3" applyNumberFormat="1" applyFont="1" applyFill="1" applyBorder="1"/>
    <xf numFmtId="0" fontId="6" fillId="0" borderId="0" xfId="6" applyFont="1"/>
    <xf numFmtId="0" fontId="13" fillId="0" borderId="0" xfId="507" applyFont="1" applyFill="1" applyAlignment="1">
      <alignment horizontal="center"/>
    </xf>
    <xf numFmtId="167" fontId="6" fillId="0" borderId="0" xfId="6" applyNumberFormat="1" applyFont="1" applyAlignment="1">
      <alignment horizontal="center"/>
    </xf>
    <xf numFmtId="164" fontId="4" fillId="25" borderId="6" xfId="3" applyNumberFormat="1" applyFont="1" applyFill="1" applyBorder="1"/>
    <xf numFmtId="164" fontId="4" fillId="25" borderId="5" xfId="3" applyNumberFormat="1" applyFont="1" applyFill="1" applyBorder="1"/>
    <xf numFmtId="164" fontId="5" fillId="25" borderId="5" xfId="3" applyNumberFormat="1" applyFont="1" applyFill="1" applyBorder="1"/>
    <xf numFmtId="164" fontId="4" fillId="25" borderId="11" xfId="3" applyNumberFormat="1" applyFont="1" applyFill="1" applyBorder="1" applyAlignment="1">
      <alignment horizontal="center"/>
    </xf>
    <xf numFmtId="0" fontId="3" fillId="25" borderId="0" xfId="0" applyFont="1" applyFill="1"/>
    <xf numFmtId="164" fontId="3" fillId="25" borderId="5" xfId="3" applyNumberFormat="1" applyFont="1" applyFill="1" applyBorder="1"/>
    <xf numFmtId="0" fontId="4" fillId="0" borderId="0" xfId="3" applyFont="1" applyBorder="1" applyAlignment="1"/>
    <xf numFmtId="44" fontId="3" fillId="0" borderId="0" xfId="1" applyFont="1" applyAlignment="1">
      <alignment horizontal="left"/>
    </xf>
    <xf numFmtId="164" fontId="4" fillId="25" borderId="15" xfId="3" applyNumberFormat="1" applyFont="1" applyFill="1" applyBorder="1"/>
    <xf numFmtId="164" fontId="3" fillId="25" borderId="13" xfId="3" applyNumberFormat="1" applyFont="1" applyFill="1" applyBorder="1"/>
    <xf numFmtId="164" fontId="4" fillId="25" borderId="13" xfId="3" applyNumberFormat="1" applyFont="1" applyFill="1" applyBorder="1"/>
    <xf numFmtId="164" fontId="4" fillId="25" borderId="16" xfId="3" applyNumberFormat="1" applyFont="1" applyFill="1" applyBorder="1"/>
    <xf numFmtId="3" fontId="7" fillId="25" borderId="0" xfId="0" applyNumberFormat="1" applyFont="1" applyFill="1"/>
    <xf numFmtId="40" fontId="7" fillId="25" borderId="0" xfId="0" applyNumberFormat="1" applyFont="1" applyFill="1" applyAlignment="1">
      <alignment horizontal="left" indent="1"/>
    </xf>
    <xf numFmtId="40" fontId="7" fillId="25" borderId="0" xfId="0" applyNumberFormat="1" applyFont="1" applyFill="1" applyAlignment="1">
      <alignment horizontal="left" indent="6"/>
    </xf>
    <xf numFmtId="43" fontId="7" fillId="26" borderId="0" xfId="38" applyFont="1" applyFill="1"/>
    <xf numFmtId="41" fontId="7" fillId="26" borderId="0" xfId="0" applyNumberFormat="1" applyFont="1" applyFill="1"/>
    <xf numFmtId="41" fontId="7" fillId="26" borderId="31" xfId="0" applyNumberFormat="1" applyFont="1" applyFill="1" applyBorder="1"/>
    <xf numFmtId="43" fontId="7" fillId="27" borderId="32" xfId="38" applyFont="1" applyFill="1" applyBorder="1"/>
    <xf numFmtId="43" fontId="7" fillId="28" borderId="0" xfId="38" applyFont="1" applyFill="1"/>
    <xf numFmtId="43" fontId="7" fillId="27" borderId="0" xfId="38" applyFont="1" applyFill="1"/>
    <xf numFmtId="3" fontId="7" fillId="0" borderId="0" xfId="0" applyNumberFormat="1" applyFont="1"/>
    <xf numFmtId="0" fontId="8" fillId="0" borderId="0" xfId="0" applyFont="1" applyAlignment="1">
      <alignment horizontal="center"/>
    </xf>
    <xf numFmtId="41" fontId="7" fillId="0" borderId="0" xfId="0" applyNumberFormat="1" applyFont="1"/>
    <xf numFmtId="39" fontId="8" fillId="0" borderId="0" xfId="0" applyNumberFormat="1" applyFont="1" applyAlignment="1">
      <alignment horizontal="left" indent="14"/>
    </xf>
    <xf numFmtId="41" fontId="8" fillId="0" borderId="0" xfId="0" applyNumberFormat="1" applyFont="1" applyAlignment="1">
      <alignment horizontal="left" indent="14"/>
    </xf>
    <xf numFmtId="41" fontId="8" fillId="0" borderId="0" xfId="0" applyNumberFormat="1" applyFont="1" applyAlignment="1">
      <alignment horizontal="center"/>
    </xf>
    <xf numFmtId="3" fontId="39" fillId="0" borderId="10" xfId="0" applyNumberFormat="1" applyFont="1" applyBorder="1" applyAlignment="1">
      <alignment horizontal="left"/>
    </xf>
    <xf numFmtId="3" fontId="7" fillId="0" borderId="33" xfId="0" applyNumberFormat="1" applyFont="1" applyBorder="1" applyAlignment="1">
      <alignment horizontal="center"/>
    </xf>
    <xf numFmtId="41" fontId="8" fillId="0" borderId="32" xfId="0" applyNumberFormat="1" applyFont="1" applyBorder="1" applyAlignment="1">
      <alignment horizontal="center"/>
    </xf>
    <xf numFmtId="39" fontId="8" fillId="0" borderId="0" xfId="0" applyNumberFormat="1" applyFont="1" applyAlignment="1">
      <alignment horizontal="centerContinuous"/>
    </xf>
    <xf numFmtId="41" fontId="8" fillId="0" borderId="0" xfId="0" applyNumberFormat="1" applyFont="1" applyAlignment="1">
      <alignment horizontal="centerContinuous"/>
    </xf>
    <xf numFmtId="41" fontId="7" fillId="0" borderId="0" xfId="0" applyNumberFormat="1" applyFont="1" applyAlignment="1">
      <alignment horizontal="centerContinuous"/>
    </xf>
    <xf numFmtId="41" fontId="40" fillId="0" borderId="32" xfId="0" applyNumberFormat="1" applyFont="1" applyBorder="1" applyAlignment="1">
      <alignment horizontal="centerContinuous"/>
    </xf>
    <xf numFmtId="41" fontId="40" fillId="0" borderId="0" xfId="0" applyNumberFormat="1" applyFont="1" applyAlignment="1">
      <alignment horizontal="centerContinuous"/>
    </xf>
    <xf numFmtId="3" fontId="39" fillId="0" borderId="33" xfId="0" applyNumberFormat="1" applyFont="1" applyBorder="1" applyAlignment="1">
      <alignment horizontal="left"/>
    </xf>
    <xf numFmtId="3" fontId="39" fillId="0" borderId="33" xfId="0" applyNumberFormat="1" applyFont="1" applyBorder="1" applyAlignment="1">
      <alignment horizontal="center"/>
    </xf>
    <xf numFmtId="39" fontId="8" fillId="0" borderId="33" xfId="0" applyNumberFormat="1" applyFont="1" applyBorder="1" applyAlignment="1">
      <alignment horizontal="center"/>
    </xf>
    <xf numFmtId="41" fontId="8" fillId="0" borderId="33" xfId="0" applyNumberFormat="1" applyFont="1" applyBorder="1" applyAlignment="1">
      <alignment horizontal="center"/>
    </xf>
    <xf numFmtId="167" fontId="8" fillId="0" borderId="33" xfId="0" applyNumberFormat="1" applyFont="1" applyBorder="1" applyAlignment="1">
      <alignment horizontal="center"/>
    </xf>
    <xf numFmtId="41" fontId="8" fillId="0" borderId="35" xfId="0" applyNumberFormat="1" applyFont="1" applyBorder="1" applyAlignment="1">
      <alignment horizontal="center"/>
    </xf>
    <xf numFmtId="3" fontId="8" fillId="0" borderId="0" xfId="0" applyNumberFormat="1" applyFont="1"/>
    <xf numFmtId="3" fontId="41" fillId="0" borderId="0" xfId="0" applyNumberFormat="1" applyFont="1" applyAlignment="1">
      <alignment horizontal="left"/>
    </xf>
    <xf numFmtId="40" fontId="7" fillId="0" borderId="0" xfId="0" applyNumberFormat="1" applyFont="1"/>
    <xf numFmtId="41" fontId="7" fillId="28" borderId="0" xfId="0" applyNumberFormat="1" applyFont="1" applyFill="1"/>
    <xf numFmtId="174" fontId="42" fillId="30" borderId="31" xfId="0" applyNumberFormat="1" applyFont="1" applyFill="1" applyBorder="1" applyAlignment="1">
      <alignment horizontal="right"/>
    </xf>
    <xf numFmtId="40" fontId="42" fillId="30" borderId="32" xfId="0" applyNumberFormat="1" applyFont="1" applyFill="1" applyBorder="1" applyAlignment="1">
      <alignment horizontal="right"/>
    </xf>
    <xf numFmtId="172" fontId="7" fillId="0" borderId="37" xfId="515" applyNumberFormat="1" applyFont="1" applyFill="1" applyBorder="1" applyAlignment="1">
      <alignment horizontal="right"/>
    </xf>
    <xf numFmtId="172" fontId="7" fillId="0" borderId="0" xfId="515" applyNumberFormat="1" applyFont="1" applyFill="1" applyBorder="1" applyAlignment="1">
      <alignment horizontal="right"/>
    </xf>
    <xf numFmtId="40" fontId="38" fillId="0" borderId="32" xfId="0" applyNumberFormat="1" applyFont="1" applyBorder="1" applyAlignment="1">
      <alignment horizontal="right"/>
    </xf>
    <xf numFmtId="172" fontId="7" fillId="32" borderId="0" xfId="515" applyNumberFormat="1" applyFont="1" applyFill="1" applyBorder="1" applyAlignment="1">
      <alignment horizontal="right"/>
    </xf>
    <xf numFmtId="3" fontId="8" fillId="32" borderId="31" xfId="0" applyNumberFormat="1" applyFont="1" applyFill="1" applyBorder="1"/>
    <xf numFmtId="8" fontId="7" fillId="32" borderId="31" xfId="0" applyNumberFormat="1" applyFont="1" applyFill="1" applyBorder="1"/>
    <xf numFmtId="172" fontId="7" fillId="32" borderId="37" xfId="515" applyNumberFormat="1" applyFont="1" applyFill="1" applyBorder="1" applyAlignment="1">
      <alignment horizontal="right"/>
    </xf>
    <xf numFmtId="40" fontId="38" fillId="32" borderId="32" xfId="0" applyNumberFormat="1" applyFont="1" applyFill="1" applyBorder="1" applyAlignment="1">
      <alignment horizontal="right"/>
    </xf>
    <xf numFmtId="8" fontId="8" fillId="32" borderId="31" xfId="0" applyNumberFormat="1" applyFont="1" applyFill="1" applyBorder="1"/>
    <xf numFmtId="40" fontId="38" fillId="0" borderId="17" xfId="0" applyNumberFormat="1" applyFont="1" applyBorder="1" applyAlignment="1">
      <alignment horizontal="right"/>
    </xf>
    <xf numFmtId="172" fontId="7" fillId="0" borderId="17" xfId="515" applyNumberFormat="1" applyFont="1" applyFill="1" applyBorder="1" applyAlignment="1">
      <alignment horizontal="right"/>
    </xf>
    <xf numFmtId="172" fontId="7" fillId="0" borderId="39" xfId="515" applyNumberFormat="1" applyFont="1" applyFill="1" applyBorder="1" applyAlignment="1">
      <alignment horizontal="right"/>
    </xf>
    <xf numFmtId="40" fontId="38" fillId="0" borderId="40" xfId="0" applyNumberFormat="1" applyFont="1" applyBorder="1" applyAlignment="1">
      <alignment horizontal="right"/>
    </xf>
    <xf numFmtId="3" fontId="8" fillId="28" borderId="17" xfId="0" applyNumberFormat="1" applyFont="1" applyFill="1" applyBorder="1"/>
    <xf numFmtId="172" fontId="8" fillId="0" borderId="0" xfId="515" applyNumberFormat="1" applyFont="1" applyFill="1" applyBorder="1" applyAlignment="1">
      <alignment horizontal="right"/>
    </xf>
    <xf numFmtId="172" fontId="8" fillId="0" borderId="37" xfId="515" applyNumberFormat="1" applyFont="1" applyFill="1" applyBorder="1" applyAlignment="1">
      <alignment horizontal="right"/>
    </xf>
    <xf numFmtId="40" fontId="37" fillId="0" borderId="32" xfId="0" applyNumberFormat="1" applyFont="1" applyBorder="1" applyAlignment="1">
      <alignment horizontal="right"/>
    </xf>
    <xf numFmtId="174" fontId="38" fillId="33" borderId="31" xfId="0" applyNumberFormat="1" applyFont="1" applyFill="1" applyBorder="1" applyAlignment="1">
      <alignment horizontal="right"/>
    </xf>
    <xf numFmtId="172" fontId="38" fillId="33" borderId="37" xfId="0" applyNumberFormat="1" applyFont="1" applyFill="1" applyBorder="1" applyAlignment="1">
      <alignment horizontal="right"/>
    </xf>
    <xf numFmtId="40" fontId="38" fillId="33" borderId="32" xfId="0" applyNumberFormat="1" applyFont="1" applyFill="1" applyBorder="1" applyAlignment="1">
      <alignment horizontal="right"/>
    </xf>
    <xf numFmtId="3" fontId="7" fillId="0" borderId="31" xfId="0" applyNumberFormat="1" applyFont="1" applyBorder="1"/>
    <xf numFmtId="3" fontId="8" fillId="0" borderId="31" xfId="0" applyNumberFormat="1" applyFont="1" applyBorder="1"/>
    <xf numFmtId="41" fontId="8" fillId="0" borderId="0" xfId="38" applyNumberFormat="1" applyFont="1" applyFill="1" applyBorder="1" applyAlignment="1">
      <alignment horizontal="right"/>
    </xf>
    <xf numFmtId="41" fontId="7" fillId="0" borderId="32" xfId="0" applyNumberFormat="1" applyFont="1" applyBorder="1"/>
    <xf numFmtId="43" fontId="7" fillId="0" borderId="0" xfId="38" applyFont="1"/>
    <xf numFmtId="43" fontId="7" fillId="0" borderId="0" xfId="38" applyFont="1" applyFill="1"/>
    <xf numFmtId="43" fontId="7" fillId="0" borderId="32" xfId="38" applyFont="1" applyFill="1" applyBorder="1"/>
    <xf numFmtId="43" fontId="0" fillId="0" borderId="32" xfId="38" applyFont="1" applyFill="1" applyBorder="1"/>
    <xf numFmtId="43" fontId="0" fillId="0" borderId="0" xfId="38" applyFont="1" applyFill="1"/>
    <xf numFmtId="3" fontId="47" fillId="0" borderId="0" xfId="0" applyNumberFormat="1" applyFont="1" applyAlignment="1">
      <alignment horizontal="center"/>
    </xf>
    <xf numFmtId="43" fontId="47" fillId="0" borderId="0" xfId="38" applyFont="1" applyFill="1" applyAlignment="1"/>
    <xf numFmtId="41" fontId="7" fillId="0" borderId="31" xfId="0" applyNumberFormat="1" applyFont="1" applyBorder="1"/>
    <xf numFmtId="43" fontId="8" fillId="0" borderId="0" xfId="38" applyFont="1" applyFill="1"/>
    <xf numFmtId="43" fontId="7" fillId="0" borderId="32" xfId="38" applyFont="1" applyBorder="1"/>
    <xf numFmtId="41" fontId="7" fillId="0" borderId="0" xfId="38" applyNumberFormat="1" applyFont="1" applyFill="1"/>
    <xf numFmtId="43" fontId="7" fillId="34" borderId="0" xfId="38" applyFont="1" applyFill="1" applyBorder="1"/>
    <xf numFmtId="41" fontId="7" fillId="0" borderId="0" xfId="38" applyNumberFormat="1" applyFont="1"/>
    <xf numFmtId="41" fontId="7" fillId="34" borderId="32" xfId="0" applyNumberFormat="1" applyFont="1" applyFill="1" applyBorder="1"/>
    <xf numFmtId="39" fontId="7" fillId="0" borderId="0" xfId="0" applyNumberFormat="1" applyFont="1"/>
    <xf numFmtId="164" fontId="5" fillId="0" borderId="5" xfId="1" applyNumberFormat="1" applyFont="1" applyFill="1" applyBorder="1"/>
    <xf numFmtId="0" fontId="7" fillId="0" borderId="0" xfId="471" applyAlignment="1">
      <alignment horizontal="center"/>
    </xf>
    <xf numFmtId="0" fontId="7" fillId="0" borderId="0" xfId="471"/>
    <xf numFmtId="49" fontId="7" fillId="0" borderId="0" xfId="471" applyNumberFormat="1" applyAlignment="1">
      <alignment horizontal="left"/>
    </xf>
    <xf numFmtId="0" fontId="7" fillId="0" borderId="0" xfId="471" applyFont="1"/>
    <xf numFmtId="0" fontId="7" fillId="0" borderId="0" xfId="471" applyBorder="1" applyAlignment="1">
      <alignment horizontal="center"/>
    </xf>
    <xf numFmtId="0" fontId="7" fillId="0" borderId="0" xfId="471" applyBorder="1"/>
    <xf numFmtId="49" fontId="12" fillId="0" borderId="28" xfId="450" applyNumberFormat="1" applyBorder="1" applyAlignment="1">
      <alignment horizontal="center" wrapText="1"/>
    </xf>
    <xf numFmtId="49" fontId="12" fillId="31" borderId="2" xfId="450" applyNumberFormat="1" applyFill="1" applyBorder="1" applyAlignment="1">
      <alignment wrapText="1"/>
    </xf>
    <xf numFmtId="49" fontId="12" fillId="0" borderId="41" xfId="450" applyNumberFormat="1" applyBorder="1" applyAlignment="1">
      <alignment horizontal="center" wrapText="1"/>
    </xf>
    <xf numFmtId="49" fontId="12" fillId="31" borderId="42" xfId="450" applyNumberFormat="1" applyFill="1" applyBorder="1" applyAlignment="1">
      <alignment wrapText="1"/>
    </xf>
    <xf numFmtId="49" fontId="12" fillId="0" borderId="42" xfId="450" applyNumberFormat="1" applyBorder="1" applyAlignment="1">
      <alignment horizontal="center" wrapText="1"/>
    </xf>
    <xf numFmtId="49" fontId="12" fillId="0" borderId="28" xfId="450" applyNumberFormat="1" applyFill="1" applyBorder="1" applyAlignment="1">
      <alignment wrapText="1"/>
    </xf>
    <xf numFmtId="0" fontId="12" fillId="31" borderId="42" xfId="450" applyFill="1" applyBorder="1"/>
    <xf numFmtId="0" fontId="12" fillId="0" borderId="42" xfId="450" applyBorder="1" applyAlignment="1">
      <alignment horizontal="center"/>
    </xf>
    <xf numFmtId="0" fontId="12" fillId="31" borderId="42" xfId="450" applyFill="1" applyBorder="1" applyAlignment="1">
      <alignment horizontal="center"/>
    </xf>
    <xf numFmtId="0" fontId="12" fillId="0" borderId="42" xfId="450" applyBorder="1"/>
    <xf numFmtId="49" fontId="12" fillId="0" borderId="43" xfId="450" applyNumberFormat="1" applyBorder="1" applyAlignment="1">
      <alignment horizontal="center" wrapText="1"/>
    </xf>
    <xf numFmtId="49" fontId="7" fillId="0" borderId="0" xfId="471" applyNumberFormat="1" applyBorder="1" applyAlignment="1">
      <alignment horizontal="center" wrapText="1"/>
    </xf>
    <xf numFmtId="49" fontId="12" fillId="0" borderId="4" xfId="450" applyNumberFormat="1" applyBorder="1" applyAlignment="1">
      <alignment horizontal="center" wrapText="1"/>
    </xf>
    <xf numFmtId="49" fontId="12" fillId="31" borderId="0" xfId="450" applyNumberFormat="1" applyFill="1" applyBorder="1" applyAlignment="1">
      <alignment wrapText="1"/>
    </xf>
    <xf numFmtId="49" fontId="12" fillId="0" borderId="0" xfId="450" applyNumberFormat="1" applyBorder="1" applyAlignment="1">
      <alignment horizontal="center" wrapText="1"/>
    </xf>
    <xf numFmtId="49" fontId="12" fillId="0" borderId="5" xfId="450" applyNumberFormat="1" applyFill="1" applyBorder="1" applyAlignment="1">
      <alignment wrapText="1"/>
    </xf>
    <xf numFmtId="0" fontId="12" fillId="31" borderId="0" xfId="450" applyFill="1" applyBorder="1"/>
    <xf numFmtId="0" fontId="12" fillId="0" borderId="0" xfId="450" applyBorder="1" applyAlignment="1">
      <alignment horizontal="center"/>
    </xf>
    <xf numFmtId="0" fontId="12" fillId="31" borderId="0" xfId="450" applyFill="1" applyBorder="1" applyAlignment="1">
      <alignment horizontal="center"/>
    </xf>
    <xf numFmtId="0" fontId="12" fillId="0" borderId="0" xfId="450" applyBorder="1"/>
    <xf numFmtId="49" fontId="12" fillId="0" borderId="13" xfId="450" applyNumberFormat="1" applyBorder="1" applyAlignment="1">
      <alignment horizontal="center" wrapText="1"/>
    </xf>
    <xf numFmtId="0" fontId="12" fillId="0" borderId="3" xfId="450" applyBorder="1" applyAlignment="1">
      <alignment horizontal="center"/>
    </xf>
    <xf numFmtId="0" fontId="12" fillId="31" borderId="2" xfId="450" applyFill="1" applyBorder="1"/>
    <xf numFmtId="0" fontId="12" fillId="0" borderId="2" xfId="450" applyBorder="1"/>
    <xf numFmtId="0" fontId="12" fillId="0" borderId="3" xfId="450" applyFill="1" applyBorder="1"/>
    <xf numFmtId="0" fontId="12" fillId="0" borderId="12" xfId="450" applyBorder="1"/>
    <xf numFmtId="0" fontId="0" fillId="0" borderId="5" xfId="450" applyFont="1" applyBorder="1" applyAlignment="1">
      <alignment horizontal="center"/>
    </xf>
    <xf numFmtId="0" fontId="12" fillId="0" borderId="5" xfId="450" applyFill="1" applyBorder="1"/>
    <xf numFmtId="0" fontId="0" fillId="0" borderId="0" xfId="450" applyFont="1" applyBorder="1"/>
    <xf numFmtId="10" fontId="7" fillId="0" borderId="0" xfId="471" applyNumberFormat="1" applyBorder="1"/>
    <xf numFmtId="49" fontId="12" fillId="0" borderId="0" xfId="450" applyNumberFormat="1" applyFill="1" applyBorder="1" applyAlignment="1">
      <alignment wrapText="1"/>
    </xf>
    <xf numFmtId="0" fontId="7" fillId="0" borderId="5" xfId="450" applyFont="1" applyBorder="1" applyAlignment="1">
      <alignment horizontal="center"/>
    </xf>
    <xf numFmtId="0" fontId="0" fillId="0" borderId="0" xfId="450" applyFont="1" applyBorder="1" applyAlignment="1">
      <alignment horizontal="center"/>
    </xf>
    <xf numFmtId="177" fontId="7" fillId="0" borderId="0" xfId="471" applyNumberFormat="1" applyBorder="1"/>
    <xf numFmtId="10" fontId="8" fillId="0" borderId="0" xfId="471" applyNumberFormat="1" applyFont="1" applyBorder="1" applyAlignment="1">
      <alignment horizontal="center" wrapText="1"/>
    </xf>
    <xf numFmtId="0" fontId="12" fillId="0" borderId="13" xfId="450" applyBorder="1"/>
    <xf numFmtId="0" fontId="0" fillId="0" borderId="11" xfId="450" applyFont="1" applyBorder="1" applyAlignment="1">
      <alignment horizontal="center"/>
    </xf>
    <xf numFmtId="0" fontId="12" fillId="31" borderId="10" xfId="450" applyFill="1" applyBorder="1"/>
    <xf numFmtId="0" fontId="12" fillId="0" borderId="10" xfId="450" applyBorder="1"/>
    <xf numFmtId="0" fontId="12" fillId="0" borderId="11" xfId="450" applyFill="1" applyBorder="1"/>
    <xf numFmtId="0" fontId="12" fillId="0" borderId="27" xfId="450" applyBorder="1"/>
    <xf numFmtId="0" fontId="7" fillId="0" borderId="4" xfId="471" applyBorder="1" applyAlignment="1">
      <alignment horizontal="center"/>
    </xf>
    <xf numFmtId="0" fontId="7" fillId="31" borderId="0" xfId="471" applyFill="1" applyBorder="1"/>
    <xf numFmtId="0" fontId="7" fillId="31" borderId="0" xfId="471" applyFill="1" applyBorder="1" applyAlignment="1">
      <alignment horizontal="center"/>
    </xf>
    <xf numFmtId="0" fontId="7" fillId="0" borderId="13" xfId="471" applyBorder="1"/>
    <xf numFmtId="0" fontId="7" fillId="0" borderId="0" xfId="471" applyFill="1" applyBorder="1" applyAlignment="1">
      <alignment horizontal="center"/>
    </xf>
    <xf numFmtId="0" fontId="7" fillId="0" borderId="0" xfId="471" applyFill="1" applyBorder="1"/>
    <xf numFmtId="0" fontId="7" fillId="0" borderId="0" xfId="471" applyFill="1"/>
    <xf numFmtId="0" fontId="50" fillId="0" borderId="0" xfId="471" applyFont="1" applyFill="1" applyBorder="1" applyAlignment="1">
      <alignment horizontal="center"/>
    </xf>
    <xf numFmtId="0" fontId="12" fillId="0" borderId="0" xfId="450"/>
    <xf numFmtId="178" fontId="12" fillId="0" borderId="0" xfId="141" applyNumberFormat="1" applyFont="1" applyAlignment="1">
      <alignment horizontal="right"/>
    </xf>
    <xf numFmtId="0" fontId="0" fillId="0" borderId="0" xfId="450" applyFont="1"/>
    <xf numFmtId="0" fontId="7" fillId="0" borderId="0" xfId="450" applyFont="1"/>
    <xf numFmtId="0" fontId="7" fillId="0" borderId="0" xfId="471" applyFont="1" applyAlignment="1">
      <alignment horizontal="center"/>
    </xf>
    <xf numFmtId="0" fontId="12" fillId="0" borderId="0" xfId="450" applyAlignment="1">
      <alignment horizontal="center"/>
    </xf>
    <xf numFmtId="0" fontId="12" fillId="0" borderId="0" xfId="450" applyAlignment="1">
      <alignment horizontal="right"/>
    </xf>
    <xf numFmtId="0" fontId="7" fillId="0" borderId="0" xfId="450" applyFont="1" applyAlignment="1">
      <alignment horizontal="center"/>
    </xf>
    <xf numFmtId="0" fontId="7" fillId="0" borderId="0" xfId="450" applyFont="1" applyAlignment="1">
      <alignment horizontal="right"/>
    </xf>
    <xf numFmtId="0" fontId="8" fillId="0" borderId="0" xfId="450" applyFont="1" applyFill="1" applyBorder="1" applyAlignment="1">
      <alignment horizontal="center"/>
    </xf>
    <xf numFmtId="37" fontId="7" fillId="0" borderId="0" xfId="450" applyNumberFormat="1" applyFont="1" applyFill="1" applyBorder="1" applyAlignment="1">
      <alignment horizontal="center"/>
    </xf>
    <xf numFmtId="0" fontId="7" fillId="0" borderId="0" xfId="450" applyFont="1" applyFill="1" applyBorder="1"/>
    <xf numFmtId="0" fontId="12" fillId="0" borderId="0" xfId="450" applyFill="1" applyBorder="1"/>
    <xf numFmtId="10" fontId="12" fillId="0" borderId="0" xfId="450" applyNumberFormat="1" applyFill="1" applyBorder="1"/>
    <xf numFmtId="0" fontId="12" fillId="0" borderId="0" xfId="450" applyFill="1" applyBorder="1" applyAlignment="1">
      <alignment horizontal="center"/>
    </xf>
    <xf numFmtId="0" fontId="12" fillId="0" borderId="0" xfId="450" applyFill="1"/>
    <xf numFmtId="49" fontId="7" fillId="0" borderId="0" xfId="450" applyNumberFormat="1" applyFont="1" applyFill="1" applyBorder="1" applyAlignment="1">
      <alignment horizontal="center" wrapText="1"/>
    </xf>
    <xf numFmtId="37" fontId="12" fillId="0" borderId="0" xfId="450" applyNumberFormat="1" applyFill="1" applyBorder="1" applyAlignment="1">
      <alignment horizontal="center"/>
    </xf>
    <xf numFmtId="10" fontId="12" fillId="25" borderId="0" xfId="450" applyNumberFormat="1" applyFill="1" applyBorder="1"/>
    <xf numFmtId="175" fontId="12" fillId="25" borderId="0" xfId="450" applyNumberFormat="1" applyFill="1" applyBorder="1"/>
    <xf numFmtId="10" fontId="8" fillId="25" borderId="0" xfId="450" applyNumberFormat="1" applyFont="1" applyFill="1" applyBorder="1"/>
    <xf numFmtId="176" fontId="12" fillId="25" borderId="0" xfId="450" applyNumberFormat="1" applyFill="1" applyBorder="1" applyAlignment="1">
      <alignment horizontal="center"/>
    </xf>
    <xf numFmtId="176" fontId="48" fillId="25" borderId="0" xfId="450" applyNumberFormat="1" applyFont="1" applyFill="1" applyBorder="1" applyAlignment="1">
      <alignment horizontal="center"/>
    </xf>
    <xf numFmtId="177" fontId="12" fillId="25" borderId="13" xfId="450" applyNumberFormat="1" applyFill="1" applyBorder="1"/>
    <xf numFmtId="179" fontId="12" fillId="25" borderId="0" xfId="450" applyNumberFormat="1" applyFill="1"/>
    <xf numFmtId="0" fontId="12" fillId="25" borderId="0" xfId="450" applyFill="1"/>
    <xf numFmtId="178" fontId="12" fillId="25" borderId="0" xfId="141" applyNumberFormat="1" applyFont="1" applyFill="1" applyAlignment="1">
      <alignment horizontal="right"/>
    </xf>
    <xf numFmtId="178" fontId="12" fillId="25" borderId="0" xfId="141" applyNumberFormat="1" applyFont="1" applyFill="1" applyAlignment="1">
      <alignment horizontal="right" vertical="center"/>
    </xf>
    <xf numFmtId="43" fontId="7" fillId="0" borderId="0" xfId="8" applyFont="1"/>
    <xf numFmtId="0" fontId="7" fillId="25" borderId="0" xfId="471" applyFill="1"/>
    <xf numFmtId="10" fontId="5" fillId="25" borderId="5" xfId="5" applyNumberFormat="1" applyFont="1" applyFill="1" applyBorder="1"/>
    <xf numFmtId="164" fontId="3" fillId="25" borderId="0" xfId="1" applyNumberFormat="1" applyFont="1" applyFill="1"/>
    <xf numFmtId="164" fontId="3" fillId="25" borderId="0" xfId="0" applyNumberFormat="1" applyFont="1" applyFill="1"/>
    <xf numFmtId="0" fontId="4" fillId="0" borderId="0" xfId="3" applyFont="1" applyFill="1" applyBorder="1" applyAlignment="1"/>
    <xf numFmtId="164" fontId="4" fillId="25" borderId="8" xfId="3" applyNumberFormat="1" applyFont="1" applyFill="1" applyBorder="1"/>
    <xf numFmtId="164" fontId="10" fillId="25" borderId="0" xfId="9" applyNumberFormat="1" applyFont="1" applyFill="1" applyBorder="1"/>
    <xf numFmtId="164" fontId="10" fillId="0" borderId="0" xfId="9" applyNumberFormat="1" applyFont="1" applyFill="1" applyBorder="1"/>
    <xf numFmtId="164" fontId="10" fillId="25" borderId="29" xfId="9" applyNumberFormat="1" applyFont="1" applyFill="1" applyBorder="1"/>
    <xf numFmtId="164" fontId="10" fillId="0" borderId="0" xfId="9" applyNumberFormat="1" applyFont="1" applyFill="1"/>
    <xf numFmtId="164" fontId="10" fillId="0" borderId="0" xfId="1" applyNumberFormat="1" applyFont="1" applyFill="1" applyAlignment="1">
      <alignment horizontal="right"/>
    </xf>
    <xf numFmtId="176" fontId="12" fillId="25" borderId="0" xfId="450" applyNumberFormat="1" applyFill="1"/>
    <xf numFmtId="10" fontId="5" fillId="25" borderId="0" xfId="5" applyNumberFormat="1" applyFont="1" applyFill="1" applyBorder="1"/>
    <xf numFmtId="49" fontId="48" fillId="0" borderId="0" xfId="450" applyNumberFormat="1" applyFont="1" applyFill="1" applyBorder="1" applyAlignment="1">
      <alignment horizontal="center" wrapText="1"/>
    </xf>
    <xf numFmtId="0" fontId="12" fillId="0" borderId="2" xfId="450" applyFill="1" applyBorder="1"/>
    <xf numFmtId="5" fontId="38" fillId="0" borderId="0" xfId="450" applyNumberFormat="1" applyFont="1" applyFill="1" applyBorder="1"/>
    <xf numFmtId="5" fontId="37" fillId="0" borderId="0" xfId="450" applyNumberFormat="1" applyFont="1" applyFill="1" applyBorder="1"/>
    <xf numFmtId="49" fontId="12" fillId="0" borderId="0" xfId="450" applyNumberFormat="1" applyFill="1" applyBorder="1" applyAlignment="1">
      <alignment horizontal="center" wrapText="1"/>
    </xf>
    <xf numFmtId="175" fontId="49" fillId="0" borderId="0" xfId="450" applyNumberFormat="1" applyFont="1" applyFill="1" applyBorder="1"/>
    <xf numFmtId="178" fontId="12" fillId="0" borderId="0" xfId="141" applyNumberFormat="1" applyFont="1" applyFill="1" applyBorder="1"/>
    <xf numFmtId="178" fontId="12" fillId="0" borderId="0" xfId="141" applyNumberFormat="1" applyFont="1" applyFill="1" applyBorder="1" applyAlignment="1">
      <alignment horizontal="right"/>
    </xf>
    <xf numFmtId="178" fontId="12" fillId="0" borderId="0" xfId="141" applyNumberFormat="1" applyFont="1" applyFill="1" applyAlignment="1">
      <alignment horizontal="right"/>
    </xf>
    <xf numFmtId="179" fontId="12" fillId="0" borderId="0" xfId="450" applyNumberFormat="1" applyFill="1"/>
    <xf numFmtId="0" fontId="0" fillId="0" borderId="0" xfId="450" applyFont="1" applyFill="1"/>
    <xf numFmtId="165" fontId="12" fillId="0" borderId="0" xfId="2" applyNumberFormat="1" applyFont="1" applyFill="1"/>
    <xf numFmtId="17" fontId="3" fillId="0" borderId="0" xfId="0" quotePrefix="1" applyNumberFormat="1" applyFont="1" applyFill="1" applyAlignment="1">
      <alignment horizontal="left"/>
    </xf>
    <xf numFmtId="0" fontId="6" fillId="0" borderId="0" xfId="0" applyFont="1" applyFill="1" applyAlignment="1">
      <alignment horizontal="center"/>
    </xf>
    <xf numFmtId="164" fontId="3" fillId="0" borderId="0" xfId="0" applyNumberFormat="1" applyFont="1" applyFill="1"/>
    <xf numFmtId="0" fontId="3" fillId="0" borderId="0" xfId="0" applyFont="1" applyFill="1"/>
    <xf numFmtId="0" fontId="6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 applyAlignment="1"/>
    <xf numFmtId="0" fontId="10" fillId="0" borderId="0" xfId="0" applyFont="1" applyFill="1"/>
    <xf numFmtId="0" fontId="6" fillId="0" borderId="0" xfId="0" applyFont="1" applyFill="1" applyBorder="1" applyAlignment="1">
      <alignment horizontal="center"/>
    </xf>
    <xf numFmtId="44" fontId="3" fillId="0" borderId="0" xfId="0" applyNumberFormat="1" applyFont="1"/>
    <xf numFmtId="166" fontId="3" fillId="0" borderId="0" xfId="2" applyNumberFormat="1" applyFont="1"/>
    <xf numFmtId="0" fontId="3" fillId="0" borderId="0" xfId="0" applyFont="1" applyFill="1" applyAlignment="1">
      <alignment horizontal="right"/>
    </xf>
    <xf numFmtId="0" fontId="7" fillId="25" borderId="0" xfId="0" applyFont="1" applyFill="1" applyAlignment="1">
      <alignment horizontal="left" indent="6"/>
    </xf>
    <xf numFmtId="37" fontId="7" fillId="25" borderId="0" xfId="0" applyNumberFormat="1" applyFont="1" applyFill="1"/>
    <xf numFmtId="172" fontId="7" fillId="26" borderId="0" xfId="0" applyNumberFormat="1" applyFont="1" applyFill="1" applyAlignment="1">
      <alignment horizontal="right"/>
    </xf>
    <xf numFmtId="172" fontId="7" fillId="26" borderId="0" xfId="0" applyNumberFormat="1" applyFont="1" applyFill="1" applyAlignment="1">
      <alignment horizontal="left"/>
    </xf>
    <xf numFmtId="8" fontId="7" fillId="0" borderId="0" xfId="0" applyNumberFormat="1" applyFont="1"/>
    <xf numFmtId="0" fontId="37" fillId="0" borderId="0" xfId="0" applyFont="1" applyAlignment="1">
      <alignment horizontal="right"/>
    </xf>
    <xf numFmtId="39" fontId="8" fillId="0" borderId="0" xfId="0" applyNumberFormat="1" applyFont="1" applyAlignment="1">
      <alignment horizontal="left" indent="11"/>
    </xf>
    <xf numFmtId="41" fontId="8" fillId="0" borderId="0" xfId="0" applyNumberFormat="1" applyFont="1"/>
    <xf numFmtId="0" fontId="8" fillId="0" borderId="0" xfId="0" applyFont="1"/>
    <xf numFmtId="41" fontId="8" fillId="0" borderId="31" xfId="0" applyNumberFormat="1" applyFont="1" applyBorder="1"/>
    <xf numFmtId="0" fontId="8" fillId="0" borderId="0" xfId="0" applyFont="1" applyAlignment="1">
      <alignment horizontal="left"/>
    </xf>
    <xf numFmtId="41" fontId="8" fillId="0" borderId="32" xfId="0" applyNumberFormat="1" applyFont="1" applyBorder="1" applyAlignment="1">
      <alignment horizontal="left" indent="1"/>
    </xf>
    <xf numFmtId="41" fontId="7" fillId="29" borderId="0" xfId="0" applyNumberFormat="1" applyFont="1" applyFill="1"/>
    <xf numFmtId="41" fontId="7" fillId="0" borderId="0" xfId="0" applyNumberFormat="1" applyFont="1" applyAlignment="1">
      <alignment horizontal="right"/>
    </xf>
    <xf numFmtId="0" fontId="38" fillId="0" borderId="0" xfId="0" applyFont="1" applyAlignment="1">
      <alignment horizontal="right"/>
    </xf>
    <xf numFmtId="172" fontId="7" fillId="0" borderId="0" xfId="0" applyNumberFormat="1" applyFont="1" applyAlignment="1">
      <alignment horizontal="centerContinuous"/>
    </xf>
    <xf numFmtId="172" fontId="7" fillId="0" borderId="0" xfId="0" applyNumberFormat="1" applyFont="1" applyAlignment="1">
      <alignment horizontal="left"/>
    </xf>
    <xf numFmtId="41" fontId="7" fillId="0" borderId="32" xfId="0" applyNumberFormat="1" applyFont="1" applyBorder="1" applyAlignment="1">
      <alignment horizontal="right"/>
    </xf>
    <xf numFmtId="0" fontId="38" fillId="0" borderId="33" xfId="0" applyFont="1" applyBorder="1" applyAlignment="1">
      <alignment horizontal="right"/>
    </xf>
    <xf numFmtId="41" fontId="8" fillId="0" borderId="33" xfId="0" applyNumberFormat="1" applyFont="1" applyBorder="1"/>
    <xf numFmtId="172" fontId="8" fillId="0" borderId="33" xfId="0" applyNumberFormat="1" applyFont="1" applyBorder="1" applyAlignment="1">
      <alignment horizontal="right"/>
    </xf>
    <xf numFmtId="41" fontId="8" fillId="0" borderId="34" xfId="0" applyNumberFormat="1" applyFont="1" applyBorder="1"/>
    <xf numFmtId="172" fontId="8" fillId="0" borderId="33" xfId="0" applyNumberFormat="1" applyFont="1" applyBorder="1" applyAlignment="1">
      <alignment horizontal="left"/>
    </xf>
    <xf numFmtId="8" fontId="8" fillId="0" borderId="0" xfId="0" applyNumberFormat="1" applyFont="1"/>
    <xf numFmtId="173" fontId="39" fillId="0" borderId="0" xfId="0" applyNumberFormat="1" applyFont="1" applyAlignment="1">
      <alignment horizontal="left"/>
    </xf>
    <xf numFmtId="3" fontId="39" fillId="0" borderId="0" xfId="0" applyNumberFormat="1" applyFont="1" applyAlignment="1">
      <alignment horizontal="center"/>
    </xf>
    <xf numFmtId="41" fontId="7" fillId="0" borderId="31" xfId="0" applyNumberFormat="1" applyFont="1" applyBorder="1" applyAlignment="1">
      <alignment horizontal="centerContinuous"/>
    </xf>
    <xf numFmtId="8" fontId="7" fillId="0" borderId="0" xfId="0" applyNumberFormat="1" applyFont="1" applyAlignment="1">
      <alignment horizontal="centerContinuous"/>
    </xf>
    <xf numFmtId="172" fontId="8" fillId="0" borderId="33" xfId="0" applyNumberFormat="1" applyFont="1" applyBorder="1" applyAlignment="1">
      <alignment horizontal="center"/>
    </xf>
    <xf numFmtId="41" fontId="8" fillId="0" borderId="34" xfId="0" applyNumberFormat="1" applyFont="1" applyBorder="1" applyAlignment="1">
      <alignment horizontal="center"/>
    </xf>
    <xf numFmtId="40" fontId="8" fillId="0" borderId="0" xfId="0" applyNumberFormat="1" applyFont="1" applyAlignment="1">
      <alignment horizontal="center"/>
    </xf>
    <xf numFmtId="172" fontId="8" fillId="0" borderId="36" xfId="0" applyNumberFormat="1" applyFont="1" applyBorder="1" applyAlignment="1">
      <alignment horizontal="right"/>
    </xf>
    <xf numFmtId="172" fontId="8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/>
    </xf>
    <xf numFmtId="3" fontId="7" fillId="0" borderId="0" xfId="0" applyNumberFormat="1" applyFont="1" applyAlignment="1">
      <alignment horizontal="left" indent="5"/>
    </xf>
    <xf numFmtId="40" fontId="38" fillId="0" borderId="0" xfId="0" applyNumberFormat="1" applyFont="1" applyAlignment="1">
      <alignment horizontal="right"/>
    </xf>
    <xf numFmtId="174" fontId="42" fillId="30" borderId="0" xfId="0" applyNumberFormat="1" applyFont="1" applyFill="1" applyAlignment="1">
      <alignment horizontal="right"/>
    </xf>
    <xf numFmtId="172" fontId="42" fillId="31" borderId="0" xfId="0" applyNumberFormat="1" applyFont="1" applyFill="1" applyAlignment="1">
      <alignment horizontal="right"/>
    </xf>
    <xf numFmtId="174" fontId="42" fillId="0" borderId="0" xfId="0" applyNumberFormat="1" applyFont="1" applyAlignment="1">
      <alignment horizontal="right"/>
    </xf>
    <xf numFmtId="3" fontId="42" fillId="30" borderId="0" xfId="0" applyNumberFormat="1" applyFont="1" applyFill="1" applyAlignment="1">
      <alignment horizontal="left" indent="2"/>
    </xf>
    <xf numFmtId="38" fontId="43" fillId="30" borderId="0" xfId="0" applyNumberFormat="1" applyFont="1" applyFill="1" applyAlignment="1">
      <alignment horizontal="center"/>
    </xf>
    <xf numFmtId="40" fontId="42" fillId="30" borderId="0" xfId="0" applyNumberFormat="1" applyFont="1" applyFill="1" applyAlignment="1">
      <alignment horizontal="right"/>
    </xf>
    <xf numFmtId="172" fontId="42" fillId="30" borderId="0" xfId="0" applyNumberFormat="1" applyFont="1" applyFill="1" applyAlignment="1">
      <alignment horizontal="right"/>
    </xf>
    <xf numFmtId="174" fontId="42" fillId="28" borderId="0" xfId="0" applyNumberFormat="1" applyFont="1" applyFill="1" applyAlignment="1">
      <alignment horizontal="right"/>
    </xf>
    <xf numFmtId="38" fontId="44" fillId="0" borderId="0" xfId="0" applyNumberFormat="1" applyFont="1" applyAlignment="1">
      <alignment horizontal="center"/>
    </xf>
    <xf numFmtId="172" fontId="38" fillId="0" borderId="0" xfId="0" applyNumberFormat="1" applyFont="1" applyAlignment="1">
      <alignment horizontal="right"/>
    </xf>
    <xf numFmtId="174" fontId="38" fillId="0" borderId="31" xfId="0" applyNumberFormat="1" applyFont="1" applyBorder="1" applyAlignment="1">
      <alignment horizontal="right"/>
    </xf>
    <xf numFmtId="172" fontId="38" fillId="0" borderId="37" xfId="0" applyNumberFormat="1" applyFont="1" applyBorder="1" applyAlignment="1">
      <alignment horizontal="right"/>
    </xf>
    <xf numFmtId="3" fontId="7" fillId="28" borderId="0" xfId="0" applyNumberFormat="1" applyFont="1" applyFill="1"/>
    <xf numFmtId="3" fontId="7" fillId="0" borderId="0" xfId="0" applyNumberFormat="1" applyFont="1" applyAlignment="1">
      <alignment horizontal="left" indent="4"/>
    </xf>
    <xf numFmtId="3" fontId="7" fillId="0" borderId="0" xfId="0" applyNumberFormat="1" applyFont="1" applyAlignment="1">
      <alignment horizontal="left" indent="3"/>
    </xf>
    <xf numFmtId="38" fontId="38" fillId="0" borderId="0" xfId="0" quotePrefix="1" applyNumberFormat="1" applyFont="1" applyAlignment="1">
      <alignment horizontal="center"/>
    </xf>
    <xf numFmtId="8" fontId="7" fillId="0" borderId="31" xfId="0" applyNumberFormat="1" applyFont="1" applyBorder="1"/>
    <xf numFmtId="3" fontId="8" fillId="28" borderId="0" xfId="0" applyNumberFormat="1" applyFont="1" applyFill="1"/>
    <xf numFmtId="38" fontId="38" fillId="0" borderId="0" xfId="0" applyNumberFormat="1" applyFont="1" applyAlignment="1">
      <alignment horizontal="center"/>
    </xf>
    <xf numFmtId="174" fontId="38" fillId="0" borderId="0" xfId="0" applyNumberFormat="1" applyFont="1" applyAlignment="1">
      <alignment horizontal="right"/>
    </xf>
    <xf numFmtId="3" fontId="7" fillId="32" borderId="0" xfId="0" applyNumberFormat="1" applyFont="1" applyFill="1"/>
    <xf numFmtId="3" fontId="7" fillId="32" borderId="0" xfId="0" applyNumberFormat="1" applyFont="1" applyFill="1" applyAlignment="1">
      <alignment horizontal="left"/>
    </xf>
    <xf numFmtId="3" fontId="7" fillId="32" borderId="0" xfId="0" applyNumberFormat="1" applyFont="1" applyFill="1" applyAlignment="1">
      <alignment horizontal="left" indent="5"/>
    </xf>
    <xf numFmtId="38" fontId="38" fillId="32" borderId="0" xfId="0" applyNumberFormat="1" applyFont="1" applyFill="1" applyAlignment="1">
      <alignment horizontal="center"/>
    </xf>
    <xf numFmtId="40" fontId="38" fillId="32" borderId="0" xfId="0" applyNumberFormat="1" applyFont="1" applyFill="1" applyAlignment="1">
      <alignment horizontal="right"/>
    </xf>
    <xf numFmtId="40" fontId="7" fillId="32" borderId="0" xfId="0" applyNumberFormat="1" applyFont="1" applyFill="1"/>
    <xf numFmtId="8" fontId="7" fillId="32" borderId="0" xfId="0" applyNumberFormat="1" applyFont="1" applyFill="1"/>
    <xf numFmtId="3" fontId="8" fillId="32" borderId="0" xfId="0" applyNumberFormat="1" applyFont="1" applyFill="1"/>
    <xf numFmtId="3" fontId="7" fillId="32" borderId="0" xfId="0" applyNumberFormat="1" applyFont="1" applyFill="1" applyAlignment="1">
      <alignment horizontal="left" indent="7"/>
    </xf>
    <xf numFmtId="8" fontId="8" fillId="32" borderId="0" xfId="0" applyNumberFormat="1" applyFont="1" applyFill="1"/>
    <xf numFmtId="8" fontId="8" fillId="0" borderId="31" xfId="0" applyNumberFormat="1" applyFont="1" applyBorder="1"/>
    <xf numFmtId="3" fontId="7" fillId="0" borderId="17" xfId="0" applyNumberFormat="1" applyFont="1" applyBorder="1" applyAlignment="1">
      <alignment horizontal="left" indent="4"/>
    </xf>
    <xf numFmtId="38" fontId="38" fillId="0" borderId="17" xfId="0" applyNumberFormat="1" applyFont="1" applyBorder="1" applyAlignment="1">
      <alignment horizontal="center"/>
    </xf>
    <xf numFmtId="40" fontId="7" fillId="0" borderId="17" xfId="0" applyNumberFormat="1" applyFont="1" applyBorder="1"/>
    <xf numFmtId="3" fontId="8" fillId="0" borderId="38" xfId="0" applyNumberFormat="1" applyFont="1" applyBorder="1"/>
    <xf numFmtId="8" fontId="7" fillId="0" borderId="17" xfId="0" applyNumberFormat="1" applyFont="1" applyBorder="1"/>
    <xf numFmtId="8" fontId="7" fillId="0" borderId="38" xfId="0" applyNumberFormat="1" applyFont="1" applyBorder="1"/>
    <xf numFmtId="3" fontId="8" fillId="0" borderId="17" xfId="0" applyNumberFormat="1" applyFont="1" applyBorder="1"/>
    <xf numFmtId="3" fontId="8" fillId="0" borderId="0" xfId="0" applyNumberFormat="1" applyFont="1" applyAlignment="1">
      <alignment horizontal="left" indent="3"/>
    </xf>
    <xf numFmtId="38" fontId="37" fillId="0" borderId="0" xfId="0" applyNumberFormat="1" applyFont="1" applyAlignment="1">
      <alignment horizontal="center"/>
    </xf>
    <xf numFmtId="40" fontId="37" fillId="0" borderId="0" xfId="0" applyNumberFormat="1" applyFont="1" applyAlignment="1">
      <alignment horizontal="right"/>
    </xf>
    <xf numFmtId="40" fontId="8" fillId="0" borderId="0" xfId="0" applyNumberFormat="1" applyFont="1"/>
    <xf numFmtId="3" fontId="8" fillId="0" borderId="0" xfId="0" applyNumberFormat="1" applyFont="1" applyAlignment="1">
      <alignment horizontal="left" indent="2"/>
    </xf>
    <xf numFmtId="0" fontId="45" fillId="0" borderId="0" xfId="0" quotePrefix="1" applyFont="1" applyAlignment="1">
      <alignment horizontal="left"/>
    </xf>
    <xf numFmtId="0" fontId="45" fillId="0" borderId="31" xfId="0" quotePrefix="1" applyFont="1" applyBorder="1" applyAlignment="1">
      <alignment horizontal="left"/>
    </xf>
    <xf numFmtId="40" fontId="46" fillId="0" borderId="0" xfId="0" applyNumberFormat="1" applyFont="1" applyAlignment="1">
      <alignment horizontal="center"/>
    </xf>
    <xf numFmtId="40" fontId="46" fillId="0" borderId="31" xfId="0" applyNumberFormat="1" applyFont="1" applyBorder="1" applyAlignment="1">
      <alignment horizontal="center"/>
    </xf>
    <xf numFmtId="3" fontId="7" fillId="33" borderId="0" xfId="0" applyNumberFormat="1" applyFont="1" applyFill="1" applyAlignment="1">
      <alignment horizontal="left" indent="3"/>
    </xf>
    <xf numFmtId="38" fontId="38" fillId="33" borderId="0" xfId="0" applyNumberFormat="1" applyFont="1" applyFill="1" applyAlignment="1">
      <alignment horizontal="center"/>
    </xf>
    <xf numFmtId="40" fontId="38" fillId="33" borderId="0" xfId="0" applyNumberFormat="1" applyFont="1" applyFill="1" applyAlignment="1">
      <alignment horizontal="right"/>
    </xf>
    <xf numFmtId="172" fontId="38" fillId="33" borderId="0" xfId="0" applyNumberFormat="1" applyFont="1" applyFill="1" applyAlignment="1">
      <alignment horizontal="right"/>
    </xf>
    <xf numFmtId="174" fontId="38" fillId="33" borderId="0" xfId="0" applyNumberFormat="1" applyFont="1" applyFill="1" applyAlignment="1">
      <alignment horizontal="right"/>
    </xf>
    <xf numFmtId="3" fontId="7" fillId="32" borderId="0" xfId="0" applyNumberFormat="1" applyFont="1" applyFill="1" applyAlignment="1">
      <alignment horizontal="left" indent="4"/>
    </xf>
    <xf numFmtId="3" fontId="7" fillId="33" borderId="0" xfId="0" applyNumberFormat="1" applyFont="1" applyFill="1" applyAlignment="1">
      <alignment horizontal="left" indent="2"/>
    </xf>
    <xf numFmtId="3" fontId="7" fillId="0" borderId="17" xfId="0" applyNumberFormat="1" applyFont="1" applyBorder="1"/>
    <xf numFmtId="0" fontId="45" fillId="0" borderId="17" xfId="0" quotePrefix="1" applyFont="1" applyBorder="1" applyAlignment="1">
      <alignment horizontal="left"/>
    </xf>
    <xf numFmtId="0" fontId="45" fillId="0" borderId="38" xfId="0" quotePrefix="1" applyFont="1" applyBorder="1" applyAlignment="1">
      <alignment horizontal="left"/>
    </xf>
    <xf numFmtId="3" fontId="7" fillId="0" borderId="17" xfId="0" applyNumberFormat="1" applyFont="1" applyBorder="1" applyAlignment="1">
      <alignment horizontal="left" indent="3"/>
    </xf>
    <xf numFmtId="3" fontId="7" fillId="0" borderId="0" xfId="0" applyNumberFormat="1" applyFont="1" applyAlignment="1">
      <alignment horizontal="left" indent="2"/>
    </xf>
    <xf numFmtId="3" fontId="8" fillId="0" borderId="0" xfId="0" applyNumberFormat="1" applyFont="1" applyAlignment="1">
      <alignment horizontal="left" indent="1"/>
    </xf>
    <xf numFmtId="40" fontId="8" fillId="0" borderId="0" xfId="0" applyNumberFormat="1" applyFont="1" applyAlignment="1">
      <alignment horizontal="right"/>
    </xf>
    <xf numFmtId="40" fontId="8" fillId="0" borderId="32" xfId="0" applyNumberFormat="1" applyFont="1" applyBorder="1" applyAlignment="1">
      <alignment horizontal="right"/>
    </xf>
    <xf numFmtId="40" fontId="7" fillId="0" borderId="0" xfId="0" applyNumberFormat="1" applyFont="1" applyAlignment="1">
      <alignment horizontal="right"/>
    </xf>
    <xf numFmtId="40" fontId="7" fillId="0" borderId="32" xfId="0" applyNumberFormat="1" applyFont="1" applyBorder="1" applyAlignment="1">
      <alignment horizontal="right"/>
    </xf>
    <xf numFmtId="41" fontId="8" fillId="0" borderId="31" xfId="0" applyNumberFormat="1" applyFont="1" applyBorder="1" applyAlignment="1">
      <alignment horizontal="right"/>
    </xf>
    <xf numFmtId="40" fontId="8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172" fontId="7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left" indent="1"/>
    </xf>
    <xf numFmtId="38" fontId="7" fillId="0" borderId="0" xfId="0" applyNumberFormat="1" applyFont="1"/>
    <xf numFmtId="0" fontId="7" fillId="0" borderId="0" xfId="0" applyFont="1"/>
    <xf numFmtId="41" fontId="0" fillId="0" borderId="32" xfId="0" applyNumberFormat="1" applyBorder="1"/>
    <xf numFmtId="41" fontId="0" fillId="0" borderId="0" xfId="0" applyNumberFormat="1"/>
    <xf numFmtId="0" fontId="7" fillId="34" borderId="0" xfId="0" applyFont="1" applyFill="1"/>
    <xf numFmtId="3" fontId="38" fillId="34" borderId="0" xfId="0" applyNumberFormat="1" applyFont="1" applyFill="1" applyAlignment="1">
      <alignment horizontal="left"/>
    </xf>
    <xf numFmtId="3" fontId="38" fillId="34" borderId="0" xfId="0" applyNumberFormat="1" applyFont="1" applyFill="1" applyAlignment="1" applyProtection="1">
      <alignment horizontal="right"/>
      <protection hidden="1"/>
    </xf>
    <xf numFmtId="41" fontId="7" fillId="34" borderId="0" xfId="0" applyNumberFormat="1" applyFont="1" applyFill="1"/>
    <xf numFmtId="3" fontId="7" fillId="34" borderId="0" xfId="0" applyNumberFormat="1" applyFont="1" applyFill="1"/>
    <xf numFmtId="3" fontId="38" fillId="34" borderId="0" xfId="0" applyNumberFormat="1" applyFont="1" applyFill="1" applyAlignment="1">
      <alignment horizontal="right"/>
    </xf>
    <xf numFmtId="38" fontId="38" fillId="34" borderId="0" xfId="0" applyNumberFormat="1" applyFont="1" applyFill="1" applyAlignment="1">
      <alignment horizontal="left"/>
    </xf>
    <xf numFmtId="38" fontId="38" fillId="34" borderId="0" xfId="0" applyNumberFormat="1" applyFont="1" applyFill="1" applyAlignment="1">
      <alignment horizontal="right"/>
    </xf>
    <xf numFmtId="38" fontId="7" fillId="34" borderId="0" xfId="0" applyNumberFormat="1" applyFont="1" applyFill="1"/>
    <xf numFmtId="40" fontId="7" fillId="34" borderId="0" xfId="0" applyNumberFormat="1" applyFont="1" applyFill="1"/>
    <xf numFmtId="40" fontId="38" fillId="34" borderId="0" xfId="0" applyNumberFormat="1" applyFont="1" applyFill="1" applyAlignment="1">
      <alignment horizontal="right"/>
    </xf>
    <xf numFmtId="0" fontId="38" fillId="34" borderId="0" xfId="0" applyFont="1" applyFill="1" applyAlignment="1">
      <alignment horizontal="left"/>
    </xf>
    <xf numFmtId="0" fontId="38" fillId="34" borderId="0" xfId="0" applyFont="1" applyFill="1" applyAlignment="1">
      <alignment horizontal="right"/>
    </xf>
    <xf numFmtId="164" fontId="3" fillId="0" borderId="0" xfId="1" applyNumberFormat="1" applyFont="1" applyFill="1"/>
    <xf numFmtId="17" fontId="4" fillId="0" borderId="3" xfId="3" applyNumberFormat="1" applyFont="1" applyFill="1" applyBorder="1" applyAlignment="1">
      <alignment horizontal="center" wrapText="1"/>
    </xf>
    <xf numFmtId="17" fontId="4" fillId="0" borderId="12" xfId="3" applyNumberFormat="1" applyFont="1" applyFill="1" applyBorder="1" applyAlignment="1">
      <alignment horizontal="center" wrapText="1"/>
    </xf>
    <xf numFmtId="0" fontId="6" fillId="0" borderId="0" xfId="0" applyFont="1" applyFill="1"/>
    <xf numFmtId="17" fontId="6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164" fontId="3" fillId="0" borderId="0" xfId="1" applyNumberFormat="1" applyFont="1" applyFill="1" applyAlignment="1">
      <alignment horizontal="center" vertical="center"/>
    </xf>
    <xf numFmtId="44" fontId="3" fillId="0" borderId="0" xfId="1" applyFont="1" applyFill="1"/>
    <xf numFmtId="0" fontId="3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3" fillId="0" borderId="0" xfId="464" applyFont="1" applyFill="1"/>
    <xf numFmtId="165" fontId="3" fillId="0" borderId="0" xfId="464" applyNumberFormat="1" applyFont="1" applyFill="1"/>
    <xf numFmtId="9" fontId="3" fillId="0" borderId="0" xfId="464" applyNumberFormat="1" applyFont="1" applyFill="1"/>
    <xf numFmtId="0" fontId="3" fillId="0" borderId="0" xfId="6" applyFont="1" applyFill="1"/>
    <xf numFmtId="0" fontId="10" fillId="0" borderId="0" xfId="507" applyFont="1" applyFill="1" applyAlignment="1"/>
    <xf numFmtId="17" fontId="6" fillId="0" borderId="30" xfId="0" applyNumberFormat="1" applyFont="1" applyFill="1" applyBorder="1" applyAlignment="1">
      <alignment horizontal="center"/>
    </xf>
    <xf numFmtId="17" fontId="6" fillId="0" borderId="3" xfId="0" applyNumberFormat="1" applyFont="1" applyFill="1" applyBorder="1" applyAlignment="1">
      <alignment horizontal="center"/>
    </xf>
    <xf numFmtId="164" fontId="10" fillId="25" borderId="11" xfId="1" applyNumberFormat="1" applyFont="1" applyFill="1" applyBorder="1"/>
    <xf numFmtId="164" fontId="10" fillId="0" borderId="3" xfId="1" applyNumberFormat="1" applyFont="1" applyFill="1" applyBorder="1"/>
    <xf numFmtId="164" fontId="10" fillId="0" borderId="5" xfId="1" applyNumberFormat="1" applyFont="1" applyFill="1" applyBorder="1"/>
    <xf numFmtId="164" fontId="10" fillId="0" borderId="2" xfId="1" applyNumberFormat="1" applyFont="1" applyFill="1" applyBorder="1"/>
    <xf numFmtId="164" fontId="10" fillId="0" borderId="12" xfId="1" applyNumberFormat="1" applyFont="1" applyFill="1" applyBorder="1"/>
    <xf numFmtId="164" fontId="13" fillId="0" borderId="3" xfId="1" applyNumberFormat="1" applyFont="1" applyFill="1" applyBorder="1"/>
    <xf numFmtId="164" fontId="10" fillId="0" borderId="0" xfId="1" applyNumberFormat="1" applyFont="1" applyFill="1" applyBorder="1"/>
    <xf numFmtId="164" fontId="10" fillId="0" borderId="13" xfId="1" applyNumberFormat="1" applyFont="1" applyFill="1" applyBorder="1"/>
    <xf numFmtId="164" fontId="10" fillId="0" borderId="11" xfId="1" applyNumberFormat="1" applyFont="1" applyFill="1" applyBorder="1"/>
    <xf numFmtId="164" fontId="10" fillId="0" borderId="10" xfId="1" applyNumberFormat="1" applyFont="1" applyFill="1" applyBorder="1"/>
    <xf numFmtId="164" fontId="10" fillId="0" borderId="27" xfId="1" applyNumberFormat="1" applyFont="1" applyFill="1" applyBorder="1"/>
    <xf numFmtId="164" fontId="13" fillId="0" borderId="28" xfId="1" applyNumberFormat="1" applyFont="1" applyFill="1" applyBorder="1"/>
    <xf numFmtId="164" fontId="13" fillId="0" borderId="0" xfId="1" applyNumberFormat="1" applyFont="1" applyFill="1"/>
    <xf numFmtId="166" fontId="13" fillId="0" borderId="2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167" fontId="13" fillId="0" borderId="0" xfId="9" applyNumberFormat="1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167" fontId="13" fillId="0" borderId="0" xfId="9" quotePrefix="1" applyNumberFormat="1" applyFont="1" applyFill="1" applyAlignment="1">
      <alignment horizontal="center"/>
    </xf>
    <xf numFmtId="167" fontId="8" fillId="0" borderId="0" xfId="9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7" fontId="3" fillId="0" borderId="0" xfId="0" quotePrefix="1" applyNumberFormat="1" applyFont="1" applyFill="1" applyAlignment="1">
      <alignment horizontal="center"/>
    </xf>
    <xf numFmtId="164" fontId="3" fillId="0" borderId="44" xfId="1" applyNumberFormat="1" applyFont="1" applyFill="1" applyBorder="1"/>
    <xf numFmtId="164" fontId="3" fillId="0" borderId="7" xfId="3" applyNumberFormat="1" applyFont="1" applyFill="1" applyBorder="1"/>
    <xf numFmtId="170" fontId="10" fillId="0" borderId="0" xfId="9" applyNumberFormat="1" applyFont="1"/>
    <xf numFmtId="49" fontId="13" fillId="0" borderId="0" xfId="9" applyNumberFormat="1" applyFont="1" applyFill="1" applyAlignment="1">
      <alignment horizontal="center"/>
    </xf>
    <xf numFmtId="0" fontId="13" fillId="0" borderId="0" xfId="507" applyFont="1" applyAlignment="1">
      <alignment horizontal="center"/>
    </xf>
    <xf numFmtId="49" fontId="13" fillId="0" borderId="0" xfId="507" applyNumberFormat="1" applyFont="1" applyFill="1" applyAlignment="1">
      <alignment horizontal="center"/>
    </xf>
    <xf numFmtId="0" fontId="3" fillId="35" borderId="4" xfId="3" applyFont="1" applyFill="1" applyBorder="1"/>
    <xf numFmtId="0" fontId="3" fillId="35" borderId="0" xfId="3" applyFont="1" applyFill="1" applyBorder="1"/>
    <xf numFmtId="164" fontId="3" fillId="35" borderId="5" xfId="3" applyNumberFormat="1" applyFont="1" applyFill="1" applyBorder="1"/>
    <xf numFmtId="10" fontId="8" fillId="25" borderId="13" xfId="450" applyNumberFormat="1" applyFont="1" applyFill="1" applyBorder="1" applyAlignment="1">
      <alignment horizontal="right" wrapText="1"/>
    </xf>
    <xf numFmtId="10" fontId="5" fillId="0" borderId="0" xfId="5" applyNumberFormat="1" applyFont="1" applyFill="1" applyBorder="1"/>
    <xf numFmtId="0" fontId="51" fillId="35" borderId="0" xfId="0" applyFont="1" applyFill="1"/>
    <xf numFmtId="166" fontId="3" fillId="25" borderId="0" xfId="2" applyNumberFormat="1" applyFont="1" applyFill="1"/>
    <xf numFmtId="166" fontId="3" fillId="25" borderId="0" xfId="0" applyNumberFormat="1" applyFont="1" applyFill="1"/>
    <xf numFmtId="10" fontId="12" fillId="25" borderId="13" xfId="450" applyNumberFormat="1" applyFill="1" applyBorder="1"/>
    <xf numFmtId="176" fontId="12" fillId="25" borderId="0" xfId="450" applyNumberFormat="1" applyFill="1" applyAlignment="1">
      <alignment horizontal="right"/>
    </xf>
    <xf numFmtId="10" fontId="38" fillId="0" borderId="0" xfId="450" applyNumberFormat="1" applyFont="1" applyFill="1" applyBorder="1"/>
    <xf numFmtId="10" fontId="48" fillId="0" borderId="0" xfId="450" applyNumberFormat="1" applyFont="1" applyFill="1" applyBorder="1"/>
    <xf numFmtId="164" fontId="10" fillId="0" borderId="0" xfId="9" applyNumberFormat="1" applyFont="1"/>
    <xf numFmtId="49" fontId="13" fillId="0" borderId="0" xfId="9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926">
    <cellStyle name="20% - Accent1 2" xfId="10" xr:uid="{00000000-0005-0000-0000-000000000000}"/>
    <cellStyle name="20% - Accent2 2" xfId="11" xr:uid="{00000000-0005-0000-0000-000001000000}"/>
    <cellStyle name="20% - Accent3 2" xfId="12" xr:uid="{00000000-0005-0000-0000-000002000000}"/>
    <cellStyle name="20% - Accent4 2" xfId="13" xr:uid="{00000000-0005-0000-0000-000003000000}"/>
    <cellStyle name="20% - Accent5 2" xfId="14" xr:uid="{00000000-0005-0000-0000-000004000000}"/>
    <cellStyle name="20% - Accent6 2" xfId="15" xr:uid="{00000000-0005-0000-0000-000005000000}"/>
    <cellStyle name="40% - Accent1 2" xfId="16" xr:uid="{00000000-0005-0000-0000-000006000000}"/>
    <cellStyle name="40% - Accent2 2" xfId="17" xr:uid="{00000000-0005-0000-0000-000007000000}"/>
    <cellStyle name="40% - Accent3 2" xfId="18" xr:uid="{00000000-0005-0000-0000-000008000000}"/>
    <cellStyle name="40% - Accent4 2" xfId="19" xr:uid="{00000000-0005-0000-0000-000009000000}"/>
    <cellStyle name="40% - Accent5 2" xfId="20" xr:uid="{00000000-0005-0000-0000-00000A000000}"/>
    <cellStyle name="40% - Accent6 2" xfId="21" xr:uid="{00000000-0005-0000-0000-00000B000000}"/>
    <cellStyle name="60% - Accent1 2" xfId="22" xr:uid="{00000000-0005-0000-0000-00000C000000}"/>
    <cellStyle name="60% - Accent2 2" xfId="23" xr:uid="{00000000-0005-0000-0000-00000D000000}"/>
    <cellStyle name="60% - Accent3 2" xfId="24" xr:uid="{00000000-0005-0000-0000-00000E000000}"/>
    <cellStyle name="60% - Accent4 2" xfId="25" xr:uid="{00000000-0005-0000-0000-00000F000000}"/>
    <cellStyle name="60% - Accent5 2" xfId="26" xr:uid="{00000000-0005-0000-0000-000010000000}"/>
    <cellStyle name="60% - Accent6 2" xfId="27" xr:uid="{00000000-0005-0000-0000-000011000000}"/>
    <cellStyle name="Accent1 2" xfId="28" xr:uid="{00000000-0005-0000-0000-000012000000}"/>
    <cellStyle name="Accent2 2" xfId="29" xr:uid="{00000000-0005-0000-0000-000013000000}"/>
    <cellStyle name="Accent3 2" xfId="30" xr:uid="{00000000-0005-0000-0000-000014000000}"/>
    <cellStyle name="Accent4 2" xfId="31" xr:uid="{00000000-0005-0000-0000-000015000000}"/>
    <cellStyle name="Accent5 2" xfId="32" xr:uid="{00000000-0005-0000-0000-000016000000}"/>
    <cellStyle name="Accent6 2" xfId="33" xr:uid="{00000000-0005-0000-0000-000017000000}"/>
    <cellStyle name="Bad 2" xfId="34" xr:uid="{00000000-0005-0000-0000-000018000000}"/>
    <cellStyle name="Calculation 2" xfId="35" xr:uid="{00000000-0005-0000-0000-000019000000}"/>
    <cellStyle name="Check Cell 2" xfId="36" xr:uid="{00000000-0005-0000-0000-00001A000000}"/>
    <cellStyle name="Comma" xfId="8" builtinId="3"/>
    <cellStyle name="Comma 10" xfId="38" xr:uid="{00000000-0005-0000-0000-00001C000000}"/>
    <cellStyle name="Comma 10 2" xfId="39" xr:uid="{00000000-0005-0000-0000-00001D000000}"/>
    <cellStyle name="Comma 10 3" xfId="40" xr:uid="{00000000-0005-0000-0000-00001E000000}"/>
    <cellStyle name="Comma 10 3 2" xfId="41" xr:uid="{00000000-0005-0000-0000-00001F000000}"/>
    <cellStyle name="Comma 10 3 3" xfId="42" xr:uid="{00000000-0005-0000-0000-000020000000}"/>
    <cellStyle name="Comma 10 4" xfId="43" xr:uid="{00000000-0005-0000-0000-000021000000}"/>
    <cellStyle name="Comma 10 4 2" xfId="44" xr:uid="{00000000-0005-0000-0000-000022000000}"/>
    <cellStyle name="Comma 10 4 3" xfId="45" xr:uid="{00000000-0005-0000-0000-000023000000}"/>
    <cellStyle name="Comma 10 4 4" xfId="46" xr:uid="{00000000-0005-0000-0000-000024000000}"/>
    <cellStyle name="Comma 10 5" xfId="47" xr:uid="{00000000-0005-0000-0000-000025000000}"/>
    <cellStyle name="Comma 10 5 2" xfId="48" xr:uid="{00000000-0005-0000-0000-000026000000}"/>
    <cellStyle name="Comma 10 5 2 2" xfId="49" xr:uid="{00000000-0005-0000-0000-000027000000}"/>
    <cellStyle name="Comma 10 5 2 3" xfId="50" xr:uid="{00000000-0005-0000-0000-000028000000}"/>
    <cellStyle name="Comma 10 5 2 3 2" xfId="51" xr:uid="{00000000-0005-0000-0000-000029000000}"/>
    <cellStyle name="Comma 10 5 3" xfId="52" xr:uid="{00000000-0005-0000-0000-00002A000000}"/>
    <cellStyle name="Comma 10 6" xfId="53" xr:uid="{00000000-0005-0000-0000-00002B000000}"/>
    <cellStyle name="Comma 10 6 2" xfId="54" xr:uid="{00000000-0005-0000-0000-00002C000000}"/>
    <cellStyle name="Comma 10 6 3" xfId="55" xr:uid="{00000000-0005-0000-0000-00002D000000}"/>
    <cellStyle name="Comma 10 6 3 2" xfId="56" xr:uid="{00000000-0005-0000-0000-00002E000000}"/>
    <cellStyle name="Comma 10 7" xfId="57" xr:uid="{00000000-0005-0000-0000-00002F000000}"/>
    <cellStyle name="Comma 10 8" xfId="58" xr:uid="{00000000-0005-0000-0000-000030000000}"/>
    <cellStyle name="Comma 10 8 2" xfId="59" xr:uid="{00000000-0005-0000-0000-000031000000}"/>
    <cellStyle name="Comma 11" xfId="60" xr:uid="{00000000-0005-0000-0000-000032000000}"/>
    <cellStyle name="Comma 11 10" xfId="61" xr:uid="{00000000-0005-0000-0000-000033000000}"/>
    <cellStyle name="Comma 11 11" xfId="62" xr:uid="{00000000-0005-0000-0000-000034000000}"/>
    <cellStyle name="Comma 11 11 2" xfId="63" xr:uid="{00000000-0005-0000-0000-000035000000}"/>
    <cellStyle name="Comma 11 11 2 2" xfId="64" xr:uid="{00000000-0005-0000-0000-000036000000}"/>
    <cellStyle name="Comma 11 11 2 3" xfId="65" xr:uid="{00000000-0005-0000-0000-000037000000}"/>
    <cellStyle name="Comma 11 11 2 3 2" xfId="66" xr:uid="{00000000-0005-0000-0000-000038000000}"/>
    <cellStyle name="Comma 11 12" xfId="67" xr:uid="{00000000-0005-0000-0000-000039000000}"/>
    <cellStyle name="Comma 11 13" xfId="68" xr:uid="{00000000-0005-0000-0000-00003A000000}"/>
    <cellStyle name="Comma 11 13 2" xfId="69" xr:uid="{00000000-0005-0000-0000-00003B000000}"/>
    <cellStyle name="Comma 11 13 2 2" xfId="70" xr:uid="{00000000-0005-0000-0000-00003C000000}"/>
    <cellStyle name="Comma 11 13 2 3" xfId="71" xr:uid="{00000000-0005-0000-0000-00003D000000}"/>
    <cellStyle name="Comma 11 13 2 3 2" xfId="72" xr:uid="{00000000-0005-0000-0000-00003E000000}"/>
    <cellStyle name="Comma 11 2" xfId="73" xr:uid="{00000000-0005-0000-0000-00003F000000}"/>
    <cellStyle name="Comma 11 3" xfId="74" xr:uid="{00000000-0005-0000-0000-000040000000}"/>
    <cellStyle name="Comma 11 4" xfId="75" xr:uid="{00000000-0005-0000-0000-000041000000}"/>
    <cellStyle name="Comma 11 5" xfId="76" xr:uid="{00000000-0005-0000-0000-000042000000}"/>
    <cellStyle name="Comma 11 6" xfId="77" xr:uid="{00000000-0005-0000-0000-000043000000}"/>
    <cellStyle name="Comma 11 7" xfId="78" xr:uid="{00000000-0005-0000-0000-000044000000}"/>
    <cellStyle name="Comma 11 7 2" xfId="79" xr:uid="{00000000-0005-0000-0000-000045000000}"/>
    <cellStyle name="Comma 11 7 2 2" xfId="80" xr:uid="{00000000-0005-0000-0000-000046000000}"/>
    <cellStyle name="Comma 11 7 2 3" xfId="81" xr:uid="{00000000-0005-0000-0000-000047000000}"/>
    <cellStyle name="Comma 11 8" xfId="82" xr:uid="{00000000-0005-0000-0000-000048000000}"/>
    <cellStyle name="Comma 11 9" xfId="83" xr:uid="{00000000-0005-0000-0000-000049000000}"/>
    <cellStyle name="Comma 12" xfId="84" xr:uid="{00000000-0005-0000-0000-00004A000000}"/>
    <cellStyle name="Comma 12 10" xfId="85" xr:uid="{00000000-0005-0000-0000-00004B000000}"/>
    <cellStyle name="Comma 12 10 2" xfId="86" xr:uid="{00000000-0005-0000-0000-00004C000000}"/>
    <cellStyle name="Comma 12 10 2 2" xfId="87" xr:uid="{00000000-0005-0000-0000-00004D000000}"/>
    <cellStyle name="Comma 12 10 2 3" xfId="88" xr:uid="{00000000-0005-0000-0000-00004E000000}"/>
    <cellStyle name="Comma 12 10 2 3 2" xfId="89" xr:uid="{00000000-0005-0000-0000-00004F000000}"/>
    <cellStyle name="Comma 12 11" xfId="90" xr:uid="{00000000-0005-0000-0000-000050000000}"/>
    <cellStyle name="Comma 12 12" xfId="91" xr:uid="{00000000-0005-0000-0000-000051000000}"/>
    <cellStyle name="Comma 12 12 2" xfId="92" xr:uid="{00000000-0005-0000-0000-000052000000}"/>
    <cellStyle name="Comma 12 12 2 2" xfId="93" xr:uid="{00000000-0005-0000-0000-000053000000}"/>
    <cellStyle name="Comma 12 12 2 3" xfId="94" xr:uid="{00000000-0005-0000-0000-000054000000}"/>
    <cellStyle name="Comma 12 12 2 3 2" xfId="95" xr:uid="{00000000-0005-0000-0000-000055000000}"/>
    <cellStyle name="Comma 12 2" xfId="96" xr:uid="{00000000-0005-0000-0000-000056000000}"/>
    <cellStyle name="Comma 12 3" xfId="97" xr:uid="{00000000-0005-0000-0000-000057000000}"/>
    <cellStyle name="Comma 12 4" xfId="98" xr:uid="{00000000-0005-0000-0000-000058000000}"/>
    <cellStyle name="Comma 12 5" xfId="99" xr:uid="{00000000-0005-0000-0000-000059000000}"/>
    <cellStyle name="Comma 12 6" xfId="100" xr:uid="{00000000-0005-0000-0000-00005A000000}"/>
    <cellStyle name="Comma 12 6 2" xfId="101" xr:uid="{00000000-0005-0000-0000-00005B000000}"/>
    <cellStyle name="Comma 12 6 2 2" xfId="102" xr:uid="{00000000-0005-0000-0000-00005C000000}"/>
    <cellStyle name="Comma 12 6 2 3" xfId="103" xr:uid="{00000000-0005-0000-0000-00005D000000}"/>
    <cellStyle name="Comma 12 7" xfId="104" xr:uid="{00000000-0005-0000-0000-00005E000000}"/>
    <cellStyle name="Comma 12 8" xfId="105" xr:uid="{00000000-0005-0000-0000-00005F000000}"/>
    <cellStyle name="Comma 12 9" xfId="106" xr:uid="{00000000-0005-0000-0000-000060000000}"/>
    <cellStyle name="Comma 13" xfId="107" xr:uid="{00000000-0005-0000-0000-000061000000}"/>
    <cellStyle name="Comma 13 2" xfId="108" xr:uid="{00000000-0005-0000-0000-000062000000}"/>
    <cellStyle name="Comma 13 3" xfId="109" xr:uid="{00000000-0005-0000-0000-000063000000}"/>
    <cellStyle name="Comma 13 4" xfId="110" xr:uid="{00000000-0005-0000-0000-000064000000}"/>
    <cellStyle name="Comma 13 5" xfId="111" xr:uid="{00000000-0005-0000-0000-000065000000}"/>
    <cellStyle name="Comma 13 6" xfId="112" xr:uid="{00000000-0005-0000-0000-000066000000}"/>
    <cellStyle name="Comma 14" xfId="113" xr:uid="{00000000-0005-0000-0000-000067000000}"/>
    <cellStyle name="Comma 14 2" xfId="114" xr:uid="{00000000-0005-0000-0000-000068000000}"/>
    <cellStyle name="Comma 14 3" xfId="115" xr:uid="{00000000-0005-0000-0000-000069000000}"/>
    <cellStyle name="Comma 14 4" xfId="116" xr:uid="{00000000-0005-0000-0000-00006A000000}"/>
    <cellStyle name="Comma 14 5" xfId="117" xr:uid="{00000000-0005-0000-0000-00006B000000}"/>
    <cellStyle name="Comma 15" xfId="118" xr:uid="{00000000-0005-0000-0000-00006C000000}"/>
    <cellStyle name="Comma 15 2" xfId="119" xr:uid="{00000000-0005-0000-0000-00006D000000}"/>
    <cellStyle name="Comma 15 3" xfId="120" xr:uid="{00000000-0005-0000-0000-00006E000000}"/>
    <cellStyle name="Comma 15 4" xfId="121" xr:uid="{00000000-0005-0000-0000-00006F000000}"/>
    <cellStyle name="Comma 15 5" xfId="122" xr:uid="{00000000-0005-0000-0000-000070000000}"/>
    <cellStyle name="Comma 16" xfId="123" xr:uid="{00000000-0005-0000-0000-000071000000}"/>
    <cellStyle name="Comma 16 2" xfId="124" xr:uid="{00000000-0005-0000-0000-000072000000}"/>
    <cellStyle name="Comma 16 3" xfId="125" xr:uid="{00000000-0005-0000-0000-000073000000}"/>
    <cellStyle name="Comma 16 3 2" xfId="126" xr:uid="{00000000-0005-0000-0000-000074000000}"/>
    <cellStyle name="Comma 16 3 3" xfId="127" xr:uid="{00000000-0005-0000-0000-000075000000}"/>
    <cellStyle name="Comma 16 3 3 2" xfId="128" xr:uid="{00000000-0005-0000-0000-000076000000}"/>
    <cellStyle name="Comma 17" xfId="129" xr:uid="{00000000-0005-0000-0000-000077000000}"/>
    <cellStyle name="Comma 17 2" xfId="130" xr:uid="{00000000-0005-0000-0000-000078000000}"/>
    <cellStyle name="Comma 17 3" xfId="131" xr:uid="{00000000-0005-0000-0000-000079000000}"/>
    <cellStyle name="Comma 17 3 2" xfId="132" xr:uid="{00000000-0005-0000-0000-00007A000000}"/>
    <cellStyle name="Comma 18" xfId="133" xr:uid="{00000000-0005-0000-0000-00007B000000}"/>
    <cellStyle name="Comma 18 2" xfId="134" xr:uid="{00000000-0005-0000-0000-00007C000000}"/>
    <cellStyle name="Comma 18 3" xfId="135" xr:uid="{00000000-0005-0000-0000-00007D000000}"/>
    <cellStyle name="Comma 18 3 2" xfId="136" xr:uid="{00000000-0005-0000-0000-00007E000000}"/>
    <cellStyle name="Comma 19" xfId="137" xr:uid="{00000000-0005-0000-0000-00007F000000}"/>
    <cellStyle name="Comma 19 2" xfId="138" xr:uid="{00000000-0005-0000-0000-000080000000}"/>
    <cellStyle name="Comma 19 3" xfId="139" xr:uid="{00000000-0005-0000-0000-000081000000}"/>
    <cellStyle name="Comma 19 3 2" xfId="140" xr:uid="{00000000-0005-0000-0000-000082000000}"/>
    <cellStyle name="Comma 2" xfId="141" xr:uid="{00000000-0005-0000-0000-000083000000}"/>
    <cellStyle name="Comma 2 2" xfId="142" xr:uid="{00000000-0005-0000-0000-000084000000}"/>
    <cellStyle name="Comma 2 2 2" xfId="143" xr:uid="{00000000-0005-0000-0000-000085000000}"/>
    <cellStyle name="Comma 2 2 3" xfId="144" xr:uid="{00000000-0005-0000-0000-000086000000}"/>
    <cellStyle name="Comma 2 2 4" xfId="145" xr:uid="{00000000-0005-0000-0000-000087000000}"/>
    <cellStyle name="Comma 2 2 5" xfId="146" xr:uid="{00000000-0005-0000-0000-000088000000}"/>
    <cellStyle name="Comma 2 2 6" xfId="147" xr:uid="{00000000-0005-0000-0000-000089000000}"/>
    <cellStyle name="Comma 2 2 6 2" xfId="148" xr:uid="{00000000-0005-0000-0000-00008A000000}"/>
    <cellStyle name="Comma 2 2 7" xfId="149" xr:uid="{00000000-0005-0000-0000-00008B000000}"/>
    <cellStyle name="Comma 2 2 8" xfId="150" xr:uid="{00000000-0005-0000-0000-00008C000000}"/>
    <cellStyle name="Comma 2 2 9" xfId="151" xr:uid="{00000000-0005-0000-0000-00008D000000}"/>
    <cellStyle name="Comma 2 3" xfId="152" xr:uid="{00000000-0005-0000-0000-00008E000000}"/>
    <cellStyle name="Comma 2 3 2" xfId="153" xr:uid="{00000000-0005-0000-0000-00008F000000}"/>
    <cellStyle name="Comma 2 3 3" xfId="154" xr:uid="{00000000-0005-0000-0000-000090000000}"/>
    <cellStyle name="Comma 2 3 4" xfId="155" xr:uid="{00000000-0005-0000-0000-000091000000}"/>
    <cellStyle name="Comma 2 3 4 2" xfId="156" xr:uid="{00000000-0005-0000-0000-000092000000}"/>
    <cellStyle name="Comma 2 3 4 2 2" xfId="157" xr:uid="{00000000-0005-0000-0000-000093000000}"/>
    <cellStyle name="Comma 2 3 4 3" xfId="158" xr:uid="{00000000-0005-0000-0000-000094000000}"/>
    <cellStyle name="Comma 2 3 4 4" xfId="159" xr:uid="{00000000-0005-0000-0000-000095000000}"/>
    <cellStyle name="Comma 2 3 4 5" xfId="160" xr:uid="{00000000-0005-0000-0000-000096000000}"/>
    <cellStyle name="Comma 2 3 4 5 2" xfId="161" xr:uid="{00000000-0005-0000-0000-000097000000}"/>
    <cellStyle name="Comma 2 3 5" xfId="162" xr:uid="{00000000-0005-0000-0000-000098000000}"/>
    <cellStyle name="Comma 2 4" xfId="163" xr:uid="{00000000-0005-0000-0000-000099000000}"/>
    <cellStyle name="Comma 2 5" xfId="164" xr:uid="{00000000-0005-0000-0000-00009A000000}"/>
    <cellStyle name="Comma 20" xfId="165" xr:uid="{00000000-0005-0000-0000-00009B000000}"/>
    <cellStyle name="Comma 20 2" xfId="166" xr:uid="{00000000-0005-0000-0000-00009C000000}"/>
    <cellStyle name="Comma 20 3" xfId="167" xr:uid="{00000000-0005-0000-0000-00009D000000}"/>
    <cellStyle name="Comma 20 3 2" xfId="168" xr:uid="{00000000-0005-0000-0000-00009E000000}"/>
    <cellStyle name="Comma 21" xfId="169" xr:uid="{00000000-0005-0000-0000-00009F000000}"/>
    <cellStyle name="Comma 21 2" xfId="170" xr:uid="{00000000-0005-0000-0000-0000A0000000}"/>
    <cellStyle name="Comma 21 3" xfId="171" xr:uid="{00000000-0005-0000-0000-0000A1000000}"/>
    <cellStyle name="Comma 21 3 2" xfId="172" xr:uid="{00000000-0005-0000-0000-0000A2000000}"/>
    <cellStyle name="Comma 22" xfId="173" xr:uid="{00000000-0005-0000-0000-0000A3000000}"/>
    <cellStyle name="Comma 22 2" xfId="174" xr:uid="{00000000-0005-0000-0000-0000A4000000}"/>
    <cellStyle name="Comma 22 3" xfId="175" xr:uid="{00000000-0005-0000-0000-0000A5000000}"/>
    <cellStyle name="Comma 22 3 2" xfId="176" xr:uid="{00000000-0005-0000-0000-0000A6000000}"/>
    <cellStyle name="Comma 23" xfId="177" xr:uid="{00000000-0005-0000-0000-0000A7000000}"/>
    <cellStyle name="Comma 23 2" xfId="178" xr:uid="{00000000-0005-0000-0000-0000A8000000}"/>
    <cellStyle name="Comma 23 3" xfId="179" xr:uid="{00000000-0005-0000-0000-0000A9000000}"/>
    <cellStyle name="Comma 23 3 2" xfId="180" xr:uid="{00000000-0005-0000-0000-0000AA000000}"/>
    <cellStyle name="Comma 24" xfId="181" xr:uid="{00000000-0005-0000-0000-0000AB000000}"/>
    <cellStyle name="Comma 24 2" xfId="182" xr:uid="{00000000-0005-0000-0000-0000AC000000}"/>
    <cellStyle name="Comma 24 3" xfId="183" xr:uid="{00000000-0005-0000-0000-0000AD000000}"/>
    <cellStyle name="Comma 24 3 2" xfId="184" xr:uid="{00000000-0005-0000-0000-0000AE000000}"/>
    <cellStyle name="Comma 25" xfId="185" xr:uid="{00000000-0005-0000-0000-0000AF000000}"/>
    <cellStyle name="Comma 25 2" xfId="186" xr:uid="{00000000-0005-0000-0000-0000B0000000}"/>
    <cellStyle name="Comma 25 3" xfId="187" xr:uid="{00000000-0005-0000-0000-0000B1000000}"/>
    <cellStyle name="Comma 25 3 2" xfId="188" xr:uid="{00000000-0005-0000-0000-0000B2000000}"/>
    <cellStyle name="Comma 26" xfId="189" xr:uid="{00000000-0005-0000-0000-0000B3000000}"/>
    <cellStyle name="Comma 26 2" xfId="190" xr:uid="{00000000-0005-0000-0000-0000B4000000}"/>
    <cellStyle name="Comma 26 3" xfId="191" xr:uid="{00000000-0005-0000-0000-0000B5000000}"/>
    <cellStyle name="Comma 26 3 2" xfId="192" xr:uid="{00000000-0005-0000-0000-0000B6000000}"/>
    <cellStyle name="Comma 27" xfId="193" xr:uid="{00000000-0005-0000-0000-0000B7000000}"/>
    <cellStyle name="Comma 27 2" xfId="194" xr:uid="{00000000-0005-0000-0000-0000B8000000}"/>
    <cellStyle name="Comma 27 3" xfId="195" xr:uid="{00000000-0005-0000-0000-0000B9000000}"/>
    <cellStyle name="Comma 27 3 2" xfId="196" xr:uid="{00000000-0005-0000-0000-0000BA000000}"/>
    <cellStyle name="Comma 28" xfId="197" xr:uid="{00000000-0005-0000-0000-0000BB000000}"/>
    <cellStyle name="Comma 28 2" xfId="198" xr:uid="{00000000-0005-0000-0000-0000BC000000}"/>
    <cellStyle name="Comma 29" xfId="199" xr:uid="{00000000-0005-0000-0000-0000BD000000}"/>
    <cellStyle name="Comma 29 2" xfId="200" xr:uid="{00000000-0005-0000-0000-0000BE000000}"/>
    <cellStyle name="Comma 3" xfId="201" xr:uid="{00000000-0005-0000-0000-0000BF000000}"/>
    <cellStyle name="Comma 3 2" xfId="202" xr:uid="{00000000-0005-0000-0000-0000C0000000}"/>
    <cellStyle name="Comma 3 3" xfId="203" xr:uid="{00000000-0005-0000-0000-0000C1000000}"/>
    <cellStyle name="Comma 3 3 2" xfId="204" xr:uid="{00000000-0005-0000-0000-0000C2000000}"/>
    <cellStyle name="Comma 3 3 2 2" xfId="205" xr:uid="{00000000-0005-0000-0000-0000C3000000}"/>
    <cellStyle name="Comma 3 3 3" xfId="206" xr:uid="{00000000-0005-0000-0000-0000C4000000}"/>
    <cellStyle name="Comma 3 3 4" xfId="207" xr:uid="{00000000-0005-0000-0000-0000C5000000}"/>
    <cellStyle name="Comma 3 3 5" xfId="208" xr:uid="{00000000-0005-0000-0000-0000C6000000}"/>
    <cellStyle name="Comma 3 4" xfId="209" xr:uid="{00000000-0005-0000-0000-0000C7000000}"/>
    <cellStyle name="Comma 3 5" xfId="210" xr:uid="{00000000-0005-0000-0000-0000C8000000}"/>
    <cellStyle name="Comma 3 5 2" xfId="211" xr:uid="{00000000-0005-0000-0000-0000C9000000}"/>
    <cellStyle name="Comma 3 6" xfId="212" xr:uid="{00000000-0005-0000-0000-0000CA000000}"/>
    <cellStyle name="Comma 3 7" xfId="213" xr:uid="{00000000-0005-0000-0000-0000CB000000}"/>
    <cellStyle name="Comma 3 8" xfId="214" xr:uid="{00000000-0005-0000-0000-0000CC000000}"/>
    <cellStyle name="Comma 30" xfId="215" xr:uid="{00000000-0005-0000-0000-0000CD000000}"/>
    <cellStyle name="Comma 31" xfId="216" xr:uid="{00000000-0005-0000-0000-0000CE000000}"/>
    <cellStyle name="Comma 31 2" xfId="217" xr:uid="{00000000-0005-0000-0000-0000CF000000}"/>
    <cellStyle name="Comma 31 3" xfId="218" xr:uid="{00000000-0005-0000-0000-0000D0000000}"/>
    <cellStyle name="Comma 31 3 2" xfId="219" xr:uid="{00000000-0005-0000-0000-0000D1000000}"/>
    <cellStyle name="Comma 32" xfId="220" xr:uid="{00000000-0005-0000-0000-0000D2000000}"/>
    <cellStyle name="Comma 32 2" xfId="221" xr:uid="{00000000-0005-0000-0000-0000D3000000}"/>
    <cellStyle name="Comma 32 2 2" xfId="222" xr:uid="{00000000-0005-0000-0000-0000D4000000}"/>
    <cellStyle name="Comma 32 3" xfId="223" xr:uid="{00000000-0005-0000-0000-0000D5000000}"/>
    <cellStyle name="Comma 32 4" xfId="224" xr:uid="{00000000-0005-0000-0000-0000D6000000}"/>
    <cellStyle name="Comma 32 4 2" xfId="225" xr:uid="{00000000-0005-0000-0000-0000D7000000}"/>
    <cellStyle name="Comma 33" xfId="226" xr:uid="{00000000-0005-0000-0000-0000D8000000}"/>
    <cellStyle name="Comma 33 2" xfId="227" xr:uid="{00000000-0005-0000-0000-0000D9000000}"/>
    <cellStyle name="Comma 33 3" xfId="228" xr:uid="{00000000-0005-0000-0000-0000DA000000}"/>
    <cellStyle name="Comma 33 3 2" xfId="229" xr:uid="{00000000-0005-0000-0000-0000DB000000}"/>
    <cellStyle name="Comma 34" xfId="230" xr:uid="{00000000-0005-0000-0000-0000DC000000}"/>
    <cellStyle name="Comma 35" xfId="231" xr:uid="{00000000-0005-0000-0000-0000DD000000}"/>
    <cellStyle name="Comma 35 2" xfId="232" xr:uid="{00000000-0005-0000-0000-0000DE000000}"/>
    <cellStyle name="Comma 36" xfId="233" xr:uid="{00000000-0005-0000-0000-0000DF000000}"/>
    <cellStyle name="Comma 36 2" xfId="234" xr:uid="{00000000-0005-0000-0000-0000E0000000}"/>
    <cellStyle name="Comma 37" xfId="235" xr:uid="{00000000-0005-0000-0000-0000E1000000}"/>
    <cellStyle name="Comma 37 2" xfId="236" xr:uid="{00000000-0005-0000-0000-0000E2000000}"/>
    <cellStyle name="Comma 38" xfId="237" xr:uid="{00000000-0005-0000-0000-0000E3000000}"/>
    <cellStyle name="Comma 38 2" xfId="238" xr:uid="{00000000-0005-0000-0000-0000E4000000}"/>
    <cellStyle name="Comma 39" xfId="239" xr:uid="{00000000-0005-0000-0000-0000E5000000}"/>
    <cellStyle name="Comma 39 2" xfId="240" xr:uid="{00000000-0005-0000-0000-0000E6000000}"/>
    <cellStyle name="Comma 39 3" xfId="241" xr:uid="{00000000-0005-0000-0000-0000E7000000}"/>
    <cellStyle name="Comma 4" xfId="242" xr:uid="{00000000-0005-0000-0000-0000E8000000}"/>
    <cellStyle name="Comma 4 2" xfId="243" xr:uid="{00000000-0005-0000-0000-0000E9000000}"/>
    <cellStyle name="Comma 4 3" xfId="244" xr:uid="{00000000-0005-0000-0000-0000EA000000}"/>
    <cellStyle name="Comma 4 4" xfId="245" xr:uid="{00000000-0005-0000-0000-0000EB000000}"/>
    <cellStyle name="Comma 4 5" xfId="246" xr:uid="{00000000-0005-0000-0000-0000EC000000}"/>
    <cellStyle name="Comma 40" xfId="247" xr:uid="{00000000-0005-0000-0000-0000ED000000}"/>
    <cellStyle name="Comma 40 2" xfId="248" xr:uid="{00000000-0005-0000-0000-0000EE000000}"/>
    <cellStyle name="Comma 41" xfId="249" xr:uid="{00000000-0005-0000-0000-0000EF000000}"/>
    <cellStyle name="Comma 41 2" xfId="250" xr:uid="{00000000-0005-0000-0000-0000F0000000}"/>
    <cellStyle name="Comma 42" xfId="251" xr:uid="{00000000-0005-0000-0000-0000F1000000}"/>
    <cellStyle name="Comma 43" xfId="252" xr:uid="{00000000-0005-0000-0000-0000F2000000}"/>
    <cellStyle name="Comma 43 2" xfId="253" xr:uid="{00000000-0005-0000-0000-0000F3000000}"/>
    <cellStyle name="Comma 44" xfId="37" xr:uid="{00000000-0005-0000-0000-0000F4000000}"/>
    <cellStyle name="Comma 5" xfId="254" xr:uid="{00000000-0005-0000-0000-0000F5000000}"/>
    <cellStyle name="Comma 5 2" xfId="255" xr:uid="{00000000-0005-0000-0000-0000F6000000}"/>
    <cellStyle name="Comma 5 3" xfId="256" xr:uid="{00000000-0005-0000-0000-0000F7000000}"/>
    <cellStyle name="Comma 5 4" xfId="257" xr:uid="{00000000-0005-0000-0000-0000F8000000}"/>
    <cellStyle name="Comma 5 5" xfId="258" xr:uid="{00000000-0005-0000-0000-0000F9000000}"/>
    <cellStyle name="Comma 5 6" xfId="259" xr:uid="{00000000-0005-0000-0000-0000FA000000}"/>
    <cellStyle name="Comma 6" xfId="260" xr:uid="{00000000-0005-0000-0000-0000FB000000}"/>
    <cellStyle name="Comma 6 2" xfId="261" xr:uid="{00000000-0005-0000-0000-0000FC000000}"/>
    <cellStyle name="Comma 6 3" xfId="262" xr:uid="{00000000-0005-0000-0000-0000FD000000}"/>
    <cellStyle name="Comma 6 4" xfId="263" xr:uid="{00000000-0005-0000-0000-0000FE000000}"/>
    <cellStyle name="Comma 6 4 2" xfId="264" xr:uid="{00000000-0005-0000-0000-0000FF000000}"/>
    <cellStyle name="Comma 6 4 2 2" xfId="265" xr:uid="{00000000-0005-0000-0000-000000010000}"/>
    <cellStyle name="Comma 6 4 3" xfId="266" xr:uid="{00000000-0005-0000-0000-000001010000}"/>
    <cellStyle name="Comma 6 4 4" xfId="267" xr:uid="{00000000-0005-0000-0000-000002010000}"/>
    <cellStyle name="Comma 6 4 5" xfId="268" xr:uid="{00000000-0005-0000-0000-000003010000}"/>
    <cellStyle name="Comma 6 4 5 2" xfId="269" xr:uid="{00000000-0005-0000-0000-000004010000}"/>
    <cellStyle name="Comma 6 5" xfId="270" xr:uid="{00000000-0005-0000-0000-000005010000}"/>
    <cellStyle name="Comma 7" xfId="271" xr:uid="{00000000-0005-0000-0000-000006010000}"/>
    <cellStyle name="Comma 7 2" xfId="272" xr:uid="{00000000-0005-0000-0000-000007010000}"/>
    <cellStyle name="Comma 7 2 2" xfId="273" xr:uid="{00000000-0005-0000-0000-000008010000}"/>
    <cellStyle name="Comma 7 2 2 2" xfId="274" xr:uid="{00000000-0005-0000-0000-000009010000}"/>
    <cellStyle name="Comma 7 2 2 2 2" xfId="275" xr:uid="{00000000-0005-0000-0000-00000A010000}"/>
    <cellStyle name="Comma 7 2 2 3" xfId="276" xr:uid="{00000000-0005-0000-0000-00000B010000}"/>
    <cellStyle name="Comma 7 2 2 3 2" xfId="277" xr:uid="{00000000-0005-0000-0000-00000C010000}"/>
    <cellStyle name="Comma 7 2 2 3 2 2" xfId="278" xr:uid="{00000000-0005-0000-0000-00000D010000}"/>
    <cellStyle name="Comma 7 2 2 3 3" xfId="279" xr:uid="{00000000-0005-0000-0000-00000E010000}"/>
    <cellStyle name="Comma 7 2 2 4" xfId="280" xr:uid="{00000000-0005-0000-0000-00000F010000}"/>
    <cellStyle name="Comma 7 2 3" xfId="281" xr:uid="{00000000-0005-0000-0000-000010010000}"/>
    <cellStyle name="Comma 7 3" xfId="282" xr:uid="{00000000-0005-0000-0000-000011010000}"/>
    <cellStyle name="Comma 7 3 2" xfId="283" xr:uid="{00000000-0005-0000-0000-000012010000}"/>
    <cellStyle name="Comma 7 3 2 2" xfId="284" xr:uid="{00000000-0005-0000-0000-000013010000}"/>
    <cellStyle name="Comma 7 3 3" xfId="285" xr:uid="{00000000-0005-0000-0000-000014010000}"/>
    <cellStyle name="Comma 7 3 3 2" xfId="286" xr:uid="{00000000-0005-0000-0000-000015010000}"/>
    <cellStyle name="Comma 7 3 3 2 2" xfId="287" xr:uid="{00000000-0005-0000-0000-000016010000}"/>
    <cellStyle name="Comma 7 3 3 3" xfId="288" xr:uid="{00000000-0005-0000-0000-000017010000}"/>
    <cellStyle name="Comma 7 3 4" xfId="289" xr:uid="{00000000-0005-0000-0000-000018010000}"/>
    <cellStyle name="Comma 7 4" xfId="290" xr:uid="{00000000-0005-0000-0000-000019010000}"/>
    <cellStyle name="Comma 7 4 2" xfId="291" xr:uid="{00000000-0005-0000-0000-00001A010000}"/>
    <cellStyle name="Comma 7 5" xfId="292" xr:uid="{00000000-0005-0000-0000-00001B010000}"/>
    <cellStyle name="Comma 7 5 2" xfId="293" xr:uid="{00000000-0005-0000-0000-00001C010000}"/>
    <cellStyle name="Comma 7 5 2 2" xfId="294" xr:uid="{00000000-0005-0000-0000-00001D010000}"/>
    <cellStyle name="Comma 7 5 3" xfId="295" xr:uid="{00000000-0005-0000-0000-00001E010000}"/>
    <cellStyle name="Comma 7 6" xfId="296" xr:uid="{00000000-0005-0000-0000-00001F010000}"/>
    <cellStyle name="Comma 8" xfId="297" xr:uid="{00000000-0005-0000-0000-000020010000}"/>
    <cellStyle name="Comma 8 2" xfId="298" xr:uid="{00000000-0005-0000-0000-000021010000}"/>
    <cellStyle name="Comma 8 2 2" xfId="299" xr:uid="{00000000-0005-0000-0000-000022010000}"/>
    <cellStyle name="Comma 8 2 3" xfId="300" xr:uid="{00000000-0005-0000-0000-000023010000}"/>
    <cellStyle name="Comma 8 2 4" xfId="301" xr:uid="{00000000-0005-0000-0000-000024010000}"/>
    <cellStyle name="Comma 8 2 4 10" xfId="302" xr:uid="{00000000-0005-0000-0000-000025010000}"/>
    <cellStyle name="Comma 8 2 4 11" xfId="303" xr:uid="{00000000-0005-0000-0000-000026010000}"/>
    <cellStyle name="Comma 8 2 4 11 2" xfId="304" xr:uid="{00000000-0005-0000-0000-000027010000}"/>
    <cellStyle name="Comma 8 2 4 11 2 2" xfId="305" xr:uid="{00000000-0005-0000-0000-000028010000}"/>
    <cellStyle name="Comma 8 2 4 11 2 3" xfId="306" xr:uid="{00000000-0005-0000-0000-000029010000}"/>
    <cellStyle name="Comma 8 2 4 11 2 3 2" xfId="307" xr:uid="{00000000-0005-0000-0000-00002A010000}"/>
    <cellStyle name="Comma 8 2 4 2" xfId="308" xr:uid="{00000000-0005-0000-0000-00002B010000}"/>
    <cellStyle name="Comma 8 2 4 3" xfId="309" xr:uid="{00000000-0005-0000-0000-00002C010000}"/>
    <cellStyle name="Comma 8 2 4 4" xfId="310" xr:uid="{00000000-0005-0000-0000-00002D010000}"/>
    <cellStyle name="Comma 8 2 4 5" xfId="311" xr:uid="{00000000-0005-0000-0000-00002E010000}"/>
    <cellStyle name="Comma 8 2 4 5 2" xfId="312" xr:uid="{00000000-0005-0000-0000-00002F010000}"/>
    <cellStyle name="Comma 8 2 4 5 2 2" xfId="313" xr:uid="{00000000-0005-0000-0000-000030010000}"/>
    <cellStyle name="Comma 8 2 4 5 2 3" xfId="314" xr:uid="{00000000-0005-0000-0000-000031010000}"/>
    <cellStyle name="Comma 8 2 4 6" xfId="315" xr:uid="{00000000-0005-0000-0000-000032010000}"/>
    <cellStyle name="Comma 8 2 4 7" xfId="316" xr:uid="{00000000-0005-0000-0000-000033010000}"/>
    <cellStyle name="Comma 8 2 4 8" xfId="317" xr:uid="{00000000-0005-0000-0000-000034010000}"/>
    <cellStyle name="Comma 8 2 4 9" xfId="318" xr:uid="{00000000-0005-0000-0000-000035010000}"/>
    <cellStyle name="Comma 8 2 4 9 2" xfId="319" xr:uid="{00000000-0005-0000-0000-000036010000}"/>
    <cellStyle name="Comma 8 2 4 9 2 2" xfId="320" xr:uid="{00000000-0005-0000-0000-000037010000}"/>
    <cellStyle name="Comma 8 2 4 9 2 3" xfId="321" xr:uid="{00000000-0005-0000-0000-000038010000}"/>
    <cellStyle name="Comma 8 2 4 9 2 3 2" xfId="322" xr:uid="{00000000-0005-0000-0000-000039010000}"/>
    <cellStyle name="Comma 8 2 5" xfId="323" xr:uid="{00000000-0005-0000-0000-00003A010000}"/>
    <cellStyle name="Comma 8 2 5 2" xfId="324" xr:uid="{00000000-0005-0000-0000-00003B010000}"/>
    <cellStyle name="Comma 8 2 5 3" xfId="325" xr:uid="{00000000-0005-0000-0000-00003C010000}"/>
    <cellStyle name="Comma 8 2 5 4" xfId="326" xr:uid="{00000000-0005-0000-0000-00003D010000}"/>
    <cellStyle name="Comma 8 2 6" xfId="327" xr:uid="{00000000-0005-0000-0000-00003E010000}"/>
    <cellStyle name="Comma 8 2 6 2" xfId="328" xr:uid="{00000000-0005-0000-0000-00003F010000}"/>
    <cellStyle name="Comma 8 2 6 2 2" xfId="329" xr:uid="{00000000-0005-0000-0000-000040010000}"/>
    <cellStyle name="Comma 8 2 6 2 3" xfId="330" xr:uid="{00000000-0005-0000-0000-000041010000}"/>
    <cellStyle name="Comma 8 2 6 2 3 2" xfId="331" xr:uid="{00000000-0005-0000-0000-000042010000}"/>
    <cellStyle name="Comma 8 2 6 3" xfId="332" xr:uid="{00000000-0005-0000-0000-000043010000}"/>
    <cellStyle name="Comma 8 2 7" xfId="333" xr:uid="{00000000-0005-0000-0000-000044010000}"/>
    <cellStyle name="Comma 8 2 7 2" xfId="334" xr:uid="{00000000-0005-0000-0000-000045010000}"/>
    <cellStyle name="Comma 8 2 7 3" xfId="335" xr:uid="{00000000-0005-0000-0000-000046010000}"/>
    <cellStyle name="Comma 8 2 7 3 2" xfId="336" xr:uid="{00000000-0005-0000-0000-000047010000}"/>
    <cellStyle name="Comma 8 2 8" xfId="337" xr:uid="{00000000-0005-0000-0000-000048010000}"/>
    <cellStyle name="Comma 8 2 9" xfId="338" xr:uid="{00000000-0005-0000-0000-000049010000}"/>
    <cellStyle name="Comma 8 2 9 2" xfId="339" xr:uid="{00000000-0005-0000-0000-00004A010000}"/>
    <cellStyle name="Comma 8 3" xfId="340" xr:uid="{00000000-0005-0000-0000-00004B010000}"/>
    <cellStyle name="Comma 8 4" xfId="341" xr:uid="{00000000-0005-0000-0000-00004C010000}"/>
    <cellStyle name="Comma 8 5" xfId="342" xr:uid="{00000000-0005-0000-0000-00004D010000}"/>
    <cellStyle name="Comma 8 5 2" xfId="343" xr:uid="{00000000-0005-0000-0000-00004E010000}"/>
    <cellStyle name="Comma 8 6" xfId="344" xr:uid="{00000000-0005-0000-0000-00004F010000}"/>
    <cellStyle name="Comma 8 6 2" xfId="345" xr:uid="{00000000-0005-0000-0000-000050010000}"/>
    <cellStyle name="Comma 9" xfId="346" xr:uid="{00000000-0005-0000-0000-000051010000}"/>
    <cellStyle name="Comma 9 2" xfId="347" xr:uid="{00000000-0005-0000-0000-000052010000}"/>
    <cellStyle name="Comma 9 2 2" xfId="348" xr:uid="{00000000-0005-0000-0000-000053010000}"/>
    <cellStyle name="Comma 9 2 3" xfId="349" xr:uid="{00000000-0005-0000-0000-000054010000}"/>
    <cellStyle name="Comma 9 2 3 2" xfId="350" xr:uid="{00000000-0005-0000-0000-000055010000}"/>
    <cellStyle name="Comma 9 2 3 3" xfId="351" xr:uid="{00000000-0005-0000-0000-000056010000}"/>
    <cellStyle name="Comma 9 2 3 4" xfId="352" xr:uid="{00000000-0005-0000-0000-000057010000}"/>
    <cellStyle name="Comma 9 2 4" xfId="353" xr:uid="{00000000-0005-0000-0000-000058010000}"/>
    <cellStyle name="Comma 9 2 4 2" xfId="354" xr:uid="{00000000-0005-0000-0000-000059010000}"/>
    <cellStyle name="Comma 9 2 4 2 2" xfId="355" xr:uid="{00000000-0005-0000-0000-00005A010000}"/>
    <cellStyle name="Comma 9 2 4 2 3" xfId="356" xr:uid="{00000000-0005-0000-0000-00005B010000}"/>
    <cellStyle name="Comma 9 2 4 2 3 2" xfId="357" xr:uid="{00000000-0005-0000-0000-00005C010000}"/>
    <cellStyle name="Comma 9 2 4 3" xfId="358" xr:uid="{00000000-0005-0000-0000-00005D010000}"/>
    <cellStyle name="Comma 9 2 5" xfId="359" xr:uid="{00000000-0005-0000-0000-00005E010000}"/>
    <cellStyle name="Comma 9 2 5 2" xfId="360" xr:uid="{00000000-0005-0000-0000-00005F010000}"/>
    <cellStyle name="Comma 9 2 5 3" xfId="361" xr:uid="{00000000-0005-0000-0000-000060010000}"/>
    <cellStyle name="Comma 9 2 5 3 2" xfId="362" xr:uid="{00000000-0005-0000-0000-000061010000}"/>
    <cellStyle name="Comma 9 2 6" xfId="363" xr:uid="{00000000-0005-0000-0000-000062010000}"/>
    <cellStyle name="Comma 9 2 7" xfId="364" xr:uid="{00000000-0005-0000-0000-000063010000}"/>
    <cellStyle name="Comma 9 2 7 2" xfId="365" xr:uid="{00000000-0005-0000-0000-000064010000}"/>
    <cellStyle name="Comma 9 3" xfId="366" xr:uid="{00000000-0005-0000-0000-000065010000}"/>
    <cellStyle name="Comma 9 4" xfId="367" xr:uid="{00000000-0005-0000-0000-000066010000}"/>
    <cellStyle name="Comma 9 5" xfId="368" xr:uid="{00000000-0005-0000-0000-000067010000}"/>
    <cellStyle name="Comma 9 6" xfId="369" xr:uid="{00000000-0005-0000-0000-000068010000}"/>
    <cellStyle name="Comma 9 6 10" xfId="370" xr:uid="{00000000-0005-0000-0000-000069010000}"/>
    <cellStyle name="Comma 9 6 11" xfId="371" xr:uid="{00000000-0005-0000-0000-00006A010000}"/>
    <cellStyle name="Comma 9 6 11 2" xfId="372" xr:uid="{00000000-0005-0000-0000-00006B010000}"/>
    <cellStyle name="Comma 9 6 11 2 2" xfId="373" xr:uid="{00000000-0005-0000-0000-00006C010000}"/>
    <cellStyle name="Comma 9 6 11 2 3" xfId="374" xr:uid="{00000000-0005-0000-0000-00006D010000}"/>
    <cellStyle name="Comma 9 6 11 2 3 2" xfId="375" xr:uid="{00000000-0005-0000-0000-00006E010000}"/>
    <cellStyle name="Comma 9 6 2" xfId="376" xr:uid="{00000000-0005-0000-0000-00006F010000}"/>
    <cellStyle name="Comma 9 6 3" xfId="377" xr:uid="{00000000-0005-0000-0000-000070010000}"/>
    <cellStyle name="Comma 9 6 4" xfId="378" xr:uid="{00000000-0005-0000-0000-000071010000}"/>
    <cellStyle name="Comma 9 6 5" xfId="379" xr:uid="{00000000-0005-0000-0000-000072010000}"/>
    <cellStyle name="Comma 9 6 5 2" xfId="380" xr:uid="{00000000-0005-0000-0000-000073010000}"/>
    <cellStyle name="Comma 9 6 5 2 2" xfId="381" xr:uid="{00000000-0005-0000-0000-000074010000}"/>
    <cellStyle name="Comma 9 6 5 2 3" xfId="382" xr:uid="{00000000-0005-0000-0000-000075010000}"/>
    <cellStyle name="Comma 9 6 6" xfId="383" xr:uid="{00000000-0005-0000-0000-000076010000}"/>
    <cellStyle name="Comma 9 6 7" xfId="384" xr:uid="{00000000-0005-0000-0000-000077010000}"/>
    <cellStyle name="Comma 9 6 8" xfId="385" xr:uid="{00000000-0005-0000-0000-000078010000}"/>
    <cellStyle name="Comma 9 6 9" xfId="386" xr:uid="{00000000-0005-0000-0000-000079010000}"/>
    <cellStyle name="Comma 9 6 9 2" xfId="387" xr:uid="{00000000-0005-0000-0000-00007A010000}"/>
    <cellStyle name="Comma 9 6 9 2 2" xfId="388" xr:uid="{00000000-0005-0000-0000-00007B010000}"/>
    <cellStyle name="Comma 9 6 9 2 3" xfId="389" xr:uid="{00000000-0005-0000-0000-00007C010000}"/>
    <cellStyle name="Comma 9 6 9 2 3 2" xfId="390" xr:uid="{00000000-0005-0000-0000-00007D010000}"/>
    <cellStyle name="Currency" xfId="1" builtinId="4"/>
    <cellStyle name="Currency 10" xfId="392" xr:uid="{00000000-0005-0000-0000-00007F010000}"/>
    <cellStyle name="Currency 11" xfId="393" xr:uid="{00000000-0005-0000-0000-000080010000}"/>
    <cellStyle name="Currency 12" xfId="394" xr:uid="{00000000-0005-0000-0000-000081010000}"/>
    <cellStyle name="Currency 13" xfId="391" xr:uid="{00000000-0005-0000-0000-000082010000}"/>
    <cellStyle name="Currency 2" xfId="395" xr:uid="{00000000-0005-0000-0000-000083010000}"/>
    <cellStyle name="Currency 2 2" xfId="396" xr:uid="{00000000-0005-0000-0000-000084010000}"/>
    <cellStyle name="Currency 3" xfId="4" xr:uid="{00000000-0005-0000-0000-000085010000}"/>
    <cellStyle name="Currency 3 2" xfId="397" xr:uid="{00000000-0005-0000-0000-000086010000}"/>
    <cellStyle name="Currency 3 2 2" xfId="398" xr:uid="{00000000-0005-0000-0000-000087010000}"/>
    <cellStyle name="Currency 3 3" xfId="399" xr:uid="{00000000-0005-0000-0000-000088010000}"/>
    <cellStyle name="Currency 3 4" xfId="400" xr:uid="{00000000-0005-0000-0000-000089010000}"/>
    <cellStyle name="Currency 3 5" xfId="401" xr:uid="{00000000-0005-0000-0000-00008A010000}"/>
    <cellStyle name="Currency 4" xfId="402" xr:uid="{00000000-0005-0000-0000-00008B010000}"/>
    <cellStyle name="Currency 4 2" xfId="403" xr:uid="{00000000-0005-0000-0000-00008C010000}"/>
    <cellStyle name="Currency 4 3" xfId="404" xr:uid="{00000000-0005-0000-0000-00008D010000}"/>
    <cellStyle name="Currency 4 3 2" xfId="405" xr:uid="{00000000-0005-0000-0000-00008E010000}"/>
    <cellStyle name="Currency 5" xfId="406" xr:uid="{00000000-0005-0000-0000-00008F010000}"/>
    <cellStyle name="Currency 5 2" xfId="407" xr:uid="{00000000-0005-0000-0000-000090010000}"/>
    <cellStyle name="Currency 5 3" xfId="408" xr:uid="{00000000-0005-0000-0000-000091010000}"/>
    <cellStyle name="Currency 5 3 2" xfId="409" xr:uid="{00000000-0005-0000-0000-000092010000}"/>
    <cellStyle name="Currency 6" xfId="410" xr:uid="{00000000-0005-0000-0000-000093010000}"/>
    <cellStyle name="Currency 7" xfId="411" xr:uid="{00000000-0005-0000-0000-000094010000}"/>
    <cellStyle name="Currency 7 2" xfId="412" xr:uid="{00000000-0005-0000-0000-000095010000}"/>
    <cellStyle name="Currency 8" xfId="413" xr:uid="{00000000-0005-0000-0000-000096010000}"/>
    <cellStyle name="Currency 8 2" xfId="414" xr:uid="{00000000-0005-0000-0000-000097010000}"/>
    <cellStyle name="Currency 8 3" xfId="415" xr:uid="{00000000-0005-0000-0000-000098010000}"/>
    <cellStyle name="Currency 9" xfId="416" xr:uid="{00000000-0005-0000-0000-000099010000}"/>
    <cellStyle name="Currency 9 2" xfId="417" xr:uid="{00000000-0005-0000-0000-00009A010000}"/>
    <cellStyle name="Explanatory Text 2" xfId="418" xr:uid="{00000000-0005-0000-0000-00009B010000}"/>
    <cellStyle name="Good 2" xfId="419" xr:uid="{00000000-0005-0000-0000-00009C010000}"/>
    <cellStyle name="Heading 1 2" xfId="420" xr:uid="{00000000-0005-0000-0000-00009D010000}"/>
    <cellStyle name="Heading 2 2" xfId="421" xr:uid="{00000000-0005-0000-0000-00009E010000}"/>
    <cellStyle name="Heading 3 2" xfId="422" xr:uid="{00000000-0005-0000-0000-00009F010000}"/>
    <cellStyle name="Heading 4 2" xfId="423" xr:uid="{00000000-0005-0000-0000-0000A0010000}"/>
    <cellStyle name="Input 2" xfId="424" xr:uid="{00000000-0005-0000-0000-0000A1010000}"/>
    <cellStyle name="Linked Cell 2" xfId="425" xr:uid="{00000000-0005-0000-0000-0000A2010000}"/>
    <cellStyle name="Neutral 2" xfId="426" xr:uid="{00000000-0005-0000-0000-0000A3010000}"/>
    <cellStyle name="Normal" xfId="0" builtinId="0"/>
    <cellStyle name="Normal 10" xfId="427" xr:uid="{00000000-0005-0000-0000-0000A5010000}"/>
    <cellStyle name="Normal 10 2" xfId="428" xr:uid="{00000000-0005-0000-0000-0000A6010000}"/>
    <cellStyle name="Normal 105" xfId="9" xr:uid="{00000000-0005-0000-0000-0000A7010000}"/>
    <cellStyle name="Normal 11" xfId="429" xr:uid="{00000000-0005-0000-0000-0000A8010000}"/>
    <cellStyle name="Normal 11 2" xfId="430" xr:uid="{00000000-0005-0000-0000-0000A9010000}"/>
    <cellStyle name="Normal 111" xfId="431" xr:uid="{00000000-0005-0000-0000-0000AA010000}"/>
    <cellStyle name="Normal 12" xfId="432" xr:uid="{00000000-0005-0000-0000-0000AB010000}"/>
    <cellStyle name="Normal 12 2" xfId="433" xr:uid="{00000000-0005-0000-0000-0000AC010000}"/>
    <cellStyle name="Normal 121" xfId="434" xr:uid="{00000000-0005-0000-0000-0000AD010000}"/>
    <cellStyle name="Normal 13" xfId="435" xr:uid="{00000000-0005-0000-0000-0000AE010000}"/>
    <cellStyle name="Normal 13 2" xfId="436" xr:uid="{00000000-0005-0000-0000-0000AF010000}"/>
    <cellStyle name="Normal 14" xfId="437" xr:uid="{00000000-0005-0000-0000-0000B0010000}"/>
    <cellStyle name="Normal 14 2" xfId="438" xr:uid="{00000000-0005-0000-0000-0000B1010000}"/>
    <cellStyle name="Normal 15" xfId="439" xr:uid="{00000000-0005-0000-0000-0000B2010000}"/>
    <cellStyle name="Normal 15 2" xfId="440" xr:uid="{00000000-0005-0000-0000-0000B3010000}"/>
    <cellStyle name="Normal 15 2 2" xfId="6" xr:uid="{00000000-0005-0000-0000-0000B4010000}"/>
    <cellStyle name="Normal 15 3" xfId="441" xr:uid="{00000000-0005-0000-0000-0000B5010000}"/>
    <cellStyle name="Normal 16" xfId="442" xr:uid="{00000000-0005-0000-0000-0000B6010000}"/>
    <cellStyle name="Normal 17" xfId="443" xr:uid="{00000000-0005-0000-0000-0000B7010000}"/>
    <cellStyle name="Normal 18" xfId="444" xr:uid="{00000000-0005-0000-0000-0000B8010000}"/>
    <cellStyle name="Normal 19" xfId="445" xr:uid="{00000000-0005-0000-0000-0000B9010000}"/>
    <cellStyle name="Normal 19 2" xfId="446" xr:uid="{00000000-0005-0000-0000-0000BA010000}"/>
    <cellStyle name="Normal 19 2 2" xfId="447" xr:uid="{00000000-0005-0000-0000-0000BB010000}"/>
    <cellStyle name="Normal 19 3" xfId="448" xr:uid="{00000000-0005-0000-0000-0000BC010000}"/>
    <cellStyle name="Normal 2" xfId="449" xr:uid="{00000000-0005-0000-0000-0000BD010000}"/>
    <cellStyle name="Normal 2 2" xfId="450" xr:uid="{00000000-0005-0000-0000-0000BE010000}"/>
    <cellStyle name="Normal 2 2 2" xfId="451" xr:uid="{00000000-0005-0000-0000-0000BF010000}"/>
    <cellStyle name="Normal 2 2 3" xfId="452" xr:uid="{00000000-0005-0000-0000-0000C0010000}"/>
    <cellStyle name="Normal 2 2 4" xfId="453" xr:uid="{00000000-0005-0000-0000-0000C1010000}"/>
    <cellStyle name="Normal 2 2 4 2" xfId="454" xr:uid="{00000000-0005-0000-0000-0000C2010000}"/>
    <cellStyle name="Normal 2 2 4 2 2" xfId="455" xr:uid="{00000000-0005-0000-0000-0000C3010000}"/>
    <cellStyle name="Normal 2 2 4 3" xfId="456" xr:uid="{00000000-0005-0000-0000-0000C4010000}"/>
    <cellStyle name="Normal 2 2 4 4" xfId="457" xr:uid="{00000000-0005-0000-0000-0000C5010000}"/>
    <cellStyle name="Normal 2 2 4 5" xfId="458" xr:uid="{00000000-0005-0000-0000-0000C6010000}"/>
    <cellStyle name="Normal 2 2 4 5 2" xfId="459" xr:uid="{00000000-0005-0000-0000-0000C7010000}"/>
    <cellStyle name="Normal 2 2 5" xfId="460" xr:uid="{00000000-0005-0000-0000-0000C8010000}"/>
    <cellStyle name="Normal 2 2 6" xfId="7" xr:uid="{00000000-0005-0000-0000-0000C9010000}"/>
    <cellStyle name="Normal 2 2 6 2" xfId="461" xr:uid="{00000000-0005-0000-0000-0000CA010000}"/>
    <cellStyle name="Normal 2 2 6 2 2" xfId="462" xr:uid="{00000000-0005-0000-0000-0000CB010000}"/>
    <cellStyle name="Normal 2 2 6 3" xfId="463" xr:uid="{00000000-0005-0000-0000-0000CC010000}"/>
    <cellStyle name="Normal 2 3" xfId="464" xr:uid="{00000000-0005-0000-0000-0000CD010000}"/>
    <cellStyle name="Normal 2 3 2" xfId="465" xr:uid="{00000000-0005-0000-0000-0000CE010000}"/>
    <cellStyle name="Normal 2 3 2 2" xfId="466" xr:uid="{00000000-0005-0000-0000-0000CF010000}"/>
    <cellStyle name="Normal 2 3 3" xfId="467" xr:uid="{00000000-0005-0000-0000-0000D0010000}"/>
    <cellStyle name="Normal 2 4" xfId="468" xr:uid="{00000000-0005-0000-0000-0000D1010000}"/>
    <cellStyle name="Normal 2 5" xfId="469" xr:uid="{00000000-0005-0000-0000-0000D2010000}"/>
    <cellStyle name="Normal 20" xfId="470" xr:uid="{00000000-0005-0000-0000-0000D3010000}"/>
    <cellStyle name="Normal 3" xfId="471" xr:uid="{00000000-0005-0000-0000-0000D4010000}"/>
    <cellStyle name="Normal 3 2" xfId="472" xr:uid="{00000000-0005-0000-0000-0000D5010000}"/>
    <cellStyle name="Normal 3 2 2" xfId="473" xr:uid="{00000000-0005-0000-0000-0000D6010000}"/>
    <cellStyle name="Normal 3 3" xfId="474" xr:uid="{00000000-0005-0000-0000-0000D7010000}"/>
    <cellStyle name="Normal 3 3 2" xfId="475" xr:uid="{00000000-0005-0000-0000-0000D8010000}"/>
    <cellStyle name="Normal 3 4" xfId="476" xr:uid="{00000000-0005-0000-0000-0000D9010000}"/>
    <cellStyle name="Normal 3 4 2" xfId="477" xr:uid="{00000000-0005-0000-0000-0000DA010000}"/>
    <cellStyle name="Normal 3 4 2 2" xfId="478" xr:uid="{00000000-0005-0000-0000-0000DB010000}"/>
    <cellStyle name="Normal 3 4 3" xfId="479" xr:uid="{00000000-0005-0000-0000-0000DC010000}"/>
    <cellStyle name="Normal 3 5" xfId="480" xr:uid="{00000000-0005-0000-0000-0000DD010000}"/>
    <cellStyle name="Normal 4" xfId="3" xr:uid="{00000000-0005-0000-0000-0000DE010000}"/>
    <cellStyle name="Normal 4 2" xfId="481" xr:uid="{00000000-0005-0000-0000-0000DF010000}"/>
    <cellStyle name="Normal 4 3" xfId="482" xr:uid="{00000000-0005-0000-0000-0000E0010000}"/>
    <cellStyle name="Normal 4 3 2" xfId="483" xr:uid="{00000000-0005-0000-0000-0000E1010000}"/>
    <cellStyle name="Normal 4 3 2 2" xfId="484" xr:uid="{00000000-0005-0000-0000-0000E2010000}"/>
    <cellStyle name="Normal 4 3 2 2 2" xfId="485" xr:uid="{00000000-0005-0000-0000-0000E3010000}"/>
    <cellStyle name="Normal 4 3 2 3" xfId="486" xr:uid="{00000000-0005-0000-0000-0000E4010000}"/>
    <cellStyle name="Normal 4 3 3" xfId="487" xr:uid="{00000000-0005-0000-0000-0000E5010000}"/>
    <cellStyle name="Normal 4 4" xfId="488" xr:uid="{00000000-0005-0000-0000-0000E6010000}"/>
    <cellStyle name="Normal 4 4 2" xfId="489" xr:uid="{00000000-0005-0000-0000-0000E7010000}"/>
    <cellStyle name="Normal 4 4 3" xfId="490" xr:uid="{00000000-0005-0000-0000-0000E8010000}"/>
    <cellStyle name="Normal 4 4 4" xfId="491" xr:uid="{00000000-0005-0000-0000-0000E9010000}"/>
    <cellStyle name="Normal 4 5" xfId="492" xr:uid="{00000000-0005-0000-0000-0000EA010000}"/>
    <cellStyle name="Normal 5" xfId="493" xr:uid="{00000000-0005-0000-0000-0000EB010000}"/>
    <cellStyle name="Normal 5 2" xfId="494" xr:uid="{00000000-0005-0000-0000-0000EC010000}"/>
    <cellStyle name="Normal 5 2 2" xfId="495" xr:uid="{00000000-0005-0000-0000-0000ED010000}"/>
    <cellStyle name="Normal 5 2 3" xfId="496" xr:uid="{00000000-0005-0000-0000-0000EE010000}"/>
    <cellStyle name="Normal 5 2 3 2" xfId="497" xr:uid="{00000000-0005-0000-0000-0000EF010000}"/>
    <cellStyle name="Normal 5 3" xfId="498" xr:uid="{00000000-0005-0000-0000-0000F0010000}"/>
    <cellStyle name="Normal 5 4" xfId="499" xr:uid="{00000000-0005-0000-0000-0000F1010000}"/>
    <cellStyle name="Normal 6" xfId="500" xr:uid="{00000000-0005-0000-0000-0000F2010000}"/>
    <cellStyle name="Normal 6 2" xfId="501" xr:uid="{00000000-0005-0000-0000-0000F3010000}"/>
    <cellStyle name="Normal 7" xfId="502" xr:uid="{00000000-0005-0000-0000-0000F4010000}"/>
    <cellStyle name="Normal 7 2" xfId="503" xr:uid="{00000000-0005-0000-0000-0000F5010000}"/>
    <cellStyle name="Normal 7 3" xfId="504" xr:uid="{00000000-0005-0000-0000-0000F6010000}"/>
    <cellStyle name="Normal 7 3 2" xfId="505" xr:uid="{00000000-0005-0000-0000-0000F7010000}"/>
    <cellStyle name="Normal 7 4" xfId="506" xr:uid="{00000000-0005-0000-0000-0000F8010000}"/>
    <cellStyle name="Normal 7 4 2" xfId="507" xr:uid="{00000000-0005-0000-0000-0000F9010000}"/>
    <cellStyle name="Normal 7 5" xfId="508" xr:uid="{00000000-0005-0000-0000-0000FA010000}"/>
    <cellStyle name="Normal 8" xfId="509" xr:uid="{00000000-0005-0000-0000-0000FB010000}"/>
    <cellStyle name="Normal 9" xfId="510" xr:uid="{00000000-0005-0000-0000-0000FC010000}"/>
    <cellStyle name="Normal 9 2" xfId="511" xr:uid="{00000000-0005-0000-0000-0000FD010000}"/>
    <cellStyle name="Note 2" xfId="512" xr:uid="{00000000-0005-0000-0000-0000FE010000}"/>
    <cellStyle name="Output 2" xfId="513" xr:uid="{00000000-0005-0000-0000-0000FF010000}"/>
    <cellStyle name="Percent" xfId="2" builtinId="5"/>
    <cellStyle name="Percent 10" xfId="515" xr:uid="{00000000-0005-0000-0000-000001020000}"/>
    <cellStyle name="Percent 10 2" xfId="516" xr:uid="{00000000-0005-0000-0000-000002020000}"/>
    <cellStyle name="Percent 10 3" xfId="517" xr:uid="{00000000-0005-0000-0000-000003020000}"/>
    <cellStyle name="Percent 10 3 2" xfId="518" xr:uid="{00000000-0005-0000-0000-000004020000}"/>
    <cellStyle name="Percent 10 3 3" xfId="519" xr:uid="{00000000-0005-0000-0000-000005020000}"/>
    <cellStyle name="Percent 10 3 3 2" xfId="520" xr:uid="{00000000-0005-0000-0000-000006020000}"/>
    <cellStyle name="Percent 11" xfId="521" xr:uid="{00000000-0005-0000-0000-000007020000}"/>
    <cellStyle name="Percent 11 2" xfId="522" xr:uid="{00000000-0005-0000-0000-000008020000}"/>
    <cellStyle name="Percent 11 3" xfId="523" xr:uid="{00000000-0005-0000-0000-000009020000}"/>
    <cellStyle name="Percent 11 3 2" xfId="524" xr:uid="{00000000-0005-0000-0000-00000A020000}"/>
    <cellStyle name="Percent 12" xfId="525" xr:uid="{00000000-0005-0000-0000-00000B020000}"/>
    <cellStyle name="Percent 12 2" xfId="526" xr:uid="{00000000-0005-0000-0000-00000C020000}"/>
    <cellStyle name="Percent 12 3" xfId="527" xr:uid="{00000000-0005-0000-0000-00000D020000}"/>
    <cellStyle name="Percent 12 3 2" xfId="528" xr:uid="{00000000-0005-0000-0000-00000E020000}"/>
    <cellStyle name="Percent 13" xfId="529" xr:uid="{00000000-0005-0000-0000-00000F020000}"/>
    <cellStyle name="Percent 13 2" xfId="530" xr:uid="{00000000-0005-0000-0000-000010020000}"/>
    <cellStyle name="Percent 13 3" xfId="531" xr:uid="{00000000-0005-0000-0000-000011020000}"/>
    <cellStyle name="Percent 13 3 2" xfId="532" xr:uid="{00000000-0005-0000-0000-000012020000}"/>
    <cellStyle name="Percent 14" xfId="533" xr:uid="{00000000-0005-0000-0000-000013020000}"/>
    <cellStyle name="Percent 14 2" xfId="534" xr:uid="{00000000-0005-0000-0000-000014020000}"/>
    <cellStyle name="Percent 14 3" xfId="535" xr:uid="{00000000-0005-0000-0000-000015020000}"/>
    <cellStyle name="Percent 14 3 2" xfId="536" xr:uid="{00000000-0005-0000-0000-000016020000}"/>
    <cellStyle name="Percent 15" xfId="537" xr:uid="{00000000-0005-0000-0000-000017020000}"/>
    <cellStyle name="Percent 15 2" xfId="538" xr:uid="{00000000-0005-0000-0000-000018020000}"/>
    <cellStyle name="Percent 15 3" xfId="539" xr:uid="{00000000-0005-0000-0000-000019020000}"/>
    <cellStyle name="Percent 15 3 2" xfId="540" xr:uid="{00000000-0005-0000-0000-00001A020000}"/>
    <cellStyle name="Percent 16" xfId="541" xr:uid="{00000000-0005-0000-0000-00001B020000}"/>
    <cellStyle name="Percent 16 2" xfId="542" xr:uid="{00000000-0005-0000-0000-00001C020000}"/>
    <cellStyle name="Percent 16 3" xfId="543" xr:uid="{00000000-0005-0000-0000-00001D020000}"/>
    <cellStyle name="Percent 16 3 2" xfId="544" xr:uid="{00000000-0005-0000-0000-00001E020000}"/>
    <cellStyle name="Percent 17" xfId="545" xr:uid="{00000000-0005-0000-0000-00001F020000}"/>
    <cellStyle name="Percent 17 2" xfId="546" xr:uid="{00000000-0005-0000-0000-000020020000}"/>
    <cellStyle name="Percent 17 3" xfId="547" xr:uid="{00000000-0005-0000-0000-000021020000}"/>
    <cellStyle name="Percent 17 3 2" xfId="548" xr:uid="{00000000-0005-0000-0000-000022020000}"/>
    <cellStyle name="Percent 18" xfId="549" xr:uid="{00000000-0005-0000-0000-000023020000}"/>
    <cellStyle name="Percent 18 2" xfId="550" xr:uid="{00000000-0005-0000-0000-000024020000}"/>
    <cellStyle name="Percent 18 3" xfId="551" xr:uid="{00000000-0005-0000-0000-000025020000}"/>
    <cellStyle name="Percent 18 3 2" xfId="552" xr:uid="{00000000-0005-0000-0000-000026020000}"/>
    <cellStyle name="Percent 19" xfId="553" xr:uid="{00000000-0005-0000-0000-000027020000}"/>
    <cellStyle name="Percent 19 2" xfId="554" xr:uid="{00000000-0005-0000-0000-000028020000}"/>
    <cellStyle name="Percent 19 3" xfId="555" xr:uid="{00000000-0005-0000-0000-000029020000}"/>
    <cellStyle name="Percent 19 3 2" xfId="556" xr:uid="{00000000-0005-0000-0000-00002A020000}"/>
    <cellStyle name="Percent 2" xfId="557" xr:uid="{00000000-0005-0000-0000-00002B020000}"/>
    <cellStyle name="Percent 2 2" xfId="558" xr:uid="{00000000-0005-0000-0000-00002C020000}"/>
    <cellStyle name="Percent 2 2 2" xfId="559" xr:uid="{00000000-0005-0000-0000-00002D020000}"/>
    <cellStyle name="Percent 2 2 2 2" xfId="560" xr:uid="{00000000-0005-0000-0000-00002E020000}"/>
    <cellStyle name="Percent 2 2 2 3" xfId="561" xr:uid="{00000000-0005-0000-0000-00002F020000}"/>
    <cellStyle name="Percent 2 2 2 3 2" xfId="562" xr:uid="{00000000-0005-0000-0000-000030020000}"/>
    <cellStyle name="Percent 2 2 2 3 3" xfId="563" xr:uid="{00000000-0005-0000-0000-000031020000}"/>
    <cellStyle name="Percent 2 2 2 3 3 2" xfId="564" xr:uid="{00000000-0005-0000-0000-000032020000}"/>
    <cellStyle name="Percent 2 2 2 3 3 3" xfId="565" xr:uid="{00000000-0005-0000-0000-000033020000}"/>
    <cellStyle name="Percent 2 2 2 3 3 4" xfId="566" xr:uid="{00000000-0005-0000-0000-000034020000}"/>
    <cellStyle name="Percent 2 2 2 3 4" xfId="567" xr:uid="{00000000-0005-0000-0000-000035020000}"/>
    <cellStyle name="Percent 2 2 2 3 4 2" xfId="568" xr:uid="{00000000-0005-0000-0000-000036020000}"/>
    <cellStyle name="Percent 2 2 2 3 4 2 2" xfId="569" xr:uid="{00000000-0005-0000-0000-000037020000}"/>
    <cellStyle name="Percent 2 2 2 3 4 2 3" xfId="570" xr:uid="{00000000-0005-0000-0000-000038020000}"/>
    <cellStyle name="Percent 2 2 2 3 4 2 3 2" xfId="571" xr:uid="{00000000-0005-0000-0000-000039020000}"/>
    <cellStyle name="Percent 2 2 2 3 4 3" xfId="572" xr:uid="{00000000-0005-0000-0000-00003A020000}"/>
    <cellStyle name="Percent 2 2 2 3 5" xfId="573" xr:uid="{00000000-0005-0000-0000-00003B020000}"/>
    <cellStyle name="Percent 2 2 2 3 5 2" xfId="574" xr:uid="{00000000-0005-0000-0000-00003C020000}"/>
    <cellStyle name="Percent 2 2 2 3 5 3" xfId="575" xr:uid="{00000000-0005-0000-0000-00003D020000}"/>
    <cellStyle name="Percent 2 2 2 3 5 3 2" xfId="576" xr:uid="{00000000-0005-0000-0000-00003E020000}"/>
    <cellStyle name="Percent 2 2 2 3 6" xfId="577" xr:uid="{00000000-0005-0000-0000-00003F020000}"/>
    <cellStyle name="Percent 2 2 2 3 7" xfId="578" xr:uid="{00000000-0005-0000-0000-000040020000}"/>
    <cellStyle name="Percent 2 2 2 3 7 2" xfId="579" xr:uid="{00000000-0005-0000-0000-000041020000}"/>
    <cellStyle name="Percent 2 2 2 4" xfId="580" xr:uid="{00000000-0005-0000-0000-000042020000}"/>
    <cellStyle name="Percent 2 2 2 4 2" xfId="581" xr:uid="{00000000-0005-0000-0000-000043020000}"/>
    <cellStyle name="Percent 2 2 2 4 2 2" xfId="582" xr:uid="{00000000-0005-0000-0000-000044020000}"/>
    <cellStyle name="Percent 2 2 2 4 2 3" xfId="583" xr:uid="{00000000-0005-0000-0000-000045020000}"/>
    <cellStyle name="Percent 2 2 2 4 2 3 2" xfId="584" xr:uid="{00000000-0005-0000-0000-000046020000}"/>
    <cellStyle name="Percent 2 2 2 4 3" xfId="585" xr:uid="{00000000-0005-0000-0000-000047020000}"/>
    <cellStyle name="Percent 2 2 2 5" xfId="586" xr:uid="{00000000-0005-0000-0000-000048020000}"/>
    <cellStyle name="Percent 2 2 2 5 2" xfId="587" xr:uid="{00000000-0005-0000-0000-000049020000}"/>
    <cellStyle name="Percent 2 2 2 5 3" xfId="588" xr:uid="{00000000-0005-0000-0000-00004A020000}"/>
    <cellStyle name="Percent 2 2 2 5 3 2" xfId="589" xr:uid="{00000000-0005-0000-0000-00004B020000}"/>
    <cellStyle name="Percent 2 2 2 6" xfId="590" xr:uid="{00000000-0005-0000-0000-00004C020000}"/>
    <cellStyle name="Percent 2 2 2 6 2" xfId="591" xr:uid="{00000000-0005-0000-0000-00004D020000}"/>
    <cellStyle name="Percent 2 2 3" xfId="592" xr:uid="{00000000-0005-0000-0000-00004E020000}"/>
    <cellStyle name="Percent 2 2 3 2" xfId="593" xr:uid="{00000000-0005-0000-0000-00004F020000}"/>
    <cellStyle name="Percent 2 2 3 3" xfId="594" xr:uid="{00000000-0005-0000-0000-000050020000}"/>
    <cellStyle name="Percent 2 2 3 4" xfId="595" xr:uid="{00000000-0005-0000-0000-000051020000}"/>
    <cellStyle name="Percent 2 3" xfId="596" xr:uid="{00000000-0005-0000-0000-000052020000}"/>
    <cellStyle name="Percent 2 4" xfId="597" xr:uid="{00000000-0005-0000-0000-000053020000}"/>
    <cellStyle name="Percent 2 4 10" xfId="598" xr:uid="{00000000-0005-0000-0000-000054020000}"/>
    <cellStyle name="Percent 2 4 11" xfId="599" xr:uid="{00000000-0005-0000-0000-000055020000}"/>
    <cellStyle name="Percent 2 4 11 2" xfId="600" xr:uid="{00000000-0005-0000-0000-000056020000}"/>
    <cellStyle name="Percent 2 4 11 2 2" xfId="601" xr:uid="{00000000-0005-0000-0000-000057020000}"/>
    <cellStyle name="Percent 2 4 11 2 3" xfId="602" xr:uid="{00000000-0005-0000-0000-000058020000}"/>
    <cellStyle name="Percent 2 4 11 2 3 2" xfId="603" xr:uid="{00000000-0005-0000-0000-000059020000}"/>
    <cellStyle name="Percent 2 4 2" xfId="604" xr:uid="{00000000-0005-0000-0000-00005A020000}"/>
    <cellStyle name="Percent 2 4 3" xfId="605" xr:uid="{00000000-0005-0000-0000-00005B020000}"/>
    <cellStyle name="Percent 2 4 4" xfId="606" xr:uid="{00000000-0005-0000-0000-00005C020000}"/>
    <cellStyle name="Percent 2 4 5" xfId="607" xr:uid="{00000000-0005-0000-0000-00005D020000}"/>
    <cellStyle name="Percent 2 4 5 2" xfId="608" xr:uid="{00000000-0005-0000-0000-00005E020000}"/>
    <cellStyle name="Percent 2 4 5 2 2" xfId="609" xr:uid="{00000000-0005-0000-0000-00005F020000}"/>
    <cellStyle name="Percent 2 4 5 2 3" xfId="610" xr:uid="{00000000-0005-0000-0000-000060020000}"/>
    <cellStyle name="Percent 2 4 6" xfId="611" xr:uid="{00000000-0005-0000-0000-000061020000}"/>
    <cellStyle name="Percent 2 4 7" xfId="612" xr:uid="{00000000-0005-0000-0000-000062020000}"/>
    <cellStyle name="Percent 2 4 8" xfId="613" xr:uid="{00000000-0005-0000-0000-000063020000}"/>
    <cellStyle name="Percent 2 4 9" xfId="614" xr:uid="{00000000-0005-0000-0000-000064020000}"/>
    <cellStyle name="Percent 2 4 9 2" xfId="615" xr:uid="{00000000-0005-0000-0000-000065020000}"/>
    <cellStyle name="Percent 2 4 9 2 2" xfId="616" xr:uid="{00000000-0005-0000-0000-000066020000}"/>
    <cellStyle name="Percent 2 4 9 2 3" xfId="617" xr:uid="{00000000-0005-0000-0000-000067020000}"/>
    <cellStyle name="Percent 2 4 9 2 3 2" xfId="618" xr:uid="{00000000-0005-0000-0000-000068020000}"/>
    <cellStyle name="Percent 2 5" xfId="619" xr:uid="{00000000-0005-0000-0000-000069020000}"/>
    <cellStyle name="Percent 2 5 2" xfId="620" xr:uid="{00000000-0005-0000-0000-00006A020000}"/>
    <cellStyle name="Percent 2 5 2 2" xfId="621" xr:uid="{00000000-0005-0000-0000-00006B020000}"/>
    <cellStyle name="Percent 2 5 3" xfId="622" xr:uid="{00000000-0005-0000-0000-00006C020000}"/>
    <cellStyle name="Percent 2 5 4" xfId="623" xr:uid="{00000000-0005-0000-0000-00006D020000}"/>
    <cellStyle name="Percent 2 5 5" xfId="624" xr:uid="{00000000-0005-0000-0000-00006E020000}"/>
    <cellStyle name="Percent 2 6" xfId="625" xr:uid="{00000000-0005-0000-0000-00006F020000}"/>
    <cellStyle name="Percent 20" xfId="626" xr:uid="{00000000-0005-0000-0000-000070020000}"/>
    <cellStyle name="Percent 20 2" xfId="627" xr:uid="{00000000-0005-0000-0000-000071020000}"/>
    <cellStyle name="Percent 20 3" xfId="628" xr:uid="{00000000-0005-0000-0000-000072020000}"/>
    <cellStyle name="Percent 20 3 2" xfId="629" xr:uid="{00000000-0005-0000-0000-000073020000}"/>
    <cellStyle name="Percent 21" xfId="630" xr:uid="{00000000-0005-0000-0000-000074020000}"/>
    <cellStyle name="Percent 21 2" xfId="631" xr:uid="{00000000-0005-0000-0000-000075020000}"/>
    <cellStyle name="Percent 21 3" xfId="632" xr:uid="{00000000-0005-0000-0000-000076020000}"/>
    <cellStyle name="Percent 21 3 2" xfId="633" xr:uid="{00000000-0005-0000-0000-000077020000}"/>
    <cellStyle name="Percent 22" xfId="634" xr:uid="{00000000-0005-0000-0000-000078020000}"/>
    <cellStyle name="Percent 22 2" xfId="635" xr:uid="{00000000-0005-0000-0000-000079020000}"/>
    <cellStyle name="Percent 23" xfId="636" xr:uid="{00000000-0005-0000-0000-00007A020000}"/>
    <cellStyle name="Percent 23 2" xfId="637" xr:uid="{00000000-0005-0000-0000-00007B020000}"/>
    <cellStyle name="Percent 24" xfId="638" xr:uid="{00000000-0005-0000-0000-00007C020000}"/>
    <cellStyle name="Percent 25" xfId="639" xr:uid="{00000000-0005-0000-0000-00007D020000}"/>
    <cellStyle name="Percent 25 2" xfId="640" xr:uid="{00000000-0005-0000-0000-00007E020000}"/>
    <cellStyle name="Percent 25 3" xfId="641" xr:uid="{00000000-0005-0000-0000-00007F020000}"/>
    <cellStyle name="Percent 25 3 2" xfId="642" xr:uid="{00000000-0005-0000-0000-000080020000}"/>
    <cellStyle name="Percent 26" xfId="643" xr:uid="{00000000-0005-0000-0000-000081020000}"/>
    <cellStyle name="Percent 27" xfId="644" xr:uid="{00000000-0005-0000-0000-000082020000}"/>
    <cellStyle name="Percent 27 2" xfId="645" xr:uid="{00000000-0005-0000-0000-000083020000}"/>
    <cellStyle name="Percent 28" xfId="646" xr:uid="{00000000-0005-0000-0000-000084020000}"/>
    <cellStyle name="Percent 28 2" xfId="647" xr:uid="{00000000-0005-0000-0000-000085020000}"/>
    <cellStyle name="Percent 28 3" xfId="648" xr:uid="{00000000-0005-0000-0000-000086020000}"/>
    <cellStyle name="Percent 28 4" xfId="649" xr:uid="{00000000-0005-0000-0000-000087020000}"/>
    <cellStyle name="Percent 29" xfId="650" xr:uid="{00000000-0005-0000-0000-000088020000}"/>
    <cellStyle name="Percent 29 2" xfId="651" xr:uid="{00000000-0005-0000-0000-000089020000}"/>
    <cellStyle name="Percent 3" xfId="5" xr:uid="{00000000-0005-0000-0000-00008A020000}"/>
    <cellStyle name="Percent 3 2" xfId="652" xr:uid="{00000000-0005-0000-0000-00008B020000}"/>
    <cellStyle name="Percent 3 2 2" xfId="653" xr:uid="{00000000-0005-0000-0000-00008C020000}"/>
    <cellStyle name="Percent 3 2 3" xfId="654" xr:uid="{00000000-0005-0000-0000-00008D020000}"/>
    <cellStyle name="Percent 3 2 3 2" xfId="655" xr:uid="{00000000-0005-0000-0000-00008E020000}"/>
    <cellStyle name="Percent 3 2 3 3" xfId="656" xr:uid="{00000000-0005-0000-0000-00008F020000}"/>
    <cellStyle name="Percent 3 2 3 4" xfId="657" xr:uid="{00000000-0005-0000-0000-000090020000}"/>
    <cellStyle name="Percent 3 2 4" xfId="658" xr:uid="{00000000-0005-0000-0000-000091020000}"/>
    <cellStyle name="Percent 3 2 4 2" xfId="659" xr:uid="{00000000-0005-0000-0000-000092020000}"/>
    <cellStyle name="Percent 3 2 4 2 2" xfId="660" xr:uid="{00000000-0005-0000-0000-000093020000}"/>
    <cellStyle name="Percent 3 2 4 2 3" xfId="661" xr:uid="{00000000-0005-0000-0000-000094020000}"/>
    <cellStyle name="Percent 3 2 4 2 3 2" xfId="662" xr:uid="{00000000-0005-0000-0000-000095020000}"/>
    <cellStyle name="Percent 3 2 4 3" xfId="663" xr:uid="{00000000-0005-0000-0000-000096020000}"/>
    <cellStyle name="Percent 3 2 5" xfId="664" xr:uid="{00000000-0005-0000-0000-000097020000}"/>
    <cellStyle name="Percent 3 2 5 2" xfId="665" xr:uid="{00000000-0005-0000-0000-000098020000}"/>
    <cellStyle name="Percent 3 2 5 3" xfId="666" xr:uid="{00000000-0005-0000-0000-000099020000}"/>
    <cellStyle name="Percent 3 2 5 3 2" xfId="667" xr:uid="{00000000-0005-0000-0000-00009A020000}"/>
    <cellStyle name="Percent 3 2 6" xfId="668" xr:uid="{00000000-0005-0000-0000-00009B020000}"/>
    <cellStyle name="Percent 3 2 7" xfId="669" xr:uid="{00000000-0005-0000-0000-00009C020000}"/>
    <cellStyle name="Percent 3 2 7 2" xfId="670" xr:uid="{00000000-0005-0000-0000-00009D020000}"/>
    <cellStyle name="Percent 3 3" xfId="671" xr:uid="{00000000-0005-0000-0000-00009E020000}"/>
    <cellStyle name="Percent 3 4" xfId="672" xr:uid="{00000000-0005-0000-0000-00009F020000}"/>
    <cellStyle name="Percent 3 5" xfId="673" xr:uid="{00000000-0005-0000-0000-0000A0020000}"/>
    <cellStyle name="Percent 3 5 2" xfId="674" xr:uid="{00000000-0005-0000-0000-0000A1020000}"/>
    <cellStyle name="Percent 3 5 3" xfId="675" xr:uid="{00000000-0005-0000-0000-0000A2020000}"/>
    <cellStyle name="Percent 3 5 4" xfId="676" xr:uid="{00000000-0005-0000-0000-0000A3020000}"/>
    <cellStyle name="Percent 3 6" xfId="677" xr:uid="{00000000-0005-0000-0000-0000A4020000}"/>
    <cellStyle name="Percent 3 6 2" xfId="678" xr:uid="{00000000-0005-0000-0000-0000A5020000}"/>
    <cellStyle name="Percent 3 7" xfId="679" xr:uid="{00000000-0005-0000-0000-0000A6020000}"/>
    <cellStyle name="Percent 3 8" xfId="680" xr:uid="{00000000-0005-0000-0000-0000A7020000}"/>
    <cellStyle name="Percent 3 9" xfId="681" xr:uid="{00000000-0005-0000-0000-0000A8020000}"/>
    <cellStyle name="Percent 30" xfId="682" xr:uid="{00000000-0005-0000-0000-0000A9020000}"/>
    <cellStyle name="Percent 31" xfId="514" xr:uid="{00000000-0005-0000-0000-0000AA020000}"/>
    <cellStyle name="Percent 4" xfId="683" xr:uid="{00000000-0005-0000-0000-0000AB020000}"/>
    <cellStyle name="Percent 4 2" xfId="684" xr:uid="{00000000-0005-0000-0000-0000AC020000}"/>
    <cellStyle name="Percent 4 3" xfId="685" xr:uid="{00000000-0005-0000-0000-0000AD020000}"/>
    <cellStyle name="Percent 4 3 2" xfId="686" xr:uid="{00000000-0005-0000-0000-0000AE020000}"/>
    <cellStyle name="Percent 4 3 3" xfId="687" xr:uid="{00000000-0005-0000-0000-0000AF020000}"/>
    <cellStyle name="Percent 4 3 4" xfId="688" xr:uid="{00000000-0005-0000-0000-0000B0020000}"/>
    <cellStyle name="Percent 4 4" xfId="689" xr:uid="{00000000-0005-0000-0000-0000B1020000}"/>
    <cellStyle name="Percent 4 4 2" xfId="690" xr:uid="{00000000-0005-0000-0000-0000B2020000}"/>
    <cellStyle name="Percent 4 4 2 2" xfId="691" xr:uid="{00000000-0005-0000-0000-0000B3020000}"/>
    <cellStyle name="Percent 4 4 2 3" xfId="692" xr:uid="{00000000-0005-0000-0000-0000B4020000}"/>
    <cellStyle name="Percent 4 4 2 3 2" xfId="693" xr:uid="{00000000-0005-0000-0000-0000B5020000}"/>
    <cellStyle name="Percent 4 4 3" xfId="694" xr:uid="{00000000-0005-0000-0000-0000B6020000}"/>
    <cellStyle name="Percent 4 5" xfId="695" xr:uid="{00000000-0005-0000-0000-0000B7020000}"/>
    <cellStyle name="Percent 4 5 2" xfId="696" xr:uid="{00000000-0005-0000-0000-0000B8020000}"/>
    <cellStyle name="Percent 4 5 3" xfId="697" xr:uid="{00000000-0005-0000-0000-0000B9020000}"/>
    <cellStyle name="Percent 4 5 3 2" xfId="698" xr:uid="{00000000-0005-0000-0000-0000BA020000}"/>
    <cellStyle name="Percent 4 6" xfId="699" xr:uid="{00000000-0005-0000-0000-0000BB020000}"/>
    <cellStyle name="Percent 4 7" xfId="700" xr:uid="{00000000-0005-0000-0000-0000BC020000}"/>
    <cellStyle name="Percent 4 7 2" xfId="701" xr:uid="{00000000-0005-0000-0000-0000BD020000}"/>
    <cellStyle name="Percent 5" xfId="702" xr:uid="{00000000-0005-0000-0000-0000BE020000}"/>
    <cellStyle name="Percent 5 2" xfId="703" xr:uid="{00000000-0005-0000-0000-0000BF020000}"/>
    <cellStyle name="Percent 5 3" xfId="704" xr:uid="{00000000-0005-0000-0000-0000C0020000}"/>
    <cellStyle name="Percent 5 3 2" xfId="705" xr:uid="{00000000-0005-0000-0000-0000C1020000}"/>
    <cellStyle name="Percent 5 3 3" xfId="706" xr:uid="{00000000-0005-0000-0000-0000C2020000}"/>
    <cellStyle name="Percent 5 4" xfId="707" xr:uid="{00000000-0005-0000-0000-0000C3020000}"/>
    <cellStyle name="Percent 5 4 2" xfId="708" xr:uid="{00000000-0005-0000-0000-0000C4020000}"/>
    <cellStyle name="Percent 5 4 3" xfId="709" xr:uid="{00000000-0005-0000-0000-0000C5020000}"/>
    <cellStyle name="Percent 5 4 4" xfId="710" xr:uid="{00000000-0005-0000-0000-0000C6020000}"/>
    <cellStyle name="Percent 5 5" xfId="711" xr:uid="{00000000-0005-0000-0000-0000C7020000}"/>
    <cellStyle name="Percent 5 5 2" xfId="712" xr:uid="{00000000-0005-0000-0000-0000C8020000}"/>
    <cellStyle name="Percent 5 5 2 2" xfId="713" xr:uid="{00000000-0005-0000-0000-0000C9020000}"/>
    <cellStyle name="Percent 5 5 2 3" xfId="714" xr:uid="{00000000-0005-0000-0000-0000CA020000}"/>
    <cellStyle name="Percent 5 5 2 3 2" xfId="715" xr:uid="{00000000-0005-0000-0000-0000CB020000}"/>
    <cellStyle name="Percent 5 5 3" xfId="716" xr:uid="{00000000-0005-0000-0000-0000CC020000}"/>
    <cellStyle name="Percent 5 6" xfId="717" xr:uid="{00000000-0005-0000-0000-0000CD020000}"/>
    <cellStyle name="Percent 5 6 2" xfId="718" xr:uid="{00000000-0005-0000-0000-0000CE020000}"/>
    <cellStyle name="Percent 5 6 3" xfId="719" xr:uid="{00000000-0005-0000-0000-0000CF020000}"/>
    <cellStyle name="Percent 5 6 3 2" xfId="720" xr:uid="{00000000-0005-0000-0000-0000D0020000}"/>
    <cellStyle name="Percent 5 7" xfId="721" xr:uid="{00000000-0005-0000-0000-0000D1020000}"/>
    <cellStyle name="Percent 5 8" xfId="722" xr:uid="{00000000-0005-0000-0000-0000D2020000}"/>
    <cellStyle name="Percent 5 8 2" xfId="723" xr:uid="{00000000-0005-0000-0000-0000D3020000}"/>
    <cellStyle name="Percent 5 9" xfId="724" xr:uid="{00000000-0005-0000-0000-0000D4020000}"/>
    <cellStyle name="Percent 5 9 2" xfId="725" xr:uid="{00000000-0005-0000-0000-0000D5020000}"/>
    <cellStyle name="Percent 5 9 3" xfId="726" xr:uid="{00000000-0005-0000-0000-0000D6020000}"/>
    <cellStyle name="Percent 5 9 3 2" xfId="727" xr:uid="{00000000-0005-0000-0000-0000D7020000}"/>
    <cellStyle name="Percent 6" xfId="728" xr:uid="{00000000-0005-0000-0000-0000D8020000}"/>
    <cellStyle name="Percent 6 10" xfId="729" xr:uid="{00000000-0005-0000-0000-0000D9020000}"/>
    <cellStyle name="Percent 6 11" xfId="730" xr:uid="{00000000-0005-0000-0000-0000DA020000}"/>
    <cellStyle name="Percent 6 11 2" xfId="731" xr:uid="{00000000-0005-0000-0000-0000DB020000}"/>
    <cellStyle name="Percent 6 11 2 2" xfId="732" xr:uid="{00000000-0005-0000-0000-0000DC020000}"/>
    <cellStyle name="Percent 6 11 2 3" xfId="733" xr:uid="{00000000-0005-0000-0000-0000DD020000}"/>
    <cellStyle name="Percent 6 11 2 3 2" xfId="734" xr:uid="{00000000-0005-0000-0000-0000DE020000}"/>
    <cellStyle name="Percent 6 12" xfId="735" xr:uid="{00000000-0005-0000-0000-0000DF020000}"/>
    <cellStyle name="Percent 6 13" xfId="736" xr:uid="{00000000-0005-0000-0000-0000E0020000}"/>
    <cellStyle name="Percent 6 13 2" xfId="737" xr:uid="{00000000-0005-0000-0000-0000E1020000}"/>
    <cellStyle name="Percent 6 13 2 2" xfId="738" xr:uid="{00000000-0005-0000-0000-0000E2020000}"/>
    <cellStyle name="Percent 6 13 2 3" xfId="739" xr:uid="{00000000-0005-0000-0000-0000E3020000}"/>
    <cellStyle name="Percent 6 13 2 3 2" xfId="740" xr:uid="{00000000-0005-0000-0000-0000E4020000}"/>
    <cellStyle name="Percent 6 14" xfId="741" xr:uid="{00000000-0005-0000-0000-0000E5020000}"/>
    <cellStyle name="Percent 6 14 2" xfId="742" xr:uid="{00000000-0005-0000-0000-0000E6020000}"/>
    <cellStyle name="Percent 6 15" xfId="743" xr:uid="{00000000-0005-0000-0000-0000E7020000}"/>
    <cellStyle name="Percent 6 16" xfId="744" xr:uid="{00000000-0005-0000-0000-0000E8020000}"/>
    <cellStyle name="Percent 6 16 2" xfId="745" xr:uid="{00000000-0005-0000-0000-0000E9020000}"/>
    <cellStyle name="Percent 6 2" xfId="746" xr:uid="{00000000-0005-0000-0000-0000EA020000}"/>
    <cellStyle name="Percent 6 3" xfId="747" xr:uid="{00000000-0005-0000-0000-0000EB020000}"/>
    <cellStyle name="Percent 6 4" xfId="748" xr:uid="{00000000-0005-0000-0000-0000EC020000}"/>
    <cellStyle name="Percent 6 5" xfId="749" xr:uid="{00000000-0005-0000-0000-0000ED020000}"/>
    <cellStyle name="Percent 6 6" xfId="750" xr:uid="{00000000-0005-0000-0000-0000EE020000}"/>
    <cellStyle name="Percent 6 7" xfId="751" xr:uid="{00000000-0005-0000-0000-0000EF020000}"/>
    <cellStyle name="Percent 6 7 2" xfId="752" xr:uid="{00000000-0005-0000-0000-0000F0020000}"/>
    <cellStyle name="Percent 6 7 2 2" xfId="753" xr:uid="{00000000-0005-0000-0000-0000F1020000}"/>
    <cellStyle name="Percent 6 7 2 3" xfId="754" xr:uid="{00000000-0005-0000-0000-0000F2020000}"/>
    <cellStyle name="Percent 6 8" xfId="755" xr:uid="{00000000-0005-0000-0000-0000F3020000}"/>
    <cellStyle name="Percent 6 9" xfId="756" xr:uid="{00000000-0005-0000-0000-0000F4020000}"/>
    <cellStyle name="Percent 7" xfId="757" xr:uid="{00000000-0005-0000-0000-0000F5020000}"/>
    <cellStyle name="Percent 7 10" xfId="758" xr:uid="{00000000-0005-0000-0000-0000F6020000}"/>
    <cellStyle name="Percent 7 11" xfId="759" xr:uid="{00000000-0005-0000-0000-0000F7020000}"/>
    <cellStyle name="Percent 7 11 2" xfId="760" xr:uid="{00000000-0005-0000-0000-0000F8020000}"/>
    <cellStyle name="Percent 7 11 2 2" xfId="761" xr:uid="{00000000-0005-0000-0000-0000F9020000}"/>
    <cellStyle name="Percent 7 11 2 3" xfId="762" xr:uid="{00000000-0005-0000-0000-0000FA020000}"/>
    <cellStyle name="Percent 7 11 2 3 2" xfId="763" xr:uid="{00000000-0005-0000-0000-0000FB020000}"/>
    <cellStyle name="Percent 7 12" xfId="764" xr:uid="{00000000-0005-0000-0000-0000FC020000}"/>
    <cellStyle name="Percent 7 12 2" xfId="765" xr:uid="{00000000-0005-0000-0000-0000FD020000}"/>
    <cellStyle name="Percent 7 13" xfId="766" xr:uid="{00000000-0005-0000-0000-0000FE020000}"/>
    <cellStyle name="Percent 7 14" xfId="767" xr:uid="{00000000-0005-0000-0000-0000FF020000}"/>
    <cellStyle name="Percent 7 14 2" xfId="768" xr:uid="{00000000-0005-0000-0000-000000030000}"/>
    <cellStyle name="Percent 7 2" xfId="769" xr:uid="{00000000-0005-0000-0000-000001030000}"/>
    <cellStyle name="Percent 7 3" xfId="770" xr:uid="{00000000-0005-0000-0000-000002030000}"/>
    <cellStyle name="Percent 7 4" xfId="771" xr:uid="{00000000-0005-0000-0000-000003030000}"/>
    <cellStyle name="Percent 7 5" xfId="772" xr:uid="{00000000-0005-0000-0000-000004030000}"/>
    <cellStyle name="Percent 7 5 2" xfId="773" xr:uid="{00000000-0005-0000-0000-000005030000}"/>
    <cellStyle name="Percent 7 5 2 2" xfId="774" xr:uid="{00000000-0005-0000-0000-000006030000}"/>
    <cellStyle name="Percent 7 5 2 3" xfId="775" xr:uid="{00000000-0005-0000-0000-000007030000}"/>
    <cellStyle name="Percent 7 5 2 4" xfId="776" xr:uid="{00000000-0005-0000-0000-000008030000}"/>
    <cellStyle name="Percent 7 6" xfId="777" xr:uid="{00000000-0005-0000-0000-000009030000}"/>
    <cellStyle name="Percent 7 7" xfId="778" xr:uid="{00000000-0005-0000-0000-00000A030000}"/>
    <cellStyle name="Percent 7 8" xfId="779" xr:uid="{00000000-0005-0000-0000-00000B030000}"/>
    <cellStyle name="Percent 7 9" xfId="780" xr:uid="{00000000-0005-0000-0000-00000C030000}"/>
    <cellStyle name="Percent 7 9 2" xfId="781" xr:uid="{00000000-0005-0000-0000-00000D030000}"/>
    <cellStyle name="Percent 7 9 2 2" xfId="782" xr:uid="{00000000-0005-0000-0000-00000E030000}"/>
    <cellStyle name="Percent 7 9 2 3" xfId="783" xr:uid="{00000000-0005-0000-0000-00000F030000}"/>
    <cellStyle name="Percent 7 9 2 3 2" xfId="784" xr:uid="{00000000-0005-0000-0000-000010030000}"/>
    <cellStyle name="Percent 8" xfId="785" xr:uid="{00000000-0005-0000-0000-000011030000}"/>
    <cellStyle name="Percent 8 2" xfId="786" xr:uid="{00000000-0005-0000-0000-000012030000}"/>
    <cellStyle name="Percent 8 3" xfId="787" xr:uid="{00000000-0005-0000-0000-000013030000}"/>
    <cellStyle name="Percent 8 4" xfId="788" xr:uid="{00000000-0005-0000-0000-000014030000}"/>
    <cellStyle name="Percent 8 5" xfId="789" xr:uid="{00000000-0005-0000-0000-000015030000}"/>
    <cellStyle name="Percent 9" xfId="790" xr:uid="{00000000-0005-0000-0000-000016030000}"/>
    <cellStyle name="Percent 9 2" xfId="791" xr:uid="{00000000-0005-0000-0000-000017030000}"/>
    <cellStyle name="Percent 9 3" xfId="792" xr:uid="{00000000-0005-0000-0000-000018030000}"/>
    <cellStyle name="Percent 9 4" xfId="793" xr:uid="{00000000-0005-0000-0000-000019030000}"/>
    <cellStyle name="Percent 9 5" xfId="794" xr:uid="{00000000-0005-0000-0000-00001A030000}"/>
    <cellStyle name="PSChar" xfId="795" xr:uid="{00000000-0005-0000-0000-00001B030000}"/>
    <cellStyle name="PSChar 10" xfId="796" xr:uid="{00000000-0005-0000-0000-00001C030000}"/>
    <cellStyle name="PSChar 10 2" xfId="797" xr:uid="{00000000-0005-0000-0000-00001D030000}"/>
    <cellStyle name="PSChar 10 2 2" xfId="798" xr:uid="{00000000-0005-0000-0000-00001E030000}"/>
    <cellStyle name="PSChar 10 3" xfId="799" xr:uid="{00000000-0005-0000-0000-00001F030000}"/>
    <cellStyle name="PSChar 2" xfId="800" xr:uid="{00000000-0005-0000-0000-000020030000}"/>
    <cellStyle name="PSChar 2 2" xfId="801" xr:uid="{00000000-0005-0000-0000-000021030000}"/>
    <cellStyle name="PSChar 2 2 2" xfId="802" xr:uid="{00000000-0005-0000-0000-000022030000}"/>
    <cellStyle name="PSChar 3" xfId="803" xr:uid="{00000000-0005-0000-0000-000023030000}"/>
    <cellStyle name="PSChar 3 2" xfId="804" xr:uid="{00000000-0005-0000-0000-000024030000}"/>
    <cellStyle name="PSChar 4" xfId="805" xr:uid="{00000000-0005-0000-0000-000025030000}"/>
    <cellStyle name="PSChar 4 2" xfId="806" xr:uid="{00000000-0005-0000-0000-000026030000}"/>
    <cellStyle name="PSChar 5" xfId="807" xr:uid="{00000000-0005-0000-0000-000027030000}"/>
    <cellStyle name="PSChar 5 2" xfId="808" xr:uid="{00000000-0005-0000-0000-000028030000}"/>
    <cellStyle name="PSChar 5 3" xfId="809" xr:uid="{00000000-0005-0000-0000-000029030000}"/>
    <cellStyle name="PSChar 5 3 2" xfId="810" xr:uid="{00000000-0005-0000-0000-00002A030000}"/>
    <cellStyle name="PSChar 6" xfId="811" xr:uid="{00000000-0005-0000-0000-00002B030000}"/>
    <cellStyle name="PSChar 6 2" xfId="812" xr:uid="{00000000-0005-0000-0000-00002C030000}"/>
    <cellStyle name="PSChar 7" xfId="813" xr:uid="{00000000-0005-0000-0000-00002D030000}"/>
    <cellStyle name="PSChar 8" xfId="814" xr:uid="{00000000-0005-0000-0000-00002E030000}"/>
    <cellStyle name="PSChar 8 2" xfId="815" xr:uid="{00000000-0005-0000-0000-00002F030000}"/>
    <cellStyle name="PSChar 9" xfId="816" xr:uid="{00000000-0005-0000-0000-000030030000}"/>
    <cellStyle name="PSChar 9 2" xfId="817" xr:uid="{00000000-0005-0000-0000-000031030000}"/>
    <cellStyle name="PSDate" xfId="818" xr:uid="{00000000-0005-0000-0000-000032030000}"/>
    <cellStyle name="PSDate 2" xfId="819" xr:uid="{00000000-0005-0000-0000-000033030000}"/>
    <cellStyle name="PSDate 2 2" xfId="820" xr:uid="{00000000-0005-0000-0000-000034030000}"/>
    <cellStyle name="PSDate 2 2 2" xfId="821" xr:uid="{00000000-0005-0000-0000-000035030000}"/>
    <cellStyle name="PSDate 3" xfId="822" xr:uid="{00000000-0005-0000-0000-000036030000}"/>
    <cellStyle name="PSDate 3 2" xfId="823" xr:uid="{00000000-0005-0000-0000-000037030000}"/>
    <cellStyle name="PSDate 4" xfId="824" xr:uid="{00000000-0005-0000-0000-000038030000}"/>
    <cellStyle name="PSDate 4 2" xfId="825" xr:uid="{00000000-0005-0000-0000-000039030000}"/>
    <cellStyle name="PSDate 5" xfId="826" xr:uid="{00000000-0005-0000-0000-00003A030000}"/>
    <cellStyle name="PSDate 5 2" xfId="827" xr:uid="{00000000-0005-0000-0000-00003B030000}"/>
    <cellStyle name="PSDate 5 3" xfId="828" xr:uid="{00000000-0005-0000-0000-00003C030000}"/>
    <cellStyle name="PSDate 5 3 2" xfId="829" xr:uid="{00000000-0005-0000-0000-00003D030000}"/>
    <cellStyle name="PSDate 6" xfId="830" xr:uid="{00000000-0005-0000-0000-00003E030000}"/>
    <cellStyle name="PSDate 6 2" xfId="831" xr:uid="{00000000-0005-0000-0000-00003F030000}"/>
    <cellStyle name="PSDate 7" xfId="832" xr:uid="{00000000-0005-0000-0000-000040030000}"/>
    <cellStyle name="PSDate 8" xfId="833" xr:uid="{00000000-0005-0000-0000-000041030000}"/>
    <cellStyle name="PSDate 8 2" xfId="834" xr:uid="{00000000-0005-0000-0000-000042030000}"/>
    <cellStyle name="PSDate 9" xfId="835" xr:uid="{00000000-0005-0000-0000-000043030000}"/>
    <cellStyle name="PSDate 9 2" xfId="836" xr:uid="{00000000-0005-0000-0000-000044030000}"/>
    <cellStyle name="PSDate 9 2 2" xfId="837" xr:uid="{00000000-0005-0000-0000-000045030000}"/>
    <cellStyle name="PSDate 9 3" xfId="838" xr:uid="{00000000-0005-0000-0000-000046030000}"/>
    <cellStyle name="PSDec" xfId="839" xr:uid="{00000000-0005-0000-0000-000047030000}"/>
    <cellStyle name="PSDec 10" xfId="840" xr:uid="{00000000-0005-0000-0000-000048030000}"/>
    <cellStyle name="PSDec 10 2" xfId="841" xr:uid="{00000000-0005-0000-0000-000049030000}"/>
    <cellStyle name="PSDec 10 2 2" xfId="842" xr:uid="{00000000-0005-0000-0000-00004A030000}"/>
    <cellStyle name="PSDec 10 3" xfId="843" xr:uid="{00000000-0005-0000-0000-00004B030000}"/>
    <cellStyle name="PSDec 2" xfId="844" xr:uid="{00000000-0005-0000-0000-00004C030000}"/>
    <cellStyle name="PSDec 2 2" xfId="845" xr:uid="{00000000-0005-0000-0000-00004D030000}"/>
    <cellStyle name="PSDec 2 2 2" xfId="846" xr:uid="{00000000-0005-0000-0000-00004E030000}"/>
    <cellStyle name="PSDec 3" xfId="847" xr:uid="{00000000-0005-0000-0000-00004F030000}"/>
    <cellStyle name="PSDec 3 2" xfId="848" xr:uid="{00000000-0005-0000-0000-000050030000}"/>
    <cellStyle name="PSDec 4" xfId="849" xr:uid="{00000000-0005-0000-0000-000051030000}"/>
    <cellStyle name="PSDec 4 2" xfId="850" xr:uid="{00000000-0005-0000-0000-000052030000}"/>
    <cellStyle name="PSDec 5" xfId="851" xr:uid="{00000000-0005-0000-0000-000053030000}"/>
    <cellStyle name="PSDec 5 2" xfId="852" xr:uid="{00000000-0005-0000-0000-000054030000}"/>
    <cellStyle name="PSDec 5 3" xfId="853" xr:uid="{00000000-0005-0000-0000-000055030000}"/>
    <cellStyle name="PSDec 5 3 2" xfId="854" xr:uid="{00000000-0005-0000-0000-000056030000}"/>
    <cellStyle name="PSDec 6" xfId="855" xr:uid="{00000000-0005-0000-0000-000057030000}"/>
    <cellStyle name="PSDec 6 2" xfId="856" xr:uid="{00000000-0005-0000-0000-000058030000}"/>
    <cellStyle name="PSDec 7" xfId="857" xr:uid="{00000000-0005-0000-0000-000059030000}"/>
    <cellStyle name="PSDec 8" xfId="858" xr:uid="{00000000-0005-0000-0000-00005A030000}"/>
    <cellStyle name="PSDec 8 2" xfId="859" xr:uid="{00000000-0005-0000-0000-00005B030000}"/>
    <cellStyle name="PSDec 9" xfId="860" xr:uid="{00000000-0005-0000-0000-00005C030000}"/>
    <cellStyle name="PSDec 9 2" xfId="861" xr:uid="{00000000-0005-0000-0000-00005D030000}"/>
    <cellStyle name="PSHeading" xfId="862" xr:uid="{00000000-0005-0000-0000-00005E030000}"/>
    <cellStyle name="PSHeading 2" xfId="863" xr:uid="{00000000-0005-0000-0000-00005F030000}"/>
    <cellStyle name="PSHeading 2 2" xfId="864" xr:uid="{00000000-0005-0000-0000-000060030000}"/>
    <cellStyle name="PSHeading 2 2 2" xfId="865" xr:uid="{00000000-0005-0000-0000-000061030000}"/>
    <cellStyle name="PSHeading 2 2 3" xfId="866" xr:uid="{00000000-0005-0000-0000-000062030000}"/>
    <cellStyle name="PSHeading 2 2 3 2" xfId="867" xr:uid="{00000000-0005-0000-0000-000063030000}"/>
    <cellStyle name="PSHeading 3" xfId="868" xr:uid="{00000000-0005-0000-0000-000064030000}"/>
    <cellStyle name="PSHeading 3 2" xfId="869" xr:uid="{00000000-0005-0000-0000-000065030000}"/>
    <cellStyle name="PSHeading 3 3" xfId="870" xr:uid="{00000000-0005-0000-0000-000066030000}"/>
    <cellStyle name="PSHeading 3 3 2" xfId="871" xr:uid="{00000000-0005-0000-0000-000067030000}"/>
    <cellStyle name="PSHeading 4" xfId="872" xr:uid="{00000000-0005-0000-0000-000068030000}"/>
    <cellStyle name="PSHeading 4 2" xfId="873" xr:uid="{00000000-0005-0000-0000-000069030000}"/>
    <cellStyle name="PSHeading 5" xfId="874" xr:uid="{00000000-0005-0000-0000-00006A030000}"/>
    <cellStyle name="PSHeading 5 2" xfId="875" xr:uid="{00000000-0005-0000-0000-00006B030000}"/>
    <cellStyle name="PSHeading 6" xfId="876" xr:uid="{00000000-0005-0000-0000-00006C030000}"/>
    <cellStyle name="PSHeading 6 2" xfId="877" xr:uid="{00000000-0005-0000-0000-00006D030000}"/>
    <cellStyle name="PSHeading 6 2 2" xfId="878" xr:uid="{00000000-0005-0000-0000-00006E030000}"/>
    <cellStyle name="PSHeading 6 3" xfId="879" xr:uid="{00000000-0005-0000-0000-00006F030000}"/>
    <cellStyle name="PSInt" xfId="880" xr:uid="{00000000-0005-0000-0000-000070030000}"/>
    <cellStyle name="PSInt 10" xfId="881" xr:uid="{00000000-0005-0000-0000-000071030000}"/>
    <cellStyle name="PSInt 10 2" xfId="882" xr:uid="{00000000-0005-0000-0000-000072030000}"/>
    <cellStyle name="PSInt 10 2 2" xfId="883" xr:uid="{00000000-0005-0000-0000-000073030000}"/>
    <cellStyle name="PSInt 10 3" xfId="884" xr:uid="{00000000-0005-0000-0000-000074030000}"/>
    <cellStyle name="PSInt 2" xfId="885" xr:uid="{00000000-0005-0000-0000-000075030000}"/>
    <cellStyle name="PSInt 2 2" xfId="886" xr:uid="{00000000-0005-0000-0000-000076030000}"/>
    <cellStyle name="PSInt 2 2 2" xfId="887" xr:uid="{00000000-0005-0000-0000-000077030000}"/>
    <cellStyle name="PSInt 3" xfId="888" xr:uid="{00000000-0005-0000-0000-000078030000}"/>
    <cellStyle name="PSInt 3 2" xfId="889" xr:uid="{00000000-0005-0000-0000-000079030000}"/>
    <cellStyle name="PSInt 4" xfId="890" xr:uid="{00000000-0005-0000-0000-00007A030000}"/>
    <cellStyle name="PSInt 4 2" xfId="891" xr:uid="{00000000-0005-0000-0000-00007B030000}"/>
    <cellStyle name="PSInt 5" xfId="892" xr:uid="{00000000-0005-0000-0000-00007C030000}"/>
    <cellStyle name="PSInt 5 2" xfId="893" xr:uid="{00000000-0005-0000-0000-00007D030000}"/>
    <cellStyle name="PSInt 5 3" xfId="894" xr:uid="{00000000-0005-0000-0000-00007E030000}"/>
    <cellStyle name="PSInt 5 3 2" xfId="895" xr:uid="{00000000-0005-0000-0000-00007F030000}"/>
    <cellStyle name="PSInt 6" xfId="896" xr:uid="{00000000-0005-0000-0000-000080030000}"/>
    <cellStyle name="PSInt 6 2" xfId="897" xr:uid="{00000000-0005-0000-0000-000081030000}"/>
    <cellStyle name="PSInt 7" xfId="898" xr:uid="{00000000-0005-0000-0000-000082030000}"/>
    <cellStyle name="PSInt 8" xfId="899" xr:uid="{00000000-0005-0000-0000-000083030000}"/>
    <cellStyle name="PSInt 8 2" xfId="900" xr:uid="{00000000-0005-0000-0000-000084030000}"/>
    <cellStyle name="PSInt 9" xfId="901" xr:uid="{00000000-0005-0000-0000-000085030000}"/>
    <cellStyle name="PSInt 9 2" xfId="902" xr:uid="{00000000-0005-0000-0000-000086030000}"/>
    <cellStyle name="PSSpacer" xfId="903" xr:uid="{00000000-0005-0000-0000-000087030000}"/>
    <cellStyle name="PSSpacer 2" xfId="904" xr:uid="{00000000-0005-0000-0000-000088030000}"/>
    <cellStyle name="PSSpacer 2 2" xfId="905" xr:uid="{00000000-0005-0000-0000-000089030000}"/>
    <cellStyle name="PSSpacer 3" xfId="906" xr:uid="{00000000-0005-0000-0000-00008A030000}"/>
    <cellStyle name="PSSpacer 3 2" xfId="907" xr:uid="{00000000-0005-0000-0000-00008B030000}"/>
    <cellStyle name="PSSpacer 4" xfId="908" xr:uid="{00000000-0005-0000-0000-00008C030000}"/>
    <cellStyle name="PSSpacer 4 2" xfId="909" xr:uid="{00000000-0005-0000-0000-00008D030000}"/>
    <cellStyle name="PSSpacer 5" xfId="910" xr:uid="{00000000-0005-0000-0000-00008E030000}"/>
    <cellStyle name="PSSpacer 5 2" xfId="911" xr:uid="{00000000-0005-0000-0000-00008F030000}"/>
    <cellStyle name="PSSpacer 5 3" xfId="912" xr:uid="{00000000-0005-0000-0000-000090030000}"/>
    <cellStyle name="PSSpacer 5 3 2" xfId="913" xr:uid="{00000000-0005-0000-0000-000091030000}"/>
    <cellStyle name="PSSpacer 6" xfId="914" xr:uid="{00000000-0005-0000-0000-000092030000}"/>
    <cellStyle name="PSSpacer 6 2" xfId="915" xr:uid="{00000000-0005-0000-0000-000093030000}"/>
    <cellStyle name="PSSpacer 7" xfId="916" xr:uid="{00000000-0005-0000-0000-000094030000}"/>
    <cellStyle name="PSSpacer 8" xfId="917" xr:uid="{00000000-0005-0000-0000-000095030000}"/>
    <cellStyle name="PSSpacer 8 2" xfId="918" xr:uid="{00000000-0005-0000-0000-000096030000}"/>
    <cellStyle name="PSSpacer 9" xfId="919" xr:uid="{00000000-0005-0000-0000-000097030000}"/>
    <cellStyle name="PSSpacer 9 2" xfId="920" xr:uid="{00000000-0005-0000-0000-000098030000}"/>
    <cellStyle name="PSSpacer 9 2 2" xfId="921" xr:uid="{00000000-0005-0000-0000-000099030000}"/>
    <cellStyle name="PSSpacer 9 3" xfId="922" xr:uid="{00000000-0005-0000-0000-00009A030000}"/>
    <cellStyle name="Title 2" xfId="923" xr:uid="{00000000-0005-0000-0000-00009B030000}"/>
    <cellStyle name="Total 2" xfId="924" xr:uid="{00000000-0005-0000-0000-00009C030000}"/>
    <cellStyle name="Warning Text 2" xfId="925" xr:uid="{00000000-0005-0000-0000-00009D030000}"/>
  </cellStyles>
  <dxfs count="1"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CCFFFF"/>
      <color rgb="FFFF99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1</xdr:col>
      <xdr:colOff>728799</xdr:colOff>
      <xdr:row>2</xdr:row>
      <xdr:rowOff>142876</xdr:rowOff>
    </xdr:to>
    <xdr:sp macro="Hide_ZERO_rows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47625"/>
          <a:ext cx="728799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126364</xdr:colOff>
      <xdr:row>1</xdr:row>
      <xdr:rowOff>47625</xdr:rowOff>
    </xdr:from>
    <xdr:to>
      <xdr:col>2</xdr:col>
      <xdr:colOff>725142</xdr:colOff>
      <xdr:row>2</xdr:row>
      <xdr:rowOff>142876</xdr:rowOff>
    </xdr:to>
    <xdr:sp macro="Hide_ZERO_rows" textlink="">
      <xdr:nvSpPr>
        <xdr:cNvPr id="3" name="AutoShape 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126364" y="47625"/>
          <a:ext cx="1446503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128269</xdr:colOff>
      <xdr:row>1</xdr:row>
      <xdr:rowOff>47625</xdr:rowOff>
    </xdr:from>
    <xdr:to>
      <xdr:col>2</xdr:col>
      <xdr:colOff>721631</xdr:colOff>
      <xdr:row>2</xdr:row>
      <xdr:rowOff>142876</xdr:rowOff>
    </xdr:to>
    <xdr:sp macro="Hide_ZERO_rows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128269" y="47625"/>
          <a:ext cx="1441087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6" name="AutoShape 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7" name="AutoShape 4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8" name="AutoShape 4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9" name="AutoShape 4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10" name="AutoShape 4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11" name="AutoShape 4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12" name="AutoShape 4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13" name="AutoShape 4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14" name="AutoShape 4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15" name="AutoShape 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16" name="AutoShape 4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17" name="AutoShape 4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18" name="AutoShape 4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19" name="AutoShape 4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20" name="AutoShape 4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21" name="AutoShape 4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22" name="AutoShape 4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23" name="AutoShape 4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24" name="AutoShape 4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25" name="AutoShape 4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26" name="AutoShape 4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140334</xdr:colOff>
      <xdr:row>1</xdr:row>
      <xdr:rowOff>47625</xdr:rowOff>
    </xdr:from>
    <xdr:to>
      <xdr:col>2</xdr:col>
      <xdr:colOff>726288</xdr:colOff>
      <xdr:row>2</xdr:row>
      <xdr:rowOff>142876</xdr:rowOff>
    </xdr:to>
    <xdr:sp macro="Hide_ZERO_rows" textlink="">
      <xdr:nvSpPr>
        <xdr:cNvPr id="27" name="AutoShape 4">
          <a:extLst>
            <a:ext uri="{FF2B5EF4-FFF2-40B4-BE49-F238E27FC236}">
              <a16:creationId xmlns:a16="http://schemas.microsoft.com/office/drawing/2014/main" id="{7A928777-0271-46E0-A978-FA744FD1A4E7}"/>
            </a:ext>
          </a:extLst>
        </xdr:cNvPr>
        <xdr:cNvSpPr>
          <a:spLocks noChangeArrowheads="1"/>
        </xdr:cNvSpPr>
      </xdr:nvSpPr>
      <xdr:spPr bwMode="auto">
        <a:xfrm>
          <a:off x="140334" y="47625"/>
          <a:ext cx="1433679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142239</xdr:colOff>
      <xdr:row>1</xdr:row>
      <xdr:rowOff>47625</xdr:rowOff>
    </xdr:from>
    <xdr:to>
      <xdr:col>2</xdr:col>
      <xdr:colOff>730346</xdr:colOff>
      <xdr:row>2</xdr:row>
      <xdr:rowOff>142876</xdr:rowOff>
    </xdr:to>
    <xdr:sp macro="Hide_ZERO_rows" textlink="">
      <xdr:nvSpPr>
        <xdr:cNvPr id="28" name="AutoShape 4">
          <a:extLst>
            <a:ext uri="{FF2B5EF4-FFF2-40B4-BE49-F238E27FC236}">
              <a16:creationId xmlns:a16="http://schemas.microsoft.com/office/drawing/2014/main" id="{0BEEAC29-745F-4D70-B160-1EB6CB0A316F}"/>
            </a:ext>
          </a:extLst>
        </xdr:cNvPr>
        <xdr:cNvSpPr>
          <a:spLocks noChangeArrowheads="1"/>
        </xdr:cNvSpPr>
      </xdr:nvSpPr>
      <xdr:spPr bwMode="auto">
        <a:xfrm>
          <a:off x="142239" y="47625"/>
          <a:ext cx="1435832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111124</xdr:colOff>
      <xdr:row>1</xdr:row>
      <xdr:rowOff>47625</xdr:rowOff>
    </xdr:from>
    <xdr:to>
      <xdr:col>2</xdr:col>
      <xdr:colOff>725240</xdr:colOff>
      <xdr:row>2</xdr:row>
      <xdr:rowOff>142876</xdr:rowOff>
    </xdr:to>
    <xdr:sp macro="Hide_ZERO_rows" textlink="">
      <xdr:nvSpPr>
        <xdr:cNvPr id="29" name="AutoShape 4">
          <a:extLst>
            <a:ext uri="{FF2B5EF4-FFF2-40B4-BE49-F238E27FC236}">
              <a16:creationId xmlns:a16="http://schemas.microsoft.com/office/drawing/2014/main" id="{4C66CE13-B06B-4BB3-8B18-7BF62985624E}"/>
            </a:ext>
          </a:extLst>
        </xdr:cNvPr>
        <xdr:cNvSpPr>
          <a:spLocks noChangeArrowheads="1"/>
        </xdr:cNvSpPr>
      </xdr:nvSpPr>
      <xdr:spPr bwMode="auto">
        <a:xfrm>
          <a:off x="111124" y="47625"/>
          <a:ext cx="146184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111124</xdr:colOff>
      <xdr:row>1</xdr:row>
      <xdr:rowOff>47625</xdr:rowOff>
    </xdr:from>
    <xdr:to>
      <xdr:col>2</xdr:col>
      <xdr:colOff>725240</xdr:colOff>
      <xdr:row>2</xdr:row>
      <xdr:rowOff>142876</xdr:rowOff>
    </xdr:to>
    <xdr:sp macro="Hide_ZERO_rows" textlink="">
      <xdr:nvSpPr>
        <xdr:cNvPr id="30" name="AutoShape 4">
          <a:extLst>
            <a:ext uri="{FF2B5EF4-FFF2-40B4-BE49-F238E27FC236}">
              <a16:creationId xmlns:a16="http://schemas.microsoft.com/office/drawing/2014/main" id="{197B00A9-39EC-4318-A639-3EC7ED9C80D1}"/>
            </a:ext>
          </a:extLst>
        </xdr:cNvPr>
        <xdr:cNvSpPr>
          <a:spLocks noChangeArrowheads="1"/>
        </xdr:cNvSpPr>
      </xdr:nvSpPr>
      <xdr:spPr bwMode="auto">
        <a:xfrm>
          <a:off x="111124" y="47625"/>
          <a:ext cx="146184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111124</xdr:colOff>
      <xdr:row>1</xdr:row>
      <xdr:rowOff>47625</xdr:rowOff>
    </xdr:from>
    <xdr:to>
      <xdr:col>2</xdr:col>
      <xdr:colOff>725240</xdr:colOff>
      <xdr:row>2</xdr:row>
      <xdr:rowOff>142876</xdr:rowOff>
    </xdr:to>
    <xdr:sp macro="Hide_ZERO_rows" textlink="">
      <xdr:nvSpPr>
        <xdr:cNvPr id="31" name="AutoShape 4">
          <a:extLst>
            <a:ext uri="{FF2B5EF4-FFF2-40B4-BE49-F238E27FC236}">
              <a16:creationId xmlns:a16="http://schemas.microsoft.com/office/drawing/2014/main" id="{A4B86D86-B4E5-404B-A06E-CEAB10E26271}"/>
            </a:ext>
          </a:extLst>
        </xdr:cNvPr>
        <xdr:cNvSpPr>
          <a:spLocks noChangeArrowheads="1"/>
        </xdr:cNvSpPr>
      </xdr:nvSpPr>
      <xdr:spPr bwMode="auto">
        <a:xfrm>
          <a:off x="111124" y="47625"/>
          <a:ext cx="146184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111124</xdr:colOff>
      <xdr:row>1</xdr:row>
      <xdr:rowOff>47625</xdr:rowOff>
    </xdr:from>
    <xdr:to>
      <xdr:col>2</xdr:col>
      <xdr:colOff>725240</xdr:colOff>
      <xdr:row>2</xdr:row>
      <xdr:rowOff>142876</xdr:rowOff>
    </xdr:to>
    <xdr:sp macro="Hide_ZERO_rows" textlink="">
      <xdr:nvSpPr>
        <xdr:cNvPr id="32" name="AutoShape 4">
          <a:extLst>
            <a:ext uri="{FF2B5EF4-FFF2-40B4-BE49-F238E27FC236}">
              <a16:creationId xmlns:a16="http://schemas.microsoft.com/office/drawing/2014/main" id="{D0A5F5EE-48B8-4004-BE58-3E80BFC9CFB6}"/>
            </a:ext>
          </a:extLst>
        </xdr:cNvPr>
        <xdr:cNvSpPr>
          <a:spLocks noChangeArrowheads="1"/>
        </xdr:cNvSpPr>
      </xdr:nvSpPr>
      <xdr:spPr bwMode="auto">
        <a:xfrm>
          <a:off x="111124" y="47625"/>
          <a:ext cx="146184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111124</xdr:colOff>
      <xdr:row>1</xdr:row>
      <xdr:rowOff>47625</xdr:rowOff>
    </xdr:from>
    <xdr:to>
      <xdr:col>2</xdr:col>
      <xdr:colOff>725240</xdr:colOff>
      <xdr:row>2</xdr:row>
      <xdr:rowOff>142876</xdr:rowOff>
    </xdr:to>
    <xdr:sp macro="Hide_ZERO_rows" textlink="">
      <xdr:nvSpPr>
        <xdr:cNvPr id="33" name="AutoShape 4">
          <a:extLst>
            <a:ext uri="{FF2B5EF4-FFF2-40B4-BE49-F238E27FC236}">
              <a16:creationId xmlns:a16="http://schemas.microsoft.com/office/drawing/2014/main" id="{0CBE53F7-9FD0-4A64-9C06-7D7BFBC99ECE}"/>
            </a:ext>
          </a:extLst>
        </xdr:cNvPr>
        <xdr:cNvSpPr>
          <a:spLocks noChangeArrowheads="1"/>
        </xdr:cNvSpPr>
      </xdr:nvSpPr>
      <xdr:spPr bwMode="auto">
        <a:xfrm>
          <a:off x="111124" y="47625"/>
          <a:ext cx="146184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111124</xdr:colOff>
      <xdr:row>1</xdr:row>
      <xdr:rowOff>47625</xdr:rowOff>
    </xdr:from>
    <xdr:to>
      <xdr:col>2</xdr:col>
      <xdr:colOff>725240</xdr:colOff>
      <xdr:row>2</xdr:row>
      <xdr:rowOff>142876</xdr:rowOff>
    </xdr:to>
    <xdr:sp macro="Hide_ZERO_rows" textlink="">
      <xdr:nvSpPr>
        <xdr:cNvPr id="34" name="AutoShape 4">
          <a:extLst>
            <a:ext uri="{FF2B5EF4-FFF2-40B4-BE49-F238E27FC236}">
              <a16:creationId xmlns:a16="http://schemas.microsoft.com/office/drawing/2014/main" id="{58DAF94E-9438-4641-8ED5-F05C01A73522}"/>
            </a:ext>
          </a:extLst>
        </xdr:cNvPr>
        <xdr:cNvSpPr>
          <a:spLocks noChangeArrowheads="1"/>
        </xdr:cNvSpPr>
      </xdr:nvSpPr>
      <xdr:spPr bwMode="auto">
        <a:xfrm>
          <a:off x="111124" y="47625"/>
          <a:ext cx="146184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111124</xdr:colOff>
      <xdr:row>1</xdr:row>
      <xdr:rowOff>47625</xdr:rowOff>
    </xdr:from>
    <xdr:to>
      <xdr:col>2</xdr:col>
      <xdr:colOff>725240</xdr:colOff>
      <xdr:row>2</xdr:row>
      <xdr:rowOff>142876</xdr:rowOff>
    </xdr:to>
    <xdr:sp macro="Hide_ZERO_rows" textlink="">
      <xdr:nvSpPr>
        <xdr:cNvPr id="35" name="AutoShape 4">
          <a:extLst>
            <a:ext uri="{FF2B5EF4-FFF2-40B4-BE49-F238E27FC236}">
              <a16:creationId xmlns:a16="http://schemas.microsoft.com/office/drawing/2014/main" id="{9B99EB56-F038-459C-9E70-6E5296C01ECD}"/>
            </a:ext>
          </a:extLst>
        </xdr:cNvPr>
        <xdr:cNvSpPr>
          <a:spLocks noChangeArrowheads="1"/>
        </xdr:cNvSpPr>
      </xdr:nvSpPr>
      <xdr:spPr bwMode="auto">
        <a:xfrm>
          <a:off x="111124" y="47625"/>
          <a:ext cx="146184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111124</xdr:colOff>
      <xdr:row>1</xdr:row>
      <xdr:rowOff>47625</xdr:rowOff>
    </xdr:from>
    <xdr:to>
      <xdr:col>2</xdr:col>
      <xdr:colOff>725240</xdr:colOff>
      <xdr:row>2</xdr:row>
      <xdr:rowOff>142876</xdr:rowOff>
    </xdr:to>
    <xdr:sp macro="Hide_ZERO_rows" textlink="">
      <xdr:nvSpPr>
        <xdr:cNvPr id="36" name="AutoShape 4">
          <a:extLst>
            <a:ext uri="{FF2B5EF4-FFF2-40B4-BE49-F238E27FC236}">
              <a16:creationId xmlns:a16="http://schemas.microsoft.com/office/drawing/2014/main" id="{20A04988-C4FF-4FAE-8513-3CDC1CDC289D}"/>
            </a:ext>
          </a:extLst>
        </xdr:cNvPr>
        <xdr:cNvSpPr>
          <a:spLocks noChangeArrowheads="1"/>
        </xdr:cNvSpPr>
      </xdr:nvSpPr>
      <xdr:spPr bwMode="auto">
        <a:xfrm>
          <a:off x="111124" y="47625"/>
          <a:ext cx="146184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111124</xdr:colOff>
      <xdr:row>1</xdr:row>
      <xdr:rowOff>47625</xdr:rowOff>
    </xdr:from>
    <xdr:to>
      <xdr:col>2</xdr:col>
      <xdr:colOff>725240</xdr:colOff>
      <xdr:row>2</xdr:row>
      <xdr:rowOff>142876</xdr:rowOff>
    </xdr:to>
    <xdr:sp macro="Hide_ZERO_rows" textlink="">
      <xdr:nvSpPr>
        <xdr:cNvPr id="37" name="AutoShape 4">
          <a:extLst>
            <a:ext uri="{FF2B5EF4-FFF2-40B4-BE49-F238E27FC236}">
              <a16:creationId xmlns:a16="http://schemas.microsoft.com/office/drawing/2014/main" id="{DBEB6C20-CF6B-4F88-804A-B75ECAD69920}"/>
            </a:ext>
          </a:extLst>
        </xdr:cNvPr>
        <xdr:cNvSpPr>
          <a:spLocks noChangeArrowheads="1"/>
        </xdr:cNvSpPr>
      </xdr:nvSpPr>
      <xdr:spPr bwMode="auto">
        <a:xfrm>
          <a:off x="111124" y="47625"/>
          <a:ext cx="146184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111124</xdr:colOff>
      <xdr:row>1</xdr:row>
      <xdr:rowOff>47625</xdr:rowOff>
    </xdr:from>
    <xdr:to>
      <xdr:col>2</xdr:col>
      <xdr:colOff>725240</xdr:colOff>
      <xdr:row>2</xdr:row>
      <xdr:rowOff>142876</xdr:rowOff>
    </xdr:to>
    <xdr:sp macro="Hide_ZERO_rows" textlink="">
      <xdr:nvSpPr>
        <xdr:cNvPr id="38" name="AutoShape 4">
          <a:extLst>
            <a:ext uri="{FF2B5EF4-FFF2-40B4-BE49-F238E27FC236}">
              <a16:creationId xmlns:a16="http://schemas.microsoft.com/office/drawing/2014/main" id="{48B8AB2B-B4C7-44E8-AF63-877125A4BA9C}"/>
            </a:ext>
          </a:extLst>
        </xdr:cNvPr>
        <xdr:cNvSpPr>
          <a:spLocks noChangeArrowheads="1"/>
        </xdr:cNvSpPr>
      </xdr:nvSpPr>
      <xdr:spPr bwMode="auto">
        <a:xfrm>
          <a:off x="111124" y="47625"/>
          <a:ext cx="146184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111124</xdr:colOff>
      <xdr:row>1</xdr:row>
      <xdr:rowOff>47625</xdr:rowOff>
    </xdr:from>
    <xdr:to>
      <xdr:col>2</xdr:col>
      <xdr:colOff>725240</xdr:colOff>
      <xdr:row>2</xdr:row>
      <xdr:rowOff>142876</xdr:rowOff>
    </xdr:to>
    <xdr:sp macro="Hide_ZERO_rows" textlink="">
      <xdr:nvSpPr>
        <xdr:cNvPr id="39" name="AutoShape 4">
          <a:extLst>
            <a:ext uri="{FF2B5EF4-FFF2-40B4-BE49-F238E27FC236}">
              <a16:creationId xmlns:a16="http://schemas.microsoft.com/office/drawing/2014/main" id="{D5D1E97C-EF09-4470-9FDF-B5DF4EC73A99}"/>
            </a:ext>
          </a:extLst>
        </xdr:cNvPr>
        <xdr:cNvSpPr>
          <a:spLocks noChangeArrowheads="1"/>
        </xdr:cNvSpPr>
      </xdr:nvSpPr>
      <xdr:spPr bwMode="auto">
        <a:xfrm>
          <a:off x="111124" y="47625"/>
          <a:ext cx="146184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111124</xdr:colOff>
      <xdr:row>1</xdr:row>
      <xdr:rowOff>47625</xdr:rowOff>
    </xdr:from>
    <xdr:to>
      <xdr:col>2</xdr:col>
      <xdr:colOff>725240</xdr:colOff>
      <xdr:row>2</xdr:row>
      <xdr:rowOff>142876</xdr:rowOff>
    </xdr:to>
    <xdr:sp macro="Hide_ZERO_rows" textlink="">
      <xdr:nvSpPr>
        <xdr:cNvPr id="40" name="AutoShape 4">
          <a:extLst>
            <a:ext uri="{FF2B5EF4-FFF2-40B4-BE49-F238E27FC236}">
              <a16:creationId xmlns:a16="http://schemas.microsoft.com/office/drawing/2014/main" id="{A083368E-D439-47F6-A956-0B2FFFD6CF84}"/>
            </a:ext>
          </a:extLst>
        </xdr:cNvPr>
        <xdr:cNvSpPr>
          <a:spLocks noChangeArrowheads="1"/>
        </xdr:cNvSpPr>
      </xdr:nvSpPr>
      <xdr:spPr bwMode="auto">
        <a:xfrm>
          <a:off x="111124" y="47625"/>
          <a:ext cx="146184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111124</xdr:colOff>
      <xdr:row>1</xdr:row>
      <xdr:rowOff>47625</xdr:rowOff>
    </xdr:from>
    <xdr:to>
      <xdr:col>2</xdr:col>
      <xdr:colOff>725240</xdr:colOff>
      <xdr:row>2</xdr:row>
      <xdr:rowOff>142876</xdr:rowOff>
    </xdr:to>
    <xdr:sp macro="Hide_ZERO_rows" textlink="">
      <xdr:nvSpPr>
        <xdr:cNvPr id="41" name="AutoShape 4">
          <a:extLst>
            <a:ext uri="{FF2B5EF4-FFF2-40B4-BE49-F238E27FC236}">
              <a16:creationId xmlns:a16="http://schemas.microsoft.com/office/drawing/2014/main" id="{E98BFFAE-B4E4-4ADC-9004-3B9694C3B156}"/>
            </a:ext>
          </a:extLst>
        </xdr:cNvPr>
        <xdr:cNvSpPr>
          <a:spLocks noChangeArrowheads="1"/>
        </xdr:cNvSpPr>
      </xdr:nvSpPr>
      <xdr:spPr bwMode="auto">
        <a:xfrm>
          <a:off x="111124" y="47625"/>
          <a:ext cx="146184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111124</xdr:colOff>
      <xdr:row>1</xdr:row>
      <xdr:rowOff>47625</xdr:rowOff>
    </xdr:from>
    <xdr:to>
      <xdr:col>2</xdr:col>
      <xdr:colOff>725240</xdr:colOff>
      <xdr:row>2</xdr:row>
      <xdr:rowOff>142876</xdr:rowOff>
    </xdr:to>
    <xdr:sp macro="Hide_ZERO_rows" textlink="">
      <xdr:nvSpPr>
        <xdr:cNvPr id="42" name="AutoShape 4">
          <a:extLst>
            <a:ext uri="{FF2B5EF4-FFF2-40B4-BE49-F238E27FC236}">
              <a16:creationId xmlns:a16="http://schemas.microsoft.com/office/drawing/2014/main" id="{2963449F-BD69-4D32-B337-9E5B392CE916}"/>
            </a:ext>
          </a:extLst>
        </xdr:cNvPr>
        <xdr:cNvSpPr>
          <a:spLocks noChangeArrowheads="1"/>
        </xdr:cNvSpPr>
      </xdr:nvSpPr>
      <xdr:spPr bwMode="auto">
        <a:xfrm>
          <a:off x="111124" y="47625"/>
          <a:ext cx="146184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111124</xdr:colOff>
      <xdr:row>1</xdr:row>
      <xdr:rowOff>47625</xdr:rowOff>
    </xdr:from>
    <xdr:to>
      <xdr:col>2</xdr:col>
      <xdr:colOff>725240</xdr:colOff>
      <xdr:row>2</xdr:row>
      <xdr:rowOff>142876</xdr:rowOff>
    </xdr:to>
    <xdr:sp macro="Hide_ZERO_rows" textlink="">
      <xdr:nvSpPr>
        <xdr:cNvPr id="43" name="AutoShape 4">
          <a:extLst>
            <a:ext uri="{FF2B5EF4-FFF2-40B4-BE49-F238E27FC236}">
              <a16:creationId xmlns:a16="http://schemas.microsoft.com/office/drawing/2014/main" id="{DEE9571E-7186-4C22-A08F-11D700605687}"/>
            </a:ext>
          </a:extLst>
        </xdr:cNvPr>
        <xdr:cNvSpPr>
          <a:spLocks noChangeArrowheads="1"/>
        </xdr:cNvSpPr>
      </xdr:nvSpPr>
      <xdr:spPr bwMode="auto">
        <a:xfrm>
          <a:off x="111124" y="47625"/>
          <a:ext cx="146184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111124</xdr:colOff>
      <xdr:row>1</xdr:row>
      <xdr:rowOff>47625</xdr:rowOff>
    </xdr:from>
    <xdr:to>
      <xdr:col>2</xdr:col>
      <xdr:colOff>725240</xdr:colOff>
      <xdr:row>2</xdr:row>
      <xdr:rowOff>142876</xdr:rowOff>
    </xdr:to>
    <xdr:sp macro="Hide_ZERO_rows" textlink="">
      <xdr:nvSpPr>
        <xdr:cNvPr id="44" name="AutoShape 4">
          <a:extLst>
            <a:ext uri="{FF2B5EF4-FFF2-40B4-BE49-F238E27FC236}">
              <a16:creationId xmlns:a16="http://schemas.microsoft.com/office/drawing/2014/main" id="{ED8C34E9-2F01-4E6D-ADBB-BABCF9CB216D}"/>
            </a:ext>
          </a:extLst>
        </xdr:cNvPr>
        <xdr:cNvSpPr>
          <a:spLocks noChangeArrowheads="1"/>
        </xdr:cNvSpPr>
      </xdr:nvSpPr>
      <xdr:spPr bwMode="auto">
        <a:xfrm>
          <a:off x="111124" y="47625"/>
          <a:ext cx="146184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111124</xdr:colOff>
      <xdr:row>1</xdr:row>
      <xdr:rowOff>47625</xdr:rowOff>
    </xdr:from>
    <xdr:to>
      <xdr:col>2</xdr:col>
      <xdr:colOff>725240</xdr:colOff>
      <xdr:row>2</xdr:row>
      <xdr:rowOff>142876</xdr:rowOff>
    </xdr:to>
    <xdr:sp macro="Hide_ZERO_rows" textlink="">
      <xdr:nvSpPr>
        <xdr:cNvPr id="45" name="AutoShape 4">
          <a:extLst>
            <a:ext uri="{FF2B5EF4-FFF2-40B4-BE49-F238E27FC236}">
              <a16:creationId xmlns:a16="http://schemas.microsoft.com/office/drawing/2014/main" id="{E449314F-CA3C-41E8-B60E-4E5D2607CB2B}"/>
            </a:ext>
          </a:extLst>
        </xdr:cNvPr>
        <xdr:cNvSpPr>
          <a:spLocks noChangeArrowheads="1"/>
        </xdr:cNvSpPr>
      </xdr:nvSpPr>
      <xdr:spPr bwMode="auto">
        <a:xfrm>
          <a:off x="111124" y="47625"/>
          <a:ext cx="146184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111124</xdr:colOff>
      <xdr:row>1</xdr:row>
      <xdr:rowOff>47625</xdr:rowOff>
    </xdr:from>
    <xdr:to>
      <xdr:col>2</xdr:col>
      <xdr:colOff>725240</xdr:colOff>
      <xdr:row>2</xdr:row>
      <xdr:rowOff>142876</xdr:rowOff>
    </xdr:to>
    <xdr:sp macro="Hide_ZERO_rows" textlink="">
      <xdr:nvSpPr>
        <xdr:cNvPr id="46" name="AutoShape 4">
          <a:extLst>
            <a:ext uri="{FF2B5EF4-FFF2-40B4-BE49-F238E27FC236}">
              <a16:creationId xmlns:a16="http://schemas.microsoft.com/office/drawing/2014/main" id="{3841355F-CFD6-40D3-9F48-3CA03401E3F1}"/>
            </a:ext>
          </a:extLst>
        </xdr:cNvPr>
        <xdr:cNvSpPr>
          <a:spLocks noChangeArrowheads="1"/>
        </xdr:cNvSpPr>
      </xdr:nvSpPr>
      <xdr:spPr bwMode="auto">
        <a:xfrm>
          <a:off x="111124" y="47625"/>
          <a:ext cx="1461841" cy="257176"/>
        </a:xfrm>
        <a:prstGeom prst="foldedCorner">
          <a:avLst>
            <a:gd name="adj" fmla="val 23972"/>
          </a:avLst>
        </a:prstGeom>
        <a:solidFill>
          <a:srgbClr val="FFE8E3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47" name="AutoShape 4">
          <a:extLst>
            <a:ext uri="{FF2B5EF4-FFF2-40B4-BE49-F238E27FC236}">
              <a16:creationId xmlns:a16="http://schemas.microsoft.com/office/drawing/2014/main" id="{F6BEEAB7-7783-4B75-8D27-E1A6F4B43FFA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48" name="AutoShape 4">
          <a:extLst>
            <a:ext uri="{FF2B5EF4-FFF2-40B4-BE49-F238E27FC236}">
              <a16:creationId xmlns:a16="http://schemas.microsoft.com/office/drawing/2014/main" id="{D9A6EB53-FBF4-4D51-AB92-FD670B663612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49" name="AutoShape 4">
          <a:extLst>
            <a:ext uri="{FF2B5EF4-FFF2-40B4-BE49-F238E27FC236}">
              <a16:creationId xmlns:a16="http://schemas.microsoft.com/office/drawing/2014/main" id="{154B65A7-BCB2-436D-A486-266D2768741A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50" name="AutoShape 4">
          <a:extLst>
            <a:ext uri="{FF2B5EF4-FFF2-40B4-BE49-F238E27FC236}">
              <a16:creationId xmlns:a16="http://schemas.microsoft.com/office/drawing/2014/main" id="{92F3160F-327B-4F43-88CC-8B15180BA6B3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51" name="AutoShape 4">
          <a:extLst>
            <a:ext uri="{FF2B5EF4-FFF2-40B4-BE49-F238E27FC236}">
              <a16:creationId xmlns:a16="http://schemas.microsoft.com/office/drawing/2014/main" id="{EEB8F54B-6FD7-4AB0-950A-62870E116467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52" name="AutoShape 4">
          <a:extLst>
            <a:ext uri="{FF2B5EF4-FFF2-40B4-BE49-F238E27FC236}">
              <a16:creationId xmlns:a16="http://schemas.microsoft.com/office/drawing/2014/main" id="{5EDD1160-0927-415A-A007-4FAF99E6A47C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53" name="AutoShape 4">
          <a:extLst>
            <a:ext uri="{FF2B5EF4-FFF2-40B4-BE49-F238E27FC236}">
              <a16:creationId xmlns:a16="http://schemas.microsoft.com/office/drawing/2014/main" id="{70E11F47-37ED-4C74-AF2C-CCABC74988D4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54" name="AutoShape 4">
          <a:extLst>
            <a:ext uri="{FF2B5EF4-FFF2-40B4-BE49-F238E27FC236}">
              <a16:creationId xmlns:a16="http://schemas.microsoft.com/office/drawing/2014/main" id="{70CF0D5F-0BFB-4D42-82EE-F594834157E7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55" name="AutoShape 4">
          <a:extLst>
            <a:ext uri="{FF2B5EF4-FFF2-40B4-BE49-F238E27FC236}">
              <a16:creationId xmlns:a16="http://schemas.microsoft.com/office/drawing/2014/main" id="{F2288181-91DD-449E-888C-3BC888F3BA2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56" name="AutoShape 4">
          <a:extLst>
            <a:ext uri="{FF2B5EF4-FFF2-40B4-BE49-F238E27FC236}">
              <a16:creationId xmlns:a16="http://schemas.microsoft.com/office/drawing/2014/main" id="{A428AF93-C88C-4DB1-80C6-99CB0E7F2B30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57" name="AutoShape 4">
          <a:extLst>
            <a:ext uri="{FF2B5EF4-FFF2-40B4-BE49-F238E27FC236}">
              <a16:creationId xmlns:a16="http://schemas.microsoft.com/office/drawing/2014/main" id="{3356B1FA-72B1-4E8F-80EE-DADC5C3F38E5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58" name="AutoShape 4">
          <a:extLst>
            <a:ext uri="{FF2B5EF4-FFF2-40B4-BE49-F238E27FC236}">
              <a16:creationId xmlns:a16="http://schemas.microsoft.com/office/drawing/2014/main" id="{EF022EC0-9C58-44D8-B73F-40A7D126F3FB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59" name="AutoShape 4">
          <a:extLst>
            <a:ext uri="{FF2B5EF4-FFF2-40B4-BE49-F238E27FC236}">
              <a16:creationId xmlns:a16="http://schemas.microsoft.com/office/drawing/2014/main" id="{1FB8EE43-EA43-4C75-8A30-8124A23BEF38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  <xdr:twoCellAnchor>
    <xdr:from>
      <xdr:col>1</xdr:col>
      <xdr:colOff>123824</xdr:colOff>
      <xdr:row>1</xdr:row>
      <xdr:rowOff>47625</xdr:rowOff>
    </xdr:from>
    <xdr:to>
      <xdr:col>2</xdr:col>
      <xdr:colOff>723900</xdr:colOff>
      <xdr:row>2</xdr:row>
      <xdr:rowOff>142876</xdr:rowOff>
    </xdr:to>
    <xdr:sp macro="Hide_ZERO_rows" textlink="">
      <xdr:nvSpPr>
        <xdr:cNvPr id="60" name="AutoShape 4">
          <a:extLst>
            <a:ext uri="{FF2B5EF4-FFF2-40B4-BE49-F238E27FC236}">
              <a16:creationId xmlns:a16="http://schemas.microsoft.com/office/drawing/2014/main" id="{1AC36125-2FC3-4316-8FE0-FA99F9D590FE}"/>
            </a:ext>
          </a:extLst>
        </xdr:cNvPr>
        <xdr:cNvSpPr>
          <a:spLocks noChangeArrowheads="1"/>
        </xdr:cNvSpPr>
      </xdr:nvSpPr>
      <xdr:spPr bwMode="auto">
        <a:xfrm>
          <a:off x="123824" y="47625"/>
          <a:ext cx="1447801" cy="257176"/>
        </a:xfrm>
        <a:prstGeom prst="foldedCorner">
          <a:avLst>
            <a:gd name="adj" fmla="val 23972"/>
          </a:avLst>
        </a:prstGeom>
        <a:solidFill>
          <a:srgbClr xmlns:mc="http://schemas.openxmlformats.org/markup-compatibility/2006" xmlns:a14="http://schemas.microsoft.com/office/drawing/2010/main" val="FF99CC" mc:Ignorable="a14" a14:legacySpreadsheetColorIndex="4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Compress Zero Rows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%20No%202009%20-%20Potential%20Rate%20Case\Section%20V%20-%20Schedule%2010%20-%20Tax%20Workpapers\KPCo%20Rate%20Case%20-%20Sch%2010%20-%20Internal%20Version%20-%2009-30-2009%20-%20Tom%20Syn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notes7FB054\Remove%20Big%20Sandy%20COS%20from%20Base%20Ca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ernal\Regulatory%20Services\2014%20Compliance%20Plan\Workpapers\Mitchell%20Environmental%20Expenses,%201-1-14%20--%209-30-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nternal/01_Regulatory%20Services/02_Cases/2020%20Cases/01%202020-00174%20Base%20Rate%20Case/Adjustments/02_Scott%20Adjustments/LMS%20Worksheets/ADJS/ES%20BRR%20and%20Adjs/2017-00179/Base%20Revenue%20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 IV - Taxes"/>
      <sheetName val="Schedule 10"/>
      <sheetName val="Workpaper S-10, Page 1"/>
      <sheetName val="Workpaper S-10, Page 2"/>
      <sheetName val="Workpaper S-10, Page 3"/>
      <sheetName val="Table"/>
      <sheetName val="Rpt 51000 and 51020 Summary"/>
      <sheetName val="Rpt 51020_ 2008-12-31 YTD"/>
      <sheetName val="Rpt 51020_ 2008-09-30 YTD"/>
      <sheetName val="Rpt 51020_ 2009-09-30 YTD"/>
      <sheetName val="Rpt 51020_ 2008 Oct Adj"/>
      <sheetName val="Rpt 51020_ 2008 Nov Adj"/>
      <sheetName val="Workpaper S-10 - Bob Russell"/>
      <sheetName val="Schedule 5 - Bob Russel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G6" t="str">
            <v>EAF</v>
          </cell>
          <cell r="H6">
            <v>0.98699999999999999</v>
          </cell>
        </row>
        <row r="7">
          <cell r="G7" t="str">
            <v>GP-TOT</v>
          </cell>
          <cell r="H7">
            <v>0.99099999999999999</v>
          </cell>
        </row>
        <row r="8">
          <cell r="G8" t="str">
            <v>GP-TRANS</v>
          </cell>
          <cell r="H8">
            <v>0.98599999999999999</v>
          </cell>
        </row>
        <row r="9">
          <cell r="G9" t="str">
            <v>OML</v>
          </cell>
          <cell r="H9">
            <v>0.99399999999999999</v>
          </cell>
        </row>
        <row r="10">
          <cell r="G10" t="str">
            <v>OP-REV</v>
          </cell>
          <cell r="H10">
            <v>0.98699999999999999</v>
          </cell>
        </row>
        <row r="11">
          <cell r="G11" t="str">
            <v>PDAF</v>
          </cell>
          <cell r="H11">
            <v>0.98599999999999999</v>
          </cell>
        </row>
        <row r="12">
          <cell r="G12" t="str">
            <v>WAITING</v>
          </cell>
          <cell r="H12">
            <v>1</v>
          </cell>
        </row>
        <row r="13">
          <cell r="G13" t="str">
            <v>SPECIF.</v>
          </cell>
          <cell r="H13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move BS OM Depr WXX"/>
      <sheetName val="Amortize BS OM Depr"/>
      <sheetName val="Big Sandy Summary"/>
      <sheetName val="Amortization"/>
      <sheetName val="WACC"/>
      <sheetName val="Pivot"/>
      <sheetName val="Big Sandy Detail"/>
      <sheetName val="Modification History"/>
      <sheetName val="Alloc BS Normalization"/>
      <sheetName val="Payroll Adjust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VY"/>
      <sheetName val="FGD"/>
      <sheetName val="Non-FGD"/>
      <sheetName val="Depreciation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ADFIT"/>
      <sheetName val="S2"/>
      <sheetName val="AN"/>
      <sheetName val="NOx"/>
      <sheetName val="Cash Working Capital"/>
      <sheetName val="Property Tax"/>
      <sheetName val="Summary"/>
      <sheetName val="Precipitator O &amp; 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2">
          <cell r="B2">
            <v>2.1464E-2</v>
          </cell>
        </row>
        <row r="4">
          <cell r="B4">
            <v>0.6</v>
          </cell>
        </row>
        <row r="6">
          <cell r="B6">
            <v>0.05</v>
          </cell>
        </row>
      </sheetData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E - 3 (2)"/>
      <sheetName val="AJE - 3"/>
      <sheetName val="Environmental"/>
      <sheetName val="IS"/>
      <sheetName val="Mitchell Retirements by Mth ADJ"/>
      <sheetName val="03 Remove FGD Expenses  "/>
      <sheetName val="05 Revenue Adjustment"/>
      <sheetName val="Rockport"/>
      <sheetName val="Non-FGD"/>
      <sheetName val="FGD"/>
      <sheetName val="Property Tax"/>
      <sheetName val="Rate Base Adjustment"/>
      <sheetName val="Allocation Factors"/>
      <sheetName val="Query"/>
      <sheetName val="403 &amp; 408 que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1:K35"/>
  <sheetViews>
    <sheetView tabSelected="1" zoomScaleNormal="100" workbookViewId="0">
      <selection activeCell="P23" sqref="P23"/>
    </sheetView>
  </sheetViews>
  <sheetFormatPr defaultRowHeight="12.75"/>
  <cols>
    <col min="1" max="1" width="7.28515625" style="1" bestFit="1" customWidth="1"/>
    <col min="2" max="5" width="15" style="1" customWidth="1"/>
    <col min="6" max="6" width="9.140625" style="1"/>
    <col min="7" max="7" width="14" style="1" customWidth="1"/>
    <col min="8" max="8" width="11.28515625" style="1" bestFit="1" customWidth="1"/>
    <col min="9" max="9" width="12" style="1" bestFit="1" customWidth="1"/>
    <col min="10" max="10" width="10.7109375" style="1" bestFit="1" customWidth="1"/>
    <col min="11" max="11" width="12" style="1" bestFit="1" customWidth="1"/>
    <col min="12" max="16384" width="9.140625" style="1"/>
  </cols>
  <sheetData>
    <row r="1" spans="1:11">
      <c r="A1" s="479" t="s">
        <v>78</v>
      </c>
      <c r="B1" s="479"/>
      <c r="C1" s="479"/>
      <c r="D1" s="479"/>
      <c r="E1" s="479"/>
      <c r="F1" s="289"/>
      <c r="G1" s="289"/>
    </row>
    <row r="2" spans="1:11">
      <c r="A2" s="479" t="s">
        <v>1814</v>
      </c>
      <c r="B2" s="479"/>
      <c r="C2" s="479"/>
      <c r="D2" s="479"/>
      <c r="E2" s="479"/>
      <c r="F2" s="289"/>
      <c r="G2" s="289"/>
    </row>
    <row r="3" spans="1:11">
      <c r="A3" s="479"/>
      <c r="B3" s="479"/>
      <c r="C3" s="479"/>
      <c r="D3" s="479"/>
      <c r="E3" s="479"/>
      <c r="F3" s="289"/>
      <c r="G3" s="289"/>
    </row>
    <row r="4" spans="1:11">
      <c r="A4" s="463"/>
      <c r="B4" s="289"/>
      <c r="C4" s="289"/>
      <c r="D4" s="289"/>
      <c r="E4" s="289"/>
      <c r="F4" s="289"/>
      <c r="G4" s="289"/>
    </row>
    <row r="5" spans="1:11">
      <c r="A5" s="289"/>
      <c r="B5" s="289"/>
      <c r="C5" s="289"/>
      <c r="D5" s="289"/>
      <c r="E5" s="289"/>
      <c r="F5" s="289"/>
      <c r="G5" s="287" t="s">
        <v>1664</v>
      </c>
    </row>
    <row r="6" spans="1:11" s="81" customFormat="1" ht="59.25" customHeight="1" thickBot="1">
      <c r="A6" s="452" t="s">
        <v>72</v>
      </c>
      <c r="B6" s="452" t="s">
        <v>75</v>
      </c>
      <c r="C6" s="452" t="s">
        <v>73</v>
      </c>
      <c r="D6" s="452" t="s">
        <v>58</v>
      </c>
      <c r="E6" s="452" t="s">
        <v>74</v>
      </c>
      <c r="F6" s="453"/>
      <c r="G6" s="452" t="s">
        <v>1663</v>
      </c>
    </row>
    <row r="7" spans="1:11" s="82" customFormat="1">
      <c r="A7" s="454">
        <v>-1</v>
      </c>
      <c r="B7" s="454">
        <v>-2</v>
      </c>
      <c r="C7" s="454">
        <v>-3</v>
      </c>
      <c r="D7" s="454">
        <v>-4</v>
      </c>
      <c r="E7" s="454">
        <v>-5</v>
      </c>
      <c r="F7" s="455"/>
      <c r="G7" s="455"/>
    </row>
    <row r="8" spans="1:11" s="82" customFormat="1">
      <c r="A8" s="454"/>
      <c r="B8" s="454"/>
      <c r="C8" s="454"/>
      <c r="D8" s="454"/>
      <c r="E8" s="456" t="s">
        <v>1807</v>
      </c>
      <c r="F8" s="455"/>
      <c r="G8" s="455"/>
    </row>
    <row r="9" spans="1:11" s="82" customFormat="1">
      <c r="A9" s="457"/>
      <c r="B9" s="457"/>
      <c r="C9" s="457"/>
      <c r="D9" s="457"/>
      <c r="E9" s="457"/>
      <c r="F9" s="455"/>
      <c r="G9" s="455"/>
    </row>
    <row r="10" spans="1:11" ht="17.25" customHeight="1">
      <c r="A10" s="458">
        <v>1</v>
      </c>
      <c r="B10" s="459">
        <v>44652</v>
      </c>
      <c r="C10" s="421">
        <f>HLOOKUP(B10,'ML-Non FGD'!$C$3:$N$58,51,FALSE)</f>
        <v>2519827.9001373951</v>
      </c>
      <c r="D10" s="421">
        <f>HLOOKUP(B10,'ML-Non FGD'!$C$3:$N$58,54,FALSE)</f>
        <v>0</v>
      </c>
      <c r="E10" s="288">
        <f>C10-D10</f>
        <v>2519827.9001373951</v>
      </c>
      <c r="F10" s="289"/>
      <c r="G10" s="428">
        <v>4652708</v>
      </c>
      <c r="I10" s="295"/>
      <c r="K10" s="296"/>
    </row>
    <row r="11" spans="1:11" ht="17.25" customHeight="1">
      <c r="A11" s="458">
        <v>2</v>
      </c>
      <c r="B11" s="459">
        <v>44682</v>
      </c>
      <c r="C11" s="421">
        <f>HLOOKUP(B11,'ML-Non FGD'!$C$3:$N$58,51,FALSE)</f>
        <v>2654467.5763820051</v>
      </c>
      <c r="D11" s="421">
        <f>HLOOKUP(B11,'ML-Non FGD'!$C$3:$N$58,54,FALSE)</f>
        <v>140184</v>
      </c>
      <c r="E11" s="288">
        <f t="shared" ref="E11:E21" si="0">C11-D11</f>
        <v>2514283.5763820051</v>
      </c>
      <c r="F11" s="289"/>
      <c r="G11" s="428">
        <v>4476891</v>
      </c>
      <c r="I11" s="295"/>
      <c r="K11" s="296"/>
    </row>
    <row r="12" spans="1:11" ht="17.25" customHeight="1">
      <c r="A12" s="458">
        <v>3</v>
      </c>
      <c r="B12" s="459">
        <v>44713</v>
      </c>
      <c r="C12" s="421">
        <f>HLOOKUP(B12,'ML-Non FGD'!$C$3:$N$58,51,FALSE)</f>
        <v>2644973.9773038095</v>
      </c>
      <c r="D12" s="421">
        <f>HLOOKUP(B12,'ML-Non FGD'!$C$3:$N$58,54,FALSE)</f>
        <v>0</v>
      </c>
      <c r="E12" s="288">
        <f t="shared" si="0"/>
        <v>2644973.9773038095</v>
      </c>
      <c r="F12" s="289"/>
      <c r="G12" s="428">
        <v>3896996</v>
      </c>
      <c r="I12" s="295"/>
      <c r="K12" s="296"/>
    </row>
    <row r="13" spans="1:11" ht="17.25" customHeight="1">
      <c r="A13" s="458">
        <v>4</v>
      </c>
      <c r="B13" s="459">
        <v>44743</v>
      </c>
      <c r="C13" s="421">
        <f>HLOOKUP(B13,'ML-Non FGD'!$C$3:$N$58,51,FALSE)</f>
        <v>2594563.4634312298</v>
      </c>
      <c r="D13" s="421">
        <f>HLOOKUP(B13,'ML-Non FGD'!$C$3:$N$58,54,FALSE)</f>
        <v>0</v>
      </c>
      <c r="E13" s="288">
        <f t="shared" si="0"/>
        <v>2594563.4634312298</v>
      </c>
      <c r="F13" s="289"/>
      <c r="G13" s="428">
        <v>4132198</v>
      </c>
      <c r="I13" s="295"/>
      <c r="K13" s="296"/>
    </row>
    <row r="14" spans="1:11" ht="17.25" customHeight="1">
      <c r="A14" s="458">
        <v>5</v>
      </c>
      <c r="B14" s="459">
        <v>44774</v>
      </c>
      <c r="C14" s="421">
        <f>HLOOKUP(B14,'ML-Non FGD'!$C$3:$N$58,51,FALSE)</f>
        <v>2741097.0680118422</v>
      </c>
      <c r="D14" s="421">
        <f>HLOOKUP(B14,'ML-Non FGD'!$C$3:$N$58,54,FALSE)</f>
        <v>0</v>
      </c>
      <c r="E14" s="288">
        <f t="shared" si="0"/>
        <v>2741097.0680118422</v>
      </c>
      <c r="F14" s="289"/>
      <c r="G14" s="428">
        <v>3932695</v>
      </c>
      <c r="I14" s="295"/>
      <c r="K14" s="296"/>
    </row>
    <row r="15" spans="1:11" ht="17.25" customHeight="1">
      <c r="A15" s="458">
        <v>6</v>
      </c>
      <c r="B15" s="459">
        <v>44805</v>
      </c>
      <c r="C15" s="421">
        <f>HLOOKUP(B15,'ML-Non FGD'!$C$3:$N$58,51,FALSE)</f>
        <v>2508995.0160602299</v>
      </c>
      <c r="D15" s="421">
        <f>HLOOKUP(B15,'ML-Non FGD'!$C$3:$N$58,54,FALSE)</f>
        <v>0</v>
      </c>
      <c r="E15" s="288">
        <f t="shared" si="0"/>
        <v>2508995.0160602299</v>
      </c>
      <c r="F15" s="289"/>
      <c r="G15" s="428">
        <v>3687618</v>
      </c>
      <c r="I15" s="295"/>
      <c r="K15" s="296"/>
    </row>
    <row r="16" spans="1:11" ht="17.25" customHeight="1">
      <c r="A16" s="458">
        <v>7</v>
      </c>
      <c r="B16" s="459">
        <v>44835</v>
      </c>
      <c r="C16" s="421">
        <f>HLOOKUP(B16,'ML-Non FGD'!$C$3:$N$58,51,FALSE)</f>
        <v>2376639.0439654565</v>
      </c>
      <c r="D16" s="421">
        <f>HLOOKUP(B16,'ML-Non FGD'!$C$3:$N$58,54,FALSE)</f>
        <v>0</v>
      </c>
      <c r="E16" s="288">
        <f t="shared" si="0"/>
        <v>2376639.0439654565</v>
      </c>
      <c r="F16" s="289"/>
      <c r="G16" s="428">
        <v>3775108</v>
      </c>
      <c r="I16" s="295"/>
      <c r="K16" s="296"/>
    </row>
    <row r="17" spans="1:11" ht="17.25" customHeight="1">
      <c r="A17" s="458">
        <v>8</v>
      </c>
      <c r="B17" s="459">
        <v>44866</v>
      </c>
      <c r="C17" s="421">
        <f>HLOOKUP(B17,'ML-Non FGD'!$C$3:$N$58,51,FALSE)</f>
        <v>2423991.9161606999</v>
      </c>
      <c r="D17" s="421">
        <f>HLOOKUP(B17,'ML-Non FGD'!$C$3:$N$58,54,FALSE)</f>
        <v>0</v>
      </c>
      <c r="E17" s="288">
        <f t="shared" si="0"/>
        <v>2423991.9161606999</v>
      </c>
      <c r="F17" s="289"/>
      <c r="G17" s="428">
        <v>3816807</v>
      </c>
      <c r="I17" s="295"/>
      <c r="K17" s="296"/>
    </row>
    <row r="18" spans="1:11" ht="17.25" customHeight="1">
      <c r="A18" s="458">
        <v>9</v>
      </c>
      <c r="B18" s="459">
        <v>44896</v>
      </c>
      <c r="C18" s="421">
        <f>HLOOKUP(B18,'ML-Non FGD'!$C$3:$N$58,51,FALSE)</f>
        <v>2597739.0121884639</v>
      </c>
      <c r="D18" s="421">
        <f>HLOOKUP(B18,'ML-Non FGD'!$C$3:$N$58,54,FALSE)</f>
        <v>0</v>
      </c>
      <c r="E18" s="288">
        <f t="shared" si="0"/>
        <v>2597739.0121884639</v>
      </c>
      <c r="F18" s="289"/>
      <c r="G18" s="428">
        <v>3814390</v>
      </c>
      <c r="I18" s="295"/>
      <c r="K18" s="296"/>
    </row>
    <row r="19" spans="1:11" ht="17.25" customHeight="1">
      <c r="A19" s="458">
        <v>10</v>
      </c>
      <c r="B19" s="459">
        <v>44927</v>
      </c>
      <c r="C19" s="421">
        <f>HLOOKUP(B19,'ML-Non FGD'!$C$3:$N$58,51,FALSE)</f>
        <v>3022417.5645855828</v>
      </c>
      <c r="D19" s="421">
        <f>HLOOKUP(B19,'ML-Non FGD'!$C$3:$N$58,54,FALSE)</f>
        <v>0</v>
      </c>
      <c r="E19" s="288">
        <f t="shared" si="0"/>
        <v>3022417.5645855828</v>
      </c>
      <c r="F19" s="289"/>
      <c r="G19" s="428">
        <v>3503207</v>
      </c>
      <c r="I19" s="295"/>
      <c r="K19" s="296"/>
    </row>
    <row r="20" spans="1:11" ht="17.25" customHeight="1">
      <c r="A20" s="458">
        <v>11</v>
      </c>
      <c r="B20" s="459">
        <v>44958</v>
      </c>
      <c r="C20" s="421">
        <f>HLOOKUP(B20,'ML-Non FGD'!$C$3:$N$58,51,FALSE)</f>
        <v>2558332.4814698491</v>
      </c>
      <c r="D20" s="421">
        <f>HLOOKUP(B20,'ML-Non FGD'!$C$3:$N$58,54,FALSE)</f>
        <v>0</v>
      </c>
      <c r="E20" s="288">
        <f t="shared" si="0"/>
        <v>2558332.4814698491</v>
      </c>
      <c r="F20" s="289"/>
      <c r="G20" s="428">
        <v>3961295</v>
      </c>
      <c r="I20" s="295"/>
      <c r="K20" s="296"/>
    </row>
    <row r="21" spans="1:11" ht="17.25" customHeight="1" thickBot="1">
      <c r="A21" s="458">
        <v>12</v>
      </c>
      <c r="B21" s="459">
        <v>44986</v>
      </c>
      <c r="C21" s="460">
        <f>HLOOKUP(B21,'ML-Non FGD'!$C$3:$N$58,51,FALSE)</f>
        <v>2621610.9663238819</v>
      </c>
      <c r="D21" s="460">
        <f>HLOOKUP(B21,'ML-Non FGD'!$C$3:$N$58,54,FALSE)</f>
        <v>0</v>
      </c>
      <c r="E21" s="460">
        <f t="shared" si="0"/>
        <v>2621610.9663238819</v>
      </c>
      <c r="F21" s="289"/>
      <c r="G21" s="428">
        <v>3695547</v>
      </c>
    </row>
    <row r="22" spans="1:11" ht="13.5" thickTop="1">
      <c r="A22" s="289"/>
      <c r="B22" s="286"/>
      <c r="C22" s="288"/>
      <c r="D22" s="288"/>
      <c r="E22" s="288"/>
      <c r="F22" s="289"/>
      <c r="G22" s="289"/>
    </row>
    <row r="23" spans="1:11">
      <c r="A23" s="458">
        <v>13</v>
      </c>
      <c r="B23" s="287" t="s">
        <v>77</v>
      </c>
      <c r="C23" s="288">
        <f>SUM(C10:C22)</f>
        <v>31264655.986020446</v>
      </c>
      <c r="D23" s="288">
        <f>SUM(D10:D22)</f>
        <v>140184</v>
      </c>
      <c r="E23" s="288">
        <f>SUM(E10:E22)</f>
        <v>31124471.986020446</v>
      </c>
      <c r="F23" s="289"/>
      <c r="G23" s="288">
        <f>SUM(G10:G22)</f>
        <v>47345460</v>
      </c>
      <c r="H23" s="39"/>
    </row>
    <row r="24" spans="1:11">
      <c r="A24" s="289"/>
      <c r="B24" s="426"/>
      <c r="C24" s="288"/>
      <c r="D24" s="288"/>
      <c r="E24" s="288"/>
      <c r="F24" s="289"/>
      <c r="G24" s="289"/>
    </row>
    <row r="25" spans="1:11">
      <c r="A25" s="289"/>
      <c r="B25" s="426"/>
      <c r="C25" s="288"/>
      <c r="D25" s="288"/>
      <c r="E25" s="288"/>
      <c r="F25" s="289"/>
      <c r="G25" s="289"/>
    </row>
    <row r="26" spans="1:11">
      <c r="A26" s="289"/>
      <c r="B26" s="426"/>
      <c r="C26" s="289"/>
      <c r="D26" s="289"/>
      <c r="E26" s="289"/>
      <c r="F26" s="289"/>
      <c r="G26" s="289"/>
    </row>
    <row r="27" spans="1:11">
      <c r="A27" s="289"/>
      <c r="B27" s="426"/>
      <c r="C27" s="289"/>
      <c r="D27" s="289"/>
      <c r="E27" s="289"/>
      <c r="F27" s="289"/>
      <c r="G27" s="289"/>
    </row>
    <row r="28" spans="1:11">
      <c r="B28" s="37"/>
    </row>
    <row r="29" spans="1:11">
      <c r="B29" s="426"/>
    </row>
    <row r="30" spans="1:11">
      <c r="B30" s="37"/>
    </row>
    <row r="31" spans="1:11">
      <c r="B31" s="37"/>
    </row>
    <row r="32" spans="1:11">
      <c r="B32" s="37"/>
    </row>
    <row r="33" spans="2:2">
      <c r="B33" s="37"/>
    </row>
    <row r="34" spans="2:2">
      <c r="B34" s="37"/>
    </row>
    <row r="35" spans="2:2">
      <c r="B35" s="37"/>
    </row>
  </sheetData>
  <mergeCells count="3">
    <mergeCell ref="A1:E1"/>
    <mergeCell ref="A2:E2"/>
    <mergeCell ref="A3:E3"/>
  </mergeCells>
  <printOptions horizontalCentered="1"/>
  <pageMargins left="0.7" right="0.7" top="0.75" bottom="0.75" header="0.3" footer="0.3"/>
  <pageSetup scale="9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58"/>
  <sheetViews>
    <sheetView workbookViewId="0">
      <pane ySplit="8" topLeftCell="A9" activePane="bottomLeft" state="frozen"/>
      <selection activeCell="J30" sqref="J30"/>
      <selection pane="bottomLeft" activeCell="Y27" sqref="Y27"/>
    </sheetView>
  </sheetViews>
  <sheetFormatPr defaultColWidth="8.85546875" defaultRowHeight="12.75"/>
  <cols>
    <col min="1" max="1" width="10.7109375" style="178" customWidth="1"/>
    <col min="2" max="2" width="5" style="177" bestFit="1" customWidth="1"/>
    <col min="3" max="3" width="0.28515625" style="178" customWidth="1"/>
    <col min="4" max="4" width="12.7109375" style="178" customWidth="1"/>
    <col min="5" max="5" width="0.28515625" style="178" customWidth="1"/>
    <col min="6" max="6" width="15.7109375" style="178" customWidth="1"/>
    <col min="7" max="7" width="0.28515625" style="178" customWidth="1"/>
    <col min="8" max="8" width="12.85546875" style="178" customWidth="1"/>
    <col min="9" max="9" width="0.28515625" style="178" customWidth="1"/>
    <col min="10" max="10" width="12.7109375" style="178" customWidth="1"/>
    <col min="11" max="11" width="3.7109375" style="178" customWidth="1"/>
    <col min="12" max="12" width="0.28515625" style="178" customWidth="1"/>
    <col min="13" max="13" width="12.7109375" style="178" customWidth="1"/>
    <col min="14" max="14" width="0.28515625" style="178" customWidth="1"/>
    <col min="15" max="15" width="9.7109375" style="178" customWidth="1"/>
    <col min="16" max="16" width="0.28515625" style="178" customWidth="1"/>
    <col min="17" max="17" width="3.7109375" style="178" customWidth="1"/>
    <col min="18" max="18" width="0.28515625" style="178" customWidth="1"/>
    <col min="19" max="19" width="12" style="178" bestFit="1" customWidth="1"/>
    <col min="20" max="20" width="2.28515625" style="178" customWidth="1"/>
    <col min="21" max="29" width="8.85546875" style="178"/>
    <col min="30" max="30" width="15" style="178" bestFit="1" customWidth="1"/>
    <col min="31" max="16384" width="8.85546875" style="178"/>
  </cols>
  <sheetData>
    <row r="1" spans="2:30" ht="15" customHeight="1"/>
    <row r="4" spans="2:30">
      <c r="F4" s="179" t="s">
        <v>1624</v>
      </c>
    </row>
    <row r="5" spans="2:30">
      <c r="H5" s="178" t="s">
        <v>1625</v>
      </c>
    </row>
    <row r="6" spans="2:30">
      <c r="H6" s="180" t="s">
        <v>1626</v>
      </c>
    </row>
    <row r="7" spans="2:30">
      <c r="S7" s="261" t="s">
        <v>103</v>
      </c>
    </row>
    <row r="8" spans="2:30">
      <c r="J8" s="177" t="s">
        <v>33</v>
      </c>
    </row>
    <row r="9" spans="2:30" ht="13.5" thickBot="1">
      <c r="B9" s="181"/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</row>
    <row r="10" spans="2:30" ht="30" customHeight="1" thickBot="1">
      <c r="B10" s="183" t="s">
        <v>1627</v>
      </c>
      <c r="C10" s="184"/>
      <c r="D10" s="185" t="s">
        <v>1628</v>
      </c>
      <c r="E10" s="186"/>
      <c r="F10" s="187" t="s">
        <v>1629</v>
      </c>
      <c r="G10" s="186"/>
      <c r="H10" s="187" t="s">
        <v>1630</v>
      </c>
      <c r="I10" s="186"/>
      <c r="J10" s="187" t="s">
        <v>1631</v>
      </c>
      <c r="K10" s="188"/>
      <c r="L10" s="186"/>
      <c r="M10" s="187" t="s">
        <v>1632</v>
      </c>
      <c r="N10" s="189"/>
      <c r="O10" s="190" t="s">
        <v>1633</v>
      </c>
      <c r="P10" s="191"/>
      <c r="Q10" s="192"/>
      <c r="R10" s="189"/>
      <c r="S10" s="193" t="s">
        <v>1634</v>
      </c>
      <c r="T10" s="194"/>
    </row>
    <row r="11" spans="2:30" ht="30" customHeight="1" thickBot="1">
      <c r="B11" s="195"/>
      <c r="C11" s="196"/>
      <c r="D11" s="197"/>
      <c r="E11" s="196"/>
      <c r="F11" s="274" t="s">
        <v>1810</v>
      </c>
      <c r="G11" s="196"/>
      <c r="H11" s="197"/>
      <c r="I11" s="196"/>
      <c r="J11" s="278"/>
      <c r="K11" s="198"/>
      <c r="L11" s="196"/>
      <c r="M11" s="197"/>
      <c r="N11" s="199"/>
      <c r="O11" s="200"/>
      <c r="P11" s="201"/>
      <c r="Q11" s="202"/>
      <c r="R11" s="199"/>
      <c r="S11" s="203"/>
      <c r="T11" s="194"/>
      <c r="AD11" s="260"/>
    </row>
    <row r="12" spans="2:30" ht="12.75" customHeight="1">
      <c r="B12" s="204"/>
      <c r="C12" s="205"/>
      <c r="D12" s="206"/>
      <c r="E12" s="205"/>
      <c r="F12" s="275"/>
      <c r="G12" s="205"/>
      <c r="H12" s="206"/>
      <c r="I12" s="205"/>
      <c r="J12" s="275"/>
      <c r="K12" s="207"/>
      <c r="L12" s="205"/>
      <c r="M12" s="206"/>
      <c r="N12" s="205"/>
      <c r="O12" s="206"/>
      <c r="P12" s="205"/>
      <c r="Q12" s="206"/>
      <c r="R12" s="205"/>
      <c r="S12" s="208"/>
      <c r="T12" s="182"/>
    </row>
    <row r="13" spans="2:30" ht="15" customHeight="1">
      <c r="B13" s="209">
        <v>1</v>
      </c>
      <c r="C13" s="199"/>
      <c r="D13" s="202" t="s">
        <v>1635</v>
      </c>
      <c r="E13" s="199"/>
      <c r="F13" s="276">
        <v>962401698.74372435</v>
      </c>
      <c r="G13" s="199"/>
      <c r="H13" s="250">
        <f>ROUND(F13/$F$18,4)</f>
        <v>0.53100000000000003</v>
      </c>
      <c r="I13" s="199"/>
      <c r="J13" s="476">
        <v>4.9099999999999998E-2</v>
      </c>
      <c r="K13" s="210"/>
      <c r="L13" s="199"/>
      <c r="M13" s="250">
        <f>ROUND(H13*J13,4)</f>
        <v>2.6100000000000002E-2</v>
      </c>
      <c r="N13" s="199"/>
      <c r="O13" s="253">
        <f>O42</f>
        <v>1.0055229999999999</v>
      </c>
      <c r="P13" s="199"/>
      <c r="Q13" s="211"/>
      <c r="R13" s="199"/>
      <c r="S13" s="474">
        <f>ROUND(M13*O13,6)</f>
        <v>2.6244E-2</v>
      </c>
      <c r="T13" s="212"/>
    </row>
    <row r="14" spans="2:30" ht="15">
      <c r="B14" s="209">
        <f>+B13+1</f>
        <v>2</v>
      </c>
      <c r="C14" s="199"/>
      <c r="D14" s="202" t="s">
        <v>1636</v>
      </c>
      <c r="E14" s="199"/>
      <c r="F14" s="276">
        <v>95743647.998314917</v>
      </c>
      <c r="G14" s="199"/>
      <c r="H14" s="250">
        <f>ROUND(F14/$F$18,4)</f>
        <v>5.28E-2</v>
      </c>
      <c r="I14" s="199"/>
      <c r="J14" s="476">
        <v>3.73E-2</v>
      </c>
      <c r="K14" s="210"/>
      <c r="L14" s="199"/>
      <c r="M14" s="250">
        <f>ROUND(H14*J14,4)</f>
        <v>2E-3</v>
      </c>
      <c r="N14" s="199"/>
      <c r="O14" s="253">
        <f>O42</f>
        <v>1.0055229999999999</v>
      </c>
      <c r="P14" s="199"/>
      <c r="Q14" s="202"/>
      <c r="R14" s="199"/>
      <c r="S14" s="474">
        <f>ROUND(M14*O14,6)</f>
        <v>2.0110000000000002E-3</v>
      </c>
      <c r="T14" s="212"/>
    </row>
    <row r="15" spans="2:30" ht="26.25">
      <c r="B15" s="209">
        <f>+B14+1</f>
        <v>3</v>
      </c>
      <c r="C15" s="199"/>
      <c r="D15" s="213" t="s">
        <v>1637</v>
      </c>
      <c r="E15" s="199"/>
      <c r="F15" s="276">
        <v>0</v>
      </c>
      <c r="G15" s="199"/>
      <c r="H15" s="250">
        <f>ROUND(F15/$F$18,4)</f>
        <v>0</v>
      </c>
      <c r="I15" s="199"/>
      <c r="J15" s="476">
        <v>0</v>
      </c>
      <c r="K15" s="210"/>
      <c r="L15" s="199"/>
      <c r="M15" s="250">
        <f>ROUND(H15*J15,4)</f>
        <v>0</v>
      </c>
      <c r="N15" s="199"/>
      <c r="O15" s="253">
        <f>O42</f>
        <v>1.0055229999999999</v>
      </c>
      <c r="P15" s="199"/>
      <c r="Q15" s="202"/>
      <c r="R15" s="199"/>
      <c r="S15" s="474">
        <f>ROUND(M15*O15,6)</f>
        <v>0</v>
      </c>
      <c r="T15" s="212"/>
    </row>
    <row r="16" spans="2:30" ht="15">
      <c r="B16" s="209">
        <f>+B15+1</f>
        <v>4</v>
      </c>
      <c r="C16" s="199"/>
      <c r="D16" s="202" t="s">
        <v>1638</v>
      </c>
      <c r="E16" s="199"/>
      <c r="F16" s="276">
        <v>754394228.05464816</v>
      </c>
      <c r="G16" s="199"/>
      <c r="H16" s="250">
        <f>ROUND(F16/$F$18,4)</f>
        <v>0.41620000000000001</v>
      </c>
      <c r="I16" s="199"/>
      <c r="J16" s="477">
        <v>9.9000000000000005E-2</v>
      </c>
      <c r="K16" s="214" t="s">
        <v>1639</v>
      </c>
      <c r="L16" s="199"/>
      <c r="M16" s="250">
        <f>ROUND(H16*J16,4)</f>
        <v>4.1200000000000001E-2</v>
      </c>
      <c r="N16" s="199"/>
      <c r="O16" s="254">
        <f>S42</f>
        <v>1.339896</v>
      </c>
      <c r="P16" s="199"/>
      <c r="Q16" s="215"/>
      <c r="R16" s="199"/>
      <c r="S16" s="474">
        <f>ROUND(M16*O16,6)</f>
        <v>5.5204000000000003E-2</v>
      </c>
      <c r="T16" s="212"/>
    </row>
    <row r="17" spans="2:21" ht="15">
      <c r="B17" s="209"/>
      <c r="C17" s="199"/>
      <c r="D17" s="202"/>
      <c r="E17" s="199"/>
      <c r="F17" s="276"/>
      <c r="G17" s="199"/>
      <c r="H17" s="251"/>
      <c r="I17" s="199"/>
      <c r="J17" s="279"/>
      <c r="K17" s="210"/>
      <c r="L17" s="199"/>
      <c r="M17" s="469"/>
      <c r="N17" s="199"/>
      <c r="O17" s="200"/>
      <c r="P17" s="199"/>
      <c r="Q17" s="202"/>
      <c r="R17" s="199"/>
      <c r="S17" s="255"/>
      <c r="T17" s="216"/>
    </row>
    <row r="18" spans="2:21" ht="15">
      <c r="B18" s="209">
        <f>+B16+1</f>
        <v>5</v>
      </c>
      <c r="C18" s="199"/>
      <c r="D18" s="202" t="s">
        <v>1640</v>
      </c>
      <c r="E18" s="199"/>
      <c r="F18" s="277">
        <f>SUM(F13:F16)</f>
        <v>1812539574.7966874</v>
      </c>
      <c r="G18" s="199"/>
      <c r="H18" s="252">
        <f>SUM(H13:H16)</f>
        <v>1</v>
      </c>
      <c r="I18" s="199"/>
      <c r="J18" s="279"/>
      <c r="K18" s="210"/>
      <c r="L18" s="199"/>
      <c r="M18" s="469">
        <f>ROUND(SUM(M13:M17),4)</f>
        <v>6.93E-2</v>
      </c>
      <c r="N18" s="199"/>
      <c r="O18" s="202"/>
      <c r="P18" s="199"/>
      <c r="Q18" s="202"/>
      <c r="R18" s="199"/>
      <c r="S18" s="469">
        <f>ROUND(SUM(S13:S17),4)</f>
        <v>8.3500000000000005E-2</v>
      </c>
      <c r="T18" s="217"/>
    </row>
    <row r="19" spans="2:21" ht="15">
      <c r="B19" s="209"/>
      <c r="C19" s="199"/>
      <c r="D19" s="202"/>
      <c r="E19" s="199"/>
      <c r="F19" s="202"/>
      <c r="G19" s="199"/>
      <c r="H19" s="202"/>
      <c r="I19" s="199"/>
      <c r="J19" s="202"/>
      <c r="K19" s="210"/>
      <c r="L19" s="199"/>
      <c r="M19" s="202"/>
      <c r="N19" s="199"/>
      <c r="O19" s="202"/>
      <c r="P19" s="199"/>
      <c r="Q19" s="202"/>
      <c r="R19" s="199"/>
      <c r="S19" s="218"/>
      <c r="T19" s="182"/>
    </row>
    <row r="20" spans="2:21" ht="15.75" thickBot="1">
      <c r="B20" s="219"/>
      <c r="C20" s="220"/>
      <c r="D20" s="221"/>
      <c r="E20" s="220"/>
      <c r="F20" s="221"/>
      <c r="G20" s="220"/>
      <c r="H20" s="221"/>
      <c r="I20" s="220"/>
      <c r="J20" s="221"/>
      <c r="K20" s="222"/>
      <c r="L20" s="220"/>
      <c r="M20" s="221"/>
      <c r="N20" s="220"/>
      <c r="O20" s="221"/>
      <c r="P20" s="220"/>
      <c r="Q20" s="221"/>
      <c r="R20" s="220"/>
      <c r="S20" s="223"/>
      <c r="T20" s="182"/>
    </row>
    <row r="21" spans="2:21" hidden="1">
      <c r="B21" s="224"/>
      <c r="C21" s="225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225"/>
      <c r="O21" s="182"/>
      <c r="P21" s="226"/>
      <c r="Q21" s="182"/>
      <c r="R21" s="182"/>
      <c r="S21" s="227"/>
      <c r="T21" s="182"/>
    </row>
    <row r="22" spans="2:21" ht="12" hidden="1" customHeight="1">
      <c r="B22" s="224"/>
      <c r="C22" s="225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225"/>
      <c r="O22" s="182"/>
      <c r="P22" s="226"/>
      <c r="Q22" s="182"/>
      <c r="R22" s="182"/>
      <c r="S22" s="227"/>
      <c r="T22" s="182"/>
    </row>
    <row r="23" spans="2:21" s="230" customFormat="1" ht="12" customHeight="1">
      <c r="B23" s="228"/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8"/>
      <c r="Q23" s="229"/>
      <c r="R23" s="229"/>
      <c r="S23" s="229"/>
      <c r="T23" s="229"/>
    </row>
    <row r="24" spans="2:21" s="230" customFormat="1" ht="12" customHeight="1">
      <c r="B24" s="228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8"/>
      <c r="Q24" s="229"/>
      <c r="R24" s="229"/>
      <c r="S24" s="229"/>
      <c r="T24" s="229"/>
    </row>
    <row r="25" spans="2:21" s="230" customFormat="1" ht="12" customHeight="1">
      <c r="B25" s="228"/>
      <c r="C25" s="229"/>
      <c r="D25" s="229"/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31" t="s">
        <v>1641</v>
      </c>
      <c r="P25" s="231"/>
      <c r="S25" s="231" t="s">
        <v>1642</v>
      </c>
      <c r="T25" s="229"/>
    </row>
    <row r="26" spans="2:21" ht="15">
      <c r="B26" s="215">
        <v>6</v>
      </c>
      <c r="C26" s="202"/>
      <c r="D26" s="211" t="s">
        <v>1643</v>
      </c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80">
        <v>100</v>
      </c>
      <c r="P26" s="244"/>
      <c r="Q26" s="244"/>
      <c r="R26" s="244"/>
      <c r="S26" s="281">
        <f>O26</f>
        <v>100</v>
      </c>
      <c r="T26" s="244"/>
      <c r="U26" s="247"/>
    </row>
    <row r="27" spans="2:21" ht="15">
      <c r="B27" s="215"/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47"/>
      <c r="P27" s="247"/>
      <c r="Q27" s="247"/>
      <c r="R27" s="247"/>
      <c r="S27" s="282"/>
      <c r="T27" s="247"/>
      <c r="U27" s="247"/>
    </row>
    <row r="28" spans="2:21" ht="15">
      <c r="B28" s="215">
        <v>7</v>
      </c>
      <c r="C28" s="232"/>
      <c r="D28" s="234" t="s">
        <v>1644</v>
      </c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83">
        <v>0.4</v>
      </c>
      <c r="P28" s="247"/>
      <c r="Q28" s="247"/>
      <c r="R28" s="247"/>
      <c r="S28" s="282">
        <f>O28</f>
        <v>0.4</v>
      </c>
      <c r="T28" s="247"/>
      <c r="U28" s="247"/>
    </row>
    <row r="29" spans="2:21" ht="15">
      <c r="B29" s="215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47"/>
      <c r="P29" s="247"/>
      <c r="Q29" s="247"/>
      <c r="R29" s="247"/>
      <c r="S29" s="282"/>
      <c r="T29" s="247"/>
      <c r="U29" s="247"/>
    </row>
    <row r="30" spans="2:21" ht="15">
      <c r="B30" s="215">
        <v>8</v>
      </c>
      <c r="C30" s="232"/>
      <c r="D30" s="234" t="s">
        <v>1645</v>
      </c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47">
        <v>0.14929999999999999</v>
      </c>
      <c r="P30" s="247"/>
      <c r="Q30" s="247"/>
      <c r="R30" s="247"/>
      <c r="S30" s="282">
        <f>O30</f>
        <v>0.14929999999999999</v>
      </c>
      <c r="T30" s="247"/>
      <c r="U30" s="247"/>
    </row>
    <row r="31" spans="2:21" ht="15">
      <c r="B31" s="215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84" t="s">
        <v>33</v>
      </c>
      <c r="P31" s="247"/>
      <c r="Q31" s="247"/>
      <c r="R31" s="247"/>
      <c r="S31" s="282"/>
      <c r="T31" s="247"/>
      <c r="U31" s="247"/>
    </row>
    <row r="32" spans="2:21" ht="15">
      <c r="B32" s="215">
        <v>9</v>
      </c>
      <c r="C32" s="232"/>
      <c r="D32" s="234" t="s">
        <v>1646</v>
      </c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56">
        <f>O26-O28-O30</f>
        <v>99.450699999999998</v>
      </c>
      <c r="P32" s="257"/>
      <c r="Q32" s="257"/>
      <c r="R32" s="257"/>
      <c r="S32" s="258">
        <f>S26-S28-S30</f>
        <v>99.450699999999998</v>
      </c>
      <c r="T32" s="232"/>
      <c r="U32" s="232"/>
    </row>
    <row r="33" spans="1:24" ht="15">
      <c r="B33" s="215"/>
      <c r="C33" s="232"/>
      <c r="D33" s="234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3"/>
      <c r="T33" s="232"/>
      <c r="U33" s="232"/>
      <c r="X33" s="178" t="s">
        <v>33</v>
      </c>
    </row>
    <row r="34" spans="1:24" ht="15">
      <c r="B34" s="215">
        <v>10</v>
      </c>
      <c r="C34" s="232"/>
      <c r="D34" s="235" t="s">
        <v>1811</v>
      </c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85">
        <v>5.0064999999999998E-2</v>
      </c>
      <c r="P34" s="247"/>
      <c r="Q34" s="247"/>
      <c r="R34" s="247"/>
      <c r="S34" s="258">
        <f>ROUND(S32*O34,6)</f>
        <v>4.978999</v>
      </c>
      <c r="T34" s="247"/>
      <c r="U34" s="247"/>
    </row>
    <row r="35" spans="1:24" ht="15">
      <c r="B35" s="215"/>
      <c r="C35" s="232"/>
      <c r="D35" s="234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7"/>
      <c r="P35" s="232"/>
      <c r="Q35" s="232"/>
      <c r="R35" s="232"/>
      <c r="S35" s="233"/>
      <c r="T35" s="232"/>
      <c r="U35" s="232"/>
    </row>
    <row r="36" spans="1:24" ht="15">
      <c r="B36" s="215">
        <v>11</v>
      </c>
      <c r="C36" s="232"/>
      <c r="D36" s="235" t="s">
        <v>1647</v>
      </c>
      <c r="E36" s="232"/>
      <c r="F36" s="232"/>
      <c r="G36" s="232"/>
      <c r="H36" s="232"/>
      <c r="I36" s="232"/>
      <c r="J36" s="232"/>
      <c r="K36" s="232"/>
      <c r="L36" s="232"/>
      <c r="M36" s="232"/>
      <c r="N36" s="232"/>
      <c r="O36" s="237"/>
      <c r="P36" s="232"/>
      <c r="Q36" s="232"/>
      <c r="R36" s="232"/>
      <c r="S36" s="258">
        <f>S32-S34</f>
        <v>94.471700999999996</v>
      </c>
      <c r="T36" s="232"/>
      <c r="U36" s="232"/>
    </row>
    <row r="37" spans="1:24" ht="15">
      <c r="B37" s="215"/>
      <c r="C37" s="232"/>
      <c r="D37" s="234"/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3"/>
      <c r="T37" s="232"/>
      <c r="U37" s="232"/>
    </row>
    <row r="38" spans="1:24" ht="15">
      <c r="B38" s="215">
        <f>B36+1</f>
        <v>12</v>
      </c>
      <c r="C38" s="232"/>
      <c r="D38" s="235" t="s">
        <v>1652</v>
      </c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59">
        <f>S36*0.21</f>
        <v>19.83905721</v>
      </c>
      <c r="T38" s="232"/>
      <c r="U38" s="232"/>
    </row>
    <row r="39" spans="1:24" ht="15">
      <c r="B39" s="215"/>
      <c r="C39" s="232"/>
      <c r="D39" s="235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3"/>
      <c r="T39" s="232"/>
      <c r="U39" s="232"/>
    </row>
    <row r="40" spans="1:24" ht="15">
      <c r="B40" s="215">
        <f>B38+1</f>
        <v>13</v>
      </c>
      <c r="C40" s="232"/>
      <c r="D40" s="235" t="s">
        <v>1648</v>
      </c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58">
        <f>S36-S38</f>
        <v>74.632643790000003</v>
      </c>
      <c r="T40" s="232"/>
      <c r="U40" s="232"/>
    </row>
    <row r="41" spans="1:24" ht="15">
      <c r="B41" s="215"/>
      <c r="C41" s="232"/>
      <c r="D41" s="235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8"/>
      <c r="T41" s="232"/>
      <c r="U41" s="232"/>
    </row>
    <row r="42" spans="1:24" ht="15">
      <c r="B42" s="215">
        <f>B40+1</f>
        <v>14</v>
      </c>
      <c r="C42" s="232"/>
      <c r="D42" s="235" t="s">
        <v>1649</v>
      </c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72">
        <f>ROUND(100/O32,6)</f>
        <v>1.0055229999999999</v>
      </c>
      <c r="P42" s="232"/>
      <c r="Q42" s="232"/>
      <c r="R42" s="232"/>
      <c r="S42" s="475">
        <f>ROUND(100/S40,6)</f>
        <v>1.339896</v>
      </c>
      <c r="T42" s="232"/>
      <c r="U42" s="232"/>
    </row>
    <row r="43" spans="1:24" ht="15">
      <c r="B43" s="215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8"/>
      <c r="T43" s="232"/>
      <c r="U43" s="232"/>
    </row>
    <row r="44" spans="1:24">
      <c r="A44" s="180"/>
      <c r="B44" s="239"/>
      <c r="C44" s="235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40"/>
      <c r="T44" s="235"/>
      <c r="U44" s="235"/>
      <c r="V44" s="180"/>
      <c r="W44" s="180"/>
    </row>
    <row r="45" spans="1:24">
      <c r="A45" s="236" t="s">
        <v>33</v>
      </c>
      <c r="B45" s="239"/>
      <c r="C45" s="235"/>
      <c r="D45" s="180" t="s">
        <v>33</v>
      </c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40"/>
      <c r="T45" s="235"/>
      <c r="U45" s="235"/>
      <c r="V45" s="180"/>
      <c r="W45" s="180"/>
    </row>
    <row r="46" spans="1:24">
      <c r="A46" s="241" t="s">
        <v>33</v>
      </c>
      <c r="B46" s="242"/>
      <c r="C46" s="243" t="s">
        <v>1650</v>
      </c>
      <c r="D46" s="243" t="s">
        <v>33</v>
      </c>
      <c r="E46" s="243"/>
      <c r="F46" s="243"/>
      <c r="G46" s="243"/>
      <c r="H46" s="180"/>
      <c r="I46" s="180"/>
      <c r="J46" s="180"/>
      <c r="K46" s="180"/>
      <c r="L46" s="180"/>
      <c r="M46" s="180"/>
      <c r="N46" s="180"/>
      <c r="O46" s="235"/>
      <c r="P46" s="235"/>
      <c r="Q46" s="235"/>
      <c r="R46" s="235"/>
      <c r="S46" s="235"/>
      <c r="T46" s="235"/>
      <c r="U46" s="235"/>
      <c r="V46" s="180"/>
      <c r="W46" s="180"/>
    </row>
    <row r="47" spans="1:24">
      <c r="B47" s="237"/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</row>
    <row r="48" spans="1:24">
      <c r="B48" s="237"/>
      <c r="C48" s="232"/>
      <c r="D48" s="232"/>
      <c r="E48" s="232"/>
      <c r="F48" s="232"/>
      <c r="G48" s="232"/>
      <c r="H48" s="232"/>
      <c r="I48" s="244"/>
      <c r="J48" s="244" t="s">
        <v>1651</v>
      </c>
      <c r="K48" s="244"/>
      <c r="L48" s="244"/>
      <c r="M48" s="244"/>
      <c r="N48" s="244"/>
      <c r="O48" s="245"/>
      <c r="P48" s="246"/>
      <c r="Q48" s="244"/>
      <c r="R48" s="244"/>
      <c r="S48" s="244"/>
      <c r="T48" s="244"/>
      <c r="U48" s="247"/>
    </row>
    <row r="49" spans="2:21">
      <c r="B49" s="237"/>
      <c r="C49" s="232"/>
      <c r="D49" s="232"/>
      <c r="E49" s="232"/>
      <c r="F49" s="232"/>
      <c r="G49" s="232"/>
      <c r="H49" s="232"/>
      <c r="I49" s="244"/>
      <c r="J49" s="244"/>
      <c r="K49" s="244"/>
      <c r="L49" s="244"/>
      <c r="M49" s="244"/>
      <c r="N49" s="244"/>
      <c r="O49" s="244"/>
      <c r="P49" s="246"/>
      <c r="Q49" s="244"/>
      <c r="R49" s="244"/>
      <c r="S49" s="244"/>
      <c r="T49" s="244"/>
      <c r="U49" s="247"/>
    </row>
    <row r="50" spans="2:21">
      <c r="B50" s="237"/>
      <c r="C50" s="232"/>
      <c r="D50" s="232"/>
      <c r="E50" s="232"/>
      <c r="F50" s="232"/>
      <c r="G50" s="232"/>
      <c r="H50" s="232"/>
      <c r="I50" s="244"/>
      <c r="J50" s="244"/>
      <c r="K50" s="244"/>
      <c r="L50" s="244"/>
      <c r="M50" s="244"/>
      <c r="N50" s="244"/>
      <c r="O50" s="244"/>
      <c r="P50" s="246"/>
      <c r="Q50" s="244"/>
      <c r="R50" s="244"/>
      <c r="S50" s="244"/>
      <c r="T50" s="244"/>
      <c r="U50" s="247"/>
    </row>
    <row r="51" spans="2:21">
      <c r="B51" s="237"/>
      <c r="C51" s="232"/>
      <c r="D51" s="232"/>
      <c r="E51" s="232"/>
      <c r="F51" s="232"/>
      <c r="G51" s="232"/>
      <c r="H51" s="232"/>
      <c r="I51" s="244"/>
      <c r="J51" s="244"/>
      <c r="K51" s="244"/>
      <c r="L51" s="244"/>
      <c r="M51" s="244"/>
      <c r="N51" s="244"/>
      <c r="O51" s="244"/>
      <c r="P51" s="246"/>
      <c r="Q51" s="244"/>
      <c r="R51" s="244"/>
      <c r="S51" s="244"/>
      <c r="T51" s="244"/>
      <c r="U51" s="247"/>
    </row>
    <row r="52" spans="2:21">
      <c r="B52" s="237"/>
      <c r="C52" s="232"/>
      <c r="D52" s="232"/>
      <c r="E52" s="232"/>
      <c r="F52" s="232"/>
      <c r="G52" s="232"/>
      <c r="H52" s="232"/>
      <c r="I52" s="244"/>
      <c r="J52" s="244"/>
      <c r="K52" s="244"/>
      <c r="L52" s="244"/>
      <c r="M52" s="244"/>
      <c r="N52" s="244"/>
      <c r="O52" s="244"/>
      <c r="P52" s="246"/>
      <c r="Q52" s="244"/>
      <c r="R52" s="244"/>
      <c r="S52" s="244"/>
      <c r="T52" s="244"/>
      <c r="U52" s="247"/>
    </row>
    <row r="53" spans="2:21">
      <c r="B53" s="237"/>
      <c r="C53" s="232"/>
      <c r="D53" s="232"/>
      <c r="E53" s="232"/>
      <c r="F53" s="232"/>
      <c r="G53" s="232"/>
      <c r="H53" s="232"/>
      <c r="I53" s="244"/>
      <c r="J53" s="244"/>
      <c r="K53" s="244"/>
      <c r="L53" s="244"/>
      <c r="M53" s="244"/>
      <c r="N53" s="244"/>
      <c r="O53" s="244"/>
      <c r="P53" s="246"/>
      <c r="Q53" s="244"/>
      <c r="R53" s="244"/>
      <c r="S53" s="244"/>
      <c r="T53" s="244"/>
      <c r="U53" s="247"/>
    </row>
    <row r="54" spans="2:21">
      <c r="B54" s="237"/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232"/>
      <c r="U54" s="232"/>
    </row>
    <row r="55" spans="2:21">
      <c r="B55" s="248" t="s">
        <v>33</v>
      </c>
      <c r="C55" s="249"/>
      <c r="D55" s="244"/>
      <c r="E55" s="244"/>
      <c r="F55" s="244"/>
      <c r="G55" s="244"/>
      <c r="H55" s="244"/>
    </row>
    <row r="57" spans="2:21">
      <c r="B57" s="249"/>
      <c r="C57" s="249"/>
      <c r="D57" s="244"/>
      <c r="E57" s="244"/>
      <c r="F57" s="244"/>
      <c r="G57" s="244"/>
      <c r="H57" s="244"/>
    </row>
    <row r="58" spans="2:21">
      <c r="B58" s="237"/>
      <c r="C58" s="232"/>
      <c r="D58" s="232"/>
      <c r="E58" s="232"/>
      <c r="F58" s="232"/>
      <c r="G58" s="232"/>
      <c r="H58" s="232"/>
    </row>
  </sheetData>
  <printOptions horizontalCentered="1" verticalCentered="1"/>
  <pageMargins left="0" right="0" top="0" bottom="0.2" header="0" footer="0"/>
  <pageSetup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  <pageSetUpPr fitToPage="1"/>
  </sheetPr>
  <dimension ref="A1:AD29"/>
  <sheetViews>
    <sheetView zoomScaleNormal="100" workbookViewId="0">
      <pane xSplit="2" ySplit="9" topLeftCell="C10" activePane="bottomRight" state="frozen"/>
      <selection pane="topRight" activeCell="E1" sqref="E1"/>
      <selection pane="bottomLeft" activeCell="A10" sqref="A10"/>
      <selection pane="bottomRight" activeCell="R36" sqref="R36"/>
    </sheetView>
  </sheetViews>
  <sheetFormatPr defaultRowHeight="12.75"/>
  <cols>
    <col min="1" max="1" width="5.140625" style="40" customWidth="1"/>
    <col min="2" max="2" width="45.85546875" style="40" bestFit="1" customWidth="1"/>
    <col min="3" max="14" width="12.28515625" style="40" customWidth="1"/>
    <col min="15" max="16" width="15.7109375" style="40" customWidth="1"/>
    <col min="17" max="17" width="18.28515625" style="40" customWidth="1"/>
    <col min="18" max="18" width="13" style="40" customWidth="1"/>
    <col min="19" max="19" width="10.28515625" style="40" customWidth="1"/>
    <col min="20" max="25" width="9.140625" style="40"/>
    <col min="26" max="26" width="10.85546875" style="40" bestFit="1" customWidth="1"/>
    <col min="27" max="255" width="9.140625" style="40"/>
    <col min="256" max="256" width="4.28515625" style="40" customWidth="1"/>
    <col min="257" max="257" width="3.42578125" style="40" customWidth="1"/>
    <col min="258" max="258" width="43.140625" style="40" bestFit="1" customWidth="1"/>
    <col min="259" max="259" width="0.7109375" style="40" customWidth="1"/>
    <col min="260" max="260" width="2.85546875" style="40" customWidth="1"/>
    <col min="261" max="261" width="16.5703125" style="40" customWidth="1"/>
    <col min="262" max="511" width="9.140625" style="40"/>
    <col min="512" max="512" width="4.28515625" style="40" customWidth="1"/>
    <col min="513" max="513" width="3.42578125" style="40" customWidth="1"/>
    <col min="514" max="514" width="43.140625" style="40" bestFit="1" customWidth="1"/>
    <col min="515" max="515" width="0.7109375" style="40" customWidth="1"/>
    <col min="516" max="516" width="2.85546875" style="40" customWidth="1"/>
    <col min="517" max="517" width="16.5703125" style="40" customWidth="1"/>
    <col min="518" max="767" width="9.140625" style="40"/>
    <col min="768" max="768" width="4.28515625" style="40" customWidth="1"/>
    <col min="769" max="769" width="3.42578125" style="40" customWidth="1"/>
    <col min="770" max="770" width="43.140625" style="40" bestFit="1" customWidth="1"/>
    <col min="771" max="771" width="0.7109375" style="40" customWidth="1"/>
    <col min="772" max="772" width="2.85546875" style="40" customWidth="1"/>
    <col min="773" max="773" width="16.5703125" style="40" customWidth="1"/>
    <col min="774" max="1023" width="9.140625" style="40"/>
    <col min="1024" max="1024" width="4.28515625" style="40" customWidth="1"/>
    <col min="1025" max="1025" width="3.42578125" style="40" customWidth="1"/>
    <col min="1026" max="1026" width="43.140625" style="40" bestFit="1" customWidth="1"/>
    <col min="1027" max="1027" width="0.7109375" style="40" customWidth="1"/>
    <col min="1028" max="1028" width="2.85546875" style="40" customWidth="1"/>
    <col min="1029" max="1029" width="16.5703125" style="40" customWidth="1"/>
    <col min="1030" max="1279" width="9.140625" style="40"/>
    <col min="1280" max="1280" width="4.28515625" style="40" customWidth="1"/>
    <col min="1281" max="1281" width="3.42578125" style="40" customWidth="1"/>
    <col min="1282" max="1282" width="43.140625" style="40" bestFit="1" customWidth="1"/>
    <col min="1283" max="1283" width="0.7109375" style="40" customWidth="1"/>
    <col min="1284" max="1284" width="2.85546875" style="40" customWidth="1"/>
    <col min="1285" max="1285" width="16.5703125" style="40" customWidth="1"/>
    <col min="1286" max="1535" width="9.140625" style="40"/>
    <col min="1536" max="1536" width="4.28515625" style="40" customWidth="1"/>
    <col min="1537" max="1537" width="3.42578125" style="40" customWidth="1"/>
    <col min="1538" max="1538" width="43.140625" style="40" bestFit="1" customWidth="1"/>
    <col min="1539" max="1539" width="0.7109375" style="40" customWidth="1"/>
    <col min="1540" max="1540" width="2.85546875" style="40" customWidth="1"/>
    <col min="1541" max="1541" width="16.5703125" style="40" customWidth="1"/>
    <col min="1542" max="1791" width="9.140625" style="40"/>
    <col min="1792" max="1792" width="4.28515625" style="40" customWidth="1"/>
    <col min="1793" max="1793" width="3.42578125" style="40" customWidth="1"/>
    <col min="1794" max="1794" width="43.140625" style="40" bestFit="1" customWidth="1"/>
    <col min="1795" max="1795" width="0.7109375" style="40" customWidth="1"/>
    <col min="1796" max="1796" width="2.85546875" style="40" customWidth="1"/>
    <col min="1797" max="1797" width="16.5703125" style="40" customWidth="1"/>
    <col min="1798" max="2047" width="9.140625" style="40"/>
    <col min="2048" max="2048" width="4.28515625" style="40" customWidth="1"/>
    <col min="2049" max="2049" width="3.42578125" style="40" customWidth="1"/>
    <col min="2050" max="2050" width="43.140625" style="40" bestFit="1" customWidth="1"/>
    <col min="2051" max="2051" width="0.7109375" style="40" customWidth="1"/>
    <col min="2052" max="2052" width="2.85546875" style="40" customWidth="1"/>
    <col min="2053" max="2053" width="16.5703125" style="40" customWidth="1"/>
    <col min="2054" max="2303" width="9.140625" style="40"/>
    <col min="2304" max="2304" width="4.28515625" style="40" customWidth="1"/>
    <col min="2305" max="2305" width="3.42578125" style="40" customWidth="1"/>
    <col min="2306" max="2306" width="43.140625" style="40" bestFit="1" customWidth="1"/>
    <col min="2307" max="2307" width="0.7109375" style="40" customWidth="1"/>
    <col min="2308" max="2308" width="2.85546875" style="40" customWidth="1"/>
    <col min="2309" max="2309" width="16.5703125" style="40" customWidth="1"/>
    <col min="2310" max="2559" width="9.140625" style="40"/>
    <col min="2560" max="2560" width="4.28515625" style="40" customWidth="1"/>
    <col min="2561" max="2561" width="3.42578125" style="40" customWidth="1"/>
    <col min="2562" max="2562" width="43.140625" style="40" bestFit="1" customWidth="1"/>
    <col min="2563" max="2563" width="0.7109375" style="40" customWidth="1"/>
    <col min="2564" max="2564" width="2.85546875" style="40" customWidth="1"/>
    <col min="2565" max="2565" width="16.5703125" style="40" customWidth="1"/>
    <col min="2566" max="2815" width="9.140625" style="40"/>
    <col min="2816" max="2816" width="4.28515625" style="40" customWidth="1"/>
    <col min="2817" max="2817" width="3.42578125" style="40" customWidth="1"/>
    <col min="2818" max="2818" width="43.140625" style="40" bestFit="1" customWidth="1"/>
    <col min="2819" max="2819" width="0.7109375" style="40" customWidth="1"/>
    <col min="2820" max="2820" width="2.85546875" style="40" customWidth="1"/>
    <col min="2821" max="2821" width="16.5703125" style="40" customWidth="1"/>
    <col min="2822" max="3071" width="9.140625" style="40"/>
    <col min="3072" max="3072" width="4.28515625" style="40" customWidth="1"/>
    <col min="3073" max="3073" width="3.42578125" style="40" customWidth="1"/>
    <col min="3074" max="3074" width="43.140625" style="40" bestFit="1" customWidth="1"/>
    <col min="3075" max="3075" width="0.7109375" style="40" customWidth="1"/>
    <col min="3076" max="3076" width="2.85546875" style="40" customWidth="1"/>
    <col min="3077" max="3077" width="16.5703125" style="40" customWidth="1"/>
    <col min="3078" max="3327" width="9.140625" style="40"/>
    <col min="3328" max="3328" width="4.28515625" style="40" customWidth="1"/>
    <col min="3329" max="3329" width="3.42578125" style="40" customWidth="1"/>
    <col min="3330" max="3330" width="43.140625" style="40" bestFit="1" customWidth="1"/>
    <col min="3331" max="3331" width="0.7109375" style="40" customWidth="1"/>
    <col min="3332" max="3332" width="2.85546875" style="40" customWidth="1"/>
    <col min="3333" max="3333" width="16.5703125" style="40" customWidth="1"/>
    <col min="3334" max="3583" width="9.140625" style="40"/>
    <col min="3584" max="3584" width="4.28515625" style="40" customWidth="1"/>
    <col min="3585" max="3585" width="3.42578125" style="40" customWidth="1"/>
    <col min="3586" max="3586" width="43.140625" style="40" bestFit="1" customWidth="1"/>
    <col min="3587" max="3587" width="0.7109375" style="40" customWidth="1"/>
    <col min="3588" max="3588" width="2.85546875" style="40" customWidth="1"/>
    <col min="3589" max="3589" width="16.5703125" style="40" customWidth="1"/>
    <col min="3590" max="3839" width="9.140625" style="40"/>
    <col min="3840" max="3840" width="4.28515625" style="40" customWidth="1"/>
    <col min="3841" max="3841" width="3.42578125" style="40" customWidth="1"/>
    <col min="3842" max="3842" width="43.140625" style="40" bestFit="1" customWidth="1"/>
    <col min="3843" max="3843" width="0.7109375" style="40" customWidth="1"/>
    <col min="3844" max="3844" width="2.85546875" style="40" customWidth="1"/>
    <col min="3845" max="3845" width="16.5703125" style="40" customWidth="1"/>
    <col min="3846" max="4095" width="9.140625" style="40"/>
    <col min="4096" max="4096" width="4.28515625" style="40" customWidth="1"/>
    <col min="4097" max="4097" width="3.42578125" style="40" customWidth="1"/>
    <col min="4098" max="4098" width="43.140625" style="40" bestFit="1" customWidth="1"/>
    <col min="4099" max="4099" width="0.7109375" style="40" customWidth="1"/>
    <col min="4100" max="4100" width="2.85546875" style="40" customWidth="1"/>
    <col min="4101" max="4101" width="16.5703125" style="40" customWidth="1"/>
    <col min="4102" max="4351" width="9.140625" style="40"/>
    <col min="4352" max="4352" width="4.28515625" style="40" customWidth="1"/>
    <col min="4353" max="4353" width="3.42578125" style="40" customWidth="1"/>
    <col min="4354" max="4354" width="43.140625" style="40" bestFit="1" customWidth="1"/>
    <col min="4355" max="4355" width="0.7109375" style="40" customWidth="1"/>
    <col min="4356" max="4356" width="2.85546875" style="40" customWidth="1"/>
    <col min="4357" max="4357" width="16.5703125" style="40" customWidth="1"/>
    <col min="4358" max="4607" width="9.140625" style="40"/>
    <col min="4608" max="4608" width="4.28515625" style="40" customWidth="1"/>
    <col min="4609" max="4609" width="3.42578125" style="40" customWidth="1"/>
    <col min="4610" max="4610" width="43.140625" style="40" bestFit="1" customWidth="1"/>
    <col min="4611" max="4611" width="0.7109375" style="40" customWidth="1"/>
    <col min="4612" max="4612" width="2.85546875" style="40" customWidth="1"/>
    <col min="4613" max="4613" width="16.5703125" style="40" customWidth="1"/>
    <col min="4614" max="4863" width="9.140625" style="40"/>
    <col min="4864" max="4864" width="4.28515625" style="40" customWidth="1"/>
    <col min="4865" max="4865" width="3.42578125" style="40" customWidth="1"/>
    <col min="4866" max="4866" width="43.140625" style="40" bestFit="1" customWidth="1"/>
    <col min="4867" max="4867" width="0.7109375" style="40" customWidth="1"/>
    <col min="4868" max="4868" width="2.85546875" style="40" customWidth="1"/>
    <col min="4869" max="4869" width="16.5703125" style="40" customWidth="1"/>
    <col min="4870" max="5119" width="9.140625" style="40"/>
    <col min="5120" max="5120" width="4.28515625" style="40" customWidth="1"/>
    <col min="5121" max="5121" width="3.42578125" style="40" customWidth="1"/>
    <col min="5122" max="5122" width="43.140625" style="40" bestFit="1" customWidth="1"/>
    <col min="5123" max="5123" width="0.7109375" style="40" customWidth="1"/>
    <col min="5124" max="5124" width="2.85546875" style="40" customWidth="1"/>
    <col min="5125" max="5125" width="16.5703125" style="40" customWidth="1"/>
    <col min="5126" max="5375" width="9.140625" style="40"/>
    <col min="5376" max="5376" width="4.28515625" style="40" customWidth="1"/>
    <col min="5377" max="5377" width="3.42578125" style="40" customWidth="1"/>
    <col min="5378" max="5378" width="43.140625" style="40" bestFit="1" customWidth="1"/>
    <col min="5379" max="5379" width="0.7109375" style="40" customWidth="1"/>
    <col min="5380" max="5380" width="2.85546875" style="40" customWidth="1"/>
    <col min="5381" max="5381" width="16.5703125" style="40" customWidth="1"/>
    <col min="5382" max="5631" width="9.140625" style="40"/>
    <col min="5632" max="5632" width="4.28515625" style="40" customWidth="1"/>
    <col min="5633" max="5633" width="3.42578125" style="40" customWidth="1"/>
    <col min="5634" max="5634" width="43.140625" style="40" bestFit="1" customWidth="1"/>
    <col min="5635" max="5635" width="0.7109375" style="40" customWidth="1"/>
    <col min="5636" max="5636" width="2.85546875" style="40" customWidth="1"/>
    <col min="5637" max="5637" width="16.5703125" style="40" customWidth="1"/>
    <col min="5638" max="5887" width="9.140625" style="40"/>
    <col min="5888" max="5888" width="4.28515625" style="40" customWidth="1"/>
    <col min="5889" max="5889" width="3.42578125" style="40" customWidth="1"/>
    <col min="5890" max="5890" width="43.140625" style="40" bestFit="1" customWidth="1"/>
    <col min="5891" max="5891" width="0.7109375" style="40" customWidth="1"/>
    <col min="5892" max="5892" width="2.85546875" style="40" customWidth="1"/>
    <col min="5893" max="5893" width="16.5703125" style="40" customWidth="1"/>
    <col min="5894" max="6143" width="9.140625" style="40"/>
    <col min="6144" max="6144" width="4.28515625" style="40" customWidth="1"/>
    <col min="6145" max="6145" width="3.42578125" style="40" customWidth="1"/>
    <col min="6146" max="6146" width="43.140625" style="40" bestFit="1" customWidth="1"/>
    <col min="6147" max="6147" width="0.7109375" style="40" customWidth="1"/>
    <col min="6148" max="6148" width="2.85546875" style="40" customWidth="1"/>
    <col min="6149" max="6149" width="16.5703125" style="40" customWidth="1"/>
    <col min="6150" max="6399" width="9.140625" style="40"/>
    <col min="6400" max="6400" width="4.28515625" style="40" customWidth="1"/>
    <col min="6401" max="6401" width="3.42578125" style="40" customWidth="1"/>
    <col min="6402" max="6402" width="43.140625" style="40" bestFit="1" customWidth="1"/>
    <col min="6403" max="6403" width="0.7109375" style="40" customWidth="1"/>
    <col min="6404" max="6404" width="2.85546875" style="40" customWidth="1"/>
    <col min="6405" max="6405" width="16.5703125" style="40" customWidth="1"/>
    <col min="6406" max="6655" width="9.140625" style="40"/>
    <col min="6656" max="6656" width="4.28515625" style="40" customWidth="1"/>
    <col min="6657" max="6657" width="3.42578125" style="40" customWidth="1"/>
    <col min="6658" max="6658" width="43.140625" style="40" bestFit="1" customWidth="1"/>
    <col min="6659" max="6659" width="0.7109375" style="40" customWidth="1"/>
    <col min="6660" max="6660" width="2.85546875" style="40" customWidth="1"/>
    <col min="6661" max="6661" width="16.5703125" style="40" customWidth="1"/>
    <col min="6662" max="6911" width="9.140625" style="40"/>
    <col min="6912" max="6912" width="4.28515625" style="40" customWidth="1"/>
    <col min="6913" max="6913" width="3.42578125" style="40" customWidth="1"/>
    <col min="6914" max="6914" width="43.140625" style="40" bestFit="1" customWidth="1"/>
    <col min="6915" max="6915" width="0.7109375" style="40" customWidth="1"/>
    <col min="6916" max="6916" width="2.85546875" style="40" customWidth="1"/>
    <col min="6917" max="6917" width="16.5703125" style="40" customWidth="1"/>
    <col min="6918" max="7167" width="9.140625" style="40"/>
    <col min="7168" max="7168" width="4.28515625" style="40" customWidth="1"/>
    <col min="7169" max="7169" width="3.42578125" style="40" customWidth="1"/>
    <col min="7170" max="7170" width="43.140625" style="40" bestFit="1" customWidth="1"/>
    <col min="7171" max="7171" width="0.7109375" style="40" customWidth="1"/>
    <col min="7172" max="7172" width="2.85546875" style="40" customWidth="1"/>
    <col min="7173" max="7173" width="16.5703125" style="40" customWidth="1"/>
    <col min="7174" max="7423" width="9.140625" style="40"/>
    <col min="7424" max="7424" width="4.28515625" style="40" customWidth="1"/>
    <col min="7425" max="7425" width="3.42578125" style="40" customWidth="1"/>
    <col min="7426" max="7426" width="43.140625" style="40" bestFit="1" customWidth="1"/>
    <col min="7427" max="7427" width="0.7109375" style="40" customWidth="1"/>
    <col min="7428" max="7428" width="2.85546875" style="40" customWidth="1"/>
    <col min="7429" max="7429" width="16.5703125" style="40" customWidth="1"/>
    <col min="7430" max="7679" width="9.140625" style="40"/>
    <col min="7680" max="7680" width="4.28515625" style="40" customWidth="1"/>
    <col min="7681" max="7681" width="3.42578125" style="40" customWidth="1"/>
    <col min="7682" max="7682" width="43.140625" style="40" bestFit="1" customWidth="1"/>
    <col min="7683" max="7683" width="0.7109375" style="40" customWidth="1"/>
    <col min="7684" max="7684" width="2.85546875" style="40" customWidth="1"/>
    <col min="7685" max="7685" width="16.5703125" style="40" customWidth="1"/>
    <col min="7686" max="7935" width="9.140625" style="40"/>
    <col min="7936" max="7936" width="4.28515625" style="40" customWidth="1"/>
    <col min="7937" max="7937" width="3.42578125" style="40" customWidth="1"/>
    <col min="7938" max="7938" width="43.140625" style="40" bestFit="1" customWidth="1"/>
    <col min="7939" max="7939" width="0.7109375" style="40" customWidth="1"/>
    <col min="7940" max="7940" width="2.85546875" style="40" customWidth="1"/>
    <col min="7941" max="7941" width="16.5703125" style="40" customWidth="1"/>
    <col min="7942" max="8191" width="9.140625" style="40"/>
    <col min="8192" max="8192" width="4.28515625" style="40" customWidth="1"/>
    <col min="8193" max="8193" width="3.42578125" style="40" customWidth="1"/>
    <col min="8194" max="8194" width="43.140625" style="40" bestFit="1" customWidth="1"/>
    <col min="8195" max="8195" width="0.7109375" style="40" customWidth="1"/>
    <col min="8196" max="8196" width="2.85546875" style="40" customWidth="1"/>
    <col min="8197" max="8197" width="16.5703125" style="40" customWidth="1"/>
    <col min="8198" max="8447" width="9.140625" style="40"/>
    <col min="8448" max="8448" width="4.28515625" style="40" customWidth="1"/>
    <col min="8449" max="8449" width="3.42578125" style="40" customWidth="1"/>
    <col min="8450" max="8450" width="43.140625" style="40" bestFit="1" customWidth="1"/>
    <col min="8451" max="8451" width="0.7109375" style="40" customWidth="1"/>
    <col min="8452" max="8452" width="2.85546875" style="40" customWidth="1"/>
    <col min="8453" max="8453" width="16.5703125" style="40" customWidth="1"/>
    <col min="8454" max="8703" width="9.140625" style="40"/>
    <col min="8704" max="8704" width="4.28515625" style="40" customWidth="1"/>
    <col min="8705" max="8705" width="3.42578125" style="40" customWidth="1"/>
    <col min="8706" max="8706" width="43.140625" style="40" bestFit="1" customWidth="1"/>
    <col min="8707" max="8707" width="0.7109375" style="40" customWidth="1"/>
    <col min="8708" max="8708" width="2.85546875" style="40" customWidth="1"/>
    <col min="8709" max="8709" width="16.5703125" style="40" customWidth="1"/>
    <col min="8710" max="8959" width="9.140625" style="40"/>
    <col min="8960" max="8960" width="4.28515625" style="40" customWidth="1"/>
    <col min="8961" max="8961" width="3.42578125" style="40" customWidth="1"/>
    <col min="8962" max="8962" width="43.140625" style="40" bestFit="1" customWidth="1"/>
    <col min="8963" max="8963" width="0.7109375" style="40" customWidth="1"/>
    <col min="8964" max="8964" width="2.85546875" style="40" customWidth="1"/>
    <col min="8965" max="8965" width="16.5703125" style="40" customWidth="1"/>
    <col min="8966" max="9215" width="9.140625" style="40"/>
    <col min="9216" max="9216" width="4.28515625" style="40" customWidth="1"/>
    <col min="9217" max="9217" width="3.42578125" style="40" customWidth="1"/>
    <col min="9218" max="9218" width="43.140625" style="40" bestFit="1" customWidth="1"/>
    <col min="9219" max="9219" width="0.7109375" style="40" customWidth="1"/>
    <col min="9220" max="9220" width="2.85546875" style="40" customWidth="1"/>
    <col min="9221" max="9221" width="16.5703125" style="40" customWidth="1"/>
    <col min="9222" max="9471" width="9.140625" style="40"/>
    <col min="9472" max="9472" width="4.28515625" style="40" customWidth="1"/>
    <col min="9473" max="9473" width="3.42578125" style="40" customWidth="1"/>
    <col min="9474" max="9474" width="43.140625" style="40" bestFit="1" customWidth="1"/>
    <col min="9475" max="9475" width="0.7109375" style="40" customWidth="1"/>
    <col min="9476" max="9476" width="2.85546875" style="40" customWidth="1"/>
    <col min="9477" max="9477" width="16.5703125" style="40" customWidth="1"/>
    <col min="9478" max="9727" width="9.140625" style="40"/>
    <col min="9728" max="9728" width="4.28515625" style="40" customWidth="1"/>
    <col min="9729" max="9729" width="3.42578125" style="40" customWidth="1"/>
    <col min="9730" max="9730" width="43.140625" style="40" bestFit="1" customWidth="1"/>
    <col min="9731" max="9731" width="0.7109375" style="40" customWidth="1"/>
    <col min="9732" max="9732" width="2.85546875" style="40" customWidth="1"/>
    <col min="9733" max="9733" width="16.5703125" style="40" customWidth="1"/>
    <col min="9734" max="9983" width="9.140625" style="40"/>
    <col min="9984" max="9984" width="4.28515625" style="40" customWidth="1"/>
    <col min="9985" max="9985" width="3.42578125" style="40" customWidth="1"/>
    <col min="9986" max="9986" width="43.140625" style="40" bestFit="1" customWidth="1"/>
    <col min="9987" max="9987" width="0.7109375" style="40" customWidth="1"/>
    <col min="9988" max="9988" width="2.85546875" style="40" customWidth="1"/>
    <col min="9989" max="9989" width="16.5703125" style="40" customWidth="1"/>
    <col min="9990" max="10239" width="9.140625" style="40"/>
    <col min="10240" max="10240" width="4.28515625" style="40" customWidth="1"/>
    <col min="10241" max="10241" width="3.42578125" style="40" customWidth="1"/>
    <col min="10242" max="10242" width="43.140625" style="40" bestFit="1" customWidth="1"/>
    <col min="10243" max="10243" width="0.7109375" style="40" customWidth="1"/>
    <col min="10244" max="10244" width="2.85546875" style="40" customWidth="1"/>
    <col min="10245" max="10245" width="16.5703125" style="40" customWidth="1"/>
    <col min="10246" max="10495" width="9.140625" style="40"/>
    <col min="10496" max="10496" width="4.28515625" style="40" customWidth="1"/>
    <col min="10497" max="10497" width="3.42578125" style="40" customWidth="1"/>
    <col min="10498" max="10498" width="43.140625" style="40" bestFit="1" customWidth="1"/>
    <col min="10499" max="10499" width="0.7109375" style="40" customWidth="1"/>
    <col min="10500" max="10500" width="2.85546875" style="40" customWidth="1"/>
    <col min="10501" max="10501" width="16.5703125" style="40" customWidth="1"/>
    <col min="10502" max="10751" width="9.140625" style="40"/>
    <col min="10752" max="10752" width="4.28515625" style="40" customWidth="1"/>
    <col min="10753" max="10753" width="3.42578125" style="40" customWidth="1"/>
    <col min="10754" max="10754" width="43.140625" style="40" bestFit="1" customWidth="1"/>
    <col min="10755" max="10755" width="0.7109375" style="40" customWidth="1"/>
    <col min="10756" max="10756" width="2.85546875" style="40" customWidth="1"/>
    <col min="10757" max="10757" width="16.5703125" style="40" customWidth="1"/>
    <col min="10758" max="11007" width="9.140625" style="40"/>
    <col min="11008" max="11008" width="4.28515625" style="40" customWidth="1"/>
    <col min="11009" max="11009" width="3.42578125" style="40" customWidth="1"/>
    <col min="11010" max="11010" width="43.140625" style="40" bestFit="1" customWidth="1"/>
    <col min="11011" max="11011" width="0.7109375" style="40" customWidth="1"/>
    <col min="11012" max="11012" width="2.85546875" style="40" customWidth="1"/>
    <col min="11013" max="11013" width="16.5703125" style="40" customWidth="1"/>
    <col min="11014" max="11263" width="9.140625" style="40"/>
    <col min="11264" max="11264" width="4.28515625" style="40" customWidth="1"/>
    <col min="11265" max="11265" width="3.42578125" style="40" customWidth="1"/>
    <col min="11266" max="11266" width="43.140625" style="40" bestFit="1" customWidth="1"/>
    <col min="11267" max="11267" width="0.7109375" style="40" customWidth="1"/>
    <col min="11268" max="11268" width="2.85546875" style="40" customWidth="1"/>
    <col min="11269" max="11269" width="16.5703125" style="40" customWidth="1"/>
    <col min="11270" max="11519" width="9.140625" style="40"/>
    <col min="11520" max="11520" width="4.28515625" style="40" customWidth="1"/>
    <col min="11521" max="11521" width="3.42578125" style="40" customWidth="1"/>
    <col min="11522" max="11522" width="43.140625" style="40" bestFit="1" customWidth="1"/>
    <col min="11523" max="11523" width="0.7109375" style="40" customWidth="1"/>
    <col min="11524" max="11524" width="2.85546875" style="40" customWidth="1"/>
    <col min="11525" max="11525" width="16.5703125" style="40" customWidth="1"/>
    <col min="11526" max="11775" width="9.140625" style="40"/>
    <col min="11776" max="11776" width="4.28515625" style="40" customWidth="1"/>
    <col min="11777" max="11777" width="3.42578125" style="40" customWidth="1"/>
    <col min="11778" max="11778" width="43.140625" style="40" bestFit="1" customWidth="1"/>
    <col min="11779" max="11779" width="0.7109375" style="40" customWidth="1"/>
    <col min="11780" max="11780" width="2.85546875" style="40" customWidth="1"/>
    <col min="11781" max="11781" width="16.5703125" style="40" customWidth="1"/>
    <col min="11782" max="12031" width="9.140625" style="40"/>
    <col min="12032" max="12032" width="4.28515625" style="40" customWidth="1"/>
    <col min="12033" max="12033" width="3.42578125" style="40" customWidth="1"/>
    <col min="12034" max="12034" width="43.140625" style="40" bestFit="1" customWidth="1"/>
    <col min="12035" max="12035" width="0.7109375" style="40" customWidth="1"/>
    <col min="12036" max="12036" width="2.85546875" style="40" customWidth="1"/>
    <col min="12037" max="12037" width="16.5703125" style="40" customWidth="1"/>
    <col min="12038" max="12287" width="9.140625" style="40"/>
    <col min="12288" max="12288" width="4.28515625" style="40" customWidth="1"/>
    <col min="12289" max="12289" width="3.42578125" style="40" customWidth="1"/>
    <col min="12290" max="12290" width="43.140625" style="40" bestFit="1" customWidth="1"/>
    <col min="12291" max="12291" width="0.7109375" style="40" customWidth="1"/>
    <col min="12292" max="12292" width="2.85546875" style="40" customWidth="1"/>
    <col min="12293" max="12293" width="16.5703125" style="40" customWidth="1"/>
    <col min="12294" max="12543" width="9.140625" style="40"/>
    <col min="12544" max="12544" width="4.28515625" style="40" customWidth="1"/>
    <col min="12545" max="12545" width="3.42578125" style="40" customWidth="1"/>
    <col min="12546" max="12546" width="43.140625" style="40" bestFit="1" customWidth="1"/>
    <col min="12547" max="12547" width="0.7109375" style="40" customWidth="1"/>
    <col min="12548" max="12548" width="2.85546875" style="40" customWidth="1"/>
    <col min="12549" max="12549" width="16.5703125" style="40" customWidth="1"/>
    <col min="12550" max="12799" width="9.140625" style="40"/>
    <col min="12800" max="12800" width="4.28515625" style="40" customWidth="1"/>
    <col min="12801" max="12801" width="3.42578125" style="40" customWidth="1"/>
    <col min="12802" max="12802" width="43.140625" style="40" bestFit="1" customWidth="1"/>
    <col min="12803" max="12803" width="0.7109375" style="40" customWidth="1"/>
    <col min="12804" max="12804" width="2.85546875" style="40" customWidth="1"/>
    <col min="12805" max="12805" width="16.5703125" style="40" customWidth="1"/>
    <col min="12806" max="13055" width="9.140625" style="40"/>
    <col min="13056" max="13056" width="4.28515625" style="40" customWidth="1"/>
    <col min="13057" max="13057" width="3.42578125" style="40" customWidth="1"/>
    <col min="13058" max="13058" width="43.140625" style="40" bestFit="1" customWidth="1"/>
    <col min="13059" max="13059" width="0.7109375" style="40" customWidth="1"/>
    <col min="13060" max="13060" width="2.85546875" style="40" customWidth="1"/>
    <col min="13061" max="13061" width="16.5703125" style="40" customWidth="1"/>
    <col min="13062" max="13311" width="9.140625" style="40"/>
    <col min="13312" max="13312" width="4.28515625" style="40" customWidth="1"/>
    <col min="13313" max="13313" width="3.42578125" style="40" customWidth="1"/>
    <col min="13314" max="13314" width="43.140625" style="40" bestFit="1" customWidth="1"/>
    <col min="13315" max="13315" width="0.7109375" style="40" customWidth="1"/>
    <col min="13316" max="13316" width="2.85546875" style="40" customWidth="1"/>
    <col min="13317" max="13317" width="16.5703125" style="40" customWidth="1"/>
    <col min="13318" max="13567" width="9.140625" style="40"/>
    <col min="13568" max="13568" width="4.28515625" style="40" customWidth="1"/>
    <col min="13569" max="13569" width="3.42578125" style="40" customWidth="1"/>
    <col min="13570" max="13570" width="43.140625" style="40" bestFit="1" customWidth="1"/>
    <col min="13571" max="13571" width="0.7109375" style="40" customWidth="1"/>
    <col min="13572" max="13572" width="2.85546875" style="40" customWidth="1"/>
    <col min="13573" max="13573" width="16.5703125" style="40" customWidth="1"/>
    <col min="13574" max="13823" width="9.140625" style="40"/>
    <col min="13824" max="13824" width="4.28515625" style="40" customWidth="1"/>
    <col min="13825" max="13825" width="3.42578125" style="40" customWidth="1"/>
    <col min="13826" max="13826" width="43.140625" style="40" bestFit="1" customWidth="1"/>
    <col min="13827" max="13827" width="0.7109375" style="40" customWidth="1"/>
    <col min="13828" max="13828" width="2.85546875" style="40" customWidth="1"/>
    <col min="13829" max="13829" width="16.5703125" style="40" customWidth="1"/>
    <col min="13830" max="14079" width="9.140625" style="40"/>
    <col min="14080" max="14080" width="4.28515625" style="40" customWidth="1"/>
    <col min="14081" max="14081" width="3.42578125" style="40" customWidth="1"/>
    <col min="14082" max="14082" width="43.140625" style="40" bestFit="1" customWidth="1"/>
    <col min="14083" max="14083" width="0.7109375" style="40" customWidth="1"/>
    <col min="14084" max="14084" width="2.85546875" style="40" customWidth="1"/>
    <col min="14085" max="14085" width="16.5703125" style="40" customWidth="1"/>
    <col min="14086" max="14335" width="9.140625" style="40"/>
    <col min="14336" max="14336" width="4.28515625" style="40" customWidth="1"/>
    <col min="14337" max="14337" width="3.42578125" style="40" customWidth="1"/>
    <col min="14338" max="14338" width="43.140625" style="40" bestFit="1" customWidth="1"/>
    <col min="14339" max="14339" width="0.7109375" style="40" customWidth="1"/>
    <col min="14340" max="14340" width="2.85546875" style="40" customWidth="1"/>
    <col min="14341" max="14341" width="16.5703125" style="40" customWidth="1"/>
    <col min="14342" max="14591" width="9.140625" style="40"/>
    <col min="14592" max="14592" width="4.28515625" style="40" customWidth="1"/>
    <col min="14593" max="14593" width="3.42578125" style="40" customWidth="1"/>
    <col min="14594" max="14594" width="43.140625" style="40" bestFit="1" customWidth="1"/>
    <col min="14595" max="14595" width="0.7109375" style="40" customWidth="1"/>
    <col min="14596" max="14596" width="2.85546875" style="40" customWidth="1"/>
    <col min="14597" max="14597" width="16.5703125" style="40" customWidth="1"/>
    <col min="14598" max="14847" width="9.140625" style="40"/>
    <col min="14848" max="14848" width="4.28515625" style="40" customWidth="1"/>
    <col min="14849" max="14849" width="3.42578125" style="40" customWidth="1"/>
    <col min="14850" max="14850" width="43.140625" style="40" bestFit="1" customWidth="1"/>
    <col min="14851" max="14851" width="0.7109375" style="40" customWidth="1"/>
    <col min="14852" max="14852" width="2.85546875" style="40" customWidth="1"/>
    <col min="14853" max="14853" width="16.5703125" style="40" customWidth="1"/>
    <col min="14854" max="15103" width="9.140625" style="40"/>
    <col min="15104" max="15104" width="4.28515625" style="40" customWidth="1"/>
    <col min="15105" max="15105" width="3.42578125" style="40" customWidth="1"/>
    <col min="15106" max="15106" width="43.140625" style="40" bestFit="1" customWidth="1"/>
    <col min="15107" max="15107" width="0.7109375" style="40" customWidth="1"/>
    <col min="15108" max="15108" width="2.85546875" style="40" customWidth="1"/>
    <col min="15109" max="15109" width="16.5703125" style="40" customWidth="1"/>
    <col min="15110" max="15359" width="9.140625" style="40"/>
    <col min="15360" max="15360" width="4.28515625" style="40" customWidth="1"/>
    <col min="15361" max="15361" width="3.42578125" style="40" customWidth="1"/>
    <col min="15362" max="15362" width="43.140625" style="40" bestFit="1" customWidth="1"/>
    <col min="15363" max="15363" width="0.7109375" style="40" customWidth="1"/>
    <col min="15364" max="15364" width="2.85546875" style="40" customWidth="1"/>
    <col min="15365" max="15365" width="16.5703125" style="40" customWidth="1"/>
    <col min="15366" max="15615" width="9.140625" style="40"/>
    <col min="15616" max="15616" width="4.28515625" style="40" customWidth="1"/>
    <col min="15617" max="15617" width="3.42578125" style="40" customWidth="1"/>
    <col min="15618" max="15618" width="43.140625" style="40" bestFit="1" customWidth="1"/>
    <col min="15619" max="15619" width="0.7109375" style="40" customWidth="1"/>
    <col min="15620" max="15620" width="2.85546875" style="40" customWidth="1"/>
    <col min="15621" max="15621" width="16.5703125" style="40" customWidth="1"/>
    <col min="15622" max="15871" width="9.140625" style="40"/>
    <col min="15872" max="15872" width="4.28515625" style="40" customWidth="1"/>
    <col min="15873" max="15873" width="3.42578125" style="40" customWidth="1"/>
    <col min="15874" max="15874" width="43.140625" style="40" bestFit="1" customWidth="1"/>
    <col min="15875" max="15875" width="0.7109375" style="40" customWidth="1"/>
    <col min="15876" max="15876" width="2.85546875" style="40" customWidth="1"/>
    <col min="15877" max="15877" width="16.5703125" style="40" customWidth="1"/>
    <col min="15878" max="16127" width="9.140625" style="40"/>
    <col min="16128" max="16128" width="4.28515625" style="40" customWidth="1"/>
    <col min="16129" max="16129" width="3.42578125" style="40" customWidth="1"/>
    <col min="16130" max="16130" width="43.140625" style="40" bestFit="1" customWidth="1"/>
    <col min="16131" max="16131" width="0.7109375" style="40" customWidth="1"/>
    <col min="16132" max="16132" width="2.85546875" style="40" customWidth="1"/>
    <col min="16133" max="16133" width="16.5703125" style="40" customWidth="1"/>
    <col min="16134" max="16384" width="9.140625" style="40"/>
  </cols>
  <sheetData>
    <row r="1" spans="1:30">
      <c r="B1" s="463" t="s">
        <v>78</v>
      </c>
      <c r="C1" s="41"/>
    </row>
    <row r="2" spans="1:30">
      <c r="B2" s="463" t="s">
        <v>1808</v>
      </c>
      <c r="C2" s="71"/>
    </row>
    <row r="3" spans="1:30">
      <c r="B3" s="465" t="s">
        <v>1813</v>
      </c>
      <c r="C3" s="71"/>
    </row>
    <row r="4" spans="1:30">
      <c r="B4" s="68"/>
      <c r="C4" s="41"/>
    </row>
    <row r="6" spans="1:30">
      <c r="C6" s="42"/>
    </row>
    <row r="7" spans="1:30" s="48" customFormat="1" ht="25.5">
      <c r="A7" s="55" t="s">
        <v>90</v>
      </c>
      <c r="B7" s="56" t="s">
        <v>79</v>
      </c>
      <c r="C7" s="55" t="s">
        <v>33</v>
      </c>
    </row>
    <row r="8" spans="1:30" s="48" customFormat="1" ht="13.5" thickBot="1">
      <c r="A8" s="57">
        <v>-1</v>
      </c>
      <c r="B8" s="58">
        <v>-2</v>
      </c>
      <c r="C8" s="58" t="s">
        <v>33</v>
      </c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30" s="43" customFormat="1" ht="13.5" thickBot="1">
      <c r="B9" s="60" t="s">
        <v>80</v>
      </c>
      <c r="C9" s="436">
        <v>44652</v>
      </c>
      <c r="D9" s="436">
        <v>44682</v>
      </c>
      <c r="E9" s="436">
        <v>44713</v>
      </c>
      <c r="F9" s="436">
        <v>44743</v>
      </c>
      <c r="G9" s="436">
        <v>44774</v>
      </c>
      <c r="H9" s="436">
        <v>44805</v>
      </c>
      <c r="I9" s="436">
        <v>44835</v>
      </c>
      <c r="J9" s="436">
        <v>44866</v>
      </c>
      <c r="K9" s="436">
        <v>44896</v>
      </c>
      <c r="L9" s="436">
        <v>44927</v>
      </c>
      <c r="M9" s="436">
        <v>44958</v>
      </c>
      <c r="N9" s="437">
        <v>44986</v>
      </c>
      <c r="O9" s="61" t="s">
        <v>77</v>
      </c>
    </row>
    <row r="10" spans="1:30" ht="14.1" customHeight="1">
      <c r="A10" s="40">
        <v>1</v>
      </c>
      <c r="B10" s="62" t="s">
        <v>81</v>
      </c>
      <c r="C10" s="439">
        <f>SUM('ML-FGD'!C25:C29)</f>
        <v>207748.17</v>
      </c>
      <c r="D10" s="439">
        <f>SUM('ML-FGD'!D25:D29)</f>
        <v>219987.79</v>
      </c>
      <c r="E10" s="439">
        <f>SUM('ML-FGD'!E25:E29)</f>
        <v>222549.85</v>
      </c>
      <c r="F10" s="439">
        <f>SUM('ML-FGD'!F25:F29)</f>
        <v>342234.72</v>
      </c>
      <c r="G10" s="439">
        <f>SUM('ML-FGD'!G25:G29)</f>
        <v>223259.34</v>
      </c>
      <c r="H10" s="439">
        <f>SUM('ML-FGD'!H25:H29)</f>
        <v>103751.1</v>
      </c>
      <c r="I10" s="439">
        <f>SUM('ML-FGD'!I25:I29)</f>
        <v>9623.34</v>
      </c>
      <c r="J10" s="439">
        <f>SUM('ML-FGD'!J25:J29)</f>
        <v>589.75</v>
      </c>
      <c r="K10" s="439">
        <f>SUM('ML-FGD'!K25:K29)</f>
        <v>248980.9</v>
      </c>
      <c r="L10" s="439">
        <f>SUM('ML-FGD'!L25:L29)</f>
        <v>22636.77</v>
      </c>
      <c r="M10" s="439">
        <f>SUM('ML-FGD'!M25:M29)</f>
        <v>281127.48</v>
      </c>
      <c r="N10" s="439">
        <f>SUM('ML-FGD'!N25:N29)</f>
        <v>229153.21</v>
      </c>
      <c r="O10" s="270"/>
      <c r="P10" s="44"/>
      <c r="Q10" s="462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</row>
    <row r="11" spans="1:30" ht="14.1" customHeight="1">
      <c r="A11" s="40">
        <v>2</v>
      </c>
      <c r="B11" s="62" t="s">
        <v>82</v>
      </c>
      <c r="C11" s="440">
        <f>'ML-FGD'!C41</f>
        <v>16474.690955227481</v>
      </c>
      <c r="D11" s="440">
        <f>'ML-FGD'!D41</f>
        <v>16475.370188442877</v>
      </c>
      <c r="E11" s="440">
        <f>'ML-FGD'!E41</f>
        <v>16475.188223687281</v>
      </c>
      <c r="F11" s="440">
        <f>'ML-FGD'!F41</f>
        <v>16752.150879350578</v>
      </c>
      <c r="G11" s="440">
        <f>'ML-FGD'!G41</f>
        <v>16753.435576665976</v>
      </c>
      <c r="H11" s="440">
        <f>'ML-FGD'!H41</f>
        <v>16753.435576665976</v>
      </c>
      <c r="I11" s="440">
        <f>'ML-FGD'!I41</f>
        <v>16753.435576665976</v>
      </c>
      <c r="J11" s="440">
        <f>'ML-FGD'!J41</f>
        <v>16753.435576665976</v>
      </c>
      <c r="K11" s="440">
        <f>'ML-FGD'!K41</f>
        <v>16754.833934935177</v>
      </c>
      <c r="L11" s="440">
        <f>'ML-FGD'!L41</f>
        <v>16751.088015954676</v>
      </c>
      <c r="M11" s="440">
        <f>'ML-FGD'!M41</f>
        <v>16752.380698569679</v>
      </c>
      <c r="N11" s="440">
        <f>'ML-FGD'!N41</f>
        <v>16753.658852065175</v>
      </c>
      <c r="O11" s="270"/>
      <c r="P11" s="44"/>
      <c r="Q11" s="462"/>
      <c r="Z11" s="44"/>
    </row>
    <row r="12" spans="1:30" ht="14.1" customHeight="1">
      <c r="A12" s="40">
        <v>3</v>
      </c>
      <c r="B12" s="62" t="s">
        <v>83</v>
      </c>
      <c r="C12" s="440">
        <f>'ML-FGD'!C39</f>
        <v>813239.36407633498</v>
      </c>
      <c r="D12" s="440">
        <f>'ML-FGD'!D39</f>
        <v>813272.89303233474</v>
      </c>
      <c r="E12" s="440">
        <f>'ML-FGD'!E39</f>
        <v>813263.91071500152</v>
      </c>
      <c r="F12" s="440">
        <f>'ML-FGD'!F39</f>
        <v>813264.55754900153</v>
      </c>
      <c r="G12" s="440">
        <f>'ML-FGD'!G39</f>
        <v>813326.92558766808</v>
      </c>
      <c r="H12" s="440">
        <f>'ML-FGD'!H39</f>
        <v>813326.92558766808</v>
      </c>
      <c r="I12" s="440">
        <f>'ML-FGD'!I39</f>
        <v>813326.92558766808</v>
      </c>
      <c r="J12" s="440">
        <f>'ML-FGD'!J39</f>
        <v>813326.92558766808</v>
      </c>
      <c r="K12" s="440">
        <f>'ML-FGD'!K39</f>
        <v>813394.81151033472</v>
      </c>
      <c r="L12" s="440">
        <f>'ML-FGD'!L39</f>
        <v>813212.95885366807</v>
      </c>
      <c r="M12" s="440">
        <f>'ML-FGD'!M39</f>
        <v>813275.71455366816</v>
      </c>
      <c r="N12" s="440">
        <f>'ML-FGD'!N39</f>
        <v>813337.76491033472</v>
      </c>
      <c r="O12" s="270"/>
      <c r="P12" s="44"/>
      <c r="Q12" s="462"/>
    </row>
    <row r="13" spans="1:30" ht="14.1" customHeight="1">
      <c r="A13" s="40">
        <v>4</v>
      </c>
      <c r="B13" s="62" t="s">
        <v>84</v>
      </c>
      <c r="C13" s="440">
        <f>'ML-FGD'!C23</f>
        <v>34240.57</v>
      </c>
      <c r="D13" s="440">
        <f>'ML-FGD'!D23</f>
        <v>17296.990000000002</v>
      </c>
      <c r="E13" s="440">
        <f>'ML-FGD'!E23</f>
        <v>-47145.55</v>
      </c>
      <c r="F13" s="440">
        <f>'ML-FGD'!F23</f>
        <v>-18290.099999999999</v>
      </c>
      <c r="G13" s="440">
        <f>'ML-FGD'!G23</f>
        <v>-55503.54</v>
      </c>
      <c r="H13" s="440">
        <f>'ML-FGD'!H23</f>
        <v>-15785.800000000003</v>
      </c>
      <c r="I13" s="440">
        <f>'ML-FGD'!I23</f>
        <v>10807.57</v>
      </c>
      <c r="J13" s="440">
        <f>'ML-FGD'!J23</f>
        <v>38514.769999999997</v>
      </c>
      <c r="K13" s="440">
        <f>'ML-FGD'!K23</f>
        <v>58952.6</v>
      </c>
      <c r="L13" s="440">
        <f>'ML-FGD'!L23</f>
        <v>-20845.28</v>
      </c>
      <c r="M13" s="440">
        <f>'ML-FGD'!M23</f>
        <v>-25980.52</v>
      </c>
      <c r="N13" s="440">
        <f>'ML-FGD'!N23</f>
        <v>-57796.95</v>
      </c>
      <c r="O13" s="270"/>
      <c r="P13" s="45"/>
      <c r="Q13" s="462"/>
      <c r="R13" s="47"/>
      <c r="S13" s="47"/>
    </row>
    <row r="14" spans="1:30" ht="14.1" customHeight="1">
      <c r="A14" s="40">
        <v>5</v>
      </c>
      <c r="B14" s="62" t="s">
        <v>85</v>
      </c>
      <c r="C14" s="440">
        <f>'ML-FGD'!C36</f>
        <v>84477.31</v>
      </c>
      <c r="D14" s="440">
        <f>'ML-FGD'!D36</f>
        <v>109615.4</v>
      </c>
      <c r="E14" s="440">
        <f>'ML-FGD'!E36</f>
        <v>67440.759999999995</v>
      </c>
      <c r="F14" s="440">
        <f>'ML-FGD'!F36</f>
        <v>56999.66</v>
      </c>
      <c r="G14" s="440">
        <f>'ML-FGD'!G36</f>
        <v>70953.5</v>
      </c>
      <c r="H14" s="440">
        <f>'ML-FGD'!H36</f>
        <v>77193.569999999978</v>
      </c>
      <c r="I14" s="440">
        <f>'ML-FGD'!I36</f>
        <v>106938.1</v>
      </c>
      <c r="J14" s="440">
        <f>'ML-FGD'!J36</f>
        <v>150955.9</v>
      </c>
      <c r="K14" s="440">
        <f>'ML-FGD'!K36</f>
        <v>253865.73</v>
      </c>
      <c r="L14" s="440">
        <f>'ML-FGD'!L36</f>
        <v>77694.67</v>
      </c>
      <c r="M14" s="440">
        <f>'ML-FGD'!M36</f>
        <v>35428.75</v>
      </c>
      <c r="N14" s="440">
        <f>'ML-FGD'!N36</f>
        <v>81292.259999999995</v>
      </c>
      <c r="O14" s="270"/>
      <c r="P14" s="45"/>
      <c r="Q14" s="462"/>
      <c r="R14" s="47"/>
      <c r="S14" s="47"/>
    </row>
    <row r="15" spans="1:30" ht="14.1" customHeight="1" thickBot="1">
      <c r="A15" s="40">
        <v>6</v>
      </c>
      <c r="B15" s="59" t="s">
        <v>86</v>
      </c>
      <c r="C15" s="438">
        <f t="shared" ref="C15:L15" si="0">SUM(C10:C14)</f>
        <v>1156180.1050315625</v>
      </c>
      <c r="D15" s="438">
        <f t="shared" si="0"/>
        <v>1176648.4432207774</v>
      </c>
      <c r="E15" s="438">
        <f t="shared" si="0"/>
        <v>1072584.1589386887</v>
      </c>
      <c r="F15" s="438">
        <f t="shared" si="0"/>
        <v>1210960.9884283519</v>
      </c>
      <c r="G15" s="438">
        <f t="shared" si="0"/>
        <v>1068789.661164334</v>
      </c>
      <c r="H15" s="438">
        <f t="shared" si="0"/>
        <v>995239.23116433399</v>
      </c>
      <c r="I15" s="438">
        <f t="shared" si="0"/>
        <v>957449.37116433401</v>
      </c>
      <c r="J15" s="438">
        <f t="shared" si="0"/>
        <v>1020140.7811643342</v>
      </c>
      <c r="K15" s="438">
        <f t="shared" si="0"/>
        <v>1391948.87544527</v>
      </c>
      <c r="L15" s="438">
        <f t="shared" si="0"/>
        <v>909450.20686962281</v>
      </c>
      <c r="M15" s="438">
        <f t="shared" ref="M15:N15" si="1">SUM(M10:M14)</f>
        <v>1120603.8052522377</v>
      </c>
      <c r="N15" s="438">
        <f t="shared" si="1"/>
        <v>1082739.9437624</v>
      </c>
      <c r="O15" s="63"/>
      <c r="P15" s="49"/>
      <c r="Q15" s="46"/>
      <c r="R15" s="47"/>
      <c r="S15" s="47"/>
    </row>
    <row r="16" spans="1:30" ht="8.25" customHeight="1" thickBot="1"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50"/>
    </row>
    <row r="17" spans="1:19" ht="14.1" customHeight="1" thickBot="1">
      <c r="A17" s="40">
        <v>7</v>
      </c>
      <c r="B17" s="65" t="s">
        <v>87</v>
      </c>
      <c r="C17" s="451">
        <f>'Allocation Factors'!B12</f>
        <v>0.88160000000000005</v>
      </c>
      <c r="D17" s="451">
        <f>'Allocation Factors'!C12</f>
        <v>0.90190000000000003</v>
      </c>
      <c r="E17" s="451">
        <f>'Allocation Factors'!D12</f>
        <v>0.87109999999999999</v>
      </c>
      <c r="F17" s="451">
        <f>'Allocation Factors'!E12</f>
        <v>0.8498</v>
      </c>
      <c r="G17" s="451">
        <f>'Allocation Factors'!F12</f>
        <v>0.85599999999999998</v>
      </c>
      <c r="H17" s="451">
        <f>'Allocation Factors'!G12</f>
        <v>0.97799999999999998</v>
      </c>
      <c r="I17" s="451">
        <f>'Allocation Factors'!H12</f>
        <v>0.98019999999999996</v>
      </c>
      <c r="J17" s="451">
        <f>'Allocation Factors'!I12</f>
        <v>0.97470000000000001</v>
      </c>
      <c r="K17" s="451">
        <f>'Allocation Factors'!J12</f>
        <v>0.96589999999999998</v>
      </c>
      <c r="L17" s="451">
        <f>'Allocation Factors'!K12</f>
        <v>0.97189999999999999</v>
      </c>
      <c r="M17" s="451">
        <f>'Allocation Factors'!L12</f>
        <v>0.98329999999999995</v>
      </c>
      <c r="N17" s="451">
        <f>'Allocation Factors'!M12</f>
        <v>0.94899999999999995</v>
      </c>
      <c r="O17" s="66"/>
      <c r="P17" s="51" t="s">
        <v>33</v>
      </c>
    </row>
    <row r="18" spans="1:19" ht="17.25" customHeight="1" thickBot="1">
      <c r="B18" s="67" t="s">
        <v>88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 t="s">
        <v>33</v>
      </c>
      <c r="P18" s="52" t="s">
        <v>33</v>
      </c>
    </row>
    <row r="19" spans="1:19" ht="14.1" customHeight="1" thickBot="1">
      <c r="A19" s="40">
        <v>8</v>
      </c>
      <c r="B19" s="62" t="s">
        <v>81</v>
      </c>
      <c r="C19" s="439">
        <f t="shared" ref="C19:N23" si="2">ROUND(C10*C$17,0)</f>
        <v>183151</v>
      </c>
      <c r="D19" s="441">
        <f t="shared" si="2"/>
        <v>198407</v>
      </c>
      <c r="E19" s="441">
        <f t="shared" si="2"/>
        <v>193863</v>
      </c>
      <c r="F19" s="441">
        <f t="shared" si="2"/>
        <v>290831</v>
      </c>
      <c r="G19" s="441">
        <f t="shared" si="2"/>
        <v>191110</v>
      </c>
      <c r="H19" s="441">
        <f t="shared" si="2"/>
        <v>101469</v>
      </c>
      <c r="I19" s="441">
        <f t="shared" si="2"/>
        <v>9433</v>
      </c>
      <c r="J19" s="441">
        <f t="shared" si="2"/>
        <v>575</v>
      </c>
      <c r="K19" s="441">
        <f t="shared" si="2"/>
        <v>240491</v>
      </c>
      <c r="L19" s="442">
        <f t="shared" si="2"/>
        <v>22001</v>
      </c>
      <c r="M19" s="442">
        <f t="shared" si="2"/>
        <v>276433</v>
      </c>
      <c r="N19" s="442">
        <f t="shared" si="2"/>
        <v>217466</v>
      </c>
      <c r="O19" s="443">
        <f>-SUM(C19:N19)</f>
        <v>-1925230</v>
      </c>
      <c r="P19" s="47"/>
    </row>
    <row r="20" spans="1:19" ht="14.1" customHeight="1" thickBot="1">
      <c r="A20" s="40">
        <f>A19+1</f>
        <v>9</v>
      </c>
      <c r="B20" s="62" t="s">
        <v>82</v>
      </c>
      <c r="C20" s="440">
        <f t="shared" si="2"/>
        <v>14524</v>
      </c>
      <c r="D20" s="444">
        <f t="shared" si="2"/>
        <v>14859</v>
      </c>
      <c r="E20" s="444">
        <f t="shared" si="2"/>
        <v>14352</v>
      </c>
      <c r="F20" s="444">
        <f t="shared" si="2"/>
        <v>14236</v>
      </c>
      <c r="G20" s="444">
        <f t="shared" si="2"/>
        <v>14341</v>
      </c>
      <c r="H20" s="444">
        <f t="shared" si="2"/>
        <v>16385</v>
      </c>
      <c r="I20" s="444">
        <f t="shared" si="2"/>
        <v>16422</v>
      </c>
      <c r="J20" s="444">
        <f t="shared" si="2"/>
        <v>16330</v>
      </c>
      <c r="K20" s="444">
        <f t="shared" si="2"/>
        <v>16183</v>
      </c>
      <c r="L20" s="445">
        <f t="shared" si="2"/>
        <v>16280</v>
      </c>
      <c r="M20" s="445">
        <f t="shared" si="2"/>
        <v>16473</v>
      </c>
      <c r="N20" s="445">
        <f t="shared" si="2"/>
        <v>15899</v>
      </c>
      <c r="O20" s="443">
        <f t="shared" ref="O20:O23" si="3">-SUM(C20:N20)</f>
        <v>-186284</v>
      </c>
      <c r="P20" s="47"/>
    </row>
    <row r="21" spans="1:19" ht="14.1" customHeight="1" thickBot="1">
      <c r="A21" s="40">
        <f t="shared" ref="A21:A23" si="4">A20+1</f>
        <v>10</v>
      </c>
      <c r="B21" s="62" t="s">
        <v>83</v>
      </c>
      <c r="C21" s="440">
        <f t="shared" si="2"/>
        <v>716952</v>
      </c>
      <c r="D21" s="444">
        <f t="shared" si="2"/>
        <v>733491</v>
      </c>
      <c r="E21" s="444">
        <f t="shared" si="2"/>
        <v>708434</v>
      </c>
      <c r="F21" s="444">
        <f t="shared" si="2"/>
        <v>691112</v>
      </c>
      <c r="G21" s="444">
        <f t="shared" si="2"/>
        <v>696208</v>
      </c>
      <c r="H21" s="444">
        <f t="shared" si="2"/>
        <v>795434</v>
      </c>
      <c r="I21" s="444">
        <f t="shared" si="2"/>
        <v>797223</v>
      </c>
      <c r="J21" s="444">
        <f t="shared" si="2"/>
        <v>792750</v>
      </c>
      <c r="K21" s="444">
        <f t="shared" si="2"/>
        <v>785658</v>
      </c>
      <c r="L21" s="445">
        <f t="shared" si="2"/>
        <v>790362</v>
      </c>
      <c r="M21" s="445">
        <f t="shared" si="2"/>
        <v>799694</v>
      </c>
      <c r="N21" s="445">
        <f t="shared" si="2"/>
        <v>771858</v>
      </c>
      <c r="O21" s="443">
        <f t="shared" si="3"/>
        <v>-9079176</v>
      </c>
      <c r="P21" s="47"/>
    </row>
    <row r="22" spans="1:19" ht="14.1" customHeight="1" thickBot="1">
      <c r="A22" s="40">
        <f t="shared" si="4"/>
        <v>11</v>
      </c>
      <c r="B22" s="62" t="s">
        <v>84</v>
      </c>
      <c r="C22" s="440">
        <f t="shared" si="2"/>
        <v>30186</v>
      </c>
      <c r="D22" s="444">
        <f t="shared" si="2"/>
        <v>15600</v>
      </c>
      <c r="E22" s="444">
        <f t="shared" si="2"/>
        <v>-41068</v>
      </c>
      <c r="F22" s="444">
        <f t="shared" si="2"/>
        <v>-15543</v>
      </c>
      <c r="G22" s="444">
        <f t="shared" si="2"/>
        <v>-47511</v>
      </c>
      <c r="H22" s="444">
        <f t="shared" si="2"/>
        <v>-15439</v>
      </c>
      <c r="I22" s="444">
        <f t="shared" si="2"/>
        <v>10594</v>
      </c>
      <c r="J22" s="444">
        <f t="shared" si="2"/>
        <v>37540</v>
      </c>
      <c r="K22" s="444">
        <f t="shared" si="2"/>
        <v>56942</v>
      </c>
      <c r="L22" s="445">
        <f t="shared" si="2"/>
        <v>-20260</v>
      </c>
      <c r="M22" s="445">
        <f t="shared" si="2"/>
        <v>-25547</v>
      </c>
      <c r="N22" s="445">
        <f t="shared" si="2"/>
        <v>-54849</v>
      </c>
      <c r="O22" s="443">
        <f t="shared" si="3"/>
        <v>69355</v>
      </c>
      <c r="P22" s="47"/>
    </row>
    <row r="23" spans="1:19" ht="14.1" customHeight="1" thickBot="1">
      <c r="A23" s="40">
        <f t="shared" si="4"/>
        <v>12</v>
      </c>
      <c r="B23" s="62" t="s">
        <v>85</v>
      </c>
      <c r="C23" s="446">
        <f t="shared" si="2"/>
        <v>74475</v>
      </c>
      <c r="D23" s="447">
        <f t="shared" si="2"/>
        <v>98862</v>
      </c>
      <c r="E23" s="447">
        <f t="shared" si="2"/>
        <v>58748</v>
      </c>
      <c r="F23" s="447">
        <f t="shared" si="2"/>
        <v>48438</v>
      </c>
      <c r="G23" s="447">
        <f t="shared" si="2"/>
        <v>60736</v>
      </c>
      <c r="H23" s="447">
        <f t="shared" si="2"/>
        <v>75495</v>
      </c>
      <c r="I23" s="447">
        <f t="shared" si="2"/>
        <v>104821</v>
      </c>
      <c r="J23" s="447">
        <f t="shared" si="2"/>
        <v>147137</v>
      </c>
      <c r="K23" s="447">
        <f t="shared" si="2"/>
        <v>245209</v>
      </c>
      <c r="L23" s="448">
        <f t="shared" si="2"/>
        <v>75511</v>
      </c>
      <c r="M23" s="448">
        <f t="shared" si="2"/>
        <v>34837</v>
      </c>
      <c r="N23" s="448">
        <f t="shared" si="2"/>
        <v>77146</v>
      </c>
      <c r="O23" s="449">
        <f t="shared" si="3"/>
        <v>-1101415</v>
      </c>
      <c r="P23" s="47"/>
    </row>
    <row r="24" spans="1:19" ht="14.1" customHeight="1">
      <c r="B24" s="59" t="s">
        <v>33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Q24" s="53" t="s">
        <v>33</v>
      </c>
      <c r="R24" s="47"/>
    </row>
    <row r="25" spans="1:19" ht="14.1" customHeight="1"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54" t="s">
        <v>89</v>
      </c>
      <c r="Q25" s="53" t="s">
        <v>33</v>
      </c>
      <c r="R25" s="47"/>
    </row>
    <row r="26" spans="1:19" ht="14.1" customHeight="1"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450">
        <f>SUM(O19:O23)</f>
        <v>-12222750</v>
      </c>
      <c r="S26" s="47"/>
    </row>
    <row r="27" spans="1:19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</row>
    <row r="29" spans="1:19">
      <c r="B29" s="40" t="s">
        <v>91</v>
      </c>
    </row>
  </sheetData>
  <pageMargins left="0.7" right="0.7" top="0.75" bottom="0.75" header="0.3" footer="0.3"/>
  <pageSetup scale="41" orientation="landscape" r:id="rId1"/>
  <colBreaks count="1" manualBreakCount="1">
    <brk id="17" max="1048575" man="1"/>
  </colBreaks>
  <ignoredErrors>
    <ignoredError sqref="C10:N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pageSetUpPr fitToPage="1"/>
  </sheetPr>
  <dimension ref="A1:L40"/>
  <sheetViews>
    <sheetView zoomScaleNormal="100" workbookViewId="0">
      <selection activeCell="E9" sqref="E9"/>
    </sheetView>
  </sheetViews>
  <sheetFormatPr defaultRowHeight="12.75"/>
  <cols>
    <col min="1" max="2" width="13.5703125" style="40" customWidth="1"/>
    <col min="3" max="3" width="61.42578125" style="40" customWidth="1"/>
    <col min="4" max="4" width="3.85546875" style="40" customWidth="1"/>
    <col min="5" max="5" width="21.85546875" style="40" customWidth="1"/>
    <col min="6" max="6" width="4.5703125" style="40" customWidth="1"/>
    <col min="7" max="7" width="21.5703125" style="40" customWidth="1"/>
    <col min="8" max="8" width="7" style="40" customWidth="1"/>
    <col min="9" max="9" width="9.140625" style="40"/>
    <col min="10" max="10" width="28.5703125" style="40" customWidth="1"/>
    <col min="11" max="11" width="9.140625" style="40"/>
    <col min="12" max="12" width="10.7109375" style="40" bestFit="1" customWidth="1"/>
    <col min="13" max="258" width="9.140625" style="40"/>
    <col min="259" max="259" width="50.85546875" style="40" bestFit="1" customWidth="1"/>
    <col min="260" max="260" width="3.85546875" style="40" customWidth="1"/>
    <col min="261" max="261" width="13.7109375" style="40" bestFit="1" customWidth="1"/>
    <col min="262" max="514" width="9.140625" style="40"/>
    <col min="515" max="515" width="50.85546875" style="40" bestFit="1" customWidth="1"/>
    <col min="516" max="516" width="3.85546875" style="40" customWidth="1"/>
    <col min="517" max="517" width="13.7109375" style="40" bestFit="1" customWidth="1"/>
    <col min="518" max="770" width="9.140625" style="40"/>
    <col min="771" max="771" width="50.85546875" style="40" bestFit="1" customWidth="1"/>
    <col min="772" max="772" width="3.85546875" style="40" customWidth="1"/>
    <col min="773" max="773" width="13.7109375" style="40" bestFit="1" customWidth="1"/>
    <col min="774" max="1026" width="9.140625" style="40"/>
    <col min="1027" max="1027" width="50.85546875" style="40" bestFit="1" customWidth="1"/>
    <col min="1028" max="1028" width="3.85546875" style="40" customWidth="1"/>
    <col min="1029" max="1029" width="13.7109375" style="40" bestFit="1" customWidth="1"/>
    <col min="1030" max="1282" width="9.140625" style="40"/>
    <col min="1283" max="1283" width="50.85546875" style="40" bestFit="1" customWidth="1"/>
    <col min="1284" max="1284" width="3.85546875" style="40" customWidth="1"/>
    <col min="1285" max="1285" width="13.7109375" style="40" bestFit="1" customWidth="1"/>
    <col min="1286" max="1538" width="9.140625" style="40"/>
    <col min="1539" max="1539" width="50.85546875" style="40" bestFit="1" customWidth="1"/>
    <col min="1540" max="1540" width="3.85546875" style="40" customWidth="1"/>
    <col min="1541" max="1541" width="13.7109375" style="40" bestFit="1" customWidth="1"/>
    <col min="1542" max="1794" width="9.140625" style="40"/>
    <col min="1795" max="1795" width="50.85546875" style="40" bestFit="1" customWidth="1"/>
    <col min="1796" max="1796" width="3.85546875" style="40" customWidth="1"/>
    <col min="1797" max="1797" width="13.7109375" style="40" bestFit="1" customWidth="1"/>
    <col min="1798" max="2050" width="9.140625" style="40"/>
    <col min="2051" max="2051" width="50.85546875" style="40" bestFit="1" customWidth="1"/>
    <col min="2052" max="2052" width="3.85546875" style="40" customWidth="1"/>
    <col min="2053" max="2053" width="13.7109375" style="40" bestFit="1" customWidth="1"/>
    <col min="2054" max="2306" width="9.140625" style="40"/>
    <col min="2307" max="2307" width="50.85546875" style="40" bestFit="1" customWidth="1"/>
    <col min="2308" max="2308" width="3.85546875" style="40" customWidth="1"/>
    <col min="2309" max="2309" width="13.7109375" style="40" bestFit="1" customWidth="1"/>
    <col min="2310" max="2562" width="9.140625" style="40"/>
    <col min="2563" max="2563" width="50.85546875" style="40" bestFit="1" customWidth="1"/>
    <col min="2564" max="2564" width="3.85546875" style="40" customWidth="1"/>
    <col min="2565" max="2565" width="13.7109375" style="40" bestFit="1" customWidth="1"/>
    <col min="2566" max="2818" width="9.140625" style="40"/>
    <col min="2819" max="2819" width="50.85546875" style="40" bestFit="1" customWidth="1"/>
    <col min="2820" max="2820" width="3.85546875" style="40" customWidth="1"/>
    <col min="2821" max="2821" width="13.7109375" style="40" bestFit="1" customWidth="1"/>
    <col min="2822" max="3074" width="9.140625" style="40"/>
    <col min="3075" max="3075" width="50.85546875" style="40" bestFit="1" customWidth="1"/>
    <col min="3076" max="3076" width="3.85546875" style="40" customWidth="1"/>
    <col min="3077" max="3077" width="13.7109375" style="40" bestFit="1" customWidth="1"/>
    <col min="3078" max="3330" width="9.140625" style="40"/>
    <col min="3331" max="3331" width="50.85546875" style="40" bestFit="1" customWidth="1"/>
    <col min="3332" max="3332" width="3.85546875" style="40" customWidth="1"/>
    <col min="3333" max="3333" width="13.7109375" style="40" bestFit="1" customWidth="1"/>
    <col min="3334" max="3586" width="9.140625" style="40"/>
    <col min="3587" max="3587" width="50.85546875" style="40" bestFit="1" customWidth="1"/>
    <col min="3588" max="3588" width="3.85546875" style="40" customWidth="1"/>
    <col min="3589" max="3589" width="13.7109375" style="40" bestFit="1" customWidth="1"/>
    <col min="3590" max="3842" width="9.140625" style="40"/>
    <col min="3843" max="3843" width="50.85546875" style="40" bestFit="1" customWidth="1"/>
    <col min="3844" max="3844" width="3.85546875" style="40" customWidth="1"/>
    <col min="3845" max="3845" width="13.7109375" style="40" bestFit="1" customWidth="1"/>
    <col min="3846" max="4098" width="9.140625" style="40"/>
    <col min="4099" max="4099" width="50.85546875" style="40" bestFit="1" customWidth="1"/>
    <col min="4100" max="4100" width="3.85546875" style="40" customWidth="1"/>
    <col min="4101" max="4101" width="13.7109375" style="40" bestFit="1" customWidth="1"/>
    <col min="4102" max="4354" width="9.140625" style="40"/>
    <col min="4355" max="4355" width="50.85546875" style="40" bestFit="1" customWidth="1"/>
    <col min="4356" max="4356" width="3.85546875" style="40" customWidth="1"/>
    <col min="4357" max="4357" width="13.7109375" style="40" bestFit="1" customWidth="1"/>
    <col min="4358" max="4610" width="9.140625" style="40"/>
    <col min="4611" max="4611" width="50.85546875" style="40" bestFit="1" customWidth="1"/>
    <col min="4612" max="4612" width="3.85546875" style="40" customWidth="1"/>
    <col min="4613" max="4613" width="13.7109375" style="40" bestFit="1" customWidth="1"/>
    <col min="4614" max="4866" width="9.140625" style="40"/>
    <col min="4867" max="4867" width="50.85546875" style="40" bestFit="1" customWidth="1"/>
    <col min="4868" max="4868" width="3.85546875" style="40" customWidth="1"/>
    <col min="4869" max="4869" width="13.7109375" style="40" bestFit="1" customWidth="1"/>
    <col min="4870" max="5122" width="9.140625" style="40"/>
    <col min="5123" max="5123" width="50.85546875" style="40" bestFit="1" customWidth="1"/>
    <col min="5124" max="5124" width="3.85546875" style="40" customWidth="1"/>
    <col min="5125" max="5125" width="13.7109375" style="40" bestFit="1" customWidth="1"/>
    <col min="5126" max="5378" width="9.140625" style="40"/>
    <col min="5379" max="5379" width="50.85546875" style="40" bestFit="1" customWidth="1"/>
    <col min="5380" max="5380" width="3.85546875" style="40" customWidth="1"/>
    <col min="5381" max="5381" width="13.7109375" style="40" bestFit="1" customWidth="1"/>
    <col min="5382" max="5634" width="9.140625" style="40"/>
    <col min="5635" max="5635" width="50.85546875" style="40" bestFit="1" customWidth="1"/>
    <col min="5636" max="5636" width="3.85546875" style="40" customWidth="1"/>
    <col min="5637" max="5637" width="13.7109375" style="40" bestFit="1" customWidth="1"/>
    <col min="5638" max="5890" width="9.140625" style="40"/>
    <col min="5891" max="5891" width="50.85546875" style="40" bestFit="1" customWidth="1"/>
    <col min="5892" max="5892" width="3.85546875" style="40" customWidth="1"/>
    <col min="5893" max="5893" width="13.7109375" style="40" bestFit="1" customWidth="1"/>
    <col min="5894" max="6146" width="9.140625" style="40"/>
    <col min="6147" max="6147" width="50.85546875" style="40" bestFit="1" customWidth="1"/>
    <col min="6148" max="6148" width="3.85546875" style="40" customWidth="1"/>
    <col min="6149" max="6149" width="13.7109375" style="40" bestFit="1" customWidth="1"/>
    <col min="6150" max="6402" width="9.140625" style="40"/>
    <col min="6403" max="6403" width="50.85546875" style="40" bestFit="1" customWidth="1"/>
    <col min="6404" max="6404" width="3.85546875" style="40" customWidth="1"/>
    <col min="6405" max="6405" width="13.7109375" style="40" bestFit="1" customWidth="1"/>
    <col min="6406" max="6658" width="9.140625" style="40"/>
    <col min="6659" max="6659" width="50.85546875" style="40" bestFit="1" customWidth="1"/>
    <col min="6660" max="6660" width="3.85546875" style="40" customWidth="1"/>
    <col min="6661" max="6661" width="13.7109375" style="40" bestFit="1" customWidth="1"/>
    <col min="6662" max="6914" width="9.140625" style="40"/>
    <col min="6915" max="6915" width="50.85546875" style="40" bestFit="1" customWidth="1"/>
    <col min="6916" max="6916" width="3.85546875" style="40" customWidth="1"/>
    <col min="6917" max="6917" width="13.7109375" style="40" bestFit="1" customWidth="1"/>
    <col min="6918" max="7170" width="9.140625" style="40"/>
    <col min="7171" max="7171" width="50.85546875" style="40" bestFit="1" customWidth="1"/>
    <col min="7172" max="7172" width="3.85546875" style="40" customWidth="1"/>
    <col min="7173" max="7173" width="13.7109375" style="40" bestFit="1" customWidth="1"/>
    <col min="7174" max="7426" width="9.140625" style="40"/>
    <col min="7427" max="7427" width="50.85546875" style="40" bestFit="1" customWidth="1"/>
    <col min="7428" max="7428" width="3.85546875" style="40" customWidth="1"/>
    <col min="7429" max="7429" width="13.7109375" style="40" bestFit="1" customWidth="1"/>
    <col min="7430" max="7682" width="9.140625" style="40"/>
    <col min="7683" max="7683" width="50.85546875" style="40" bestFit="1" customWidth="1"/>
    <col min="7684" max="7684" width="3.85546875" style="40" customWidth="1"/>
    <col min="7685" max="7685" width="13.7109375" style="40" bestFit="1" customWidth="1"/>
    <col min="7686" max="7938" width="9.140625" style="40"/>
    <col min="7939" max="7939" width="50.85546875" style="40" bestFit="1" customWidth="1"/>
    <col min="7940" max="7940" width="3.85546875" style="40" customWidth="1"/>
    <col min="7941" max="7941" width="13.7109375" style="40" bestFit="1" customWidth="1"/>
    <col min="7942" max="8194" width="9.140625" style="40"/>
    <col min="8195" max="8195" width="50.85546875" style="40" bestFit="1" customWidth="1"/>
    <col min="8196" max="8196" width="3.85546875" style="40" customWidth="1"/>
    <col min="8197" max="8197" width="13.7109375" style="40" bestFit="1" customWidth="1"/>
    <col min="8198" max="8450" width="9.140625" style="40"/>
    <col min="8451" max="8451" width="50.85546875" style="40" bestFit="1" customWidth="1"/>
    <col min="8452" max="8452" width="3.85546875" style="40" customWidth="1"/>
    <col min="8453" max="8453" width="13.7109375" style="40" bestFit="1" customWidth="1"/>
    <col min="8454" max="8706" width="9.140625" style="40"/>
    <col min="8707" max="8707" width="50.85546875" style="40" bestFit="1" customWidth="1"/>
    <col min="8708" max="8708" width="3.85546875" style="40" customWidth="1"/>
    <col min="8709" max="8709" width="13.7109375" style="40" bestFit="1" customWidth="1"/>
    <col min="8710" max="8962" width="9.140625" style="40"/>
    <col min="8963" max="8963" width="50.85546875" style="40" bestFit="1" customWidth="1"/>
    <col min="8964" max="8964" width="3.85546875" style="40" customWidth="1"/>
    <col min="8965" max="8965" width="13.7109375" style="40" bestFit="1" customWidth="1"/>
    <col min="8966" max="9218" width="9.140625" style="40"/>
    <col min="9219" max="9219" width="50.85546875" style="40" bestFit="1" customWidth="1"/>
    <col min="9220" max="9220" width="3.85546875" style="40" customWidth="1"/>
    <col min="9221" max="9221" width="13.7109375" style="40" bestFit="1" customWidth="1"/>
    <col min="9222" max="9474" width="9.140625" style="40"/>
    <col min="9475" max="9475" width="50.85546875" style="40" bestFit="1" customWidth="1"/>
    <col min="9476" max="9476" width="3.85546875" style="40" customWidth="1"/>
    <col min="9477" max="9477" width="13.7109375" style="40" bestFit="1" customWidth="1"/>
    <col min="9478" max="9730" width="9.140625" style="40"/>
    <col min="9731" max="9731" width="50.85546875" style="40" bestFit="1" customWidth="1"/>
    <col min="9732" max="9732" width="3.85546875" style="40" customWidth="1"/>
    <col min="9733" max="9733" width="13.7109375" style="40" bestFit="1" customWidth="1"/>
    <col min="9734" max="9986" width="9.140625" style="40"/>
    <col min="9987" max="9987" width="50.85546875" style="40" bestFit="1" customWidth="1"/>
    <col min="9988" max="9988" width="3.85546875" style="40" customWidth="1"/>
    <col min="9989" max="9989" width="13.7109375" style="40" bestFit="1" customWidth="1"/>
    <col min="9990" max="10242" width="9.140625" style="40"/>
    <col min="10243" max="10243" width="50.85546875" style="40" bestFit="1" customWidth="1"/>
    <col min="10244" max="10244" width="3.85546875" style="40" customWidth="1"/>
    <col min="10245" max="10245" width="13.7109375" style="40" bestFit="1" customWidth="1"/>
    <col min="10246" max="10498" width="9.140625" style="40"/>
    <col min="10499" max="10499" width="50.85546875" style="40" bestFit="1" customWidth="1"/>
    <col min="10500" max="10500" width="3.85546875" style="40" customWidth="1"/>
    <col min="10501" max="10501" width="13.7109375" style="40" bestFit="1" customWidth="1"/>
    <col min="10502" max="10754" width="9.140625" style="40"/>
    <col min="10755" max="10755" width="50.85546875" style="40" bestFit="1" customWidth="1"/>
    <col min="10756" max="10756" width="3.85546875" style="40" customWidth="1"/>
    <col min="10757" max="10757" width="13.7109375" style="40" bestFit="1" customWidth="1"/>
    <col min="10758" max="11010" width="9.140625" style="40"/>
    <col min="11011" max="11011" width="50.85546875" style="40" bestFit="1" customWidth="1"/>
    <col min="11012" max="11012" width="3.85546875" style="40" customWidth="1"/>
    <col min="11013" max="11013" width="13.7109375" style="40" bestFit="1" customWidth="1"/>
    <col min="11014" max="11266" width="9.140625" style="40"/>
    <col min="11267" max="11267" width="50.85546875" style="40" bestFit="1" customWidth="1"/>
    <col min="11268" max="11268" width="3.85546875" style="40" customWidth="1"/>
    <col min="11269" max="11269" width="13.7109375" style="40" bestFit="1" customWidth="1"/>
    <col min="11270" max="11522" width="9.140625" style="40"/>
    <col min="11523" max="11523" width="50.85546875" style="40" bestFit="1" customWidth="1"/>
    <col min="11524" max="11524" width="3.85546875" style="40" customWidth="1"/>
    <col min="11525" max="11525" width="13.7109375" style="40" bestFit="1" customWidth="1"/>
    <col min="11526" max="11778" width="9.140625" style="40"/>
    <col min="11779" max="11779" width="50.85546875" style="40" bestFit="1" customWidth="1"/>
    <col min="11780" max="11780" width="3.85546875" style="40" customWidth="1"/>
    <col min="11781" max="11781" width="13.7109375" style="40" bestFit="1" customWidth="1"/>
    <col min="11782" max="12034" width="9.140625" style="40"/>
    <col min="12035" max="12035" width="50.85546875" style="40" bestFit="1" customWidth="1"/>
    <col min="12036" max="12036" width="3.85546875" style="40" customWidth="1"/>
    <col min="12037" max="12037" width="13.7109375" style="40" bestFit="1" customWidth="1"/>
    <col min="12038" max="12290" width="9.140625" style="40"/>
    <col min="12291" max="12291" width="50.85546875" style="40" bestFit="1" customWidth="1"/>
    <col min="12292" max="12292" width="3.85546875" style="40" customWidth="1"/>
    <col min="12293" max="12293" width="13.7109375" style="40" bestFit="1" customWidth="1"/>
    <col min="12294" max="12546" width="9.140625" style="40"/>
    <col min="12547" max="12547" width="50.85546875" style="40" bestFit="1" customWidth="1"/>
    <col min="12548" max="12548" width="3.85546875" style="40" customWidth="1"/>
    <col min="12549" max="12549" width="13.7109375" style="40" bestFit="1" customWidth="1"/>
    <col min="12550" max="12802" width="9.140625" style="40"/>
    <col min="12803" max="12803" width="50.85546875" style="40" bestFit="1" customWidth="1"/>
    <col min="12804" max="12804" width="3.85546875" style="40" customWidth="1"/>
    <col min="12805" max="12805" width="13.7109375" style="40" bestFit="1" customWidth="1"/>
    <col min="12806" max="13058" width="9.140625" style="40"/>
    <col min="13059" max="13059" width="50.85546875" style="40" bestFit="1" customWidth="1"/>
    <col min="13060" max="13060" width="3.85546875" style="40" customWidth="1"/>
    <col min="13061" max="13061" width="13.7109375" style="40" bestFit="1" customWidth="1"/>
    <col min="13062" max="13314" width="9.140625" style="40"/>
    <col min="13315" max="13315" width="50.85546875" style="40" bestFit="1" customWidth="1"/>
    <col min="13316" max="13316" width="3.85546875" style="40" customWidth="1"/>
    <col min="13317" max="13317" width="13.7109375" style="40" bestFit="1" customWidth="1"/>
    <col min="13318" max="13570" width="9.140625" style="40"/>
    <col min="13571" max="13571" width="50.85546875" style="40" bestFit="1" customWidth="1"/>
    <col min="13572" max="13572" width="3.85546875" style="40" customWidth="1"/>
    <col min="13573" max="13573" width="13.7109375" style="40" bestFit="1" customWidth="1"/>
    <col min="13574" max="13826" width="9.140625" style="40"/>
    <col min="13827" max="13827" width="50.85546875" style="40" bestFit="1" customWidth="1"/>
    <col min="13828" max="13828" width="3.85546875" style="40" customWidth="1"/>
    <col min="13829" max="13829" width="13.7109375" style="40" bestFit="1" customWidth="1"/>
    <col min="13830" max="14082" width="9.140625" style="40"/>
    <col min="14083" max="14083" width="50.85546875" style="40" bestFit="1" customWidth="1"/>
    <col min="14084" max="14084" width="3.85546875" style="40" customWidth="1"/>
    <col min="14085" max="14085" width="13.7109375" style="40" bestFit="1" customWidth="1"/>
    <col min="14086" max="14338" width="9.140625" style="40"/>
    <col min="14339" max="14339" width="50.85546875" style="40" bestFit="1" customWidth="1"/>
    <col min="14340" max="14340" width="3.85546875" style="40" customWidth="1"/>
    <col min="14341" max="14341" width="13.7109375" style="40" bestFit="1" customWidth="1"/>
    <col min="14342" max="14594" width="9.140625" style="40"/>
    <col min="14595" max="14595" width="50.85546875" style="40" bestFit="1" customWidth="1"/>
    <col min="14596" max="14596" width="3.85546875" style="40" customWidth="1"/>
    <col min="14597" max="14597" width="13.7109375" style="40" bestFit="1" customWidth="1"/>
    <col min="14598" max="14850" width="9.140625" style="40"/>
    <col min="14851" max="14851" width="50.85546875" style="40" bestFit="1" customWidth="1"/>
    <col min="14852" max="14852" width="3.85546875" style="40" customWidth="1"/>
    <col min="14853" max="14853" width="13.7109375" style="40" bestFit="1" customWidth="1"/>
    <col min="14854" max="15106" width="9.140625" style="40"/>
    <col min="15107" max="15107" width="50.85546875" style="40" bestFit="1" customWidth="1"/>
    <col min="15108" max="15108" width="3.85546875" style="40" customWidth="1"/>
    <col min="15109" max="15109" width="13.7109375" style="40" bestFit="1" customWidth="1"/>
    <col min="15110" max="15362" width="9.140625" style="40"/>
    <col min="15363" max="15363" width="50.85546875" style="40" bestFit="1" customWidth="1"/>
    <col min="15364" max="15364" width="3.85546875" style="40" customWidth="1"/>
    <col min="15365" max="15365" width="13.7109375" style="40" bestFit="1" customWidth="1"/>
    <col min="15366" max="15618" width="9.140625" style="40"/>
    <col min="15619" max="15619" width="50.85546875" style="40" bestFit="1" customWidth="1"/>
    <col min="15620" max="15620" width="3.85546875" style="40" customWidth="1"/>
    <col min="15621" max="15621" width="13.7109375" style="40" bestFit="1" customWidth="1"/>
    <col min="15622" max="15874" width="9.140625" style="40"/>
    <col min="15875" max="15875" width="50.85546875" style="40" bestFit="1" customWidth="1"/>
    <col min="15876" max="15876" width="3.85546875" style="40" customWidth="1"/>
    <col min="15877" max="15877" width="13.7109375" style="40" bestFit="1" customWidth="1"/>
    <col min="15878" max="16130" width="9.140625" style="40"/>
    <col min="16131" max="16131" width="50.85546875" style="40" bestFit="1" customWidth="1"/>
    <col min="16132" max="16132" width="3.85546875" style="40" customWidth="1"/>
    <col min="16133" max="16133" width="13.7109375" style="40" bestFit="1" customWidth="1"/>
    <col min="16134" max="16384" width="9.140625" style="40"/>
  </cols>
  <sheetData>
    <row r="1" spans="1:12">
      <c r="A1" s="77"/>
      <c r="B1" s="77"/>
      <c r="C1" s="464" t="s">
        <v>78</v>
      </c>
      <c r="D1" s="70"/>
      <c r="E1" s="41"/>
    </row>
    <row r="2" spans="1:12">
      <c r="A2" s="77"/>
      <c r="B2" s="77"/>
      <c r="C2" s="88" t="s">
        <v>1806</v>
      </c>
      <c r="D2" s="70"/>
      <c r="E2" s="71"/>
    </row>
    <row r="3" spans="1:12">
      <c r="A3" s="77"/>
      <c r="B3" s="77"/>
      <c r="C3" s="465" t="s">
        <v>1813</v>
      </c>
      <c r="D3" s="70"/>
      <c r="E3" s="41"/>
    </row>
    <row r="4" spans="1:12">
      <c r="A4" s="77"/>
      <c r="B4" s="77"/>
      <c r="C4" s="69"/>
      <c r="D4" s="70"/>
      <c r="E4" s="71" t="s">
        <v>33</v>
      </c>
    </row>
    <row r="6" spans="1:12" s="48" customFormat="1">
      <c r="A6" s="88" t="s">
        <v>94</v>
      </c>
      <c r="B6" s="87"/>
      <c r="C6" s="88" t="s">
        <v>79</v>
      </c>
      <c r="D6" s="87"/>
      <c r="E6" s="88" t="s">
        <v>95</v>
      </c>
      <c r="K6" s="40"/>
    </row>
    <row r="7" spans="1:12" s="48" customFormat="1">
      <c r="A7" s="89">
        <v>-1</v>
      </c>
      <c r="B7" s="89"/>
      <c r="C7" s="89">
        <v>-2</v>
      </c>
      <c r="D7" s="89"/>
      <c r="E7" s="89">
        <v>-3</v>
      </c>
      <c r="K7" s="40"/>
    </row>
    <row r="8" spans="1:12">
      <c r="I8" s="68"/>
    </row>
    <row r="9" spans="1:12">
      <c r="A9" s="78">
        <v>1</v>
      </c>
      <c r="B9" s="78"/>
      <c r="C9" s="435" t="s">
        <v>102</v>
      </c>
      <c r="D9" s="77"/>
      <c r="E9" s="268">
        <v>28559705.829999998</v>
      </c>
      <c r="H9" s="40" t="s">
        <v>33</v>
      </c>
      <c r="I9" s="68"/>
    </row>
    <row r="10" spans="1:12">
      <c r="A10" s="79">
        <f>A9+1</f>
        <v>2</v>
      </c>
      <c r="B10" s="79" t="s">
        <v>96</v>
      </c>
      <c r="C10" s="434" t="s">
        <v>1662</v>
      </c>
      <c r="D10" s="77"/>
      <c r="E10" s="268">
        <v>47345460</v>
      </c>
      <c r="I10" s="68"/>
    </row>
    <row r="11" spans="1:12">
      <c r="A11" s="79">
        <f t="shared" ref="A11" si="0">A10+1</f>
        <v>3</v>
      </c>
      <c r="B11" s="43"/>
      <c r="C11" s="434" t="s">
        <v>1657</v>
      </c>
      <c r="D11" s="77"/>
      <c r="E11" s="267">
        <f>'ML-Non FGD'!O58</f>
        <v>28940593.103619315</v>
      </c>
      <c r="I11" s="68"/>
    </row>
    <row r="12" spans="1:12" ht="13.5" thickBot="1">
      <c r="A12" s="79">
        <v>5</v>
      </c>
      <c r="B12" s="79"/>
      <c r="C12" s="77" t="s">
        <v>97</v>
      </c>
      <c r="D12" s="77"/>
      <c r="E12" s="269">
        <f>E9+E10-E11</f>
        <v>46964572.726380683</v>
      </c>
      <c r="F12" s="40" t="s">
        <v>98</v>
      </c>
      <c r="H12" s="68"/>
      <c r="I12" s="68"/>
    </row>
    <row r="13" spans="1:12" ht="13.5" thickTop="1">
      <c r="A13" s="43"/>
      <c r="B13" s="73" t="s">
        <v>99</v>
      </c>
      <c r="C13" s="68"/>
      <c r="D13" s="68"/>
      <c r="E13" s="270"/>
      <c r="F13" s="68"/>
      <c r="H13" s="68"/>
      <c r="I13" s="68"/>
      <c r="J13" s="80" t="s">
        <v>100</v>
      </c>
    </row>
    <row r="14" spans="1:12">
      <c r="A14" s="43">
        <v>6</v>
      </c>
      <c r="B14" s="75">
        <v>4030029</v>
      </c>
      <c r="C14" s="74" t="s">
        <v>1623</v>
      </c>
      <c r="D14" s="68"/>
      <c r="E14" s="271">
        <f>IS!V415</f>
        <v>3627685</v>
      </c>
      <c r="F14" s="68"/>
      <c r="G14" s="267">
        <f t="shared" ref="G14" si="1">-E14</f>
        <v>-3627685</v>
      </c>
      <c r="H14" s="68" t="s">
        <v>101</v>
      </c>
      <c r="I14" s="68">
        <v>0.98499999999999999</v>
      </c>
      <c r="J14" s="267">
        <f t="shared" ref="J14" si="2">G14*I14</f>
        <v>-3573269.7250000001</v>
      </c>
      <c r="L14" s="478">
        <f>SUM(E12,J14)</f>
        <v>43391303.001380682</v>
      </c>
    </row>
    <row r="15" spans="1:12">
      <c r="A15" s="43"/>
      <c r="B15" s="68"/>
      <c r="C15" s="68"/>
      <c r="D15" s="68"/>
      <c r="E15" s="268"/>
      <c r="G15" s="47"/>
      <c r="H15" s="68"/>
      <c r="I15" s="68"/>
      <c r="J15" s="47"/>
    </row>
    <row r="16" spans="1:12">
      <c r="A16" s="43"/>
      <c r="B16" s="68"/>
      <c r="C16" s="68"/>
      <c r="D16" s="68"/>
      <c r="E16" s="72"/>
      <c r="F16" s="47"/>
      <c r="H16" s="68"/>
      <c r="I16" s="68"/>
    </row>
    <row r="17" spans="1:9">
      <c r="B17" s="68"/>
      <c r="C17" s="68"/>
      <c r="D17" s="68"/>
      <c r="E17" s="47"/>
      <c r="F17" s="47"/>
      <c r="H17" s="68"/>
      <c r="I17" s="68"/>
    </row>
    <row r="18" spans="1:9">
      <c r="A18" s="43"/>
      <c r="B18" s="68"/>
      <c r="C18" s="68"/>
      <c r="D18" s="68"/>
      <c r="E18" s="72"/>
      <c r="F18" s="47"/>
      <c r="H18" s="68"/>
      <c r="I18" s="68"/>
    </row>
    <row r="19" spans="1:9">
      <c r="E19" s="47"/>
      <c r="F19" s="47"/>
      <c r="I19" s="68"/>
    </row>
    <row r="20" spans="1:9">
      <c r="E20" s="47"/>
      <c r="F20" s="47"/>
      <c r="I20" s="68"/>
    </row>
    <row r="21" spans="1:9">
      <c r="E21" s="47"/>
      <c r="F21" s="47"/>
      <c r="I21" s="68"/>
    </row>
    <row r="22" spans="1:9">
      <c r="I22" s="68"/>
    </row>
    <row r="23" spans="1:9">
      <c r="I23" s="68"/>
    </row>
    <row r="24" spans="1:9">
      <c r="I24" s="68"/>
    </row>
    <row r="25" spans="1:9">
      <c r="B25" s="76" t="s">
        <v>91</v>
      </c>
      <c r="I25" s="68"/>
    </row>
    <row r="26" spans="1:9">
      <c r="I26" s="68"/>
    </row>
    <row r="27" spans="1:9">
      <c r="I27" s="68"/>
    </row>
    <row r="28" spans="1:9">
      <c r="I28" s="68"/>
    </row>
    <row r="29" spans="1:9">
      <c r="I29" s="68"/>
    </row>
    <row r="30" spans="1:9">
      <c r="I30" s="68"/>
    </row>
    <row r="31" spans="1:9">
      <c r="I31" s="68"/>
    </row>
    <row r="32" spans="1:9">
      <c r="I32" s="68"/>
    </row>
    <row r="40" spans="2:3">
      <c r="B40" s="1"/>
      <c r="C40" s="1"/>
    </row>
  </sheetData>
  <pageMargins left="0.7" right="0.7" top="0.75" bottom="0.75" header="0.3" footer="0.3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89"/>
  <sheetViews>
    <sheetView zoomScale="90" zoomScaleNormal="90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C53" sqref="C53"/>
    </sheetView>
  </sheetViews>
  <sheetFormatPr defaultRowHeight="12.75"/>
  <cols>
    <col min="1" max="1" width="63.140625" style="1" bestFit="1" customWidth="1"/>
    <col min="2" max="2" width="13.5703125" style="1" customWidth="1"/>
    <col min="3" max="14" width="14.28515625" style="1" customWidth="1"/>
    <col min="15" max="15" width="25.140625" style="1" customWidth="1"/>
    <col min="16" max="16384" width="9.140625" style="1"/>
  </cols>
  <sheetData>
    <row r="1" spans="1:14">
      <c r="C1" s="290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1:14" s="38" customFormat="1" ht="15.75" customHeight="1" thickBot="1">
      <c r="B2" s="94" t="s">
        <v>103</v>
      </c>
      <c r="C2" s="290"/>
      <c r="D2" s="290"/>
      <c r="E2" s="290"/>
      <c r="F2" s="290"/>
      <c r="G2" s="290"/>
      <c r="H2" s="292"/>
      <c r="I2" s="292"/>
      <c r="J2" s="292"/>
      <c r="K2" s="292"/>
      <c r="L2" s="292"/>
      <c r="M2" s="292"/>
      <c r="N2" s="292"/>
    </row>
    <row r="3" spans="1:14">
      <c r="A3" s="2" t="s">
        <v>0</v>
      </c>
      <c r="B3" s="3"/>
      <c r="C3" s="422">
        <v>44652</v>
      </c>
      <c r="D3" s="422">
        <v>44682</v>
      </c>
      <c r="E3" s="422">
        <v>44713</v>
      </c>
      <c r="F3" s="422">
        <v>44743</v>
      </c>
      <c r="G3" s="422">
        <v>44774</v>
      </c>
      <c r="H3" s="422">
        <v>44805</v>
      </c>
      <c r="I3" s="422">
        <v>44835</v>
      </c>
      <c r="J3" s="422">
        <v>44866</v>
      </c>
      <c r="K3" s="422">
        <v>44896</v>
      </c>
      <c r="L3" s="422">
        <v>44927</v>
      </c>
      <c r="M3" s="422">
        <v>44958</v>
      </c>
      <c r="N3" s="422">
        <v>44986</v>
      </c>
    </row>
    <row r="4" spans="1:14">
      <c r="A4" s="4"/>
      <c r="B4" s="5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>
      <c r="A5" s="4" t="s">
        <v>1</v>
      </c>
      <c r="B5" s="5"/>
      <c r="C5" s="7">
        <v>384828949.51499999</v>
      </c>
      <c r="D5" s="7">
        <v>384781557.745</v>
      </c>
      <c r="E5" s="7">
        <v>384780958.68500006</v>
      </c>
      <c r="F5" s="7">
        <v>384786138.60500002</v>
      </c>
      <c r="G5" s="7">
        <v>384809052.69500005</v>
      </c>
      <c r="H5" s="7">
        <v>385721989.72500002</v>
      </c>
      <c r="I5" s="7">
        <v>385721989.72500002</v>
      </c>
      <c r="J5" s="7">
        <v>385721989.72500002</v>
      </c>
      <c r="K5" s="7">
        <v>385750879.96500003</v>
      </c>
      <c r="L5" s="7">
        <v>387786092.995</v>
      </c>
      <c r="M5" s="7">
        <v>387957103.495</v>
      </c>
      <c r="N5" s="7">
        <v>387946598.245</v>
      </c>
    </row>
    <row r="6" spans="1:14">
      <c r="A6" s="4" t="s">
        <v>2</v>
      </c>
      <c r="B6" s="5"/>
      <c r="C6" s="8">
        <v>151991567.74000001</v>
      </c>
      <c r="D6" s="8">
        <v>152817504.03999996</v>
      </c>
      <c r="E6" s="8">
        <v>153749411.19999999</v>
      </c>
      <c r="F6" s="8">
        <v>154762545.61999997</v>
      </c>
      <c r="G6" s="8">
        <v>155703072.13999999</v>
      </c>
      <c r="H6" s="8">
        <v>156591385.29999998</v>
      </c>
      <c r="I6" s="8">
        <v>157704897.24000001</v>
      </c>
      <c r="J6" s="8">
        <v>158724802.02000001</v>
      </c>
      <c r="K6" s="8">
        <v>159748225.71999994</v>
      </c>
      <c r="L6" s="8">
        <v>160565486.30999994</v>
      </c>
      <c r="M6" s="8">
        <v>161233281.75999999</v>
      </c>
      <c r="N6" s="8">
        <v>161707620.02000004</v>
      </c>
    </row>
    <row r="7" spans="1:14">
      <c r="A7" s="9" t="s">
        <v>3</v>
      </c>
      <c r="B7" s="10"/>
      <c r="C7" s="11">
        <v>50021075</v>
      </c>
      <c r="D7" s="11">
        <v>50149595</v>
      </c>
      <c r="E7" s="11">
        <v>50241653</v>
      </c>
      <c r="F7" s="11">
        <v>50305626</v>
      </c>
      <c r="G7" s="11">
        <v>50395078</v>
      </c>
      <c r="H7" s="11">
        <v>50555133</v>
      </c>
      <c r="I7" s="11">
        <v>50587793</v>
      </c>
      <c r="J7" s="11">
        <v>50628232</v>
      </c>
      <c r="K7" s="11">
        <v>50691220</v>
      </c>
      <c r="L7" s="11">
        <v>50845697</v>
      </c>
      <c r="M7" s="11">
        <v>51047939</v>
      </c>
      <c r="N7" s="11">
        <v>51309261</v>
      </c>
    </row>
    <row r="8" spans="1:14" ht="13.5" thickBot="1">
      <c r="A8" s="4" t="s">
        <v>4</v>
      </c>
      <c r="B8" s="5"/>
      <c r="C8" s="90">
        <f t="shared" ref="C8:G8" si="0">C5-C6-C7</f>
        <v>182816306.77499998</v>
      </c>
      <c r="D8" s="90">
        <f t="shared" si="0"/>
        <v>181814458.70500004</v>
      </c>
      <c r="E8" s="90">
        <f t="shared" si="0"/>
        <v>180789894.48500007</v>
      </c>
      <c r="F8" s="90">
        <f t="shared" si="0"/>
        <v>179717966.98500004</v>
      </c>
      <c r="G8" s="90">
        <f t="shared" si="0"/>
        <v>178710902.55500007</v>
      </c>
      <c r="H8" s="90">
        <f>H5-H6-H7</f>
        <v>178575471.42500004</v>
      </c>
      <c r="I8" s="90">
        <f t="shared" ref="I8:N8" si="1">I5-I6-I7</f>
        <v>177429299.48500001</v>
      </c>
      <c r="J8" s="90">
        <f t="shared" si="1"/>
        <v>176368955.70500001</v>
      </c>
      <c r="K8" s="90">
        <f t="shared" si="1"/>
        <v>175311434.24500009</v>
      </c>
      <c r="L8" s="90">
        <f t="shared" si="1"/>
        <v>176374909.68500006</v>
      </c>
      <c r="M8" s="90">
        <f t="shared" si="1"/>
        <v>175675882.73500001</v>
      </c>
      <c r="N8" s="90">
        <f t="shared" si="1"/>
        <v>174929717.22499996</v>
      </c>
    </row>
    <row r="9" spans="1:14" s="289" customFormat="1" ht="13.5" thickTop="1">
      <c r="A9" s="9" t="s">
        <v>5</v>
      </c>
      <c r="B9" s="10"/>
      <c r="C9" s="11">
        <v>8516155.629999999</v>
      </c>
      <c r="D9" s="11">
        <v>8511731.7300000004</v>
      </c>
      <c r="E9" s="11">
        <v>8506241.370000001</v>
      </c>
      <c r="F9" s="11">
        <v>8496248.1099999994</v>
      </c>
      <c r="G9" s="11">
        <v>8488150.8000000007</v>
      </c>
      <c r="H9" s="11">
        <v>8484516.8800000008</v>
      </c>
      <c r="I9" s="11">
        <v>8484516.8800000008</v>
      </c>
      <c r="J9" s="11">
        <v>8483687.4000000004</v>
      </c>
      <c r="K9" s="11">
        <v>8478592.0199999996</v>
      </c>
      <c r="L9" s="11">
        <v>8474334.3299999982</v>
      </c>
      <c r="M9" s="11">
        <v>8471842.0999999996</v>
      </c>
      <c r="N9" s="11">
        <v>8468621.25</v>
      </c>
    </row>
    <row r="10" spans="1:14">
      <c r="A10" s="4" t="s">
        <v>6</v>
      </c>
      <c r="B10" s="5"/>
      <c r="C10" s="8">
        <v>20624.969999999998</v>
      </c>
      <c r="D10" s="8">
        <v>20597.22</v>
      </c>
      <c r="E10" s="8">
        <v>20562.79</v>
      </c>
      <c r="F10" s="8">
        <v>20500.12</v>
      </c>
      <c r="G10" s="8">
        <v>20449.339999999997</v>
      </c>
      <c r="H10" s="8">
        <v>20426.55</v>
      </c>
      <c r="I10" s="8">
        <v>20426.55</v>
      </c>
      <c r="J10" s="8">
        <v>20421.349999999999</v>
      </c>
      <c r="K10" s="8">
        <v>20389.39</v>
      </c>
      <c r="L10" s="8">
        <v>20362.560000000001</v>
      </c>
      <c r="M10" s="8">
        <v>20345.100000000002</v>
      </c>
      <c r="N10" s="8">
        <v>20325.429999999997</v>
      </c>
    </row>
    <row r="11" spans="1:14">
      <c r="A11" s="9" t="s">
        <v>7</v>
      </c>
      <c r="B11" s="5"/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</row>
    <row r="12" spans="1:14">
      <c r="A12" s="9" t="s">
        <v>8</v>
      </c>
      <c r="B12" s="5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</row>
    <row r="13" spans="1:14">
      <c r="A13" s="9" t="s">
        <v>9</v>
      </c>
      <c r="B13" s="5"/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</row>
    <row r="14" spans="1:14">
      <c r="A14" s="9" t="s">
        <v>10</v>
      </c>
      <c r="B14" s="5"/>
      <c r="C14" s="8">
        <v>380200.14</v>
      </c>
      <c r="D14" s="8">
        <v>279595.47000000003</v>
      </c>
      <c r="E14" s="8">
        <v>150317.53</v>
      </c>
      <c r="F14" s="8">
        <v>48001.74</v>
      </c>
      <c r="G14" s="8">
        <v>371621.77</v>
      </c>
      <c r="H14" s="8">
        <v>306340.74</v>
      </c>
      <c r="I14" s="8">
        <v>306340.74</v>
      </c>
      <c r="J14" s="8">
        <v>352442.21</v>
      </c>
      <c r="K14" s="8">
        <v>268828.51</v>
      </c>
      <c r="L14" s="8">
        <v>688963.36</v>
      </c>
      <c r="M14" s="8">
        <v>537430.91</v>
      </c>
      <c r="N14" s="8">
        <v>306089.48</v>
      </c>
    </row>
    <row r="15" spans="1:14">
      <c r="A15" s="9" t="s">
        <v>11</v>
      </c>
      <c r="B15" s="5"/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</row>
    <row r="16" spans="1:14">
      <c r="A16" s="9" t="s">
        <v>12</v>
      </c>
      <c r="B16" s="5"/>
      <c r="C16" s="8">
        <v>1002490.24</v>
      </c>
      <c r="D16" s="8">
        <v>1486236.5</v>
      </c>
      <c r="E16" s="8">
        <v>1486236.5</v>
      </c>
      <c r="F16" s="8">
        <v>1486236.5</v>
      </c>
      <c r="G16" s="8">
        <v>903880.59</v>
      </c>
      <c r="H16" s="8">
        <v>1381108.32</v>
      </c>
      <c r="I16" s="8">
        <v>1381108.32</v>
      </c>
      <c r="J16" s="8">
        <v>1381108.32</v>
      </c>
      <c r="K16" s="8">
        <v>1381108.32</v>
      </c>
      <c r="L16" s="8">
        <v>960973.47</v>
      </c>
      <c r="M16" s="8">
        <v>960973.47</v>
      </c>
      <c r="N16" s="8">
        <v>1192700.8500000001</v>
      </c>
    </row>
    <row r="17" spans="1:15">
      <c r="A17" s="466" t="s">
        <v>1658</v>
      </c>
      <c r="B17" s="467"/>
      <c r="C17" s="468"/>
      <c r="D17" s="468"/>
      <c r="E17" s="468"/>
      <c r="F17" s="468"/>
      <c r="G17" s="468"/>
      <c r="H17" s="468"/>
      <c r="I17" s="468"/>
      <c r="J17" s="468"/>
      <c r="K17" s="468"/>
      <c r="L17" s="468"/>
      <c r="M17" s="468"/>
      <c r="N17" s="468"/>
      <c r="O17" s="471" t="s">
        <v>1809</v>
      </c>
    </row>
    <row r="18" spans="1:15" s="289" customFormat="1">
      <c r="A18" s="9" t="s">
        <v>13</v>
      </c>
      <c r="B18" s="10"/>
      <c r="C18" s="461">
        <v>0</v>
      </c>
      <c r="D18" s="461">
        <v>0</v>
      </c>
      <c r="E18" s="461">
        <v>0</v>
      </c>
      <c r="F18" s="461">
        <v>0</v>
      </c>
      <c r="G18" s="461">
        <v>0</v>
      </c>
      <c r="H18" s="461">
        <v>0</v>
      </c>
      <c r="I18" s="461">
        <v>0</v>
      </c>
      <c r="J18" s="461">
        <v>0</v>
      </c>
      <c r="K18" s="461">
        <v>0</v>
      </c>
      <c r="L18" s="461">
        <v>0</v>
      </c>
      <c r="M18" s="461">
        <v>0</v>
      </c>
      <c r="N18" s="461">
        <v>0</v>
      </c>
    </row>
    <row r="19" spans="1:15">
      <c r="A19" s="31" t="s">
        <v>1659</v>
      </c>
      <c r="B19" s="5"/>
      <c r="C19" s="8">
        <v>218135633</v>
      </c>
      <c r="D19" s="8">
        <v>218135633</v>
      </c>
      <c r="E19" s="8">
        <v>218135633</v>
      </c>
      <c r="F19" s="8">
        <v>218135633</v>
      </c>
      <c r="G19" s="8">
        <v>218135633</v>
      </c>
      <c r="H19" s="8">
        <v>218135633</v>
      </c>
      <c r="I19" s="8">
        <v>218135633</v>
      </c>
      <c r="J19" s="8">
        <v>218135633</v>
      </c>
      <c r="K19" s="8">
        <v>218135633</v>
      </c>
      <c r="L19" s="8">
        <v>218135633</v>
      </c>
      <c r="M19" s="8">
        <v>218135633</v>
      </c>
      <c r="N19" s="8">
        <v>218135633</v>
      </c>
      <c r="O19" s="289"/>
    </row>
    <row r="20" spans="1:15">
      <c r="A20" s="31" t="s">
        <v>1660</v>
      </c>
      <c r="B20" s="5"/>
      <c r="C20" s="8">
        <f t="shared" ref="C20:G20" si="2">C21-C19</f>
        <v>-25399855.245000035</v>
      </c>
      <c r="D20" s="8">
        <f t="shared" si="2"/>
        <v>-26023013.37499997</v>
      </c>
      <c r="E20" s="8">
        <f t="shared" si="2"/>
        <v>-27182380.324999928</v>
      </c>
      <c r="F20" s="8">
        <f t="shared" si="2"/>
        <v>-28366679.544999957</v>
      </c>
      <c r="G20" s="8">
        <f t="shared" si="2"/>
        <v>-29640627.944999903</v>
      </c>
      <c r="H20" s="8">
        <f>H21-H19</f>
        <v>-29367769.084999949</v>
      </c>
      <c r="I20" s="8">
        <f t="shared" ref="I20:N20" si="3">I21-I19</f>
        <v>-30513941.024999976</v>
      </c>
      <c r="J20" s="8">
        <f t="shared" si="3"/>
        <v>-31529018.014999986</v>
      </c>
      <c r="K20" s="8">
        <f t="shared" si="3"/>
        <v>-32675280.514999926</v>
      </c>
      <c r="L20" s="8">
        <f t="shared" si="3"/>
        <v>-31616089.594999939</v>
      </c>
      <c r="M20" s="8">
        <f t="shared" si="3"/>
        <v>-32469158.685000002</v>
      </c>
      <c r="N20" s="8">
        <f t="shared" si="3"/>
        <v>-33218178.765000045</v>
      </c>
      <c r="O20" s="289"/>
    </row>
    <row r="21" spans="1:15" ht="13.5" thickBot="1">
      <c r="A21" s="29" t="s">
        <v>14</v>
      </c>
      <c r="B21" s="14"/>
      <c r="C21" s="90">
        <f t="shared" ref="C21:G21" si="4">SUM(C8:C18)</f>
        <v>192735777.75499997</v>
      </c>
      <c r="D21" s="90">
        <f t="shared" si="4"/>
        <v>192112619.62500003</v>
      </c>
      <c r="E21" s="90">
        <f t="shared" si="4"/>
        <v>190953252.67500007</v>
      </c>
      <c r="F21" s="90">
        <f t="shared" si="4"/>
        <v>189768953.45500004</v>
      </c>
      <c r="G21" s="90">
        <f t="shared" si="4"/>
        <v>188495005.0550001</v>
      </c>
      <c r="H21" s="90">
        <f>SUM(H8:H18)</f>
        <v>188767863.91500005</v>
      </c>
      <c r="I21" s="90">
        <f t="shared" ref="I21:N21" si="5">SUM(I8:I18)</f>
        <v>187621691.97500002</v>
      </c>
      <c r="J21" s="90">
        <f t="shared" si="5"/>
        <v>186606614.98500001</v>
      </c>
      <c r="K21" s="90">
        <f t="shared" si="5"/>
        <v>185460352.48500007</v>
      </c>
      <c r="L21" s="90">
        <f t="shared" si="5"/>
        <v>186519543.40500006</v>
      </c>
      <c r="M21" s="90">
        <f t="shared" si="5"/>
        <v>185666474.315</v>
      </c>
      <c r="N21" s="90">
        <f t="shared" si="5"/>
        <v>184917454.23499995</v>
      </c>
      <c r="O21" s="289"/>
    </row>
    <row r="22" spans="1:15" ht="13.5" thickTop="1">
      <c r="A22" s="9" t="s">
        <v>15</v>
      </c>
      <c r="B22" s="1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289"/>
    </row>
    <row r="23" spans="1:15">
      <c r="A23" s="9" t="s">
        <v>16</v>
      </c>
      <c r="B23" s="273">
        <f>'3.20'!S18</f>
        <v>8.3500000000000005E-2</v>
      </c>
      <c r="C23" s="262">
        <f t="shared" ref="C23:G23" si="6">$B$23/12</f>
        <v>6.9583333333333337E-3</v>
      </c>
      <c r="D23" s="262">
        <f t="shared" si="6"/>
        <v>6.9583333333333337E-3</v>
      </c>
      <c r="E23" s="262">
        <f t="shared" si="6"/>
        <v>6.9583333333333337E-3</v>
      </c>
      <c r="F23" s="262">
        <f t="shared" si="6"/>
        <v>6.9583333333333337E-3</v>
      </c>
      <c r="G23" s="262">
        <f t="shared" si="6"/>
        <v>6.9583333333333337E-3</v>
      </c>
      <c r="H23" s="262">
        <f>$B$23/12</f>
        <v>6.9583333333333337E-3</v>
      </c>
      <c r="I23" s="262">
        <f t="shared" ref="I23:N23" si="7">$B$23/12</f>
        <v>6.9583333333333337E-3</v>
      </c>
      <c r="J23" s="262">
        <f t="shared" si="7"/>
        <v>6.9583333333333337E-3</v>
      </c>
      <c r="K23" s="262">
        <f t="shared" si="7"/>
        <v>6.9583333333333337E-3</v>
      </c>
      <c r="L23" s="262">
        <f t="shared" si="7"/>
        <v>6.9583333333333337E-3</v>
      </c>
      <c r="M23" s="262">
        <f t="shared" si="7"/>
        <v>6.9583333333333337E-3</v>
      </c>
      <c r="N23" s="262">
        <f t="shared" si="7"/>
        <v>6.9583333333333337E-3</v>
      </c>
      <c r="O23" s="289"/>
    </row>
    <row r="24" spans="1:15">
      <c r="A24" s="9" t="s">
        <v>16</v>
      </c>
      <c r="B24" s="273">
        <f>'3.20'!S18</f>
        <v>8.3500000000000005E-2</v>
      </c>
      <c r="C24" s="262">
        <f t="shared" ref="C24:G24" si="8">$B$24/12</f>
        <v>6.9583333333333337E-3</v>
      </c>
      <c r="D24" s="262">
        <f t="shared" si="8"/>
        <v>6.9583333333333337E-3</v>
      </c>
      <c r="E24" s="262">
        <f t="shared" si="8"/>
        <v>6.9583333333333337E-3</v>
      </c>
      <c r="F24" s="262">
        <f t="shared" si="8"/>
        <v>6.9583333333333337E-3</v>
      </c>
      <c r="G24" s="262">
        <f t="shared" si="8"/>
        <v>6.9583333333333337E-3</v>
      </c>
      <c r="H24" s="262">
        <f>$B$24/12</f>
        <v>6.9583333333333337E-3</v>
      </c>
      <c r="I24" s="262">
        <f t="shared" ref="I24:N24" si="9">$B$24/12</f>
        <v>6.9583333333333337E-3</v>
      </c>
      <c r="J24" s="262">
        <f t="shared" si="9"/>
        <v>6.9583333333333337E-3</v>
      </c>
      <c r="K24" s="262">
        <f t="shared" si="9"/>
        <v>6.9583333333333337E-3</v>
      </c>
      <c r="L24" s="262">
        <f t="shared" si="9"/>
        <v>6.9583333333333337E-3</v>
      </c>
      <c r="M24" s="262">
        <f t="shared" si="9"/>
        <v>6.9583333333333337E-3</v>
      </c>
      <c r="N24" s="262">
        <f t="shared" si="9"/>
        <v>6.9583333333333337E-3</v>
      </c>
      <c r="O24" s="289"/>
    </row>
    <row r="25" spans="1:15">
      <c r="A25" s="9" t="s">
        <v>17</v>
      </c>
      <c r="B25" s="10"/>
      <c r="C25" s="95">
        <f t="shared" ref="C25:G25" si="10">C19*C23</f>
        <v>1517860.4462916667</v>
      </c>
      <c r="D25" s="95">
        <f t="shared" si="10"/>
        <v>1517860.4462916667</v>
      </c>
      <c r="E25" s="95">
        <f t="shared" si="10"/>
        <v>1517860.4462916667</v>
      </c>
      <c r="F25" s="95">
        <f t="shared" si="10"/>
        <v>1517860.4462916667</v>
      </c>
      <c r="G25" s="95">
        <f t="shared" si="10"/>
        <v>1517860.4462916667</v>
      </c>
      <c r="H25" s="95">
        <f>H19*H23</f>
        <v>1517860.4462916667</v>
      </c>
      <c r="I25" s="95">
        <f t="shared" ref="I25:N25" si="11">I19*I23</f>
        <v>1517860.4462916667</v>
      </c>
      <c r="J25" s="95">
        <f t="shared" si="11"/>
        <v>1517860.4462916667</v>
      </c>
      <c r="K25" s="95">
        <f t="shared" si="11"/>
        <v>1517860.4462916667</v>
      </c>
      <c r="L25" s="95">
        <f t="shared" si="11"/>
        <v>1517860.4462916667</v>
      </c>
      <c r="M25" s="95">
        <f t="shared" si="11"/>
        <v>1517860.4462916667</v>
      </c>
      <c r="N25" s="95">
        <f t="shared" si="11"/>
        <v>1517860.4462916667</v>
      </c>
      <c r="O25" s="289"/>
    </row>
    <row r="26" spans="1:15">
      <c r="A26" s="9" t="s">
        <v>17</v>
      </c>
      <c r="B26" s="10"/>
      <c r="C26" s="95">
        <f t="shared" ref="C26:G26" si="12">C20*C24</f>
        <v>-176740.65941312525</v>
      </c>
      <c r="D26" s="95">
        <f t="shared" si="12"/>
        <v>-181076.80140104148</v>
      </c>
      <c r="E26" s="95">
        <f t="shared" si="12"/>
        <v>-189144.06309479117</v>
      </c>
      <c r="F26" s="95">
        <f t="shared" si="12"/>
        <v>-197384.81183395805</v>
      </c>
      <c r="G26" s="95">
        <f t="shared" si="12"/>
        <v>-206249.36945062433</v>
      </c>
      <c r="H26" s="95">
        <f>H20*H24</f>
        <v>-204350.72654979132</v>
      </c>
      <c r="I26" s="95">
        <f t="shared" ref="I26:N26" si="13">I20*I24</f>
        <v>-212326.17296562484</v>
      </c>
      <c r="J26" s="95">
        <f t="shared" si="13"/>
        <v>-219389.41702104159</v>
      </c>
      <c r="K26" s="95">
        <f t="shared" si="13"/>
        <v>-227365.49358354116</v>
      </c>
      <c r="L26" s="95">
        <f t="shared" si="13"/>
        <v>-219995.29009854127</v>
      </c>
      <c r="M26" s="95">
        <f t="shared" si="13"/>
        <v>-225931.22918312502</v>
      </c>
      <c r="N26" s="95">
        <f t="shared" si="13"/>
        <v>-231143.16057312532</v>
      </c>
      <c r="O26" s="289"/>
    </row>
    <row r="27" spans="1:15">
      <c r="A27" s="4" t="s">
        <v>18</v>
      </c>
      <c r="B27" s="10"/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289"/>
    </row>
    <row r="28" spans="1:15">
      <c r="A28" s="4" t="s">
        <v>19</v>
      </c>
      <c r="B28" s="10"/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289"/>
    </row>
    <row r="29" spans="1:15">
      <c r="A29" s="4" t="s">
        <v>20</v>
      </c>
      <c r="B29" s="10"/>
      <c r="C29" s="8">
        <v>40834.97</v>
      </c>
      <c r="D29" s="8">
        <v>122977.33</v>
      </c>
      <c r="E29" s="8">
        <v>137858.04</v>
      </c>
      <c r="F29" s="8">
        <v>107643.12</v>
      </c>
      <c r="G29" s="8">
        <v>269410.46000000002</v>
      </c>
      <c r="H29" s="8">
        <v>123385.7</v>
      </c>
      <c r="I29" s="8">
        <v>-37419</v>
      </c>
      <c r="J29" s="8">
        <v>785.49</v>
      </c>
      <c r="K29" s="8">
        <v>89066.67</v>
      </c>
      <c r="L29" s="8">
        <v>3261.46</v>
      </c>
      <c r="M29" s="8">
        <v>157596.38</v>
      </c>
      <c r="N29" s="8">
        <v>263449.16000000003</v>
      </c>
      <c r="O29" s="289"/>
    </row>
    <row r="30" spans="1:15">
      <c r="A30" s="4" t="s">
        <v>21</v>
      </c>
      <c r="B30" s="10"/>
      <c r="C30" s="8">
        <v>21572.94</v>
      </c>
      <c r="D30" s="8">
        <v>124591.44</v>
      </c>
      <c r="E30" s="8">
        <v>77893.240000000005</v>
      </c>
      <c r="F30" s="8">
        <v>69846.81</v>
      </c>
      <c r="G30" s="8">
        <v>50187.81</v>
      </c>
      <c r="H30" s="8">
        <v>3870.9700000000003</v>
      </c>
      <c r="I30" s="8">
        <v>-54619.700000000004</v>
      </c>
      <c r="J30" s="8">
        <v>574.31000000000006</v>
      </c>
      <c r="K30" s="8">
        <v>1176.8</v>
      </c>
      <c r="L30" s="8">
        <v>589.54</v>
      </c>
      <c r="M30" s="8">
        <v>532.82000000000005</v>
      </c>
      <c r="N30" s="8">
        <v>546.03</v>
      </c>
    </row>
    <row r="31" spans="1:15">
      <c r="A31" s="4" t="s">
        <v>22</v>
      </c>
      <c r="B31" s="10"/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</row>
    <row r="32" spans="1:15">
      <c r="A32" s="4" t="s">
        <v>23</v>
      </c>
      <c r="B32" s="10"/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</row>
    <row r="33" spans="1:15">
      <c r="A33" s="4" t="s">
        <v>24</v>
      </c>
      <c r="B33" s="10"/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</row>
    <row r="34" spans="1:15">
      <c r="A34" s="4" t="s">
        <v>25</v>
      </c>
      <c r="B34" s="10"/>
      <c r="C34" s="8">
        <v>5755.5</v>
      </c>
      <c r="D34" s="8">
        <v>5755.5</v>
      </c>
      <c r="E34" s="8">
        <v>5755.5</v>
      </c>
      <c r="F34" s="8">
        <v>9383.5575000000008</v>
      </c>
      <c r="G34" s="8">
        <v>9383.5575000000008</v>
      </c>
      <c r="H34" s="8">
        <v>9383.5575000000008</v>
      </c>
      <c r="I34" s="8">
        <v>9383.5575000000008</v>
      </c>
      <c r="J34" s="8">
        <v>9383.5575000000008</v>
      </c>
      <c r="K34" s="8">
        <v>9383.5575000000008</v>
      </c>
      <c r="L34" s="8">
        <v>9383.5575000000008</v>
      </c>
      <c r="M34" s="8">
        <v>9383.5575000000008</v>
      </c>
      <c r="N34" s="8">
        <v>9383.5575000000008</v>
      </c>
    </row>
    <row r="35" spans="1:15">
      <c r="A35" s="4" t="s">
        <v>26</v>
      </c>
      <c r="B35" s="10"/>
      <c r="C35" s="8">
        <v>4344.9017857142853</v>
      </c>
      <c r="D35" s="8">
        <v>4384.4008928571429</v>
      </c>
      <c r="E35" s="8">
        <v>5411.3620143884891</v>
      </c>
      <c r="F35" s="8">
        <v>9953.760948616602</v>
      </c>
      <c r="G35" s="8">
        <v>8057.8109268292683</v>
      </c>
      <c r="H35" s="8">
        <v>3633.92</v>
      </c>
      <c r="I35" s="8">
        <v>0</v>
      </c>
      <c r="J35" s="8">
        <v>829.48</v>
      </c>
      <c r="K35" s="8">
        <v>5095.38</v>
      </c>
      <c r="L35" s="8">
        <v>126.18666666666667</v>
      </c>
      <c r="M35" s="8">
        <v>2397.5883544303797</v>
      </c>
      <c r="N35" s="8">
        <v>3076.0926966292136</v>
      </c>
    </row>
    <row r="36" spans="1:15">
      <c r="A36" s="4" t="s">
        <v>27</v>
      </c>
      <c r="B36" s="10"/>
      <c r="C36" s="8">
        <v>27.254464285714285</v>
      </c>
      <c r="D36" s="8">
        <v>27.502232142857146</v>
      </c>
      <c r="E36" s="8">
        <v>33.934604316546761</v>
      </c>
      <c r="F36" s="8">
        <v>62.422292490118579</v>
      </c>
      <c r="G36" s="8">
        <v>50.532292682926823</v>
      </c>
      <c r="H36" s="8">
        <v>22.79</v>
      </c>
      <c r="I36" s="8">
        <v>0</v>
      </c>
      <c r="J36" s="8">
        <v>5.2</v>
      </c>
      <c r="K36" s="8">
        <v>31.96</v>
      </c>
      <c r="L36" s="8">
        <v>0.88</v>
      </c>
      <c r="M36" s="8">
        <v>16.796962025316457</v>
      </c>
      <c r="N36" s="8">
        <v>18.785955056179777</v>
      </c>
    </row>
    <row r="37" spans="1:15">
      <c r="A37" s="4" t="s">
        <v>28</v>
      </c>
      <c r="B37" s="5"/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</row>
    <row r="38" spans="1:15">
      <c r="A38" s="4" t="s">
        <v>29</v>
      </c>
      <c r="B38" s="5"/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</row>
    <row r="39" spans="1:15" ht="13.5" thickBot="1">
      <c r="A39" s="13" t="s">
        <v>30</v>
      </c>
      <c r="B39" s="14"/>
      <c r="C39" s="90">
        <f t="shared" ref="C39:G39" si="14">SUM(C25:C38)</f>
        <v>1413655.3531285415</v>
      </c>
      <c r="D39" s="90">
        <f t="shared" si="14"/>
        <v>1594519.8180156255</v>
      </c>
      <c r="E39" s="90">
        <f t="shared" si="14"/>
        <v>1555668.4598155804</v>
      </c>
      <c r="F39" s="90">
        <f t="shared" si="14"/>
        <v>1517365.3051988152</v>
      </c>
      <c r="G39" s="90">
        <f t="shared" si="14"/>
        <v>1648701.2475605546</v>
      </c>
      <c r="H39" s="90">
        <f>SUM(H25:H38)</f>
        <v>1453806.6572418753</v>
      </c>
      <c r="I39" s="90">
        <f t="shared" ref="I39:N39" si="15">SUM(I25:I38)</f>
        <v>1222879.130826042</v>
      </c>
      <c r="J39" s="90">
        <f t="shared" si="15"/>
        <v>1310049.0667706253</v>
      </c>
      <c r="K39" s="90">
        <f t="shared" si="15"/>
        <v>1395249.3202081255</v>
      </c>
      <c r="L39" s="90">
        <f t="shared" si="15"/>
        <v>1311226.7803597923</v>
      </c>
      <c r="M39" s="90">
        <f t="shared" si="15"/>
        <v>1461856.3599249974</v>
      </c>
      <c r="N39" s="90">
        <f t="shared" si="15"/>
        <v>1563190.9118702267</v>
      </c>
    </row>
    <row r="40" spans="1:15" ht="13.5" thickTop="1">
      <c r="A40" s="4" t="s">
        <v>31</v>
      </c>
      <c r="B40" s="5"/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</row>
    <row r="41" spans="1:15">
      <c r="A41" s="4" t="s">
        <v>32</v>
      </c>
      <c r="B41" s="5" t="s">
        <v>33</v>
      </c>
      <c r="C41" s="8">
        <v>65719.169999999984</v>
      </c>
      <c r="D41" s="8">
        <v>18524.790000000005</v>
      </c>
      <c r="E41" s="8">
        <v>45808.650000000009</v>
      </c>
      <c r="F41" s="8">
        <v>33523.480000000003</v>
      </c>
      <c r="G41" s="8">
        <v>47836.590000000018</v>
      </c>
      <c r="H41" s="8">
        <v>8536.369999999999</v>
      </c>
      <c r="I41" s="8">
        <v>107940.66999999997</v>
      </c>
      <c r="J41" s="8">
        <v>67772.91</v>
      </c>
      <c r="K41" s="8">
        <v>156004.91000000003</v>
      </c>
      <c r="L41" s="8">
        <v>656150.60999999987</v>
      </c>
      <c r="M41" s="8">
        <v>44957.350000000071</v>
      </c>
      <c r="N41" s="8">
        <v>5634.9300000000203</v>
      </c>
    </row>
    <row r="42" spans="1:15" ht="13.5" thickBot="1">
      <c r="A42" s="13" t="s">
        <v>34</v>
      </c>
      <c r="B42" s="14"/>
      <c r="C42" s="90">
        <f t="shared" ref="C42:G42" si="16">SUM(C40:C41)</f>
        <v>65719.169999999984</v>
      </c>
      <c r="D42" s="90">
        <f t="shared" si="16"/>
        <v>18524.790000000005</v>
      </c>
      <c r="E42" s="90">
        <f t="shared" si="16"/>
        <v>45808.650000000009</v>
      </c>
      <c r="F42" s="90">
        <f t="shared" si="16"/>
        <v>33523.480000000003</v>
      </c>
      <c r="G42" s="90">
        <f t="shared" si="16"/>
        <v>47836.590000000018</v>
      </c>
      <c r="H42" s="90">
        <f>SUM(H40:H41)</f>
        <v>8536.369999999999</v>
      </c>
      <c r="I42" s="90">
        <f t="shared" ref="I42:N42" si="17">SUM(I40:I41)</f>
        <v>107940.66999999997</v>
      </c>
      <c r="J42" s="90">
        <f t="shared" si="17"/>
        <v>67772.91</v>
      </c>
      <c r="K42" s="90">
        <f t="shared" si="17"/>
        <v>156004.91000000003</v>
      </c>
      <c r="L42" s="90">
        <f t="shared" si="17"/>
        <v>656150.60999999987</v>
      </c>
      <c r="M42" s="90">
        <f t="shared" si="17"/>
        <v>44957.350000000071</v>
      </c>
      <c r="N42" s="90">
        <f t="shared" si="17"/>
        <v>5634.9300000000203</v>
      </c>
    </row>
    <row r="43" spans="1:15" ht="13.5" thickTop="1">
      <c r="A43" s="9" t="s">
        <v>35</v>
      </c>
      <c r="B43" s="5"/>
      <c r="C43" s="95">
        <f t="shared" ref="C43:G43" si="18">(C5-$B$89)*0.0296/12</f>
        <v>925956.18802766653</v>
      </c>
      <c r="D43" s="95">
        <f t="shared" si="18"/>
        <v>925839.28832833329</v>
      </c>
      <c r="E43" s="95">
        <f t="shared" si="18"/>
        <v>925837.81064700009</v>
      </c>
      <c r="F43" s="95">
        <f t="shared" si="18"/>
        <v>925850.58778299997</v>
      </c>
      <c r="G43" s="95">
        <f t="shared" si="18"/>
        <v>925907.1092050001</v>
      </c>
      <c r="H43" s="95">
        <f t="shared" ref="H43:N43" si="19">(H5-$B$89)*0.0296/12</f>
        <v>928159.02054566669</v>
      </c>
      <c r="I43" s="95">
        <f t="shared" si="19"/>
        <v>928159.02054566669</v>
      </c>
      <c r="J43" s="95">
        <f t="shared" si="19"/>
        <v>928159.02054566669</v>
      </c>
      <c r="K43" s="95">
        <f t="shared" si="19"/>
        <v>928230.28313766664</v>
      </c>
      <c r="L43" s="95">
        <f t="shared" si="19"/>
        <v>933250.4752783333</v>
      </c>
      <c r="M43" s="95">
        <f t="shared" si="19"/>
        <v>933672.30117833335</v>
      </c>
      <c r="N43" s="95">
        <f t="shared" si="19"/>
        <v>933646.38822833321</v>
      </c>
      <c r="O43" s="289"/>
    </row>
    <row r="44" spans="1:15">
      <c r="A44" s="9" t="s">
        <v>36</v>
      </c>
      <c r="B44" s="5"/>
      <c r="C44" s="95">
        <f t="shared" ref="C44:G44" si="20">$B$89*0.125/12</f>
        <v>98346.934583333335</v>
      </c>
      <c r="D44" s="95">
        <f t="shared" si="20"/>
        <v>98346.934583333335</v>
      </c>
      <c r="E44" s="95">
        <f t="shared" si="20"/>
        <v>98346.934583333335</v>
      </c>
      <c r="F44" s="95">
        <f t="shared" si="20"/>
        <v>98346.934583333335</v>
      </c>
      <c r="G44" s="95">
        <f t="shared" si="20"/>
        <v>98346.934583333335</v>
      </c>
      <c r="H44" s="95">
        <f t="shared" ref="H44:N44" si="21">$B$89*0.125/12</f>
        <v>98346.934583333335</v>
      </c>
      <c r="I44" s="95">
        <f t="shared" si="21"/>
        <v>98346.934583333335</v>
      </c>
      <c r="J44" s="95">
        <f t="shared" si="21"/>
        <v>98346.934583333335</v>
      </c>
      <c r="K44" s="95">
        <f t="shared" si="21"/>
        <v>98346.934583333335</v>
      </c>
      <c r="L44" s="95">
        <f t="shared" si="21"/>
        <v>98346.934583333335</v>
      </c>
      <c r="M44" s="95">
        <f t="shared" si="21"/>
        <v>98346.934583333335</v>
      </c>
      <c r="N44" s="95">
        <f t="shared" si="21"/>
        <v>98346.934583333335</v>
      </c>
      <c r="O44" s="289"/>
    </row>
    <row r="45" spans="1:15" s="289" customFormat="1">
      <c r="A45" s="9"/>
      <c r="B45" s="10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1:15" s="289" customFormat="1">
      <c r="A46" s="466" t="s">
        <v>1661</v>
      </c>
      <c r="B46" s="467"/>
      <c r="C46" s="468"/>
      <c r="D46" s="468"/>
      <c r="E46" s="468"/>
      <c r="F46" s="468"/>
      <c r="G46" s="468"/>
      <c r="H46" s="468"/>
      <c r="I46" s="468"/>
      <c r="J46" s="468"/>
      <c r="K46" s="468"/>
      <c r="L46" s="468"/>
      <c r="M46" s="468"/>
      <c r="N46" s="468"/>
      <c r="O46" s="471" t="s">
        <v>1809</v>
      </c>
    </row>
    <row r="47" spans="1:15">
      <c r="A47" s="4" t="s">
        <v>37</v>
      </c>
      <c r="B47" s="5"/>
      <c r="C47" s="95">
        <f>(C5*'Property Tax'!$C$3*'Property Tax'!$C$5*'Property Tax'!$C$7)/12</f>
        <v>19229.90260726455</v>
      </c>
      <c r="D47" s="95">
        <f>(D5*'Property Tax'!$C$3*'Property Tax'!$C$5*'Property Tax'!$C$7)/12</f>
        <v>19227.534440517647</v>
      </c>
      <c r="E47" s="95">
        <f>(E5*'Property Tax'!$C$3*'Property Tax'!$C$5*'Property Tax'!$C$7)/12</f>
        <v>19227.504505489454</v>
      </c>
      <c r="F47" s="95">
        <f>(F5*'Property Tax'!$B$3*'Property Tax'!$B$5*'Property Tax'!$B$7)/12</f>
        <v>19550.98370252005</v>
      </c>
      <c r="G47" s="95">
        <f>(G5*'Property Tax'!$B$3*'Property Tax'!$B$5*'Property Tax'!$B$7)/12</f>
        <v>19552.147967432953</v>
      </c>
      <c r="H47" s="95">
        <f>(H5*'Property Tax'!$B$3*'Property Tax'!$B$5*'Property Tax'!$B$7)/12</f>
        <v>19598.53429792725</v>
      </c>
      <c r="I47" s="95">
        <f>(I5*'Property Tax'!$B$3*'Property Tax'!$B$5*'Property Tax'!$B$7)/12</f>
        <v>19598.53429792725</v>
      </c>
      <c r="J47" s="95">
        <f>(J5*'Property Tax'!$B$3*'Property Tax'!$B$5*'Property Tax'!$B$7)/12</f>
        <v>19598.53429792725</v>
      </c>
      <c r="K47" s="95">
        <f>(K5*'Property Tax'!$B$3*'Property Tax'!$B$5*'Property Tax'!$B$7)/12</f>
        <v>19600.002211021652</v>
      </c>
      <c r="L47" s="95">
        <f>(L5*'Property Tax'!$B$3*'Property Tax'!$B$5*'Property Tax'!$B$7)/12</f>
        <v>19703.411385075946</v>
      </c>
      <c r="M47" s="95">
        <f>(M5*'Property Tax'!$B$3*'Property Tax'!$B$5*'Property Tax'!$B$7)/12</f>
        <v>19712.100428580947</v>
      </c>
      <c r="N47" s="95">
        <f>(N5*'Property Tax'!$B$3*'Property Tax'!$B$5*'Property Tax'!$B$7)/12</f>
        <v>19711.566656828447</v>
      </c>
    </row>
    <row r="48" spans="1:15" ht="13.5" thickBot="1">
      <c r="A48" s="13" t="s">
        <v>38</v>
      </c>
      <c r="B48" s="14"/>
      <c r="C48" s="90">
        <f t="shared" ref="C48:G48" si="22">SUM(C43:C47)</f>
        <v>1043533.0252182644</v>
      </c>
      <c r="D48" s="90">
        <f t="shared" si="22"/>
        <v>1043413.7573521843</v>
      </c>
      <c r="E48" s="90">
        <f t="shared" si="22"/>
        <v>1043412.2497358229</v>
      </c>
      <c r="F48" s="90">
        <f t="shared" si="22"/>
        <v>1043748.5060688533</v>
      </c>
      <c r="G48" s="90">
        <f t="shared" si="22"/>
        <v>1043806.1917557664</v>
      </c>
      <c r="H48" s="90">
        <f>SUM(H43:H47)</f>
        <v>1046104.4894269273</v>
      </c>
      <c r="I48" s="90">
        <f t="shared" ref="I48:N48" si="23">SUM(I43:I47)</f>
        <v>1046104.4894269273</v>
      </c>
      <c r="J48" s="90">
        <f t="shared" si="23"/>
        <v>1046104.4894269273</v>
      </c>
      <c r="K48" s="90">
        <f t="shared" si="23"/>
        <v>1046177.2199320216</v>
      </c>
      <c r="L48" s="90">
        <f t="shared" si="23"/>
        <v>1051300.8212467425</v>
      </c>
      <c r="M48" s="90">
        <f t="shared" si="23"/>
        <v>1051731.3361902477</v>
      </c>
      <c r="N48" s="90">
        <f t="shared" si="23"/>
        <v>1051704.889468495</v>
      </c>
    </row>
    <row r="49" spans="1:15" ht="13.5" thickTop="1">
      <c r="A49" s="13" t="s">
        <v>39</v>
      </c>
      <c r="B49" s="96"/>
      <c r="C49" s="91">
        <f t="shared" ref="C49:G49" si="24">SUM(C27:C38)+C42+C48</f>
        <v>1181787.7614682645</v>
      </c>
      <c r="D49" s="91">
        <f t="shared" si="24"/>
        <v>1319674.7204771843</v>
      </c>
      <c r="E49" s="91">
        <f t="shared" si="24"/>
        <v>1316172.976354528</v>
      </c>
      <c r="F49" s="91">
        <f t="shared" si="24"/>
        <v>1274161.65680996</v>
      </c>
      <c r="G49" s="91">
        <f t="shared" si="24"/>
        <v>1428732.9524752786</v>
      </c>
      <c r="H49" s="91">
        <f>SUM(H27:H38)+H42+H48</f>
        <v>1194937.7969269273</v>
      </c>
      <c r="I49" s="91">
        <f t="shared" ref="I49:N49" si="25">SUM(I27:I38)+I42+I48</f>
        <v>1071390.0169269273</v>
      </c>
      <c r="J49" s="91">
        <f t="shared" si="25"/>
        <v>1125455.4369269274</v>
      </c>
      <c r="K49" s="91">
        <f t="shared" si="25"/>
        <v>1306936.4974320217</v>
      </c>
      <c r="L49" s="91">
        <f t="shared" si="25"/>
        <v>1720813.0554134091</v>
      </c>
      <c r="M49" s="91">
        <f t="shared" si="25"/>
        <v>1266615.8290067036</v>
      </c>
      <c r="N49" s="91">
        <f t="shared" si="25"/>
        <v>1333813.4456201806</v>
      </c>
    </row>
    <row r="50" spans="1:15">
      <c r="A50" s="13" t="s">
        <v>40</v>
      </c>
      <c r="B50" s="14"/>
      <c r="C50" s="19">
        <v>1739392</v>
      </c>
      <c r="D50" s="19">
        <v>1680129</v>
      </c>
      <c r="E50" s="19">
        <v>1300852</v>
      </c>
      <c r="F50" s="19">
        <v>1287529</v>
      </c>
      <c r="G50" s="19">
        <v>1292387</v>
      </c>
      <c r="H50" s="19">
        <v>1095807</v>
      </c>
      <c r="I50" s="19">
        <v>1123037</v>
      </c>
      <c r="J50" s="19">
        <v>1113605</v>
      </c>
      <c r="K50" s="19">
        <v>1251249</v>
      </c>
      <c r="L50" s="19">
        <v>1043762</v>
      </c>
      <c r="M50" s="19">
        <v>1305103</v>
      </c>
      <c r="N50" s="19">
        <v>1138225</v>
      </c>
    </row>
    <row r="51" spans="1:15">
      <c r="A51" s="13" t="s">
        <v>41</v>
      </c>
      <c r="B51" s="96"/>
      <c r="C51" s="92">
        <f t="shared" ref="C51:G51" si="26">C49-C50</f>
        <v>-557604.23853173549</v>
      </c>
      <c r="D51" s="92">
        <f t="shared" si="26"/>
        <v>-360454.27952281572</v>
      </c>
      <c r="E51" s="92">
        <f t="shared" si="26"/>
        <v>15320.976354527986</v>
      </c>
      <c r="F51" s="92">
        <f t="shared" si="26"/>
        <v>-13367.343190039974</v>
      </c>
      <c r="G51" s="92">
        <f t="shared" si="26"/>
        <v>136345.95247527864</v>
      </c>
      <c r="H51" s="92">
        <f>H49-H50</f>
        <v>99130.796926927287</v>
      </c>
      <c r="I51" s="92">
        <f t="shared" ref="I51:N51" si="27">I49-I50</f>
        <v>-51646.983073072741</v>
      </c>
      <c r="J51" s="92">
        <f t="shared" si="27"/>
        <v>11850.436926927418</v>
      </c>
      <c r="K51" s="92">
        <f t="shared" si="27"/>
        <v>55687.497432021657</v>
      </c>
      <c r="L51" s="92">
        <f t="shared" si="27"/>
        <v>677051.05541340914</v>
      </c>
      <c r="M51" s="92">
        <f t="shared" si="27"/>
        <v>-38487.17099329643</v>
      </c>
      <c r="N51" s="92">
        <f t="shared" si="27"/>
        <v>195588.44562018057</v>
      </c>
    </row>
    <row r="52" spans="1:15" ht="13.5" thickBot="1">
      <c r="A52" s="29" t="s">
        <v>1812</v>
      </c>
      <c r="B52" s="265">
        <f>'3.20'!O42-1</f>
        <v>5.5229999999999446E-3</v>
      </c>
      <c r="C52" s="266">
        <f t="shared" ref="C52:G52" si="28">C51*$B$52</f>
        <v>-3079.6482094107441</v>
      </c>
      <c r="D52" s="266">
        <f t="shared" si="28"/>
        <v>-1990.7889858044912</v>
      </c>
      <c r="E52" s="266">
        <f t="shared" si="28"/>
        <v>84.617752406057221</v>
      </c>
      <c r="F52" s="266">
        <f t="shared" si="28"/>
        <v>-73.82783643859004</v>
      </c>
      <c r="G52" s="266">
        <f t="shared" si="28"/>
        <v>753.03869552095637</v>
      </c>
      <c r="H52" s="266">
        <f>H51*$B$52</f>
        <v>547.49939142741391</v>
      </c>
      <c r="I52" s="266">
        <f t="shared" ref="I52:N52" si="29">I51*$B$52</f>
        <v>-285.24628751257791</v>
      </c>
      <c r="J52" s="266">
        <f t="shared" si="29"/>
        <v>65.449963147419467</v>
      </c>
      <c r="K52" s="266">
        <f t="shared" si="29"/>
        <v>307.56204831705253</v>
      </c>
      <c r="L52" s="266">
        <f t="shared" si="29"/>
        <v>3739.3529790482212</v>
      </c>
      <c r="M52" s="266">
        <f t="shared" si="29"/>
        <v>-212.56464539597405</v>
      </c>
      <c r="N52" s="266">
        <f t="shared" si="29"/>
        <v>1080.2349851602464</v>
      </c>
    </row>
    <row r="53" spans="1:15" ht="14.25" thickTop="1" thickBot="1">
      <c r="A53" s="20" t="s">
        <v>43</v>
      </c>
      <c r="B53" s="21"/>
      <c r="C53" s="93">
        <f t="shared" ref="C53:G53" si="30">C39+C42+C48+C52</f>
        <v>2519827.9001373951</v>
      </c>
      <c r="D53" s="93">
        <f t="shared" si="30"/>
        <v>2654467.5763820051</v>
      </c>
      <c r="E53" s="93">
        <f t="shared" si="30"/>
        <v>2644973.9773038095</v>
      </c>
      <c r="F53" s="93">
        <f t="shared" si="30"/>
        <v>2594563.4634312298</v>
      </c>
      <c r="G53" s="93">
        <f t="shared" si="30"/>
        <v>2741097.0680118422</v>
      </c>
      <c r="H53" s="93">
        <f>H39+H42+H48+H52</f>
        <v>2508995.0160602299</v>
      </c>
      <c r="I53" s="93">
        <f t="shared" ref="I53:N53" si="31">I39+I42+I48+I52</f>
        <v>2376639.0439654565</v>
      </c>
      <c r="J53" s="93">
        <f t="shared" si="31"/>
        <v>2423991.9161606999</v>
      </c>
      <c r="K53" s="93">
        <f t="shared" si="31"/>
        <v>2597739.0121884639</v>
      </c>
      <c r="L53" s="93">
        <f t="shared" si="31"/>
        <v>3022417.5645855828</v>
      </c>
      <c r="M53" s="93">
        <f t="shared" si="31"/>
        <v>2558332.4814698491</v>
      </c>
      <c r="N53" s="93">
        <f t="shared" si="31"/>
        <v>2621610.9663238819</v>
      </c>
      <c r="O53" s="264">
        <f>SUM(C53:N53)</f>
        <v>31264655.986020446</v>
      </c>
    </row>
    <row r="54" spans="1:15" s="289" customFormat="1"/>
    <row r="55" spans="1:15">
      <c r="A55" s="297"/>
      <c r="C55" s="421"/>
      <c r="D55" s="421"/>
      <c r="E55" s="421"/>
      <c r="F55" s="421"/>
      <c r="G55" s="421"/>
      <c r="H55" s="421"/>
      <c r="I55" s="421"/>
      <c r="J55" s="421"/>
      <c r="K55" s="421"/>
      <c r="L55" s="421"/>
      <c r="M55" s="421"/>
      <c r="N55" s="421"/>
    </row>
    <row r="56" spans="1:15">
      <c r="A56" s="36" t="s">
        <v>58</v>
      </c>
      <c r="B56" s="83"/>
      <c r="C56" s="421">
        <v>0</v>
      </c>
      <c r="D56" s="421">
        <v>140184</v>
      </c>
      <c r="E56" s="421">
        <v>0</v>
      </c>
      <c r="F56" s="421">
        <v>0</v>
      </c>
      <c r="G56" s="421">
        <v>0</v>
      </c>
      <c r="H56" s="421">
        <v>0</v>
      </c>
      <c r="I56" s="421">
        <v>0</v>
      </c>
      <c r="J56" s="421">
        <v>0</v>
      </c>
      <c r="K56" s="421">
        <v>0</v>
      </c>
      <c r="L56" s="421">
        <v>0</v>
      </c>
      <c r="M56" s="421">
        <v>0</v>
      </c>
      <c r="N56" s="421">
        <v>0</v>
      </c>
      <c r="O56" s="264">
        <f>SUM(C56:N56)</f>
        <v>140184</v>
      </c>
    </row>
    <row r="57" spans="1:15">
      <c r="A57" s="36" t="s">
        <v>104</v>
      </c>
      <c r="C57" s="263">
        <f>C53-C56</f>
        <v>2519827.9001373951</v>
      </c>
      <c r="D57" s="263">
        <f t="shared" ref="D57:N57" si="32">D53-D56</f>
        <v>2514283.5763820051</v>
      </c>
      <c r="E57" s="263">
        <f t="shared" si="32"/>
        <v>2644973.9773038095</v>
      </c>
      <c r="F57" s="263">
        <f t="shared" si="32"/>
        <v>2594563.4634312298</v>
      </c>
      <c r="G57" s="263">
        <f t="shared" si="32"/>
        <v>2741097.0680118422</v>
      </c>
      <c r="H57" s="263">
        <f t="shared" si="32"/>
        <v>2508995.0160602299</v>
      </c>
      <c r="I57" s="263">
        <f t="shared" si="32"/>
        <v>2376639.0439654565</v>
      </c>
      <c r="J57" s="263">
        <f t="shared" si="32"/>
        <v>2423991.9161606999</v>
      </c>
      <c r="K57" s="263">
        <f t="shared" si="32"/>
        <v>2597739.0121884639</v>
      </c>
      <c r="L57" s="263">
        <f t="shared" si="32"/>
        <v>3022417.5645855828</v>
      </c>
      <c r="M57" s="263">
        <f t="shared" si="32"/>
        <v>2558332.4814698491</v>
      </c>
      <c r="N57" s="263">
        <f t="shared" si="32"/>
        <v>2621610.9663238819</v>
      </c>
      <c r="O57" s="264">
        <f>SUM(C57:N57)</f>
        <v>31124471.986020446</v>
      </c>
    </row>
    <row r="58" spans="1:15">
      <c r="A58" s="36" t="s">
        <v>105</v>
      </c>
      <c r="C58" s="264">
        <f>C57*'Allocation Factors'!B12</f>
        <v>2221480.2767611276</v>
      </c>
      <c r="D58" s="264">
        <f>D57*'Allocation Factors'!C12</f>
        <v>2267632.3575389306</v>
      </c>
      <c r="E58" s="264">
        <f>E57*'Allocation Factors'!D12</f>
        <v>2304036.8316293485</v>
      </c>
      <c r="F58" s="264">
        <f>F57*'Allocation Factors'!E12</f>
        <v>2204860.0312238592</v>
      </c>
      <c r="G58" s="264">
        <f>G57*'Allocation Factors'!F12</f>
        <v>2346379.090218137</v>
      </c>
      <c r="H58" s="264">
        <f>H57*'Allocation Factors'!G12</f>
        <v>2453797.1257069046</v>
      </c>
      <c r="I58" s="264">
        <f>I57*'Allocation Factors'!H12</f>
        <v>2329581.5908949403</v>
      </c>
      <c r="J58" s="264">
        <f>J57*'Allocation Factors'!I12</f>
        <v>2362664.9206818342</v>
      </c>
      <c r="K58" s="264">
        <f>K57*'Allocation Factors'!J12</f>
        <v>2509156.1118728374</v>
      </c>
      <c r="L58" s="264">
        <f>L57*'Allocation Factors'!K12</f>
        <v>2937487.631020728</v>
      </c>
      <c r="M58" s="264">
        <f>M57*'Allocation Factors'!L12</f>
        <v>2515608.3290293026</v>
      </c>
      <c r="N58" s="264">
        <f>N57*'Allocation Factors'!M12</f>
        <v>2487908.8070413638</v>
      </c>
      <c r="O58" s="264">
        <f>SUM(C58:N58)</f>
        <v>28940593.103619315</v>
      </c>
    </row>
    <row r="59" spans="1:15"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5"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</row>
    <row r="61" spans="1:15"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</row>
    <row r="62" spans="1:15"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</row>
    <row r="63" spans="1:15"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</row>
    <row r="64" spans="1:15"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</row>
    <row r="65" spans="3:14"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</row>
    <row r="66" spans="3:14"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</row>
    <row r="67" spans="3:14"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</row>
    <row r="68" spans="3:14"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</row>
    <row r="69" spans="3:14"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</row>
    <row r="70" spans="3:14"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</row>
    <row r="71" spans="3:14"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</row>
    <row r="72" spans="3:14"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</row>
    <row r="73" spans="3:14"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</row>
    <row r="74" spans="3:14"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</row>
    <row r="75" spans="3:14"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</row>
    <row r="76" spans="3:14"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</row>
    <row r="89" spans="1:2">
      <c r="A89" s="36" t="s">
        <v>107</v>
      </c>
      <c r="B89" s="97">
        <f>9370392+70913.72</f>
        <v>9441305.7200000007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8"/>
  <sheetViews>
    <sheetView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B43" sqref="B43"/>
    </sheetView>
  </sheetViews>
  <sheetFormatPr defaultRowHeight="12.75"/>
  <cols>
    <col min="1" max="1" width="58" style="1" customWidth="1"/>
    <col min="2" max="2" width="9.85546875" style="1" customWidth="1"/>
    <col min="3" max="4" width="13.140625" style="1" bestFit="1" customWidth="1"/>
    <col min="5" max="5" width="13" style="1" customWidth="1"/>
    <col min="6" max="14" width="13.140625" style="1" bestFit="1" customWidth="1"/>
    <col min="15" max="16384" width="9.140625" style="1"/>
  </cols>
  <sheetData>
    <row r="1" spans="1:14">
      <c r="A1" s="293"/>
      <c r="B1" s="94" t="s">
        <v>103</v>
      </c>
      <c r="C1" s="290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1:14" ht="13.5" thickBot="1">
      <c r="A2" s="38"/>
      <c r="C2" s="291"/>
      <c r="D2" s="291"/>
      <c r="E2" s="291"/>
      <c r="F2" s="291"/>
      <c r="G2" s="291"/>
      <c r="H2" s="480"/>
      <c r="I2" s="480"/>
      <c r="J2" s="480"/>
      <c r="K2" s="480"/>
      <c r="L2" s="480"/>
      <c r="M2" s="480"/>
      <c r="N2" s="294"/>
    </row>
    <row r="3" spans="1:14">
      <c r="A3" s="2" t="s">
        <v>0</v>
      </c>
      <c r="B3" s="3"/>
      <c r="C3" s="422">
        <v>44652</v>
      </c>
      <c r="D3" s="422">
        <v>44682</v>
      </c>
      <c r="E3" s="422">
        <v>44713</v>
      </c>
      <c r="F3" s="422">
        <v>44743</v>
      </c>
      <c r="G3" s="422">
        <v>44774</v>
      </c>
      <c r="H3" s="422">
        <v>44805</v>
      </c>
      <c r="I3" s="422">
        <v>44835</v>
      </c>
      <c r="J3" s="422">
        <v>44866</v>
      </c>
      <c r="K3" s="422">
        <v>44896</v>
      </c>
      <c r="L3" s="422">
        <v>44927</v>
      </c>
      <c r="M3" s="422">
        <v>44958</v>
      </c>
      <c r="N3" s="422">
        <v>44986</v>
      </c>
    </row>
    <row r="4" spans="1:14">
      <c r="A4" s="4"/>
      <c r="B4" s="5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>
      <c r="A5" s="4" t="s">
        <v>1</v>
      </c>
      <c r="B5" s="5"/>
      <c r="C5" s="7">
        <v>329691634.08500063</v>
      </c>
      <c r="D5" s="7">
        <v>329705226.90500057</v>
      </c>
      <c r="E5" s="7">
        <v>329701585.42500061</v>
      </c>
      <c r="F5" s="7">
        <v>329701847.65500057</v>
      </c>
      <c r="G5" s="7">
        <v>329727131.99500054</v>
      </c>
      <c r="H5" s="7">
        <v>329727131.99500054</v>
      </c>
      <c r="I5" s="7">
        <v>329727131.99500054</v>
      </c>
      <c r="J5" s="7">
        <v>329727131.99500054</v>
      </c>
      <c r="K5" s="7">
        <v>329754653.31500053</v>
      </c>
      <c r="L5" s="7">
        <v>329680929.26500052</v>
      </c>
      <c r="M5" s="7">
        <v>329706370.76500058</v>
      </c>
      <c r="N5" s="7">
        <v>329731526.31500053</v>
      </c>
    </row>
    <row r="6" spans="1:14">
      <c r="A6" s="4" t="s">
        <v>2</v>
      </c>
      <c r="B6" s="5"/>
      <c r="C6" s="8">
        <v>144359711.46000004</v>
      </c>
      <c r="D6" s="8">
        <v>145057242.27999967</v>
      </c>
      <c r="E6" s="8">
        <v>145862794.3500002</v>
      </c>
      <c r="F6" s="8">
        <v>146751920.9099997</v>
      </c>
      <c r="G6" s="8">
        <v>147565872.60000005</v>
      </c>
      <c r="H6" s="8">
        <v>148207929.23999977</v>
      </c>
      <c r="I6" s="8">
        <v>149140288.15999985</v>
      </c>
      <c r="J6" s="8">
        <v>150048863.88000003</v>
      </c>
      <c r="K6" s="8">
        <v>150918957.18000013</v>
      </c>
      <c r="L6" s="8">
        <v>151520162.58000019</v>
      </c>
      <c r="M6" s="8">
        <v>152182338.62999976</v>
      </c>
      <c r="N6" s="8">
        <v>152482512.11000007</v>
      </c>
    </row>
    <row r="7" spans="1:14">
      <c r="A7" s="9" t="s">
        <v>3</v>
      </c>
      <c r="B7" s="10"/>
      <c r="C7" s="11">
        <v>38619545</v>
      </c>
      <c r="D7" s="11">
        <v>38793370</v>
      </c>
      <c r="E7" s="11">
        <v>38928869</v>
      </c>
      <c r="F7" s="11">
        <v>39035176</v>
      </c>
      <c r="G7" s="11">
        <v>39167905</v>
      </c>
      <c r="H7" s="11">
        <v>39366791</v>
      </c>
      <c r="I7" s="11">
        <v>39458469</v>
      </c>
      <c r="J7" s="11">
        <v>39551387</v>
      </c>
      <c r="K7" s="11">
        <v>39665675</v>
      </c>
      <c r="L7" s="11">
        <v>39886636</v>
      </c>
      <c r="M7" s="11">
        <v>40074868</v>
      </c>
      <c r="N7" s="11">
        <v>40390585</v>
      </c>
    </row>
    <row r="8" spans="1:14" ht="13.5" thickBot="1">
      <c r="A8" s="4" t="s">
        <v>4</v>
      </c>
      <c r="B8" s="5"/>
      <c r="C8" s="90">
        <f t="shared" ref="C8:H8" si="0">C5-C6-C7</f>
        <v>146712377.6250006</v>
      </c>
      <c r="D8" s="90">
        <f t="shared" si="0"/>
        <v>145854614.62500089</v>
      </c>
      <c r="E8" s="90">
        <f t="shared" si="0"/>
        <v>144909922.07500041</v>
      </c>
      <c r="F8" s="90">
        <f t="shared" si="0"/>
        <v>143914750.74500087</v>
      </c>
      <c r="G8" s="90">
        <f t="shared" si="0"/>
        <v>142993354.39500049</v>
      </c>
      <c r="H8" s="90">
        <f t="shared" si="0"/>
        <v>142152411.75500077</v>
      </c>
      <c r="I8" s="90">
        <f t="shared" ref="I8:N8" si="1">I5-I6-I7</f>
        <v>141128374.83500069</v>
      </c>
      <c r="J8" s="90">
        <f t="shared" si="1"/>
        <v>140126881.11500052</v>
      </c>
      <c r="K8" s="90">
        <f t="shared" si="1"/>
        <v>139170021.13500041</v>
      </c>
      <c r="L8" s="90">
        <f t="shared" si="1"/>
        <v>138274130.68500033</v>
      </c>
      <c r="M8" s="90">
        <f t="shared" si="1"/>
        <v>137449164.13500082</v>
      </c>
      <c r="N8" s="90">
        <f t="shared" si="1"/>
        <v>136858429.20500046</v>
      </c>
    </row>
    <row r="9" spans="1:14" ht="13.5" thickTop="1">
      <c r="A9" s="4" t="s">
        <v>5</v>
      </c>
      <c r="B9" s="5"/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</row>
    <row r="10" spans="1:14">
      <c r="A10" s="4" t="s">
        <v>6</v>
      </c>
      <c r="B10" s="5"/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</row>
    <row r="11" spans="1:14">
      <c r="A11" s="4" t="s">
        <v>7</v>
      </c>
      <c r="B11" s="5"/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</row>
    <row r="12" spans="1:14">
      <c r="A12" s="4" t="s">
        <v>8</v>
      </c>
      <c r="B12" s="5"/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</row>
    <row r="13" spans="1:14">
      <c r="A13" s="4" t="s">
        <v>9</v>
      </c>
      <c r="B13" s="5"/>
      <c r="C13" s="8">
        <v>908331.48</v>
      </c>
      <c r="D13" s="8">
        <v>936291.58000000007</v>
      </c>
      <c r="E13" s="8">
        <v>1119980.47</v>
      </c>
      <c r="F13" s="8">
        <v>1179661.4099999999</v>
      </c>
      <c r="G13" s="8">
        <v>1138218.77</v>
      </c>
      <c r="H13" s="8">
        <v>1286941.19</v>
      </c>
      <c r="I13" s="8">
        <v>1394057.54</v>
      </c>
      <c r="J13" s="8">
        <v>1576760.54</v>
      </c>
      <c r="K13" s="8">
        <v>1585194.98</v>
      </c>
      <c r="L13" s="8">
        <v>1577944.52</v>
      </c>
      <c r="M13" s="8">
        <v>1446588.57</v>
      </c>
      <c r="N13" s="8">
        <v>1769530.72</v>
      </c>
    </row>
    <row r="14" spans="1:14">
      <c r="A14" s="4" t="s">
        <v>10</v>
      </c>
      <c r="B14" s="5"/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</row>
    <row r="15" spans="1:14">
      <c r="A15" s="4" t="s">
        <v>11</v>
      </c>
      <c r="B15" s="5"/>
      <c r="C15" s="8">
        <v>59852.25</v>
      </c>
      <c r="D15" s="8">
        <v>145814.05000000002</v>
      </c>
      <c r="E15" s="8">
        <v>149074.95000000001</v>
      </c>
      <c r="F15" s="8">
        <v>57486.9</v>
      </c>
      <c r="G15" s="8">
        <v>96760.1</v>
      </c>
      <c r="H15" s="8">
        <v>58749.23</v>
      </c>
      <c r="I15" s="8">
        <v>37324.39</v>
      </c>
      <c r="J15" s="8">
        <v>88453.790000000008</v>
      </c>
      <c r="K15" s="8">
        <v>237235.61000000002</v>
      </c>
      <c r="L15" s="8">
        <v>0</v>
      </c>
      <c r="M15" s="8">
        <v>101340.35</v>
      </c>
      <c r="N15" s="8">
        <v>101177.84</v>
      </c>
    </row>
    <row r="16" spans="1:14">
      <c r="A16" s="4" t="s">
        <v>12</v>
      </c>
      <c r="B16" s="5"/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</row>
    <row r="17" spans="1:14">
      <c r="A17" s="4" t="s">
        <v>1658</v>
      </c>
      <c r="B17" s="5"/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</row>
    <row r="18" spans="1:14">
      <c r="A18" s="4" t="s">
        <v>13</v>
      </c>
      <c r="B18" s="5"/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</row>
    <row r="19" spans="1:14" ht="13.5" thickBot="1">
      <c r="A19" s="13" t="s">
        <v>14</v>
      </c>
      <c r="B19" s="14"/>
      <c r="C19" s="90">
        <f t="shared" ref="C19:H19" si="2">SUM(C8:C18)</f>
        <v>147680561.35500059</v>
      </c>
      <c r="D19" s="90">
        <f t="shared" si="2"/>
        <v>146936720.25500092</v>
      </c>
      <c r="E19" s="90">
        <f t="shared" si="2"/>
        <v>146178977.49500039</v>
      </c>
      <c r="F19" s="90">
        <f t="shared" si="2"/>
        <v>145151899.05500087</v>
      </c>
      <c r="G19" s="90">
        <f t="shared" si="2"/>
        <v>144228333.26500049</v>
      </c>
      <c r="H19" s="90">
        <f t="shared" si="2"/>
        <v>143498102.17500076</v>
      </c>
      <c r="I19" s="90">
        <f t="shared" ref="I19:N19" si="3">SUM(I8:I18)</f>
        <v>142559756.76500067</v>
      </c>
      <c r="J19" s="90">
        <f t="shared" si="3"/>
        <v>141792095.4450005</v>
      </c>
      <c r="K19" s="90">
        <f t="shared" si="3"/>
        <v>140992451.72500041</v>
      </c>
      <c r="L19" s="90">
        <f t="shared" si="3"/>
        <v>139852075.20500034</v>
      </c>
      <c r="M19" s="90">
        <f t="shared" si="3"/>
        <v>138997093.05500081</v>
      </c>
      <c r="N19" s="90">
        <f t="shared" si="3"/>
        <v>138729137.76500046</v>
      </c>
    </row>
    <row r="20" spans="1:14" ht="13.5" thickTop="1">
      <c r="A20" s="4" t="s">
        <v>15</v>
      </c>
      <c r="B20" s="470">
        <v>7.4999999999999997E-2</v>
      </c>
      <c r="C20" s="6" t="s">
        <v>33</v>
      </c>
      <c r="D20" s="6" t="s">
        <v>33</v>
      </c>
      <c r="E20" s="6" t="s">
        <v>33</v>
      </c>
      <c r="F20" s="6" t="s">
        <v>33</v>
      </c>
      <c r="G20" s="6" t="s">
        <v>33</v>
      </c>
      <c r="H20" s="6" t="s">
        <v>33</v>
      </c>
      <c r="I20" s="6" t="s">
        <v>33</v>
      </c>
      <c r="J20" s="6" t="s">
        <v>33</v>
      </c>
      <c r="K20" s="6" t="s">
        <v>33</v>
      </c>
      <c r="L20" s="6" t="s">
        <v>33</v>
      </c>
      <c r="M20" s="6" t="s">
        <v>33</v>
      </c>
      <c r="N20" s="6" t="s">
        <v>33</v>
      </c>
    </row>
    <row r="21" spans="1:14">
      <c r="A21" s="4" t="s">
        <v>16</v>
      </c>
      <c r="B21" s="10"/>
      <c r="C21" s="262">
        <f t="shared" ref="C21:E21" si="4">$B$20/12</f>
        <v>6.2499999999999995E-3</v>
      </c>
      <c r="D21" s="262">
        <f t="shared" si="4"/>
        <v>6.2499999999999995E-3</v>
      </c>
      <c r="E21" s="262">
        <f t="shared" si="4"/>
        <v>6.2499999999999995E-3</v>
      </c>
      <c r="F21" s="262">
        <f t="shared" ref="F21:N21" si="5">$B$20/12</f>
        <v>6.2499999999999995E-3</v>
      </c>
      <c r="G21" s="262">
        <f t="shared" si="5"/>
        <v>6.2499999999999995E-3</v>
      </c>
      <c r="H21" s="262">
        <f t="shared" si="5"/>
        <v>6.2499999999999995E-3</v>
      </c>
      <c r="I21" s="262">
        <f t="shared" si="5"/>
        <v>6.2499999999999995E-3</v>
      </c>
      <c r="J21" s="262">
        <f t="shared" si="5"/>
        <v>6.2499999999999995E-3</v>
      </c>
      <c r="K21" s="262">
        <f t="shared" si="5"/>
        <v>6.2499999999999995E-3</v>
      </c>
      <c r="L21" s="262">
        <f t="shared" si="5"/>
        <v>6.2499999999999995E-3</v>
      </c>
      <c r="M21" s="262">
        <f t="shared" si="5"/>
        <v>6.2499999999999995E-3</v>
      </c>
      <c r="N21" s="262">
        <f t="shared" si="5"/>
        <v>6.2499999999999995E-3</v>
      </c>
    </row>
    <row r="22" spans="1:14">
      <c r="A22" s="4" t="s">
        <v>17</v>
      </c>
      <c r="B22" s="10"/>
      <c r="C22" s="95">
        <f t="shared" ref="C22:H22" si="6">C19*C21</f>
        <v>923003.50846875354</v>
      </c>
      <c r="D22" s="95">
        <f t="shared" si="6"/>
        <v>918354.50159375567</v>
      </c>
      <c r="E22" s="95">
        <f t="shared" si="6"/>
        <v>913618.60934375238</v>
      </c>
      <c r="F22" s="95">
        <f t="shared" si="6"/>
        <v>907199.36909375538</v>
      </c>
      <c r="G22" s="95">
        <f t="shared" si="6"/>
        <v>901427.08290625305</v>
      </c>
      <c r="H22" s="95">
        <f t="shared" si="6"/>
        <v>896863.13859375461</v>
      </c>
      <c r="I22" s="95">
        <f t="shared" ref="I22:N22" si="7">I19*I21</f>
        <v>890998.47978125408</v>
      </c>
      <c r="J22" s="95">
        <f t="shared" si="7"/>
        <v>886200.59653125308</v>
      </c>
      <c r="K22" s="95">
        <f t="shared" si="7"/>
        <v>881202.82328125252</v>
      </c>
      <c r="L22" s="95">
        <f t="shared" si="7"/>
        <v>874075.47003125201</v>
      </c>
      <c r="M22" s="95">
        <f t="shared" si="7"/>
        <v>868731.83159375505</v>
      </c>
      <c r="N22" s="95">
        <f t="shared" si="7"/>
        <v>867057.11103125277</v>
      </c>
    </row>
    <row r="23" spans="1:14">
      <c r="A23" s="4" t="s">
        <v>18</v>
      </c>
      <c r="B23" s="10"/>
      <c r="C23" s="176">
        <v>34240.57</v>
      </c>
      <c r="D23" s="176">
        <v>17296.990000000002</v>
      </c>
      <c r="E23" s="176">
        <v>-47145.55</v>
      </c>
      <c r="F23" s="176">
        <v>-18290.099999999999</v>
      </c>
      <c r="G23" s="176">
        <v>-55503.54</v>
      </c>
      <c r="H23" s="176">
        <v>-15785.800000000003</v>
      </c>
      <c r="I23" s="176">
        <v>10807.57</v>
      </c>
      <c r="J23" s="176">
        <v>38514.769999999997</v>
      </c>
      <c r="K23" s="176">
        <v>58952.6</v>
      </c>
      <c r="L23" s="176">
        <v>-20845.28</v>
      </c>
      <c r="M23" s="176">
        <v>-25980.52</v>
      </c>
      <c r="N23" s="176">
        <v>-57796.95</v>
      </c>
    </row>
    <row r="24" spans="1:14">
      <c r="A24" s="4" t="s">
        <v>19</v>
      </c>
      <c r="B24" s="10"/>
      <c r="C24" s="176">
        <v>0</v>
      </c>
      <c r="D24" s="176">
        <v>0</v>
      </c>
      <c r="E24" s="176">
        <v>0</v>
      </c>
      <c r="F24" s="176">
        <v>0</v>
      </c>
      <c r="G24" s="176">
        <v>0</v>
      </c>
      <c r="H24" s="176">
        <v>0</v>
      </c>
      <c r="I24" s="176">
        <v>0</v>
      </c>
      <c r="J24" s="176">
        <v>0</v>
      </c>
      <c r="K24" s="176">
        <v>0</v>
      </c>
      <c r="L24" s="176">
        <v>0</v>
      </c>
      <c r="M24" s="176">
        <v>0</v>
      </c>
      <c r="N24" s="176">
        <v>0</v>
      </c>
    </row>
    <row r="25" spans="1:14">
      <c r="A25" s="4" t="s">
        <v>20</v>
      </c>
      <c r="B25" s="10"/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</row>
    <row r="26" spans="1:14">
      <c r="A26" s="4" t="s">
        <v>21</v>
      </c>
      <c r="B26" s="10"/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</row>
    <row r="27" spans="1:14">
      <c r="A27" s="4" t="s">
        <v>22</v>
      </c>
      <c r="B27" s="10"/>
      <c r="C27" s="176">
        <v>207748.17</v>
      </c>
      <c r="D27" s="176">
        <v>182597.16</v>
      </c>
      <c r="E27" s="176">
        <v>222549.85</v>
      </c>
      <c r="F27" s="176">
        <v>291891.42</v>
      </c>
      <c r="G27" s="176">
        <v>223259.34</v>
      </c>
      <c r="H27" s="176">
        <v>125878.18000000001</v>
      </c>
      <c r="I27" s="176">
        <v>11469.26</v>
      </c>
      <c r="J27" s="176">
        <v>589.75</v>
      </c>
      <c r="K27" s="176">
        <v>248980.9</v>
      </c>
      <c r="L27" s="176">
        <v>22636.77</v>
      </c>
      <c r="M27" s="176">
        <v>202562.72</v>
      </c>
      <c r="N27" s="176">
        <v>229153.21</v>
      </c>
    </row>
    <row r="28" spans="1:14">
      <c r="A28" s="4" t="s">
        <v>23</v>
      </c>
      <c r="B28" s="10"/>
      <c r="C28" s="11">
        <v>0</v>
      </c>
      <c r="D28" s="11">
        <v>37390.629999999997</v>
      </c>
      <c r="E28" s="11">
        <v>0</v>
      </c>
      <c r="F28" s="11">
        <v>50343.3</v>
      </c>
      <c r="G28" s="11">
        <v>0</v>
      </c>
      <c r="H28" s="11">
        <v>-22127.08</v>
      </c>
      <c r="I28" s="11">
        <v>-1845.92</v>
      </c>
      <c r="J28" s="11">
        <v>0</v>
      </c>
      <c r="K28" s="11">
        <v>0</v>
      </c>
      <c r="L28" s="11">
        <v>0</v>
      </c>
      <c r="M28" s="11">
        <v>78564.759999999995</v>
      </c>
      <c r="N28" s="11">
        <v>0</v>
      </c>
    </row>
    <row r="29" spans="1:14">
      <c r="A29" s="4" t="s">
        <v>24</v>
      </c>
      <c r="B29" s="10"/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</row>
    <row r="30" spans="1:14">
      <c r="A30" s="4" t="s">
        <v>25</v>
      </c>
      <c r="B30" s="10"/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</row>
    <row r="31" spans="1:14">
      <c r="A31" s="4" t="s">
        <v>26</v>
      </c>
      <c r="B31" s="10"/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</row>
    <row r="32" spans="1:14">
      <c r="A32" s="4" t="s">
        <v>27</v>
      </c>
      <c r="B32" s="10"/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</row>
    <row r="33" spans="1:14">
      <c r="A33" s="4" t="s">
        <v>28</v>
      </c>
      <c r="B33" s="5"/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</row>
    <row r="34" spans="1:14">
      <c r="A34" s="4" t="s">
        <v>29</v>
      </c>
      <c r="B34" s="5"/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</row>
    <row r="35" spans="1:14" ht="13.5" thickBot="1">
      <c r="A35" s="13" t="s">
        <v>30</v>
      </c>
      <c r="B35" s="14"/>
      <c r="C35" s="90">
        <f t="shared" ref="C35:H35" si="8">SUM(C22:C34)</f>
        <v>1164992.2484687534</v>
      </c>
      <c r="D35" s="90">
        <f t="shared" si="8"/>
        <v>1155639.2815937556</v>
      </c>
      <c r="E35" s="90">
        <f t="shared" si="8"/>
        <v>1089022.9093437523</v>
      </c>
      <c r="F35" s="90">
        <f t="shared" si="8"/>
        <v>1231143.9890937554</v>
      </c>
      <c r="G35" s="90">
        <f t="shared" si="8"/>
        <v>1069182.882906253</v>
      </c>
      <c r="H35" s="90">
        <f t="shared" si="8"/>
        <v>984828.43859375466</v>
      </c>
      <c r="I35" s="90">
        <f t="shared" ref="I35:N35" si="9">SUM(I22:I34)</f>
        <v>911429.38978125399</v>
      </c>
      <c r="J35" s="90">
        <f t="shared" si="9"/>
        <v>925305.11653125309</v>
      </c>
      <c r="K35" s="90">
        <f t="shared" si="9"/>
        <v>1189136.3232812525</v>
      </c>
      <c r="L35" s="90">
        <f t="shared" si="9"/>
        <v>875866.96003125201</v>
      </c>
      <c r="M35" s="90">
        <f t="shared" si="9"/>
        <v>1123878.7915937549</v>
      </c>
      <c r="N35" s="90">
        <f t="shared" si="9"/>
        <v>1038413.3710312528</v>
      </c>
    </row>
    <row r="36" spans="1:14" ht="13.5" thickTop="1">
      <c r="A36" s="4" t="s">
        <v>31</v>
      </c>
      <c r="B36" s="5"/>
      <c r="C36" s="18">
        <v>84477.31</v>
      </c>
      <c r="D36" s="18">
        <v>109615.4</v>
      </c>
      <c r="E36" s="18">
        <v>67440.759999999995</v>
      </c>
      <c r="F36" s="18">
        <v>56999.66</v>
      </c>
      <c r="G36" s="18">
        <v>70953.5</v>
      </c>
      <c r="H36" s="18">
        <v>77193.569999999978</v>
      </c>
      <c r="I36" s="18">
        <v>106938.1</v>
      </c>
      <c r="J36" s="18">
        <v>150955.9</v>
      </c>
      <c r="K36" s="18">
        <v>253865.73</v>
      </c>
      <c r="L36" s="18">
        <v>77694.67</v>
      </c>
      <c r="M36" s="18">
        <v>35428.75</v>
      </c>
      <c r="N36" s="18">
        <v>81292.259999999995</v>
      </c>
    </row>
    <row r="37" spans="1:14">
      <c r="A37" s="4" t="s">
        <v>32</v>
      </c>
      <c r="B37" s="5" t="s">
        <v>33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</row>
    <row r="38" spans="1:14" ht="13.5" thickBot="1">
      <c r="A38" s="13" t="s">
        <v>34</v>
      </c>
      <c r="B38" s="14"/>
      <c r="C38" s="90">
        <f t="shared" ref="C38:H38" si="10">SUM(C36:C37)</f>
        <v>84477.31</v>
      </c>
      <c r="D38" s="90">
        <f t="shared" si="10"/>
        <v>109615.4</v>
      </c>
      <c r="E38" s="90">
        <f t="shared" si="10"/>
        <v>67440.759999999995</v>
      </c>
      <c r="F38" s="90">
        <f t="shared" si="10"/>
        <v>56999.66</v>
      </c>
      <c r="G38" s="90">
        <f t="shared" si="10"/>
        <v>70953.5</v>
      </c>
      <c r="H38" s="90">
        <f t="shared" si="10"/>
        <v>77193.569999999978</v>
      </c>
      <c r="I38" s="90">
        <f t="shared" ref="I38:N38" si="11">SUM(I36:I37)</f>
        <v>106938.1</v>
      </c>
      <c r="J38" s="90">
        <f t="shared" si="11"/>
        <v>150955.9</v>
      </c>
      <c r="K38" s="90">
        <f t="shared" si="11"/>
        <v>253865.73</v>
      </c>
      <c r="L38" s="90">
        <f t="shared" si="11"/>
        <v>77694.67</v>
      </c>
      <c r="M38" s="90">
        <f t="shared" si="11"/>
        <v>35428.75</v>
      </c>
      <c r="N38" s="90">
        <f t="shared" si="11"/>
        <v>81292.259999999995</v>
      </c>
    </row>
    <row r="39" spans="1:14" ht="13.5" thickTop="1">
      <c r="A39" s="4" t="s">
        <v>35</v>
      </c>
      <c r="B39" s="5"/>
      <c r="C39" s="95">
        <f t="shared" ref="C39:H39" si="12">C5*0.0296/12</f>
        <v>813239.36407633498</v>
      </c>
      <c r="D39" s="95">
        <f t="shared" si="12"/>
        <v>813272.89303233474</v>
      </c>
      <c r="E39" s="95">
        <f t="shared" si="12"/>
        <v>813263.91071500152</v>
      </c>
      <c r="F39" s="95">
        <f t="shared" si="12"/>
        <v>813264.55754900153</v>
      </c>
      <c r="G39" s="95">
        <f t="shared" si="12"/>
        <v>813326.92558766808</v>
      </c>
      <c r="H39" s="95">
        <f t="shared" si="12"/>
        <v>813326.92558766808</v>
      </c>
      <c r="I39" s="95">
        <f t="shared" ref="I39:N39" si="13">I5*0.0296/12</f>
        <v>813326.92558766808</v>
      </c>
      <c r="J39" s="95">
        <f t="shared" si="13"/>
        <v>813326.92558766808</v>
      </c>
      <c r="K39" s="95">
        <f t="shared" si="13"/>
        <v>813394.81151033472</v>
      </c>
      <c r="L39" s="95">
        <f t="shared" si="13"/>
        <v>813212.95885366807</v>
      </c>
      <c r="M39" s="95">
        <f t="shared" si="13"/>
        <v>813275.71455366816</v>
      </c>
      <c r="N39" s="95">
        <f t="shared" si="13"/>
        <v>813337.76491033472</v>
      </c>
    </row>
    <row r="40" spans="1:14">
      <c r="A40" s="4" t="s">
        <v>36</v>
      </c>
      <c r="B40" s="5"/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</row>
    <row r="41" spans="1:14">
      <c r="A41" s="4" t="s">
        <v>37</v>
      </c>
      <c r="B41" s="5"/>
      <c r="C41" s="95">
        <f>C5*'Property Tax'!$C$3*'Property Tax'!$C$5*'Property Tax'!$C$7/12</f>
        <v>16474.690955227481</v>
      </c>
      <c r="D41" s="95">
        <f>D5*'Property Tax'!$C$3*'Property Tax'!$C$5*'Property Tax'!$C$7/12</f>
        <v>16475.370188442877</v>
      </c>
      <c r="E41" s="95">
        <f>E5*'Property Tax'!$C$3*'Property Tax'!$C$5*'Property Tax'!$C$7/12</f>
        <v>16475.188223687281</v>
      </c>
      <c r="F41" s="95">
        <f>F5*'Property Tax'!$B$3*'Property Tax'!$B$5*'Property Tax'!$B$7/12</f>
        <v>16752.150879350578</v>
      </c>
      <c r="G41" s="95">
        <f>G5*'Property Tax'!$B$3*'Property Tax'!$B$5*'Property Tax'!$B$7/12</f>
        <v>16753.435576665976</v>
      </c>
      <c r="H41" s="95">
        <f>H5*'Property Tax'!$B$3*'Property Tax'!$B$5*'Property Tax'!$B$7/12</f>
        <v>16753.435576665976</v>
      </c>
      <c r="I41" s="95">
        <f>I5*'Property Tax'!$B$3*'Property Tax'!$B$5*'Property Tax'!$B$7/12</f>
        <v>16753.435576665976</v>
      </c>
      <c r="J41" s="95">
        <f>J5*'Property Tax'!$B$3*'Property Tax'!$B$5*'Property Tax'!$B$7/12</f>
        <v>16753.435576665976</v>
      </c>
      <c r="K41" s="95">
        <f>K5*'Property Tax'!$B$3*'Property Tax'!$B$5*'Property Tax'!$B$7/12</f>
        <v>16754.833934935177</v>
      </c>
      <c r="L41" s="95">
        <f>L5*'Property Tax'!$B$3*'Property Tax'!$B$5*'Property Tax'!$B$7/12</f>
        <v>16751.088015954676</v>
      </c>
      <c r="M41" s="95">
        <f>M5*'Property Tax'!$B$3*'Property Tax'!$B$5*'Property Tax'!$B$7/12</f>
        <v>16752.380698569679</v>
      </c>
      <c r="N41" s="95">
        <f>N5*'Property Tax'!$B$3*'Property Tax'!$B$5*'Property Tax'!$B$7/12</f>
        <v>16753.658852065175</v>
      </c>
    </row>
    <row r="42" spans="1:14" ht="13.5" thickBot="1">
      <c r="A42" s="13" t="s">
        <v>38</v>
      </c>
      <c r="B42" s="14"/>
      <c r="C42" s="90">
        <f t="shared" ref="C42:H42" si="14">SUM(C39:C41)</f>
        <v>829714.05503156246</v>
      </c>
      <c r="D42" s="90">
        <f t="shared" si="14"/>
        <v>829748.26322077762</v>
      </c>
      <c r="E42" s="90">
        <f t="shared" si="14"/>
        <v>829739.09893868875</v>
      </c>
      <c r="F42" s="90">
        <f t="shared" si="14"/>
        <v>830016.70842835214</v>
      </c>
      <c r="G42" s="90">
        <f t="shared" si="14"/>
        <v>830080.36116433411</v>
      </c>
      <c r="H42" s="90">
        <f t="shared" si="14"/>
        <v>830080.36116433411</v>
      </c>
      <c r="I42" s="90">
        <f t="shared" ref="I42:N42" si="15">SUM(I39:I41)</f>
        <v>830080.36116433411</v>
      </c>
      <c r="J42" s="90">
        <f t="shared" si="15"/>
        <v>830080.36116433411</v>
      </c>
      <c r="K42" s="90">
        <f t="shared" si="15"/>
        <v>830149.64544526988</v>
      </c>
      <c r="L42" s="90">
        <f t="shared" si="15"/>
        <v>829964.04686962278</v>
      </c>
      <c r="M42" s="90">
        <f t="shared" si="15"/>
        <v>830028.09525223786</v>
      </c>
      <c r="N42" s="90">
        <f t="shared" si="15"/>
        <v>830091.42376239994</v>
      </c>
    </row>
    <row r="43" spans="1:14" ht="13.5" thickTop="1">
      <c r="A43" s="13" t="s">
        <v>39</v>
      </c>
      <c r="B43" s="96"/>
      <c r="C43" s="91">
        <f t="shared" ref="C43:H43" si="16">SUM(C23:C34)+C38+C42</f>
        <v>1156180.1050315625</v>
      </c>
      <c r="D43" s="91">
        <f t="shared" si="16"/>
        <v>1176648.4432207777</v>
      </c>
      <c r="E43" s="91">
        <f t="shared" si="16"/>
        <v>1072584.1589386887</v>
      </c>
      <c r="F43" s="91">
        <f t="shared" si="16"/>
        <v>1210960.9884283522</v>
      </c>
      <c r="G43" s="91">
        <f t="shared" si="16"/>
        <v>1068789.661164334</v>
      </c>
      <c r="H43" s="91">
        <f t="shared" si="16"/>
        <v>995239.23116433411</v>
      </c>
      <c r="I43" s="91">
        <f t="shared" ref="I43:N43" si="17">SUM(I23:I34)+I38+I42</f>
        <v>957449.37116433412</v>
      </c>
      <c r="J43" s="91">
        <f t="shared" si="17"/>
        <v>1020140.7811643342</v>
      </c>
      <c r="K43" s="91">
        <f t="shared" si="17"/>
        <v>1391948.87544527</v>
      </c>
      <c r="L43" s="91">
        <f t="shared" si="17"/>
        <v>909450.20686962281</v>
      </c>
      <c r="M43" s="91">
        <f t="shared" si="17"/>
        <v>1120603.8052522379</v>
      </c>
      <c r="N43" s="91">
        <f t="shared" si="17"/>
        <v>1082739.9437624</v>
      </c>
    </row>
    <row r="44" spans="1:14">
      <c r="A44" s="13" t="s">
        <v>40</v>
      </c>
      <c r="B44" s="14"/>
      <c r="C44" s="19">
        <v>1165968.8400000001</v>
      </c>
      <c r="D44" s="19">
        <v>1165968.8400000001</v>
      </c>
      <c r="E44" s="19">
        <v>1165968.8400000001</v>
      </c>
      <c r="F44" s="19">
        <v>1165968.8400000001</v>
      </c>
      <c r="G44" s="19">
        <v>1165968.8400000001</v>
      </c>
      <c r="H44" s="19">
        <v>1165968.8400000001</v>
      </c>
      <c r="I44" s="19">
        <v>1165968.8400000001</v>
      </c>
      <c r="J44" s="19">
        <v>1165968.8400000001</v>
      </c>
      <c r="K44" s="19">
        <v>1165968.8400000001</v>
      </c>
      <c r="L44" s="19">
        <v>1165968.8400000001</v>
      </c>
      <c r="M44" s="19">
        <v>1165968.8400000001</v>
      </c>
      <c r="N44" s="19">
        <v>1165968.8400000001</v>
      </c>
    </row>
    <row r="45" spans="1:14">
      <c r="A45" s="13" t="s">
        <v>41</v>
      </c>
      <c r="B45" s="96"/>
      <c r="C45" s="92">
        <f t="shared" ref="C45:H45" si="18">C43-C44</f>
        <v>-9788.7349684375804</v>
      </c>
      <c r="D45" s="92">
        <f t="shared" si="18"/>
        <v>10679.603220777586</v>
      </c>
      <c r="E45" s="92">
        <f t="shared" si="18"/>
        <v>-93384.681061311392</v>
      </c>
      <c r="F45" s="92">
        <f t="shared" si="18"/>
        <v>44992.148428352084</v>
      </c>
      <c r="G45" s="92">
        <f t="shared" si="18"/>
        <v>-97179.17883566604</v>
      </c>
      <c r="H45" s="92">
        <f t="shared" si="18"/>
        <v>-170729.60883566597</v>
      </c>
      <c r="I45" s="92">
        <f t="shared" ref="I45:N45" si="19">I43-I44</f>
        <v>-208519.46883566596</v>
      </c>
      <c r="J45" s="92">
        <f t="shared" si="19"/>
        <v>-145828.05883566593</v>
      </c>
      <c r="K45" s="92">
        <f t="shared" si="19"/>
        <v>225980.0354452699</v>
      </c>
      <c r="L45" s="92">
        <f t="shared" si="19"/>
        <v>-256518.63313037727</v>
      </c>
      <c r="M45" s="92">
        <f t="shared" si="19"/>
        <v>-45365.03474776214</v>
      </c>
      <c r="N45" s="92">
        <f t="shared" si="19"/>
        <v>-83228.896237600129</v>
      </c>
    </row>
    <row r="46" spans="1:14" ht="13.5" thickBot="1">
      <c r="A46" s="29" t="s">
        <v>1655</v>
      </c>
      <c r="B46" s="265">
        <f>'3.20'!O42-1</f>
        <v>5.5229999999999446E-3</v>
      </c>
      <c r="C46" s="266">
        <f t="shared" ref="C46:H46" si="20">C45*$B$46</f>
        <v>-54.063183230680217</v>
      </c>
      <c r="D46" s="266">
        <f t="shared" si="20"/>
        <v>58.983448588354015</v>
      </c>
      <c r="E46" s="266">
        <f t="shared" si="20"/>
        <v>-515.76359350161761</v>
      </c>
      <c r="F46" s="266">
        <f t="shared" si="20"/>
        <v>248.49163576978606</v>
      </c>
      <c r="G46" s="266">
        <f t="shared" si="20"/>
        <v>-536.72060470937811</v>
      </c>
      <c r="H46" s="266">
        <f t="shared" si="20"/>
        <v>-942.93962959937369</v>
      </c>
      <c r="I46" s="266">
        <f t="shared" ref="I46:N46" si="21">I45*$B$46</f>
        <v>-1151.6530263793716</v>
      </c>
      <c r="J46" s="266">
        <f t="shared" si="21"/>
        <v>-805.40836894937479</v>
      </c>
      <c r="K46" s="266">
        <f t="shared" si="21"/>
        <v>1248.0877357642132</v>
      </c>
      <c r="L46" s="266">
        <f t="shared" si="21"/>
        <v>-1416.7524107790596</v>
      </c>
      <c r="M46" s="266">
        <f t="shared" si="21"/>
        <v>-250.55108691188778</v>
      </c>
      <c r="N46" s="266">
        <f t="shared" si="21"/>
        <v>-459.67319392026093</v>
      </c>
    </row>
    <row r="47" spans="1:14" ht="14.25" thickTop="1" thickBot="1">
      <c r="A47" s="20" t="s">
        <v>1653</v>
      </c>
      <c r="B47" s="21"/>
      <c r="C47" s="93">
        <f t="shared" ref="C47:H47" si="22">C46+C42+C38+C35</f>
        <v>2079129.5503170851</v>
      </c>
      <c r="D47" s="93">
        <f t="shared" si="22"/>
        <v>2095061.9282631218</v>
      </c>
      <c r="E47" s="93">
        <f t="shared" si="22"/>
        <v>1985687.0046889395</v>
      </c>
      <c r="F47" s="93">
        <f t="shared" si="22"/>
        <v>2118408.8491578773</v>
      </c>
      <c r="G47" s="93">
        <f t="shared" si="22"/>
        <v>1969680.0234658779</v>
      </c>
      <c r="H47" s="93">
        <f t="shared" si="22"/>
        <v>1891159.4301284894</v>
      </c>
      <c r="I47" s="93">
        <f t="shared" ref="I47:N47" si="23">I46+I42+I38+I35</f>
        <v>1847296.1979192086</v>
      </c>
      <c r="J47" s="93">
        <f t="shared" si="23"/>
        <v>1905535.9693266377</v>
      </c>
      <c r="K47" s="93">
        <f t="shared" si="23"/>
        <v>2274399.7864622865</v>
      </c>
      <c r="L47" s="93">
        <f t="shared" si="23"/>
        <v>1782108.9244900958</v>
      </c>
      <c r="M47" s="93">
        <f t="shared" si="23"/>
        <v>1989085.0857590809</v>
      </c>
      <c r="N47" s="93">
        <f t="shared" si="23"/>
        <v>1949337.3815997324</v>
      </c>
    </row>
    <row r="48" spans="1:14" s="289" customFormat="1"/>
  </sheetData>
  <mergeCells count="1">
    <mergeCell ref="H2:M2"/>
  </mergeCells>
  <pageMargins left="0.7" right="0.7" top="0.75" bottom="0.75" header="0.3" footer="0.3"/>
  <pageSetup orientation="portrait" r:id="rId1"/>
  <ignoredErrors>
    <ignoredError sqref="H35 H4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6"/>
  <sheetViews>
    <sheetView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K36" sqref="K36"/>
    </sheetView>
  </sheetViews>
  <sheetFormatPr defaultRowHeight="12.75"/>
  <cols>
    <col min="1" max="1" width="53.5703125" style="1" customWidth="1"/>
    <col min="2" max="2" width="9.42578125" style="1" bestFit="1" customWidth="1"/>
    <col min="3" max="8" width="13.5703125" style="1" bestFit="1" customWidth="1"/>
    <col min="9" max="11" width="13.140625" style="1" bestFit="1" customWidth="1"/>
    <col min="12" max="14" width="13.85546875" style="1" bestFit="1" customWidth="1"/>
    <col min="15" max="16384" width="9.140625" style="1"/>
  </cols>
  <sheetData>
    <row r="1" spans="1:14">
      <c r="B1" s="94" t="s">
        <v>103</v>
      </c>
      <c r="C1" s="290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</row>
    <row r="2" spans="1:14" ht="13.5" thickBot="1">
      <c r="A2" s="38"/>
      <c r="C2" s="291"/>
      <c r="D2" s="291"/>
      <c r="E2" s="291"/>
      <c r="F2" s="291"/>
      <c r="G2" s="291"/>
      <c r="H2" s="480"/>
      <c r="I2" s="480"/>
      <c r="J2" s="480"/>
      <c r="K2" s="480"/>
      <c r="L2" s="480"/>
      <c r="M2" s="480"/>
      <c r="N2" s="294"/>
    </row>
    <row r="3" spans="1:14" ht="15" customHeight="1">
      <c r="A3" s="2" t="s">
        <v>0</v>
      </c>
      <c r="B3" s="22"/>
      <c r="C3" s="423">
        <v>44652</v>
      </c>
      <c r="D3" s="423">
        <v>44682</v>
      </c>
      <c r="E3" s="423">
        <v>44713</v>
      </c>
      <c r="F3" s="423">
        <v>44743</v>
      </c>
      <c r="G3" s="423">
        <v>44774</v>
      </c>
      <c r="H3" s="423">
        <v>44805</v>
      </c>
      <c r="I3" s="423">
        <v>44835</v>
      </c>
      <c r="J3" s="423">
        <v>44866</v>
      </c>
      <c r="K3" s="423">
        <v>44896</v>
      </c>
      <c r="L3" s="423">
        <v>44927</v>
      </c>
      <c r="M3" s="423">
        <v>44958</v>
      </c>
      <c r="N3" s="423">
        <v>44986</v>
      </c>
    </row>
    <row r="4" spans="1:14">
      <c r="A4" s="9"/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>
      <c r="A5" s="9" t="s">
        <v>44</v>
      </c>
      <c r="B5" s="23"/>
      <c r="C5" s="25">
        <v>510409779.49000001</v>
      </c>
      <c r="D5" s="25">
        <v>510484415.67000002</v>
      </c>
      <c r="E5" s="25">
        <v>510719094.56</v>
      </c>
      <c r="F5" s="25">
        <v>510532734.23999995</v>
      </c>
      <c r="G5" s="25">
        <v>510554963.81999999</v>
      </c>
      <c r="H5" s="25">
        <v>510558630.11999995</v>
      </c>
      <c r="I5" s="25">
        <v>510560173.39999998</v>
      </c>
      <c r="J5" s="25">
        <v>510631270.10000002</v>
      </c>
      <c r="K5" s="25">
        <v>510639687.88999999</v>
      </c>
      <c r="L5" s="25"/>
      <c r="M5" s="25"/>
      <c r="N5" s="25"/>
    </row>
    <row r="6" spans="1:14">
      <c r="A6" s="9" t="s">
        <v>45</v>
      </c>
      <c r="B6" s="23"/>
      <c r="C6" s="25">
        <v>371884556.60999995</v>
      </c>
      <c r="D6" s="25">
        <v>371926460.64999992</v>
      </c>
      <c r="E6" s="25">
        <v>372174837.73999995</v>
      </c>
      <c r="F6" s="25">
        <v>371984140.27999997</v>
      </c>
      <c r="G6" s="25">
        <v>372006467.72999996</v>
      </c>
      <c r="H6" s="25">
        <v>372014313.34999996</v>
      </c>
      <c r="I6" s="25">
        <v>372015850.89000005</v>
      </c>
      <c r="J6" s="25">
        <v>372054227.89999992</v>
      </c>
      <c r="K6" s="25">
        <v>372073368.20999998</v>
      </c>
      <c r="L6" s="25"/>
      <c r="M6" s="25"/>
      <c r="N6" s="25"/>
    </row>
    <row r="7" spans="1:14">
      <c r="A7" s="9" t="s">
        <v>2</v>
      </c>
      <c r="B7" s="23"/>
      <c r="C7" s="26">
        <v>469109496.25</v>
      </c>
      <c r="D7" s="26">
        <v>482003641.34999996</v>
      </c>
      <c r="E7" s="26">
        <v>494858010.65999997</v>
      </c>
      <c r="F7" s="26">
        <v>507803404.94999999</v>
      </c>
      <c r="G7" s="26">
        <v>520003171.41000003</v>
      </c>
      <c r="H7" s="26">
        <v>532898954.26999998</v>
      </c>
      <c r="I7" s="26">
        <v>546068885.95000005</v>
      </c>
      <c r="J7" s="26">
        <v>557912784.5</v>
      </c>
      <c r="K7" s="26">
        <v>569896939.97000003</v>
      </c>
      <c r="L7" s="26"/>
      <c r="M7" s="26"/>
      <c r="N7" s="26"/>
    </row>
    <row r="8" spans="1:14">
      <c r="A8" s="9" t="s">
        <v>3</v>
      </c>
      <c r="B8" s="23"/>
      <c r="C8" s="26">
        <v>13860093</v>
      </c>
      <c r="D8" s="26">
        <v>11516513</v>
      </c>
      <c r="E8" s="26">
        <v>9198207</v>
      </c>
      <c r="F8" s="26">
        <v>6829194</v>
      </c>
      <c r="G8" s="26">
        <v>4653468</v>
      </c>
      <c r="H8" s="26">
        <v>2307735</v>
      </c>
      <c r="I8" s="26">
        <v>-109384</v>
      </c>
      <c r="J8" s="26">
        <v>-2109851</v>
      </c>
      <c r="K8" s="26">
        <v>-4208017</v>
      </c>
      <c r="L8" s="26"/>
      <c r="M8" s="26"/>
      <c r="N8" s="26"/>
    </row>
    <row r="9" spans="1:14" ht="13.5" thickBot="1">
      <c r="A9" s="9" t="s">
        <v>4</v>
      </c>
      <c r="B9" s="23"/>
      <c r="C9" s="90">
        <f t="shared" ref="C9:G9" si="0">C5+C6-C7-C8</f>
        <v>399324746.8499999</v>
      </c>
      <c r="D9" s="90">
        <f t="shared" si="0"/>
        <v>388890721.96999997</v>
      </c>
      <c r="E9" s="90">
        <f t="shared" si="0"/>
        <v>378837714.63999999</v>
      </c>
      <c r="F9" s="90">
        <f t="shared" si="0"/>
        <v>367884275.56999999</v>
      </c>
      <c r="G9" s="90">
        <f t="shared" si="0"/>
        <v>357904792.13999993</v>
      </c>
      <c r="H9" s="90">
        <f>H5+H6-H7-H8</f>
        <v>347366254.19999993</v>
      </c>
      <c r="I9" s="90">
        <f t="shared" ref="I9:N9" si="1">I5+I6-I7-I8</f>
        <v>336616522.33999991</v>
      </c>
      <c r="J9" s="90">
        <f t="shared" si="1"/>
        <v>326882564.5</v>
      </c>
      <c r="K9" s="90">
        <f t="shared" ref="K9" si="2">K5+K6-K7-K8</f>
        <v>317024133.12999988</v>
      </c>
      <c r="L9" s="90">
        <f t="shared" si="1"/>
        <v>0</v>
      </c>
      <c r="M9" s="90">
        <f t="shared" si="1"/>
        <v>0</v>
      </c>
      <c r="N9" s="90">
        <f t="shared" si="1"/>
        <v>0</v>
      </c>
    </row>
    <row r="10" spans="1:14" ht="13.5" thickTop="1">
      <c r="A10" s="9" t="s">
        <v>46</v>
      </c>
      <c r="B10" s="23"/>
      <c r="C10" s="27">
        <v>422242.68</v>
      </c>
      <c r="D10" s="27">
        <v>153583.70000000001</v>
      </c>
      <c r="E10" s="27">
        <v>518985.2</v>
      </c>
      <c r="F10" s="27">
        <v>488479.91</v>
      </c>
      <c r="G10" s="27">
        <v>496399.93</v>
      </c>
      <c r="H10" s="27">
        <v>466452.95</v>
      </c>
      <c r="I10" s="27">
        <v>466452.95</v>
      </c>
      <c r="J10" s="27">
        <v>498551.29</v>
      </c>
      <c r="K10" s="27">
        <v>437366.52</v>
      </c>
      <c r="L10" s="27"/>
      <c r="M10" s="27"/>
      <c r="N10" s="27"/>
    </row>
    <row r="11" spans="1:14">
      <c r="A11" s="9" t="s">
        <v>47</v>
      </c>
      <c r="B11" s="23"/>
      <c r="C11" s="27">
        <v>213445.99</v>
      </c>
      <c r="D11" s="27">
        <v>289464.72000000003</v>
      </c>
      <c r="E11" s="27">
        <v>302041.89</v>
      </c>
      <c r="F11" s="27">
        <v>159657.89000000001</v>
      </c>
      <c r="G11" s="27">
        <v>243956.96</v>
      </c>
      <c r="H11" s="27">
        <v>226389.11</v>
      </c>
      <c r="I11" s="27">
        <v>286764.40999999997</v>
      </c>
      <c r="J11" s="27">
        <v>251726.45</v>
      </c>
      <c r="K11" s="27">
        <v>228526.06</v>
      </c>
      <c r="L11" s="27"/>
      <c r="M11" s="27"/>
      <c r="N11" s="27"/>
    </row>
    <row r="12" spans="1:14">
      <c r="A12" s="9" t="s">
        <v>48</v>
      </c>
      <c r="B12" s="23"/>
      <c r="C12" s="27">
        <v>341981.14</v>
      </c>
      <c r="D12" s="27">
        <v>374028.79</v>
      </c>
      <c r="E12" s="27">
        <v>627142.98</v>
      </c>
      <c r="F12" s="27">
        <v>287731.78000000003</v>
      </c>
      <c r="G12" s="27">
        <v>656097.41</v>
      </c>
      <c r="H12" s="27">
        <v>539213.4</v>
      </c>
      <c r="I12" s="27">
        <v>539213.4</v>
      </c>
      <c r="J12" s="27">
        <v>529902.44000000006</v>
      </c>
      <c r="K12" s="27">
        <v>486363.66000000003</v>
      </c>
      <c r="L12" s="27"/>
      <c r="M12" s="27"/>
      <c r="N12" s="27"/>
    </row>
    <row r="13" spans="1:14">
      <c r="A13" s="9" t="s">
        <v>13</v>
      </c>
      <c r="B13" s="23"/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/>
      <c r="M13" s="28"/>
      <c r="N13" s="28"/>
    </row>
    <row r="14" spans="1:14" ht="13.5" thickBot="1">
      <c r="A14" s="29" t="s">
        <v>14</v>
      </c>
      <c r="B14" s="30"/>
      <c r="C14" s="98">
        <f t="shared" ref="C14:G14" si="3">SUM(C9:C13)</f>
        <v>400302416.65999991</v>
      </c>
      <c r="D14" s="98">
        <f t="shared" si="3"/>
        <v>389707799.18000001</v>
      </c>
      <c r="E14" s="98">
        <f t="shared" si="3"/>
        <v>380285884.70999998</v>
      </c>
      <c r="F14" s="98">
        <f t="shared" si="3"/>
        <v>368820145.14999998</v>
      </c>
      <c r="G14" s="98">
        <f t="shared" si="3"/>
        <v>359301246.43999994</v>
      </c>
      <c r="H14" s="98">
        <f>SUM(H9:H13)</f>
        <v>348598309.65999991</v>
      </c>
      <c r="I14" s="98">
        <f t="shared" ref="I14:N14" si="4">SUM(I9:I13)</f>
        <v>337908953.0999999</v>
      </c>
      <c r="J14" s="98">
        <f t="shared" si="4"/>
        <v>328162744.68000001</v>
      </c>
      <c r="K14" s="98">
        <f t="shared" ref="K14" si="5">SUM(K9:K13)</f>
        <v>318176389.36999989</v>
      </c>
      <c r="L14" s="98">
        <f t="shared" si="4"/>
        <v>0</v>
      </c>
      <c r="M14" s="98">
        <f t="shared" si="4"/>
        <v>0</v>
      </c>
      <c r="N14" s="98">
        <f t="shared" si="4"/>
        <v>0</v>
      </c>
    </row>
    <row r="15" spans="1:14" ht="13.5" thickTop="1">
      <c r="A15" s="9" t="s">
        <v>15</v>
      </c>
      <c r="B15" s="8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4">
      <c r="A16" s="9" t="s">
        <v>16</v>
      </c>
      <c r="B16" s="23"/>
      <c r="C16" s="85">
        <v>7.4964166666666677E-3</v>
      </c>
      <c r="D16" s="85">
        <v>7.9219166666666656E-3</v>
      </c>
      <c r="E16" s="85">
        <v>8.4256666666666664E-3</v>
      </c>
      <c r="F16" s="85">
        <v>7.9725000000000004E-3</v>
      </c>
      <c r="G16" s="85">
        <v>8.5034166666666661E-3</v>
      </c>
      <c r="H16" s="85">
        <v>9.0692499999999992E-3</v>
      </c>
      <c r="I16" s="85">
        <v>1.0149083333333333E-2</v>
      </c>
      <c r="J16" s="85">
        <v>9.2303333333333334E-3</v>
      </c>
      <c r="K16" s="85">
        <v>9.839666666666665E-3</v>
      </c>
      <c r="L16" s="85"/>
      <c r="M16" s="85"/>
      <c r="N16" s="85"/>
    </row>
    <row r="17" spans="1:14">
      <c r="A17" s="9" t="s">
        <v>17</v>
      </c>
      <c r="B17" s="23"/>
      <c r="C17" s="99">
        <f t="shared" ref="C17:G17" si="6">C14*C16</f>
        <v>3000833.7079569679</v>
      </c>
      <c r="D17" s="99">
        <f t="shared" si="6"/>
        <v>3087232.7094540279</v>
      </c>
      <c r="E17" s="99">
        <f t="shared" si="6"/>
        <v>3204162.1026048898</v>
      </c>
      <c r="F17" s="99">
        <f t="shared" si="6"/>
        <v>2940418.6072083749</v>
      </c>
      <c r="G17" s="99">
        <f t="shared" si="6"/>
        <v>3055288.2073320025</v>
      </c>
      <c r="H17" s="99">
        <f>H14*H16</f>
        <v>3161525.2198839537</v>
      </c>
      <c r="I17" s="99">
        <f t="shared" ref="I17:N17" si="7">I14*I16</f>
        <v>3429466.1240913239</v>
      </c>
      <c r="J17" s="99">
        <f t="shared" si="7"/>
        <v>3029051.52097796</v>
      </c>
      <c r="K17" s="99">
        <f t="shared" ref="K17" si="8">K14*K16</f>
        <v>3130749.6126043415</v>
      </c>
      <c r="L17" s="99">
        <f t="shared" si="7"/>
        <v>0</v>
      </c>
      <c r="M17" s="99">
        <f t="shared" si="7"/>
        <v>0</v>
      </c>
      <c r="N17" s="99">
        <f t="shared" si="7"/>
        <v>0</v>
      </c>
    </row>
    <row r="18" spans="1:14">
      <c r="A18" s="9" t="s">
        <v>49</v>
      </c>
      <c r="B18" s="23"/>
      <c r="C18" s="26">
        <v>3647460.55</v>
      </c>
      <c r="D18" s="26">
        <v>2079010.23</v>
      </c>
      <c r="E18" s="26">
        <v>2353887.88</v>
      </c>
      <c r="F18" s="26">
        <v>3853780.2699999996</v>
      </c>
      <c r="G18" s="26">
        <v>2468338.58</v>
      </c>
      <c r="H18" s="26">
        <v>575214.54</v>
      </c>
      <c r="I18" s="26">
        <v>441310.98</v>
      </c>
      <c r="J18" s="26">
        <v>868941.2</v>
      </c>
      <c r="K18" s="26">
        <v>4344846.0409999993</v>
      </c>
      <c r="L18" s="26"/>
      <c r="M18" s="26"/>
      <c r="N18" s="26"/>
    </row>
    <row r="19" spans="1:14">
      <c r="A19" s="9" t="s">
        <v>50</v>
      </c>
      <c r="B19" s="23"/>
      <c r="C19" s="26">
        <v>153034.29999999999</v>
      </c>
      <c r="D19" s="26">
        <v>436771.14</v>
      </c>
      <c r="E19" s="26">
        <v>318686.53999999998</v>
      </c>
      <c r="F19" s="26">
        <v>476559.43</v>
      </c>
      <c r="G19" s="26">
        <v>391321.32</v>
      </c>
      <c r="H19" s="26">
        <v>31489.3</v>
      </c>
      <c r="I19" s="26">
        <v>1204.6600000000001</v>
      </c>
      <c r="J19" s="26">
        <v>121775.14</v>
      </c>
      <c r="K19" s="26">
        <v>582984.27500000002</v>
      </c>
      <c r="L19" s="26"/>
      <c r="M19" s="26"/>
      <c r="N19" s="26"/>
    </row>
    <row r="20" spans="1:14">
      <c r="A20" s="9" t="s">
        <v>51</v>
      </c>
      <c r="B20" s="23"/>
      <c r="C20" s="26">
        <v>221450.3</v>
      </c>
      <c r="D20" s="26">
        <v>202067.6</v>
      </c>
      <c r="E20" s="26">
        <v>205751.76</v>
      </c>
      <c r="F20" s="26">
        <v>366145.59</v>
      </c>
      <c r="G20" s="26">
        <v>225181.11</v>
      </c>
      <c r="H20" s="26">
        <v>19524.099999999999</v>
      </c>
      <c r="I20" s="26">
        <v>1503.62</v>
      </c>
      <c r="J20" s="26">
        <v>75609.119999999995</v>
      </c>
      <c r="K20" s="26">
        <v>458807.2919999999</v>
      </c>
      <c r="L20" s="26"/>
      <c r="M20" s="26"/>
      <c r="N20" s="26"/>
    </row>
    <row r="21" spans="1:14">
      <c r="A21" s="9" t="s">
        <v>52</v>
      </c>
      <c r="B21" s="23"/>
      <c r="C21" s="26">
        <v>19843.75</v>
      </c>
      <c r="D21" s="26">
        <v>19843.75</v>
      </c>
      <c r="E21" s="26">
        <v>19843.75</v>
      </c>
      <c r="F21" s="26">
        <v>19843.75</v>
      </c>
      <c r="G21" s="26">
        <v>19843.75</v>
      </c>
      <c r="H21" s="26">
        <v>19843.75</v>
      </c>
      <c r="I21" s="26">
        <v>19843.75</v>
      </c>
      <c r="J21" s="26">
        <v>19843.75</v>
      </c>
      <c r="K21" s="26">
        <v>19843.75</v>
      </c>
      <c r="L21" s="26"/>
      <c r="M21" s="26"/>
      <c r="N21" s="26"/>
    </row>
    <row r="22" spans="1:14">
      <c r="A22" s="9" t="s">
        <v>108</v>
      </c>
      <c r="B22" s="23"/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/>
      <c r="M22" s="26"/>
      <c r="N22" s="26"/>
    </row>
    <row r="23" spans="1:14" ht="13.5" thickBot="1">
      <c r="A23" s="29" t="s">
        <v>30</v>
      </c>
      <c r="B23" s="30"/>
      <c r="C23" s="98">
        <f t="shared" ref="C23:G23" si="9">SUM(C17:C22)</f>
        <v>7042622.6079569673</v>
      </c>
      <c r="D23" s="98">
        <f t="shared" si="9"/>
        <v>5824925.4294540277</v>
      </c>
      <c r="E23" s="98">
        <f t="shared" si="9"/>
        <v>6102332.032604889</v>
      </c>
      <c r="F23" s="98">
        <f t="shared" si="9"/>
        <v>7656747.647208374</v>
      </c>
      <c r="G23" s="98">
        <f t="shared" si="9"/>
        <v>6159972.9673320027</v>
      </c>
      <c r="H23" s="98">
        <f>SUM(H17:H22)</f>
        <v>3807596.9098839536</v>
      </c>
      <c r="I23" s="98">
        <f t="shared" ref="I23:N23" si="10">SUM(I17:I22)</f>
        <v>3893329.1340913242</v>
      </c>
      <c r="J23" s="98">
        <f t="shared" si="10"/>
        <v>4115220.7309779604</v>
      </c>
      <c r="K23" s="98">
        <f t="shared" ref="K23" si="11">SUM(K17:K22)</f>
        <v>8537230.9706043415</v>
      </c>
      <c r="L23" s="98">
        <f t="shared" si="10"/>
        <v>0</v>
      </c>
      <c r="M23" s="98">
        <f t="shared" si="10"/>
        <v>0</v>
      </c>
      <c r="N23" s="98">
        <f t="shared" si="10"/>
        <v>0</v>
      </c>
    </row>
    <row r="24" spans="1:14" ht="13.5" thickTop="1">
      <c r="A24" s="9" t="s">
        <v>53</v>
      </c>
      <c r="B24" s="23"/>
      <c r="C24" s="27">
        <v>78379.009999999995</v>
      </c>
      <c r="D24" s="27">
        <v>47433.72</v>
      </c>
      <c r="E24" s="27">
        <v>130838</v>
      </c>
      <c r="F24" s="27">
        <v>135146.32999999999</v>
      </c>
      <c r="G24" s="27">
        <v>88363.44</v>
      </c>
      <c r="H24" s="27">
        <v>122738.45000000001</v>
      </c>
      <c r="I24" s="27">
        <v>132475.69</v>
      </c>
      <c r="J24" s="27">
        <v>59913.86</v>
      </c>
      <c r="K24" s="27">
        <v>60143.03</v>
      </c>
      <c r="L24" s="27"/>
      <c r="M24" s="27"/>
      <c r="N24" s="27"/>
    </row>
    <row r="25" spans="1:14" ht="13.5" thickBot="1">
      <c r="A25" s="29" t="s">
        <v>34</v>
      </c>
      <c r="B25" s="30"/>
      <c r="C25" s="98">
        <f t="shared" ref="C25:G25" si="12">C24</f>
        <v>78379.009999999995</v>
      </c>
      <c r="D25" s="98">
        <f t="shared" si="12"/>
        <v>47433.72</v>
      </c>
      <c r="E25" s="98">
        <f t="shared" si="12"/>
        <v>130838</v>
      </c>
      <c r="F25" s="98">
        <f t="shared" si="12"/>
        <v>135146.32999999999</v>
      </c>
      <c r="G25" s="98">
        <f t="shared" si="12"/>
        <v>88363.44</v>
      </c>
      <c r="H25" s="98">
        <f>H24</f>
        <v>122738.45000000001</v>
      </c>
      <c r="I25" s="98">
        <f t="shared" ref="I25:N25" si="13">I24</f>
        <v>132475.69</v>
      </c>
      <c r="J25" s="98">
        <f t="shared" si="13"/>
        <v>59913.86</v>
      </c>
      <c r="K25" s="98">
        <f t="shared" ref="K25" si="14">K24</f>
        <v>60143.03</v>
      </c>
      <c r="L25" s="98">
        <f t="shared" si="13"/>
        <v>0</v>
      </c>
      <c r="M25" s="98">
        <f t="shared" si="13"/>
        <v>0</v>
      </c>
      <c r="N25" s="98">
        <f t="shared" si="13"/>
        <v>0</v>
      </c>
    </row>
    <row r="26" spans="1:14" ht="13.5" thickTop="1">
      <c r="A26" s="31" t="s">
        <v>54</v>
      </c>
      <c r="B26" s="86">
        <v>2.9499999999999998E-2</v>
      </c>
      <c r="C26" s="99">
        <f t="shared" ref="C26:G26" si="15">C5*$B$26/12</f>
        <v>1254757.3745795833</v>
      </c>
      <c r="D26" s="99">
        <f t="shared" si="15"/>
        <v>1254940.85518875</v>
      </c>
      <c r="E26" s="99">
        <f t="shared" si="15"/>
        <v>1255517.7741266666</v>
      </c>
      <c r="F26" s="99">
        <f t="shared" si="15"/>
        <v>1255059.6383399998</v>
      </c>
      <c r="G26" s="99">
        <f t="shared" si="15"/>
        <v>1255114.2860574999</v>
      </c>
      <c r="H26" s="99">
        <f>H5*$B$26/12</f>
        <v>1255123.2990449998</v>
      </c>
      <c r="I26" s="99">
        <f t="shared" ref="I26:N26" si="16">I5*$B$26/12</f>
        <v>1255127.0929416665</v>
      </c>
      <c r="J26" s="99">
        <f t="shared" si="16"/>
        <v>1255301.8723291666</v>
      </c>
      <c r="K26" s="99">
        <f t="shared" ref="K26" si="17">K5*$B$26/12</f>
        <v>1255322.5660629165</v>
      </c>
      <c r="L26" s="99">
        <f t="shared" si="16"/>
        <v>0</v>
      </c>
      <c r="M26" s="99">
        <f t="shared" si="16"/>
        <v>0</v>
      </c>
      <c r="N26" s="99">
        <f t="shared" si="16"/>
        <v>0</v>
      </c>
    </row>
    <row r="27" spans="1:14">
      <c r="A27" s="31" t="s">
        <v>55</v>
      </c>
      <c r="B27" s="86">
        <v>0.2848</v>
      </c>
      <c r="C27" s="99">
        <f t="shared" ref="C27:G27" si="18">C6*$B$27/12</f>
        <v>8826060.1435439978</v>
      </c>
      <c r="D27" s="99">
        <f t="shared" si="18"/>
        <v>8827054.6660933308</v>
      </c>
      <c r="E27" s="99">
        <f t="shared" si="18"/>
        <v>8832949.4823626652</v>
      </c>
      <c r="F27" s="99">
        <f t="shared" si="18"/>
        <v>8828423.5959786661</v>
      </c>
      <c r="G27" s="99">
        <f t="shared" si="18"/>
        <v>8828953.5007919986</v>
      </c>
      <c r="H27" s="99">
        <f>H6*$B$27/12</f>
        <v>8829139.7035066653</v>
      </c>
      <c r="I27" s="99">
        <f t="shared" ref="I27:N27" si="19">I6*$B$27/12</f>
        <v>8829176.1944560017</v>
      </c>
      <c r="J27" s="99">
        <f t="shared" si="19"/>
        <v>8830087.0088266637</v>
      </c>
      <c r="K27" s="99">
        <f t="shared" ref="K27" si="20">K6*$B$27/12</f>
        <v>8830541.2721839994</v>
      </c>
      <c r="L27" s="99">
        <f t="shared" si="19"/>
        <v>0</v>
      </c>
      <c r="M27" s="99">
        <f t="shared" si="19"/>
        <v>0</v>
      </c>
      <c r="N27" s="99">
        <f t="shared" si="19"/>
        <v>0</v>
      </c>
    </row>
    <row r="28" spans="1:14" ht="13.5" thickBot="1">
      <c r="A28" s="32" t="s">
        <v>38</v>
      </c>
      <c r="B28" s="30"/>
      <c r="C28" s="98">
        <f t="shared" ref="C28:G28" si="21">SUM(C26:C27)</f>
        <v>10080817.518123582</v>
      </c>
      <c r="D28" s="98">
        <f t="shared" si="21"/>
        <v>10081995.521282081</v>
      </c>
      <c r="E28" s="98">
        <f t="shared" si="21"/>
        <v>10088467.256489333</v>
      </c>
      <c r="F28" s="98">
        <f t="shared" si="21"/>
        <v>10083483.234318666</v>
      </c>
      <c r="G28" s="98">
        <f t="shared" si="21"/>
        <v>10084067.786849499</v>
      </c>
      <c r="H28" s="98">
        <f>SUM(H26:H27)</f>
        <v>10084263.002551666</v>
      </c>
      <c r="I28" s="98">
        <f t="shared" ref="I28:N28" si="22">SUM(I26:I27)</f>
        <v>10084303.287397668</v>
      </c>
      <c r="J28" s="98">
        <f t="shared" si="22"/>
        <v>10085388.88115583</v>
      </c>
      <c r="K28" s="98">
        <f t="shared" ref="K28" si="23">SUM(K26:K27)</f>
        <v>10085863.838246915</v>
      </c>
      <c r="L28" s="98">
        <f t="shared" si="22"/>
        <v>0</v>
      </c>
      <c r="M28" s="98">
        <f t="shared" si="22"/>
        <v>0</v>
      </c>
      <c r="N28" s="98">
        <f t="shared" si="22"/>
        <v>0</v>
      </c>
    </row>
    <row r="29" spans="1:14" ht="13.5" thickTop="1">
      <c r="A29" s="32" t="s">
        <v>39</v>
      </c>
      <c r="B29" s="30"/>
      <c r="C29" s="100">
        <f t="shared" ref="C29:G29" si="24">SUM(C18:C22)+C25+C28</f>
        <v>14200985.428123582</v>
      </c>
      <c r="D29" s="100">
        <f t="shared" si="24"/>
        <v>12867121.961282082</v>
      </c>
      <c r="E29" s="100">
        <f t="shared" si="24"/>
        <v>13117475.186489332</v>
      </c>
      <c r="F29" s="100">
        <f t="shared" si="24"/>
        <v>14934958.604318665</v>
      </c>
      <c r="G29" s="100">
        <f t="shared" si="24"/>
        <v>13277115.986849498</v>
      </c>
      <c r="H29" s="100">
        <f>SUM(H18:H22)+H25+H28</f>
        <v>10853073.142551666</v>
      </c>
      <c r="I29" s="100">
        <f t="shared" ref="I29:N29" si="25">SUM(I18:I22)+I25+I28</f>
        <v>10680641.987397667</v>
      </c>
      <c r="J29" s="100">
        <f t="shared" si="25"/>
        <v>11231471.95115583</v>
      </c>
      <c r="K29" s="100">
        <f t="shared" ref="K29" si="26">SUM(K18:K22)+K25+K28</f>
        <v>15552488.226246916</v>
      </c>
      <c r="L29" s="100">
        <f t="shared" si="25"/>
        <v>0</v>
      </c>
      <c r="M29" s="100">
        <f t="shared" si="25"/>
        <v>0</v>
      </c>
      <c r="N29" s="100">
        <f t="shared" si="25"/>
        <v>0</v>
      </c>
    </row>
    <row r="30" spans="1:14">
      <c r="A30" s="32" t="s">
        <v>40</v>
      </c>
      <c r="B30" s="30"/>
      <c r="C30" s="33">
        <v>6871435</v>
      </c>
      <c r="D30" s="33">
        <v>5736143</v>
      </c>
      <c r="E30" s="33">
        <v>4778288</v>
      </c>
      <c r="F30" s="33">
        <v>7234692</v>
      </c>
      <c r="G30" s="33">
        <v>5499516</v>
      </c>
      <c r="H30" s="33">
        <v>5680848</v>
      </c>
      <c r="I30" s="33">
        <v>5722343</v>
      </c>
      <c r="J30" s="33">
        <v>5596235</v>
      </c>
      <c r="K30" s="33">
        <v>4773752</v>
      </c>
      <c r="L30" s="33"/>
      <c r="M30" s="33"/>
      <c r="N30" s="33"/>
    </row>
    <row r="31" spans="1:14" ht="13.5" thickBot="1">
      <c r="A31" s="32" t="s">
        <v>56</v>
      </c>
      <c r="B31" s="30"/>
      <c r="C31" s="98">
        <f t="shared" ref="C31:G31" si="27">C29-C30</f>
        <v>7329550.4281235822</v>
      </c>
      <c r="D31" s="98">
        <f t="shared" si="27"/>
        <v>7130978.9612820819</v>
      </c>
      <c r="E31" s="98">
        <f t="shared" si="27"/>
        <v>8339187.1864893325</v>
      </c>
      <c r="F31" s="98">
        <f t="shared" si="27"/>
        <v>7700266.6043186653</v>
      </c>
      <c r="G31" s="98">
        <f t="shared" si="27"/>
        <v>7777599.986849498</v>
      </c>
      <c r="H31" s="98">
        <f>H29-H30</f>
        <v>5172225.1425516661</v>
      </c>
      <c r="I31" s="98">
        <f t="shared" ref="I31:N31" si="28">I29-I30</f>
        <v>4958298.987397667</v>
      </c>
      <c r="J31" s="98">
        <f t="shared" si="28"/>
        <v>5635236.9511558302</v>
      </c>
      <c r="K31" s="98">
        <f t="shared" ref="K31" si="29">K29-K30</f>
        <v>10778736.226246916</v>
      </c>
      <c r="L31" s="98">
        <f t="shared" si="28"/>
        <v>0</v>
      </c>
      <c r="M31" s="98">
        <f t="shared" si="28"/>
        <v>0</v>
      </c>
      <c r="N31" s="98">
        <f t="shared" si="28"/>
        <v>0</v>
      </c>
    </row>
    <row r="32" spans="1:14" ht="13.5" thickTop="1">
      <c r="A32" s="32" t="s">
        <v>1656</v>
      </c>
      <c r="B32" s="30">
        <f>'3.20'!O42-1</f>
        <v>5.5229999999999446E-3</v>
      </c>
      <c r="C32" s="100">
        <f t="shared" ref="C32:G32" si="30">C31*$B$32</f>
        <v>40481.10701452614</v>
      </c>
      <c r="D32" s="100">
        <f t="shared" si="30"/>
        <v>39384.39680316054</v>
      </c>
      <c r="E32" s="100">
        <f t="shared" si="30"/>
        <v>46057.330830980121</v>
      </c>
      <c r="F32" s="100">
        <f t="shared" si="30"/>
        <v>42528.572455651563</v>
      </c>
      <c r="G32" s="100">
        <f t="shared" si="30"/>
        <v>42955.684727369349</v>
      </c>
      <c r="H32" s="100">
        <f>H31*$B$32</f>
        <v>28566.199462312565</v>
      </c>
      <c r="I32" s="100">
        <f t="shared" ref="I32:N32" si="31">I31*$B$32</f>
        <v>27384.685307397041</v>
      </c>
      <c r="J32" s="100">
        <f t="shared" si="31"/>
        <v>31123.413681233338</v>
      </c>
      <c r="K32" s="100">
        <f t="shared" ref="K32" si="32">K31*$B$32</f>
        <v>59530.960177561115</v>
      </c>
      <c r="L32" s="100">
        <f t="shared" si="31"/>
        <v>0</v>
      </c>
      <c r="M32" s="100">
        <f t="shared" si="31"/>
        <v>0</v>
      </c>
      <c r="N32" s="100">
        <f t="shared" si="31"/>
        <v>0</v>
      </c>
    </row>
    <row r="33" spans="1:14">
      <c r="A33" s="32" t="s">
        <v>42</v>
      </c>
      <c r="B33" s="30"/>
      <c r="C33" s="100">
        <f t="shared" ref="C33:G33" si="33">C32+C28+C25+C23</f>
        <v>17242300.243095074</v>
      </c>
      <c r="D33" s="100">
        <f t="shared" si="33"/>
        <v>15993739.067539271</v>
      </c>
      <c r="E33" s="100">
        <f t="shared" si="33"/>
        <v>16367694.619925201</v>
      </c>
      <c r="F33" s="100">
        <f t="shared" si="33"/>
        <v>17917905.783982694</v>
      </c>
      <c r="G33" s="100">
        <f t="shared" si="33"/>
        <v>16375359.878908869</v>
      </c>
      <c r="H33" s="100">
        <f>H32+H28+H25+H23</f>
        <v>14043164.561897932</v>
      </c>
      <c r="I33" s="100">
        <f t="shared" ref="I33:N33" si="34">I32+I28+I25+I23</f>
        <v>14137492.796796389</v>
      </c>
      <c r="J33" s="100">
        <f t="shared" si="34"/>
        <v>14291646.885815023</v>
      </c>
      <c r="K33" s="100">
        <f t="shared" ref="K33" si="35">K32+K28+K25+K23</f>
        <v>18742768.799028818</v>
      </c>
      <c r="L33" s="100">
        <f t="shared" si="34"/>
        <v>0</v>
      </c>
      <c r="M33" s="100">
        <f t="shared" si="34"/>
        <v>0</v>
      </c>
      <c r="N33" s="100">
        <f t="shared" si="34"/>
        <v>0</v>
      </c>
    </row>
    <row r="34" spans="1:14" ht="13.5" thickBot="1">
      <c r="A34" s="34" t="s">
        <v>57</v>
      </c>
      <c r="B34" s="35">
        <v>0.15</v>
      </c>
      <c r="C34" s="101">
        <f t="shared" ref="C34:G34" si="36">C33*$B$34</f>
        <v>2586345.0364642609</v>
      </c>
      <c r="D34" s="101">
        <f t="shared" si="36"/>
        <v>2399060.8601308907</v>
      </c>
      <c r="E34" s="101">
        <f t="shared" si="36"/>
        <v>2455154.1929887799</v>
      </c>
      <c r="F34" s="101">
        <f t="shared" si="36"/>
        <v>2687685.8675974039</v>
      </c>
      <c r="G34" s="101">
        <f t="shared" si="36"/>
        <v>2456303.9818363301</v>
      </c>
      <c r="H34" s="101">
        <f>H33*$B$34</f>
        <v>2106474.6842846898</v>
      </c>
      <c r="I34" s="101">
        <f t="shared" ref="I34:N34" si="37">I33*$B$34</f>
        <v>2120623.9195194584</v>
      </c>
      <c r="J34" s="101">
        <f t="shared" si="37"/>
        <v>2143747.0328722531</v>
      </c>
      <c r="K34" s="101">
        <f>(K33*$B$34)*(8/31)</f>
        <v>725526.53415595414</v>
      </c>
      <c r="L34" s="101">
        <f t="shared" si="37"/>
        <v>0</v>
      </c>
      <c r="M34" s="101">
        <f t="shared" si="37"/>
        <v>0</v>
      </c>
      <c r="N34" s="101">
        <f t="shared" si="37"/>
        <v>0</v>
      </c>
    </row>
    <row r="35" spans="1:14" s="289" customFormat="1">
      <c r="K35" s="288"/>
      <c r="L35" s="288"/>
    </row>
    <row r="36" spans="1:14">
      <c r="A36" s="1" t="s">
        <v>109</v>
      </c>
    </row>
  </sheetData>
  <mergeCells count="1">
    <mergeCell ref="H2:M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6"/>
  <sheetViews>
    <sheetView workbookViewId="0">
      <selection activeCell="K45" sqref="K45"/>
    </sheetView>
  </sheetViews>
  <sheetFormatPr defaultRowHeight="12.75"/>
  <cols>
    <col min="1" max="1" width="37" style="289" bestFit="1" customWidth="1"/>
    <col min="2" max="13" width="15.28515625" style="289" bestFit="1" customWidth="1"/>
    <col min="14" max="16384" width="9.140625" style="289"/>
  </cols>
  <sheetData>
    <row r="1" spans="1:13">
      <c r="A1" s="424" t="s">
        <v>70</v>
      </c>
    </row>
    <row r="2" spans="1:13">
      <c r="A2" s="424" t="s">
        <v>69</v>
      </c>
      <c r="B2" s="425">
        <v>44652</v>
      </c>
      <c r="C2" s="425">
        <v>44682</v>
      </c>
      <c r="D2" s="425">
        <v>44713</v>
      </c>
      <c r="E2" s="425">
        <v>44743</v>
      </c>
      <c r="F2" s="425">
        <v>44774</v>
      </c>
      <c r="G2" s="425">
        <v>44805</v>
      </c>
      <c r="H2" s="425">
        <v>44835</v>
      </c>
      <c r="I2" s="425">
        <v>44866</v>
      </c>
      <c r="J2" s="425">
        <v>44896</v>
      </c>
      <c r="K2" s="425">
        <v>44927</v>
      </c>
      <c r="L2" s="425">
        <v>44958</v>
      </c>
      <c r="M2" s="425">
        <v>44986</v>
      </c>
    </row>
    <row r="4" spans="1:13">
      <c r="A4" s="289" t="s">
        <v>59</v>
      </c>
      <c r="B4" s="421">
        <v>47871197.32</v>
      </c>
      <c r="C4" s="421">
        <v>49047333.169999987</v>
      </c>
      <c r="D4" s="421">
        <v>54630879.32</v>
      </c>
      <c r="E4" s="421">
        <v>63630948.670000009</v>
      </c>
      <c r="F4" s="421">
        <v>63203119.659999989</v>
      </c>
      <c r="G4" s="421">
        <v>54570820.109999999</v>
      </c>
      <c r="H4" s="421">
        <v>53811240.870000012</v>
      </c>
      <c r="I4" s="421">
        <v>59770720.789999999</v>
      </c>
      <c r="J4" s="421">
        <v>71038590.530000001</v>
      </c>
      <c r="K4" s="421">
        <v>74492985.469999999</v>
      </c>
      <c r="L4" s="421">
        <v>68914023.699999988</v>
      </c>
      <c r="M4" s="421">
        <v>32227859.710000001</v>
      </c>
    </row>
    <row r="5" spans="1:13">
      <c r="A5" s="289" t="s">
        <v>60</v>
      </c>
      <c r="B5" s="421">
        <v>546660.8899999999</v>
      </c>
      <c r="C5" s="421">
        <v>426498.2</v>
      </c>
      <c r="D5" s="421">
        <v>595166.8600000001</v>
      </c>
      <c r="E5" s="421">
        <v>687295.97000000009</v>
      </c>
      <c r="F5" s="421">
        <v>565385.67999999993</v>
      </c>
      <c r="G5" s="421">
        <v>547343.31000000006</v>
      </c>
      <c r="H5" s="421">
        <v>502685.97</v>
      </c>
      <c r="I5" s="421">
        <v>562257.58000000007</v>
      </c>
      <c r="J5" s="421">
        <v>718858.52</v>
      </c>
      <c r="K5" s="421">
        <v>680146.67</v>
      </c>
      <c r="L5" s="421">
        <v>868588.39000000013</v>
      </c>
      <c r="M5" s="421">
        <v>694722.56000000006</v>
      </c>
    </row>
    <row r="6" spans="1:13">
      <c r="A6" s="289" t="s">
        <v>61</v>
      </c>
      <c r="B6" s="421">
        <v>0</v>
      </c>
      <c r="C6" s="421">
        <v>0</v>
      </c>
      <c r="D6" s="421">
        <v>0</v>
      </c>
      <c r="E6" s="421">
        <v>0</v>
      </c>
      <c r="F6" s="421">
        <v>0</v>
      </c>
      <c r="G6" s="421">
        <v>0</v>
      </c>
      <c r="H6" s="421">
        <v>0</v>
      </c>
      <c r="I6" s="421">
        <v>0</v>
      </c>
      <c r="J6" s="421">
        <v>0</v>
      </c>
      <c r="K6" s="421">
        <v>0</v>
      </c>
      <c r="L6" s="421">
        <v>0</v>
      </c>
      <c r="M6" s="421">
        <v>0</v>
      </c>
    </row>
    <row r="7" spans="1:13">
      <c r="A7" s="289" t="s">
        <v>62</v>
      </c>
      <c r="B7" s="421">
        <v>5882429.6099999985</v>
      </c>
      <c r="C7" s="421">
        <v>4906452.82</v>
      </c>
      <c r="D7" s="421">
        <v>7487858.2699999986</v>
      </c>
      <c r="E7" s="421">
        <v>10557438.970000006</v>
      </c>
      <c r="F7" s="421">
        <v>10070258.960000001</v>
      </c>
      <c r="G7" s="421">
        <v>682703.26</v>
      </c>
      <c r="H7" s="421">
        <v>585815.77999999991</v>
      </c>
      <c r="I7" s="421">
        <v>991156.51000000024</v>
      </c>
      <c r="J7" s="421">
        <v>1787151.8900000001</v>
      </c>
      <c r="K7" s="421">
        <v>1471234.15</v>
      </c>
      <c r="L7" s="421">
        <v>299151.35000000003</v>
      </c>
      <c r="M7" s="421">
        <v>1036354.8500000001</v>
      </c>
    </row>
    <row r="8" spans="1:13">
      <c r="A8" s="426" t="s">
        <v>64</v>
      </c>
      <c r="B8" s="427" t="s">
        <v>64</v>
      </c>
      <c r="C8" s="427" t="s">
        <v>64</v>
      </c>
      <c r="D8" s="427" t="s">
        <v>64</v>
      </c>
      <c r="E8" s="427" t="s">
        <v>64</v>
      </c>
      <c r="F8" s="427" t="s">
        <v>64</v>
      </c>
      <c r="G8" s="427" t="s">
        <v>64</v>
      </c>
      <c r="H8" s="427" t="s">
        <v>64</v>
      </c>
      <c r="I8" s="427" t="s">
        <v>64</v>
      </c>
      <c r="J8" s="427" t="s">
        <v>64</v>
      </c>
      <c r="K8" s="427" t="s">
        <v>64</v>
      </c>
      <c r="L8" s="427" t="s">
        <v>64</v>
      </c>
      <c r="M8" s="427" t="s">
        <v>64</v>
      </c>
    </row>
    <row r="9" spans="1:13">
      <c r="A9" s="289" t="s">
        <v>63</v>
      </c>
      <c r="B9" s="421">
        <v>54300287.82</v>
      </c>
      <c r="C9" s="421">
        <v>54380284.18999999</v>
      </c>
      <c r="D9" s="421">
        <v>62713904.449999996</v>
      </c>
      <c r="E9" s="421">
        <v>74875683.610000014</v>
      </c>
      <c r="F9" s="421">
        <v>73838764.299999982</v>
      </c>
      <c r="G9" s="421">
        <v>55800866.68</v>
      </c>
      <c r="H9" s="421">
        <v>54899742.620000012</v>
      </c>
      <c r="I9" s="421">
        <v>61324134.879999995</v>
      </c>
      <c r="J9" s="421">
        <v>73544600.939999998</v>
      </c>
      <c r="K9" s="421">
        <v>76644366.290000007</v>
      </c>
      <c r="L9" s="421">
        <v>70081763.439999983</v>
      </c>
      <c r="M9" s="421">
        <v>33958937.119999997</v>
      </c>
    </row>
    <row r="10" spans="1:13">
      <c r="B10" s="428"/>
      <c r="C10" s="428"/>
      <c r="D10" s="428"/>
      <c r="E10" s="428"/>
      <c r="F10" s="428"/>
      <c r="G10" s="428"/>
      <c r="H10" s="428"/>
      <c r="I10" s="428"/>
      <c r="J10" s="428"/>
      <c r="K10" s="428"/>
      <c r="L10" s="428"/>
      <c r="M10" s="428"/>
    </row>
    <row r="12" spans="1:13">
      <c r="A12" s="289" t="s">
        <v>65</v>
      </c>
      <c r="B12" s="472">
        <f>ROUND(B4/$B$9,4)</f>
        <v>0.88160000000000005</v>
      </c>
      <c r="C12" s="472">
        <f>ROUND(C4/$C$9,4)</f>
        <v>0.90190000000000003</v>
      </c>
      <c r="D12" s="472">
        <f>ROUND(D4/$D$9,4)</f>
        <v>0.87109999999999999</v>
      </c>
      <c r="E12" s="472">
        <f>ROUND(E4/$E$9,4)</f>
        <v>0.8498</v>
      </c>
      <c r="F12" s="472">
        <f>ROUND(F4/$F$9,4)</f>
        <v>0.85599999999999998</v>
      </c>
      <c r="G12" s="472">
        <f>ROUND(G4/$G$9,4)</f>
        <v>0.97799999999999998</v>
      </c>
      <c r="H12" s="472">
        <f>ROUND(H4/$H$9,4)</f>
        <v>0.98019999999999996</v>
      </c>
      <c r="I12" s="472">
        <f>ROUND(I4/$I$9,4)</f>
        <v>0.97470000000000001</v>
      </c>
      <c r="J12" s="472">
        <f>ROUND(J4/$J$9,4)</f>
        <v>0.96589999999999998</v>
      </c>
      <c r="K12" s="472">
        <f>ROUND(K4/$K$9,4)</f>
        <v>0.97189999999999999</v>
      </c>
      <c r="L12" s="472">
        <f>ROUND(L4/$L$9,4)</f>
        <v>0.98329999999999995</v>
      </c>
      <c r="M12" s="472">
        <f>ROUND(M4/$M$9,4)</f>
        <v>0.94899999999999995</v>
      </c>
    </row>
    <row r="13" spans="1:13">
      <c r="A13" s="289" t="s">
        <v>66</v>
      </c>
      <c r="B13" s="472">
        <f>ROUND(B5/$B$9,4)</f>
        <v>1.01E-2</v>
      </c>
      <c r="C13" s="472">
        <f t="shared" ref="C13:C15" si="0">ROUND(C5/$C$9,4)</f>
        <v>7.7999999999999996E-3</v>
      </c>
      <c r="D13" s="472">
        <f t="shared" ref="D13:D15" si="1">ROUND(D5/$D$9,4)</f>
        <v>9.4999999999999998E-3</v>
      </c>
      <c r="E13" s="472">
        <f t="shared" ref="E13:E15" si="2">ROUND(E5/$E$9,4)</f>
        <v>9.1999999999999998E-3</v>
      </c>
      <c r="F13" s="472">
        <f t="shared" ref="F13:F15" si="3">ROUND(F5/$F$9,4)</f>
        <v>7.7000000000000002E-3</v>
      </c>
      <c r="G13" s="472">
        <f t="shared" ref="G13:G15" si="4">ROUND(G5/$G$9,4)</f>
        <v>9.7999999999999997E-3</v>
      </c>
      <c r="H13" s="472">
        <f t="shared" ref="H13:H15" si="5">ROUND(H5/$H$9,4)</f>
        <v>9.1999999999999998E-3</v>
      </c>
      <c r="I13" s="472">
        <f t="shared" ref="I13:I15" si="6">ROUND(I5/$I$9,4)</f>
        <v>9.1999999999999998E-3</v>
      </c>
      <c r="J13" s="472">
        <f t="shared" ref="J13:J15" si="7">ROUND(J5/$J$9,4)</f>
        <v>9.7999999999999997E-3</v>
      </c>
      <c r="K13" s="472">
        <f t="shared" ref="K13:K15" si="8">ROUND(K5/$K$9,4)</f>
        <v>8.8999999999999999E-3</v>
      </c>
      <c r="L13" s="472">
        <f t="shared" ref="L13:L15" si="9">ROUND(L5/$L$9,4)</f>
        <v>1.24E-2</v>
      </c>
      <c r="M13" s="472">
        <f t="shared" ref="M13:M15" si="10">ROUND(M5/$M$9,4)</f>
        <v>2.0500000000000001E-2</v>
      </c>
    </row>
    <row r="14" spans="1:13">
      <c r="A14" s="289" t="s">
        <v>67</v>
      </c>
      <c r="B14" s="472">
        <f>ROUND(B6/$B$9,4)</f>
        <v>0</v>
      </c>
      <c r="C14" s="472">
        <f t="shared" si="0"/>
        <v>0</v>
      </c>
      <c r="D14" s="472">
        <f t="shared" si="1"/>
        <v>0</v>
      </c>
      <c r="E14" s="472">
        <f t="shared" si="2"/>
        <v>0</v>
      </c>
      <c r="F14" s="472">
        <f t="shared" si="3"/>
        <v>0</v>
      </c>
      <c r="G14" s="472">
        <f t="shared" si="4"/>
        <v>0</v>
      </c>
      <c r="H14" s="472">
        <f t="shared" si="5"/>
        <v>0</v>
      </c>
      <c r="I14" s="472">
        <f t="shared" si="6"/>
        <v>0</v>
      </c>
      <c r="J14" s="472">
        <f t="shared" si="7"/>
        <v>0</v>
      </c>
      <c r="K14" s="472">
        <f t="shared" si="8"/>
        <v>0</v>
      </c>
      <c r="L14" s="472">
        <f t="shared" si="9"/>
        <v>0</v>
      </c>
      <c r="M14" s="472">
        <f t="shared" si="10"/>
        <v>0</v>
      </c>
    </row>
    <row r="15" spans="1:13">
      <c r="A15" s="289" t="s">
        <v>68</v>
      </c>
      <c r="B15" s="472">
        <f>ROUND(B7/$B$9,4)</f>
        <v>0.10829999999999999</v>
      </c>
      <c r="C15" s="472">
        <f t="shared" si="0"/>
        <v>9.0200000000000002E-2</v>
      </c>
      <c r="D15" s="472">
        <f t="shared" si="1"/>
        <v>0.11940000000000001</v>
      </c>
      <c r="E15" s="472">
        <f t="shared" si="2"/>
        <v>0.14099999999999999</v>
      </c>
      <c r="F15" s="472">
        <f t="shared" si="3"/>
        <v>0.13639999999999999</v>
      </c>
      <c r="G15" s="472">
        <f t="shared" si="4"/>
        <v>1.2200000000000001E-2</v>
      </c>
      <c r="H15" s="472">
        <f t="shared" si="5"/>
        <v>1.0699999999999999E-2</v>
      </c>
      <c r="I15" s="472">
        <f t="shared" si="6"/>
        <v>1.6199999999999999E-2</v>
      </c>
      <c r="J15" s="472">
        <f t="shared" si="7"/>
        <v>2.4299999999999999E-2</v>
      </c>
      <c r="K15" s="472">
        <f t="shared" si="8"/>
        <v>1.9199999999999998E-2</v>
      </c>
      <c r="L15" s="472">
        <f t="shared" si="9"/>
        <v>4.3E-3</v>
      </c>
      <c r="M15" s="472">
        <f t="shared" si="10"/>
        <v>3.0499999999999999E-2</v>
      </c>
    </row>
    <row r="16" spans="1:13">
      <c r="A16" s="289" t="s">
        <v>71</v>
      </c>
      <c r="B16" s="473">
        <f t="shared" ref="B16:L16" si="11">SUM(B12:B15)</f>
        <v>1</v>
      </c>
      <c r="C16" s="473">
        <f t="shared" si="11"/>
        <v>0.99990000000000001</v>
      </c>
      <c r="D16" s="473">
        <f t="shared" si="11"/>
        <v>1</v>
      </c>
      <c r="E16" s="473">
        <f t="shared" si="11"/>
        <v>1</v>
      </c>
      <c r="F16" s="473">
        <f t="shared" si="11"/>
        <v>1.0001</v>
      </c>
      <c r="G16" s="473">
        <f t="shared" si="11"/>
        <v>1</v>
      </c>
      <c r="H16" s="473">
        <f t="shared" si="11"/>
        <v>1.0001</v>
      </c>
      <c r="I16" s="473">
        <f t="shared" si="11"/>
        <v>1.0001</v>
      </c>
      <c r="J16" s="473">
        <f t="shared" si="11"/>
        <v>1</v>
      </c>
      <c r="K16" s="473">
        <f t="shared" si="11"/>
        <v>1</v>
      </c>
      <c r="L16" s="473">
        <f t="shared" si="11"/>
        <v>0.99999999999999989</v>
      </c>
      <c r="M16" s="473">
        <f t="shared" ref="M16" si="12">SUM(M12:M15)</f>
        <v>0.99999999999999989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7"/>
  <sheetViews>
    <sheetView workbookViewId="0">
      <selection activeCell="J16" sqref="J16"/>
    </sheetView>
  </sheetViews>
  <sheetFormatPr defaultRowHeight="12.75"/>
  <cols>
    <col min="1" max="1" width="31" style="289" bestFit="1" customWidth="1"/>
    <col min="2" max="3" width="11" style="289" customWidth="1"/>
    <col min="4" max="16384" width="9.140625" style="289"/>
  </cols>
  <sheetData>
    <row r="1" spans="1:3" s="429" customFormat="1" ht="26.25" customHeight="1">
      <c r="B1" s="430" t="s">
        <v>1665</v>
      </c>
      <c r="C1" s="430" t="s">
        <v>1666</v>
      </c>
    </row>
    <row r="2" spans="1:3" s="429" customFormat="1" ht="9" customHeight="1">
      <c r="B2" s="430"/>
      <c r="C2" s="430"/>
    </row>
    <row r="3" spans="1:3">
      <c r="A3" s="431" t="s">
        <v>1654</v>
      </c>
      <c r="B3" s="432">
        <v>2.0323999999999998E-2</v>
      </c>
      <c r="C3" s="432">
        <v>1.9987999999999999E-2</v>
      </c>
    </row>
    <row r="4" spans="1:3">
      <c r="A4" s="431"/>
      <c r="B4" s="431"/>
      <c r="C4" s="431"/>
    </row>
    <row r="5" spans="1:3">
      <c r="A5" s="431" t="s">
        <v>92</v>
      </c>
      <c r="B5" s="433">
        <v>0.6</v>
      </c>
      <c r="C5" s="433">
        <v>0.6</v>
      </c>
    </row>
    <row r="6" spans="1:3">
      <c r="A6" s="431"/>
      <c r="B6" s="431"/>
      <c r="C6" s="431"/>
    </row>
    <row r="7" spans="1:3">
      <c r="A7" s="431" t="s">
        <v>93</v>
      </c>
      <c r="B7" s="433">
        <v>0.05</v>
      </c>
      <c r="C7" s="433">
        <v>0.05</v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A694"/>
  <sheetViews>
    <sheetView topLeftCell="B2" workbookViewId="0">
      <pane xSplit="1" ySplit="5" topLeftCell="E383" activePane="bottomRight" state="frozen"/>
      <selection activeCell="B2" sqref="B2"/>
      <selection pane="topRight" activeCell="C2" sqref="C2"/>
      <selection pane="bottomLeft" activeCell="B7" sqref="B7"/>
      <selection pane="bottomRight" activeCell="V415" sqref="V415"/>
    </sheetView>
  </sheetViews>
  <sheetFormatPr defaultRowHeight="12.75" outlineLevelRow="2" outlineLevelCol="1"/>
  <cols>
    <col min="1" max="1" width="5.7109375" style="111" hidden="1" customWidth="1"/>
    <col min="2" max="2" width="12.7109375" style="111" customWidth="1"/>
    <col min="3" max="3" width="35.42578125" style="111" customWidth="1"/>
    <col min="4" max="4" width="1" style="312" customWidth="1"/>
    <col min="5" max="5" width="1.140625" style="175" customWidth="1"/>
    <col min="6" max="7" width="21" style="113" customWidth="1"/>
    <col min="8" max="8" width="19.28515625" style="113" customWidth="1"/>
    <col min="9" max="9" width="12.7109375" style="401" customWidth="1" outlineLevel="1"/>
    <col min="10" max="10" width="2.7109375" style="168" customWidth="1"/>
    <col min="11" max="11" width="19.5703125" style="113" customWidth="1"/>
    <col min="12" max="12" width="18.5703125" style="113" customWidth="1"/>
    <col min="13" max="13" width="19.28515625" style="113" customWidth="1"/>
    <col min="14" max="14" width="12.7109375" style="401" customWidth="1" outlineLevel="1"/>
    <col min="15" max="15" width="40.28515625" style="314" customWidth="1" outlineLevel="1"/>
    <col min="16" max="16" width="2.7109375" style="168" customWidth="1"/>
    <col min="17" max="18" width="21" style="113" customWidth="1"/>
    <col min="19" max="19" width="19.28515625" style="113" customWidth="1"/>
    <col min="20" max="20" width="12.7109375" style="401" customWidth="1" outlineLevel="1"/>
    <col min="21" max="21" width="2.7109375" style="168" customWidth="1"/>
    <col min="22" max="23" width="21" style="113" customWidth="1"/>
    <col min="24" max="24" width="19.28515625" style="113" customWidth="1"/>
    <col min="25" max="25" width="12.7109375" style="401" customWidth="1" outlineLevel="1"/>
    <col min="26" max="26" width="6.28515625" style="302" customWidth="1"/>
    <col min="27" max="27" width="21.85546875" style="160" customWidth="1"/>
    <col min="28" max="28" width="1" style="134" customWidth="1"/>
    <col min="29" max="40" width="21.85546875" style="113" customWidth="1"/>
    <col min="41" max="41" width="1" style="134" customWidth="1"/>
    <col min="42" max="53" width="21.85546875" style="113" customWidth="1"/>
    <col min="54" max="256" width="9.140625" style="111"/>
    <col min="257" max="257" width="0" style="111" hidden="1" customWidth="1"/>
    <col min="258" max="258" width="12.7109375" style="111" customWidth="1"/>
    <col min="259" max="259" width="35.42578125" style="111" customWidth="1"/>
    <col min="260" max="260" width="1" style="111" customWidth="1"/>
    <col min="261" max="261" width="1.140625" style="111" customWidth="1"/>
    <col min="262" max="263" width="21" style="111" customWidth="1"/>
    <col min="264" max="264" width="19.28515625" style="111" customWidth="1"/>
    <col min="265" max="265" width="12.7109375" style="111" customWidth="1"/>
    <col min="266" max="266" width="2.7109375" style="111" customWidth="1"/>
    <col min="267" max="267" width="19.5703125" style="111" customWidth="1"/>
    <col min="268" max="268" width="18.5703125" style="111" customWidth="1"/>
    <col min="269" max="269" width="19.28515625" style="111" customWidth="1"/>
    <col min="270" max="270" width="12.7109375" style="111" customWidth="1"/>
    <col min="271" max="271" width="40.28515625" style="111" customWidth="1"/>
    <col min="272" max="272" width="2.7109375" style="111" customWidth="1"/>
    <col min="273" max="274" width="21" style="111" customWidth="1"/>
    <col min="275" max="275" width="19.28515625" style="111" customWidth="1"/>
    <col min="276" max="276" width="12.7109375" style="111" customWidth="1"/>
    <col min="277" max="277" width="2.7109375" style="111" customWidth="1"/>
    <col min="278" max="279" width="21" style="111" customWidth="1"/>
    <col min="280" max="280" width="19.28515625" style="111" customWidth="1"/>
    <col min="281" max="281" width="12.7109375" style="111" customWidth="1"/>
    <col min="282" max="282" width="6.28515625" style="111" customWidth="1"/>
    <col min="283" max="283" width="21.85546875" style="111" customWidth="1"/>
    <col min="284" max="284" width="1" style="111" customWidth="1"/>
    <col min="285" max="296" width="21.85546875" style="111" customWidth="1"/>
    <col min="297" max="297" width="1" style="111" customWidth="1"/>
    <col min="298" max="309" width="21.85546875" style="111" customWidth="1"/>
    <col min="310" max="512" width="9.140625" style="111"/>
    <col min="513" max="513" width="0" style="111" hidden="1" customWidth="1"/>
    <col min="514" max="514" width="12.7109375" style="111" customWidth="1"/>
    <col min="515" max="515" width="35.42578125" style="111" customWidth="1"/>
    <col min="516" max="516" width="1" style="111" customWidth="1"/>
    <col min="517" max="517" width="1.140625" style="111" customWidth="1"/>
    <col min="518" max="519" width="21" style="111" customWidth="1"/>
    <col min="520" max="520" width="19.28515625" style="111" customWidth="1"/>
    <col min="521" max="521" width="12.7109375" style="111" customWidth="1"/>
    <col min="522" max="522" width="2.7109375" style="111" customWidth="1"/>
    <col min="523" max="523" width="19.5703125" style="111" customWidth="1"/>
    <col min="524" max="524" width="18.5703125" style="111" customWidth="1"/>
    <col min="525" max="525" width="19.28515625" style="111" customWidth="1"/>
    <col min="526" max="526" width="12.7109375" style="111" customWidth="1"/>
    <col min="527" max="527" width="40.28515625" style="111" customWidth="1"/>
    <col min="528" max="528" width="2.7109375" style="111" customWidth="1"/>
    <col min="529" max="530" width="21" style="111" customWidth="1"/>
    <col min="531" max="531" width="19.28515625" style="111" customWidth="1"/>
    <col min="532" max="532" width="12.7109375" style="111" customWidth="1"/>
    <col min="533" max="533" width="2.7109375" style="111" customWidth="1"/>
    <col min="534" max="535" width="21" style="111" customWidth="1"/>
    <col min="536" max="536" width="19.28515625" style="111" customWidth="1"/>
    <col min="537" max="537" width="12.7109375" style="111" customWidth="1"/>
    <col min="538" max="538" width="6.28515625" style="111" customWidth="1"/>
    <col min="539" max="539" width="21.85546875" style="111" customWidth="1"/>
    <col min="540" max="540" width="1" style="111" customWidth="1"/>
    <col min="541" max="552" width="21.85546875" style="111" customWidth="1"/>
    <col min="553" max="553" width="1" style="111" customWidth="1"/>
    <col min="554" max="565" width="21.85546875" style="111" customWidth="1"/>
    <col min="566" max="768" width="9.140625" style="111"/>
    <col min="769" max="769" width="0" style="111" hidden="1" customWidth="1"/>
    <col min="770" max="770" width="12.7109375" style="111" customWidth="1"/>
    <col min="771" max="771" width="35.42578125" style="111" customWidth="1"/>
    <col min="772" max="772" width="1" style="111" customWidth="1"/>
    <col min="773" max="773" width="1.140625" style="111" customWidth="1"/>
    <col min="774" max="775" width="21" style="111" customWidth="1"/>
    <col min="776" max="776" width="19.28515625" style="111" customWidth="1"/>
    <col min="777" max="777" width="12.7109375" style="111" customWidth="1"/>
    <col min="778" max="778" width="2.7109375" style="111" customWidth="1"/>
    <col min="779" max="779" width="19.5703125" style="111" customWidth="1"/>
    <col min="780" max="780" width="18.5703125" style="111" customWidth="1"/>
    <col min="781" max="781" width="19.28515625" style="111" customWidth="1"/>
    <col min="782" max="782" width="12.7109375" style="111" customWidth="1"/>
    <col min="783" max="783" width="40.28515625" style="111" customWidth="1"/>
    <col min="784" max="784" width="2.7109375" style="111" customWidth="1"/>
    <col min="785" max="786" width="21" style="111" customWidth="1"/>
    <col min="787" max="787" width="19.28515625" style="111" customWidth="1"/>
    <col min="788" max="788" width="12.7109375" style="111" customWidth="1"/>
    <col min="789" max="789" width="2.7109375" style="111" customWidth="1"/>
    <col min="790" max="791" width="21" style="111" customWidth="1"/>
    <col min="792" max="792" width="19.28515625" style="111" customWidth="1"/>
    <col min="793" max="793" width="12.7109375" style="111" customWidth="1"/>
    <col min="794" max="794" width="6.28515625" style="111" customWidth="1"/>
    <col min="795" max="795" width="21.85546875" style="111" customWidth="1"/>
    <col min="796" max="796" width="1" style="111" customWidth="1"/>
    <col min="797" max="808" width="21.85546875" style="111" customWidth="1"/>
    <col min="809" max="809" width="1" style="111" customWidth="1"/>
    <col min="810" max="821" width="21.85546875" style="111" customWidth="1"/>
    <col min="822" max="1024" width="9.140625" style="111"/>
    <col min="1025" max="1025" width="0" style="111" hidden="1" customWidth="1"/>
    <col min="1026" max="1026" width="12.7109375" style="111" customWidth="1"/>
    <col min="1027" max="1027" width="35.42578125" style="111" customWidth="1"/>
    <col min="1028" max="1028" width="1" style="111" customWidth="1"/>
    <col min="1029" max="1029" width="1.140625" style="111" customWidth="1"/>
    <col min="1030" max="1031" width="21" style="111" customWidth="1"/>
    <col min="1032" max="1032" width="19.28515625" style="111" customWidth="1"/>
    <col min="1033" max="1033" width="12.7109375" style="111" customWidth="1"/>
    <col min="1034" max="1034" width="2.7109375" style="111" customWidth="1"/>
    <col min="1035" max="1035" width="19.5703125" style="111" customWidth="1"/>
    <col min="1036" max="1036" width="18.5703125" style="111" customWidth="1"/>
    <col min="1037" max="1037" width="19.28515625" style="111" customWidth="1"/>
    <col min="1038" max="1038" width="12.7109375" style="111" customWidth="1"/>
    <col min="1039" max="1039" width="40.28515625" style="111" customWidth="1"/>
    <col min="1040" max="1040" width="2.7109375" style="111" customWidth="1"/>
    <col min="1041" max="1042" width="21" style="111" customWidth="1"/>
    <col min="1043" max="1043" width="19.28515625" style="111" customWidth="1"/>
    <col min="1044" max="1044" width="12.7109375" style="111" customWidth="1"/>
    <col min="1045" max="1045" width="2.7109375" style="111" customWidth="1"/>
    <col min="1046" max="1047" width="21" style="111" customWidth="1"/>
    <col min="1048" max="1048" width="19.28515625" style="111" customWidth="1"/>
    <col min="1049" max="1049" width="12.7109375" style="111" customWidth="1"/>
    <col min="1050" max="1050" width="6.28515625" style="111" customWidth="1"/>
    <col min="1051" max="1051" width="21.85546875" style="111" customWidth="1"/>
    <col min="1052" max="1052" width="1" style="111" customWidth="1"/>
    <col min="1053" max="1064" width="21.85546875" style="111" customWidth="1"/>
    <col min="1065" max="1065" width="1" style="111" customWidth="1"/>
    <col min="1066" max="1077" width="21.85546875" style="111" customWidth="1"/>
    <col min="1078" max="1280" width="9.140625" style="111"/>
    <col min="1281" max="1281" width="0" style="111" hidden="1" customWidth="1"/>
    <col min="1282" max="1282" width="12.7109375" style="111" customWidth="1"/>
    <col min="1283" max="1283" width="35.42578125" style="111" customWidth="1"/>
    <col min="1284" max="1284" width="1" style="111" customWidth="1"/>
    <col min="1285" max="1285" width="1.140625" style="111" customWidth="1"/>
    <col min="1286" max="1287" width="21" style="111" customWidth="1"/>
    <col min="1288" max="1288" width="19.28515625" style="111" customWidth="1"/>
    <col min="1289" max="1289" width="12.7109375" style="111" customWidth="1"/>
    <col min="1290" max="1290" width="2.7109375" style="111" customWidth="1"/>
    <col min="1291" max="1291" width="19.5703125" style="111" customWidth="1"/>
    <col min="1292" max="1292" width="18.5703125" style="111" customWidth="1"/>
    <col min="1293" max="1293" width="19.28515625" style="111" customWidth="1"/>
    <col min="1294" max="1294" width="12.7109375" style="111" customWidth="1"/>
    <col min="1295" max="1295" width="40.28515625" style="111" customWidth="1"/>
    <col min="1296" max="1296" width="2.7109375" style="111" customWidth="1"/>
    <col min="1297" max="1298" width="21" style="111" customWidth="1"/>
    <col min="1299" max="1299" width="19.28515625" style="111" customWidth="1"/>
    <col min="1300" max="1300" width="12.7109375" style="111" customWidth="1"/>
    <col min="1301" max="1301" width="2.7109375" style="111" customWidth="1"/>
    <col min="1302" max="1303" width="21" style="111" customWidth="1"/>
    <col min="1304" max="1304" width="19.28515625" style="111" customWidth="1"/>
    <col min="1305" max="1305" width="12.7109375" style="111" customWidth="1"/>
    <col min="1306" max="1306" width="6.28515625" style="111" customWidth="1"/>
    <col min="1307" max="1307" width="21.85546875" style="111" customWidth="1"/>
    <col min="1308" max="1308" width="1" style="111" customWidth="1"/>
    <col min="1309" max="1320" width="21.85546875" style="111" customWidth="1"/>
    <col min="1321" max="1321" width="1" style="111" customWidth="1"/>
    <col min="1322" max="1333" width="21.85546875" style="111" customWidth="1"/>
    <col min="1334" max="1536" width="9.140625" style="111"/>
    <col min="1537" max="1537" width="0" style="111" hidden="1" customWidth="1"/>
    <col min="1538" max="1538" width="12.7109375" style="111" customWidth="1"/>
    <col min="1539" max="1539" width="35.42578125" style="111" customWidth="1"/>
    <col min="1540" max="1540" width="1" style="111" customWidth="1"/>
    <col min="1541" max="1541" width="1.140625" style="111" customWidth="1"/>
    <col min="1542" max="1543" width="21" style="111" customWidth="1"/>
    <col min="1544" max="1544" width="19.28515625" style="111" customWidth="1"/>
    <col min="1545" max="1545" width="12.7109375" style="111" customWidth="1"/>
    <col min="1546" max="1546" width="2.7109375" style="111" customWidth="1"/>
    <col min="1547" max="1547" width="19.5703125" style="111" customWidth="1"/>
    <col min="1548" max="1548" width="18.5703125" style="111" customWidth="1"/>
    <col min="1549" max="1549" width="19.28515625" style="111" customWidth="1"/>
    <col min="1550" max="1550" width="12.7109375" style="111" customWidth="1"/>
    <col min="1551" max="1551" width="40.28515625" style="111" customWidth="1"/>
    <col min="1552" max="1552" width="2.7109375" style="111" customWidth="1"/>
    <col min="1553" max="1554" width="21" style="111" customWidth="1"/>
    <col min="1555" max="1555" width="19.28515625" style="111" customWidth="1"/>
    <col min="1556" max="1556" width="12.7109375" style="111" customWidth="1"/>
    <col min="1557" max="1557" width="2.7109375" style="111" customWidth="1"/>
    <col min="1558" max="1559" width="21" style="111" customWidth="1"/>
    <col min="1560" max="1560" width="19.28515625" style="111" customWidth="1"/>
    <col min="1561" max="1561" width="12.7109375" style="111" customWidth="1"/>
    <col min="1562" max="1562" width="6.28515625" style="111" customWidth="1"/>
    <col min="1563" max="1563" width="21.85546875" style="111" customWidth="1"/>
    <col min="1564" max="1564" width="1" style="111" customWidth="1"/>
    <col min="1565" max="1576" width="21.85546875" style="111" customWidth="1"/>
    <col min="1577" max="1577" width="1" style="111" customWidth="1"/>
    <col min="1578" max="1589" width="21.85546875" style="111" customWidth="1"/>
    <col min="1590" max="1792" width="9.140625" style="111"/>
    <col min="1793" max="1793" width="0" style="111" hidden="1" customWidth="1"/>
    <col min="1794" max="1794" width="12.7109375" style="111" customWidth="1"/>
    <col min="1795" max="1795" width="35.42578125" style="111" customWidth="1"/>
    <col min="1796" max="1796" width="1" style="111" customWidth="1"/>
    <col min="1797" max="1797" width="1.140625" style="111" customWidth="1"/>
    <col min="1798" max="1799" width="21" style="111" customWidth="1"/>
    <col min="1800" max="1800" width="19.28515625" style="111" customWidth="1"/>
    <col min="1801" max="1801" width="12.7109375" style="111" customWidth="1"/>
    <col min="1802" max="1802" width="2.7109375" style="111" customWidth="1"/>
    <col min="1803" max="1803" width="19.5703125" style="111" customWidth="1"/>
    <col min="1804" max="1804" width="18.5703125" style="111" customWidth="1"/>
    <col min="1805" max="1805" width="19.28515625" style="111" customWidth="1"/>
    <col min="1806" max="1806" width="12.7109375" style="111" customWidth="1"/>
    <col min="1807" max="1807" width="40.28515625" style="111" customWidth="1"/>
    <col min="1808" max="1808" width="2.7109375" style="111" customWidth="1"/>
    <col min="1809" max="1810" width="21" style="111" customWidth="1"/>
    <col min="1811" max="1811" width="19.28515625" style="111" customWidth="1"/>
    <col min="1812" max="1812" width="12.7109375" style="111" customWidth="1"/>
    <col min="1813" max="1813" width="2.7109375" style="111" customWidth="1"/>
    <col min="1814" max="1815" width="21" style="111" customWidth="1"/>
    <col min="1816" max="1816" width="19.28515625" style="111" customWidth="1"/>
    <col min="1817" max="1817" width="12.7109375" style="111" customWidth="1"/>
    <col min="1818" max="1818" width="6.28515625" style="111" customWidth="1"/>
    <col min="1819" max="1819" width="21.85546875" style="111" customWidth="1"/>
    <col min="1820" max="1820" width="1" style="111" customWidth="1"/>
    <col min="1821" max="1832" width="21.85546875" style="111" customWidth="1"/>
    <col min="1833" max="1833" width="1" style="111" customWidth="1"/>
    <col min="1834" max="1845" width="21.85546875" style="111" customWidth="1"/>
    <col min="1846" max="2048" width="9.140625" style="111"/>
    <col min="2049" max="2049" width="0" style="111" hidden="1" customWidth="1"/>
    <col min="2050" max="2050" width="12.7109375" style="111" customWidth="1"/>
    <col min="2051" max="2051" width="35.42578125" style="111" customWidth="1"/>
    <col min="2052" max="2052" width="1" style="111" customWidth="1"/>
    <col min="2053" max="2053" width="1.140625" style="111" customWidth="1"/>
    <col min="2054" max="2055" width="21" style="111" customWidth="1"/>
    <col min="2056" max="2056" width="19.28515625" style="111" customWidth="1"/>
    <col min="2057" max="2057" width="12.7109375" style="111" customWidth="1"/>
    <col min="2058" max="2058" width="2.7109375" style="111" customWidth="1"/>
    <col min="2059" max="2059" width="19.5703125" style="111" customWidth="1"/>
    <col min="2060" max="2060" width="18.5703125" style="111" customWidth="1"/>
    <col min="2061" max="2061" width="19.28515625" style="111" customWidth="1"/>
    <col min="2062" max="2062" width="12.7109375" style="111" customWidth="1"/>
    <col min="2063" max="2063" width="40.28515625" style="111" customWidth="1"/>
    <col min="2064" max="2064" width="2.7109375" style="111" customWidth="1"/>
    <col min="2065" max="2066" width="21" style="111" customWidth="1"/>
    <col min="2067" max="2067" width="19.28515625" style="111" customWidth="1"/>
    <col min="2068" max="2068" width="12.7109375" style="111" customWidth="1"/>
    <col min="2069" max="2069" width="2.7109375" style="111" customWidth="1"/>
    <col min="2070" max="2071" width="21" style="111" customWidth="1"/>
    <col min="2072" max="2072" width="19.28515625" style="111" customWidth="1"/>
    <col min="2073" max="2073" width="12.7109375" style="111" customWidth="1"/>
    <col min="2074" max="2074" width="6.28515625" style="111" customWidth="1"/>
    <col min="2075" max="2075" width="21.85546875" style="111" customWidth="1"/>
    <col min="2076" max="2076" width="1" style="111" customWidth="1"/>
    <col min="2077" max="2088" width="21.85546875" style="111" customWidth="1"/>
    <col min="2089" max="2089" width="1" style="111" customWidth="1"/>
    <col min="2090" max="2101" width="21.85546875" style="111" customWidth="1"/>
    <col min="2102" max="2304" width="9.140625" style="111"/>
    <col min="2305" max="2305" width="0" style="111" hidden="1" customWidth="1"/>
    <col min="2306" max="2306" width="12.7109375" style="111" customWidth="1"/>
    <col min="2307" max="2307" width="35.42578125" style="111" customWidth="1"/>
    <col min="2308" max="2308" width="1" style="111" customWidth="1"/>
    <col min="2309" max="2309" width="1.140625" style="111" customWidth="1"/>
    <col min="2310" max="2311" width="21" style="111" customWidth="1"/>
    <col min="2312" max="2312" width="19.28515625" style="111" customWidth="1"/>
    <col min="2313" max="2313" width="12.7109375" style="111" customWidth="1"/>
    <col min="2314" max="2314" width="2.7109375" style="111" customWidth="1"/>
    <col min="2315" max="2315" width="19.5703125" style="111" customWidth="1"/>
    <col min="2316" max="2316" width="18.5703125" style="111" customWidth="1"/>
    <col min="2317" max="2317" width="19.28515625" style="111" customWidth="1"/>
    <col min="2318" max="2318" width="12.7109375" style="111" customWidth="1"/>
    <col min="2319" max="2319" width="40.28515625" style="111" customWidth="1"/>
    <col min="2320" max="2320" width="2.7109375" style="111" customWidth="1"/>
    <col min="2321" max="2322" width="21" style="111" customWidth="1"/>
    <col min="2323" max="2323" width="19.28515625" style="111" customWidth="1"/>
    <col min="2324" max="2324" width="12.7109375" style="111" customWidth="1"/>
    <col min="2325" max="2325" width="2.7109375" style="111" customWidth="1"/>
    <col min="2326" max="2327" width="21" style="111" customWidth="1"/>
    <col min="2328" max="2328" width="19.28515625" style="111" customWidth="1"/>
    <col min="2329" max="2329" width="12.7109375" style="111" customWidth="1"/>
    <col min="2330" max="2330" width="6.28515625" style="111" customWidth="1"/>
    <col min="2331" max="2331" width="21.85546875" style="111" customWidth="1"/>
    <col min="2332" max="2332" width="1" style="111" customWidth="1"/>
    <col min="2333" max="2344" width="21.85546875" style="111" customWidth="1"/>
    <col min="2345" max="2345" width="1" style="111" customWidth="1"/>
    <col min="2346" max="2357" width="21.85546875" style="111" customWidth="1"/>
    <col min="2358" max="2560" width="9.140625" style="111"/>
    <col min="2561" max="2561" width="0" style="111" hidden="1" customWidth="1"/>
    <col min="2562" max="2562" width="12.7109375" style="111" customWidth="1"/>
    <col min="2563" max="2563" width="35.42578125" style="111" customWidth="1"/>
    <col min="2564" max="2564" width="1" style="111" customWidth="1"/>
    <col min="2565" max="2565" width="1.140625" style="111" customWidth="1"/>
    <col min="2566" max="2567" width="21" style="111" customWidth="1"/>
    <col min="2568" max="2568" width="19.28515625" style="111" customWidth="1"/>
    <col min="2569" max="2569" width="12.7109375" style="111" customWidth="1"/>
    <col min="2570" max="2570" width="2.7109375" style="111" customWidth="1"/>
    <col min="2571" max="2571" width="19.5703125" style="111" customWidth="1"/>
    <col min="2572" max="2572" width="18.5703125" style="111" customWidth="1"/>
    <col min="2573" max="2573" width="19.28515625" style="111" customWidth="1"/>
    <col min="2574" max="2574" width="12.7109375" style="111" customWidth="1"/>
    <col min="2575" max="2575" width="40.28515625" style="111" customWidth="1"/>
    <col min="2576" max="2576" width="2.7109375" style="111" customWidth="1"/>
    <col min="2577" max="2578" width="21" style="111" customWidth="1"/>
    <col min="2579" max="2579" width="19.28515625" style="111" customWidth="1"/>
    <col min="2580" max="2580" width="12.7109375" style="111" customWidth="1"/>
    <col min="2581" max="2581" width="2.7109375" style="111" customWidth="1"/>
    <col min="2582" max="2583" width="21" style="111" customWidth="1"/>
    <col min="2584" max="2584" width="19.28515625" style="111" customWidth="1"/>
    <col min="2585" max="2585" width="12.7109375" style="111" customWidth="1"/>
    <col min="2586" max="2586" width="6.28515625" style="111" customWidth="1"/>
    <col min="2587" max="2587" width="21.85546875" style="111" customWidth="1"/>
    <col min="2588" max="2588" width="1" style="111" customWidth="1"/>
    <col min="2589" max="2600" width="21.85546875" style="111" customWidth="1"/>
    <col min="2601" max="2601" width="1" style="111" customWidth="1"/>
    <col min="2602" max="2613" width="21.85546875" style="111" customWidth="1"/>
    <col min="2614" max="2816" width="9.140625" style="111"/>
    <col min="2817" max="2817" width="0" style="111" hidden="1" customWidth="1"/>
    <col min="2818" max="2818" width="12.7109375" style="111" customWidth="1"/>
    <col min="2819" max="2819" width="35.42578125" style="111" customWidth="1"/>
    <col min="2820" max="2820" width="1" style="111" customWidth="1"/>
    <col min="2821" max="2821" width="1.140625" style="111" customWidth="1"/>
    <col min="2822" max="2823" width="21" style="111" customWidth="1"/>
    <col min="2824" max="2824" width="19.28515625" style="111" customWidth="1"/>
    <col min="2825" max="2825" width="12.7109375" style="111" customWidth="1"/>
    <col min="2826" max="2826" width="2.7109375" style="111" customWidth="1"/>
    <col min="2827" max="2827" width="19.5703125" style="111" customWidth="1"/>
    <col min="2828" max="2828" width="18.5703125" style="111" customWidth="1"/>
    <col min="2829" max="2829" width="19.28515625" style="111" customWidth="1"/>
    <col min="2830" max="2830" width="12.7109375" style="111" customWidth="1"/>
    <col min="2831" max="2831" width="40.28515625" style="111" customWidth="1"/>
    <col min="2832" max="2832" width="2.7109375" style="111" customWidth="1"/>
    <col min="2833" max="2834" width="21" style="111" customWidth="1"/>
    <col min="2835" max="2835" width="19.28515625" style="111" customWidth="1"/>
    <col min="2836" max="2836" width="12.7109375" style="111" customWidth="1"/>
    <col min="2837" max="2837" width="2.7109375" style="111" customWidth="1"/>
    <col min="2838" max="2839" width="21" style="111" customWidth="1"/>
    <col min="2840" max="2840" width="19.28515625" style="111" customWidth="1"/>
    <col min="2841" max="2841" width="12.7109375" style="111" customWidth="1"/>
    <col min="2842" max="2842" width="6.28515625" style="111" customWidth="1"/>
    <col min="2843" max="2843" width="21.85546875" style="111" customWidth="1"/>
    <col min="2844" max="2844" width="1" style="111" customWidth="1"/>
    <col min="2845" max="2856" width="21.85546875" style="111" customWidth="1"/>
    <col min="2857" max="2857" width="1" style="111" customWidth="1"/>
    <col min="2858" max="2869" width="21.85546875" style="111" customWidth="1"/>
    <col min="2870" max="3072" width="9.140625" style="111"/>
    <col min="3073" max="3073" width="0" style="111" hidden="1" customWidth="1"/>
    <col min="3074" max="3074" width="12.7109375" style="111" customWidth="1"/>
    <col min="3075" max="3075" width="35.42578125" style="111" customWidth="1"/>
    <col min="3076" max="3076" width="1" style="111" customWidth="1"/>
    <col min="3077" max="3077" width="1.140625" style="111" customWidth="1"/>
    <col min="3078" max="3079" width="21" style="111" customWidth="1"/>
    <col min="3080" max="3080" width="19.28515625" style="111" customWidth="1"/>
    <col min="3081" max="3081" width="12.7109375" style="111" customWidth="1"/>
    <col min="3082" max="3082" width="2.7109375" style="111" customWidth="1"/>
    <col min="3083" max="3083" width="19.5703125" style="111" customWidth="1"/>
    <col min="3084" max="3084" width="18.5703125" style="111" customWidth="1"/>
    <col min="3085" max="3085" width="19.28515625" style="111" customWidth="1"/>
    <col min="3086" max="3086" width="12.7109375" style="111" customWidth="1"/>
    <col min="3087" max="3087" width="40.28515625" style="111" customWidth="1"/>
    <col min="3088" max="3088" width="2.7109375" style="111" customWidth="1"/>
    <col min="3089" max="3090" width="21" style="111" customWidth="1"/>
    <col min="3091" max="3091" width="19.28515625" style="111" customWidth="1"/>
    <col min="3092" max="3092" width="12.7109375" style="111" customWidth="1"/>
    <col min="3093" max="3093" width="2.7109375" style="111" customWidth="1"/>
    <col min="3094" max="3095" width="21" style="111" customWidth="1"/>
    <col min="3096" max="3096" width="19.28515625" style="111" customWidth="1"/>
    <col min="3097" max="3097" width="12.7109375" style="111" customWidth="1"/>
    <col min="3098" max="3098" width="6.28515625" style="111" customWidth="1"/>
    <col min="3099" max="3099" width="21.85546875" style="111" customWidth="1"/>
    <col min="3100" max="3100" width="1" style="111" customWidth="1"/>
    <col min="3101" max="3112" width="21.85546875" style="111" customWidth="1"/>
    <col min="3113" max="3113" width="1" style="111" customWidth="1"/>
    <col min="3114" max="3125" width="21.85546875" style="111" customWidth="1"/>
    <col min="3126" max="3328" width="9.140625" style="111"/>
    <col min="3329" max="3329" width="0" style="111" hidden="1" customWidth="1"/>
    <col min="3330" max="3330" width="12.7109375" style="111" customWidth="1"/>
    <col min="3331" max="3331" width="35.42578125" style="111" customWidth="1"/>
    <col min="3332" max="3332" width="1" style="111" customWidth="1"/>
    <col min="3333" max="3333" width="1.140625" style="111" customWidth="1"/>
    <col min="3334" max="3335" width="21" style="111" customWidth="1"/>
    <col min="3336" max="3336" width="19.28515625" style="111" customWidth="1"/>
    <col min="3337" max="3337" width="12.7109375" style="111" customWidth="1"/>
    <col min="3338" max="3338" width="2.7109375" style="111" customWidth="1"/>
    <col min="3339" max="3339" width="19.5703125" style="111" customWidth="1"/>
    <col min="3340" max="3340" width="18.5703125" style="111" customWidth="1"/>
    <col min="3341" max="3341" width="19.28515625" style="111" customWidth="1"/>
    <col min="3342" max="3342" width="12.7109375" style="111" customWidth="1"/>
    <col min="3343" max="3343" width="40.28515625" style="111" customWidth="1"/>
    <col min="3344" max="3344" width="2.7109375" style="111" customWidth="1"/>
    <col min="3345" max="3346" width="21" style="111" customWidth="1"/>
    <col min="3347" max="3347" width="19.28515625" style="111" customWidth="1"/>
    <col min="3348" max="3348" width="12.7109375" style="111" customWidth="1"/>
    <col min="3349" max="3349" width="2.7109375" style="111" customWidth="1"/>
    <col min="3350" max="3351" width="21" style="111" customWidth="1"/>
    <col min="3352" max="3352" width="19.28515625" style="111" customWidth="1"/>
    <col min="3353" max="3353" width="12.7109375" style="111" customWidth="1"/>
    <col min="3354" max="3354" width="6.28515625" style="111" customWidth="1"/>
    <col min="3355" max="3355" width="21.85546875" style="111" customWidth="1"/>
    <col min="3356" max="3356" width="1" style="111" customWidth="1"/>
    <col min="3357" max="3368" width="21.85546875" style="111" customWidth="1"/>
    <col min="3369" max="3369" width="1" style="111" customWidth="1"/>
    <col min="3370" max="3381" width="21.85546875" style="111" customWidth="1"/>
    <col min="3382" max="3584" width="9.140625" style="111"/>
    <col min="3585" max="3585" width="0" style="111" hidden="1" customWidth="1"/>
    <col min="3586" max="3586" width="12.7109375" style="111" customWidth="1"/>
    <col min="3587" max="3587" width="35.42578125" style="111" customWidth="1"/>
    <col min="3588" max="3588" width="1" style="111" customWidth="1"/>
    <col min="3589" max="3589" width="1.140625" style="111" customWidth="1"/>
    <col min="3590" max="3591" width="21" style="111" customWidth="1"/>
    <col min="3592" max="3592" width="19.28515625" style="111" customWidth="1"/>
    <col min="3593" max="3593" width="12.7109375" style="111" customWidth="1"/>
    <col min="3594" max="3594" width="2.7109375" style="111" customWidth="1"/>
    <col min="3595" max="3595" width="19.5703125" style="111" customWidth="1"/>
    <col min="3596" max="3596" width="18.5703125" style="111" customWidth="1"/>
    <col min="3597" max="3597" width="19.28515625" style="111" customWidth="1"/>
    <col min="3598" max="3598" width="12.7109375" style="111" customWidth="1"/>
    <col min="3599" max="3599" width="40.28515625" style="111" customWidth="1"/>
    <col min="3600" max="3600" width="2.7109375" style="111" customWidth="1"/>
    <col min="3601" max="3602" width="21" style="111" customWidth="1"/>
    <col min="3603" max="3603" width="19.28515625" style="111" customWidth="1"/>
    <col min="3604" max="3604" width="12.7109375" style="111" customWidth="1"/>
    <col min="3605" max="3605" width="2.7109375" style="111" customWidth="1"/>
    <col min="3606" max="3607" width="21" style="111" customWidth="1"/>
    <col min="3608" max="3608" width="19.28515625" style="111" customWidth="1"/>
    <col min="3609" max="3609" width="12.7109375" style="111" customWidth="1"/>
    <col min="3610" max="3610" width="6.28515625" style="111" customWidth="1"/>
    <col min="3611" max="3611" width="21.85546875" style="111" customWidth="1"/>
    <col min="3612" max="3612" width="1" style="111" customWidth="1"/>
    <col min="3613" max="3624" width="21.85546875" style="111" customWidth="1"/>
    <col min="3625" max="3625" width="1" style="111" customWidth="1"/>
    <col min="3626" max="3637" width="21.85546875" style="111" customWidth="1"/>
    <col min="3638" max="3840" width="9.140625" style="111"/>
    <col min="3841" max="3841" width="0" style="111" hidden="1" customWidth="1"/>
    <col min="3842" max="3842" width="12.7109375" style="111" customWidth="1"/>
    <col min="3843" max="3843" width="35.42578125" style="111" customWidth="1"/>
    <col min="3844" max="3844" width="1" style="111" customWidth="1"/>
    <col min="3845" max="3845" width="1.140625" style="111" customWidth="1"/>
    <col min="3846" max="3847" width="21" style="111" customWidth="1"/>
    <col min="3848" max="3848" width="19.28515625" style="111" customWidth="1"/>
    <col min="3849" max="3849" width="12.7109375" style="111" customWidth="1"/>
    <col min="3850" max="3850" width="2.7109375" style="111" customWidth="1"/>
    <col min="3851" max="3851" width="19.5703125" style="111" customWidth="1"/>
    <col min="3852" max="3852" width="18.5703125" style="111" customWidth="1"/>
    <col min="3853" max="3853" width="19.28515625" style="111" customWidth="1"/>
    <col min="3854" max="3854" width="12.7109375" style="111" customWidth="1"/>
    <col min="3855" max="3855" width="40.28515625" style="111" customWidth="1"/>
    <col min="3856" max="3856" width="2.7109375" style="111" customWidth="1"/>
    <col min="3857" max="3858" width="21" style="111" customWidth="1"/>
    <col min="3859" max="3859" width="19.28515625" style="111" customWidth="1"/>
    <col min="3860" max="3860" width="12.7109375" style="111" customWidth="1"/>
    <col min="3861" max="3861" width="2.7109375" style="111" customWidth="1"/>
    <col min="3862" max="3863" width="21" style="111" customWidth="1"/>
    <col min="3864" max="3864" width="19.28515625" style="111" customWidth="1"/>
    <col min="3865" max="3865" width="12.7109375" style="111" customWidth="1"/>
    <col min="3866" max="3866" width="6.28515625" style="111" customWidth="1"/>
    <col min="3867" max="3867" width="21.85546875" style="111" customWidth="1"/>
    <col min="3868" max="3868" width="1" style="111" customWidth="1"/>
    <col min="3869" max="3880" width="21.85546875" style="111" customWidth="1"/>
    <col min="3881" max="3881" width="1" style="111" customWidth="1"/>
    <col min="3882" max="3893" width="21.85546875" style="111" customWidth="1"/>
    <col min="3894" max="4096" width="9.140625" style="111"/>
    <col min="4097" max="4097" width="0" style="111" hidden="1" customWidth="1"/>
    <col min="4098" max="4098" width="12.7109375" style="111" customWidth="1"/>
    <col min="4099" max="4099" width="35.42578125" style="111" customWidth="1"/>
    <col min="4100" max="4100" width="1" style="111" customWidth="1"/>
    <col min="4101" max="4101" width="1.140625" style="111" customWidth="1"/>
    <col min="4102" max="4103" width="21" style="111" customWidth="1"/>
    <col min="4104" max="4104" width="19.28515625" style="111" customWidth="1"/>
    <col min="4105" max="4105" width="12.7109375" style="111" customWidth="1"/>
    <col min="4106" max="4106" width="2.7109375" style="111" customWidth="1"/>
    <col min="4107" max="4107" width="19.5703125" style="111" customWidth="1"/>
    <col min="4108" max="4108" width="18.5703125" style="111" customWidth="1"/>
    <col min="4109" max="4109" width="19.28515625" style="111" customWidth="1"/>
    <col min="4110" max="4110" width="12.7109375" style="111" customWidth="1"/>
    <col min="4111" max="4111" width="40.28515625" style="111" customWidth="1"/>
    <col min="4112" max="4112" width="2.7109375" style="111" customWidth="1"/>
    <col min="4113" max="4114" width="21" style="111" customWidth="1"/>
    <col min="4115" max="4115" width="19.28515625" style="111" customWidth="1"/>
    <col min="4116" max="4116" width="12.7109375" style="111" customWidth="1"/>
    <col min="4117" max="4117" width="2.7109375" style="111" customWidth="1"/>
    <col min="4118" max="4119" width="21" style="111" customWidth="1"/>
    <col min="4120" max="4120" width="19.28515625" style="111" customWidth="1"/>
    <col min="4121" max="4121" width="12.7109375" style="111" customWidth="1"/>
    <col min="4122" max="4122" width="6.28515625" style="111" customWidth="1"/>
    <col min="4123" max="4123" width="21.85546875" style="111" customWidth="1"/>
    <col min="4124" max="4124" width="1" style="111" customWidth="1"/>
    <col min="4125" max="4136" width="21.85546875" style="111" customWidth="1"/>
    <col min="4137" max="4137" width="1" style="111" customWidth="1"/>
    <col min="4138" max="4149" width="21.85546875" style="111" customWidth="1"/>
    <col min="4150" max="4352" width="9.140625" style="111"/>
    <col min="4353" max="4353" width="0" style="111" hidden="1" customWidth="1"/>
    <col min="4354" max="4354" width="12.7109375" style="111" customWidth="1"/>
    <col min="4355" max="4355" width="35.42578125" style="111" customWidth="1"/>
    <col min="4356" max="4356" width="1" style="111" customWidth="1"/>
    <col min="4357" max="4357" width="1.140625" style="111" customWidth="1"/>
    <col min="4358" max="4359" width="21" style="111" customWidth="1"/>
    <col min="4360" max="4360" width="19.28515625" style="111" customWidth="1"/>
    <col min="4361" max="4361" width="12.7109375" style="111" customWidth="1"/>
    <col min="4362" max="4362" width="2.7109375" style="111" customWidth="1"/>
    <col min="4363" max="4363" width="19.5703125" style="111" customWidth="1"/>
    <col min="4364" max="4364" width="18.5703125" style="111" customWidth="1"/>
    <col min="4365" max="4365" width="19.28515625" style="111" customWidth="1"/>
    <col min="4366" max="4366" width="12.7109375" style="111" customWidth="1"/>
    <col min="4367" max="4367" width="40.28515625" style="111" customWidth="1"/>
    <col min="4368" max="4368" width="2.7109375" style="111" customWidth="1"/>
    <col min="4369" max="4370" width="21" style="111" customWidth="1"/>
    <col min="4371" max="4371" width="19.28515625" style="111" customWidth="1"/>
    <col min="4372" max="4372" width="12.7109375" style="111" customWidth="1"/>
    <col min="4373" max="4373" width="2.7109375" style="111" customWidth="1"/>
    <col min="4374" max="4375" width="21" style="111" customWidth="1"/>
    <col min="4376" max="4376" width="19.28515625" style="111" customWidth="1"/>
    <col min="4377" max="4377" width="12.7109375" style="111" customWidth="1"/>
    <col min="4378" max="4378" width="6.28515625" style="111" customWidth="1"/>
    <col min="4379" max="4379" width="21.85546875" style="111" customWidth="1"/>
    <col min="4380" max="4380" width="1" style="111" customWidth="1"/>
    <col min="4381" max="4392" width="21.85546875" style="111" customWidth="1"/>
    <col min="4393" max="4393" width="1" style="111" customWidth="1"/>
    <col min="4394" max="4405" width="21.85546875" style="111" customWidth="1"/>
    <col min="4406" max="4608" width="9.140625" style="111"/>
    <col min="4609" max="4609" width="0" style="111" hidden="1" customWidth="1"/>
    <col min="4610" max="4610" width="12.7109375" style="111" customWidth="1"/>
    <col min="4611" max="4611" width="35.42578125" style="111" customWidth="1"/>
    <col min="4612" max="4612" width="1" style="111" customWidth="1"/>
    <col min="4613" max="4613" width="1.140625" style="111" customWidth="1"/>
    <col min="4614" max="4615" width="21" style="111" customWidth="1"/>
    <col min="4616" max="4616" width="19.28515625" style="111" customWidth="1"/>
    <col min="4617" max="4617" width="12.7109375" style="111" customWidth="1"/>
    <col min="4618" max="4618" width="2.7109375" style="111" customWidth="1"/>
    <col min="4619" max="4619" width="19.5703125" style="111" customWidth="1"/>
    <col min="4620" max="4620" width="18.5703125" style="111" customWidth="1"/>
    <col min="4621" max="4621" width="19.28515625" style="111" customWidth="1"/>
    <col min="4622" max="4622" width="12.7109375" style="111" customWidth="1"/>
    <col min="4623" max="4623" width="40.28515625" style="111" customWidth="1"/>
    <col min="4624" max="4624" width="2.7109375" style="111" customWidth="1"/>
    <col min="4625" max="4626" width="21" style="111" customWidth="1"/>
    <col min="4627" max="4627" width="19.28515625" style="111" customWidth="1"/>
    <col min="4628" max="4628" width="12.7109375" style="111" customWidth="1"/>
    <col min="4629" max="4629" width="2.7109375" style="111" customWidth="1"/>
    <col min="4630" max="4631" width="21" style="111" customWidth="1"/>
    <col min="4632" max="4632" width="19.28515625" style="111" customWidth="1"/>
    <col min="4633" max="4633" width="12.7109375" style="111" customWidth="1"/>
    <col min="4634" max="4634" width="6.28515625" style="111" customWidth="1"/>
    <col min="4635" max="4635" width="21.85546875" style="111" customWidth="1"/>
    <col min="4636" max="4636" width="1" style="111" customWidth="1"/>
    <col min="4637" max="4648" width="21.85546875" style="111" customWidth="1"/>
    <col min="4649" max="4649" width="1" style="111" customWidth="1"/>
    <col min="4650" max="4661" width="21.85546875" style="111" customWidth="1"/>
    <col min="4662" max="4864" width="9.140625" style="111"/>
    <col min="4865" max="4865" width="0" style="111" hidden="1" customWidth="1"/>
    <col min="4866" max="4866" width="12.7109375" style="111" customWidth="1"/>
    <col min="4867" max="4867" width="35.42578125" style="111" customWidth="1"/>
    <col min="4868" max="4868" width="1" style="111" customWidth="1"/>
    <col min="4869" max="4869" width="1.140625" style="111" customWidth="1"/>
    <col min="4870" max="4871" width="21" style="111" customWidth="1"/>
    <col min="4872" max="4872" width="19.28515625" style="111" customWidth="1"/>
    <col min="4873" max="4873" width="12.7109375" style="111" customWidth="1"/>
    <col min="4874" max="4874" width="2.7109375" style="111" customWidth="1"/>
    <col min="4875" max="4875" width="19.5703125" style="111" customWidth="1"/>
    <col min="4876" max="4876" width="18.5703125" style="111" customWidth="1"/>
    <col min="4877" max="4877" width="19.28515625" style="111" customWidth="1"/>
    <col min="4878" max="4878" width="12.7109375" style="111" customWidth="1"/>
    <col min="4879" max="4879" width="40.28515625" style="111" customWidth="1"/>
    <col min="4880" max="4880" width="2.7109375" style="111" customWidth="1"/>
    <col min="4881" max="4882" width="21" style="111" customWidth="1"/>
    <col min="4883" max="4883" width="19.28515625" style="111" customWidth="1"/>
    <col min="4884" max="4884" width="12.7109375" style="111" customWidth="1"/>
    <col min="4885" max="4885" width="2.7109375" style="111" customWidth="1"/>
    <col min="4886" max="4887" width="21" style="111" customWidth="1"/>
    <col min="4888" max="4888" width="19.28515625" style="111" customWidth="1"/>
    <col min="4889" max="4889" width="12.7109375" style="111" customWidth="1"/>
    <col min="4890" max="4890" width="6.28515625" style="111" customWidth="1"/>
    <col min="4891" max="4891" width="21.85546875" style="111" customWidth="1"/>
    <col min="4892" max="4892" width="1" style="111" customWidth="1"/>
    <col min="4893" max="4904" width="21.85546875" style="111" customWidth="1"/>
    <col min="4905" max="4905" width="1" style="111" customWidth="1"/>
    <col min="4906" max="4917" width="21.85546875" style="111" customWidth="1"/>
    <col min="4918" max="5120" width="9.140625" style="111"/>
    <col min="5121" max="5121" width="0" style="111" hidden="1" customWidth="1"/>
    <col min="5122" max="5122" width="12.7109375" style="111" customWidth="1"/>
    <col min="5123" max="5123" width="35.42578125" style="111" customWidth="1"/>
    <col min="5124" max="5124" width="1" style="111" customWidth="1"/>
    <col min="5125" max="5125" width="1.140625" style="111" customWidth="1"/>
    <col min="5126" max="5127" width="21" style="111" customWidth="1"/>
    <col min="5128" max="5128" width="19.28515625" style="111" customWidth="1"/>
    <col min="5129" max="5129" width="12.7109375" style="111" customWidth="1"/>
    <col min="5130" max="5130" width="2.7109375" style="111" customWidth="1"/>
    <col min="5131" max="5131" width="19.5703125" style="111" customWidth="1"/>
    <col min="5132" max="5132" width="18.5703125" style="111" customWidth="1"/>
    <col min="5133" max="5133" width="19.28515625" style="111" customWidth="1"/>
    <col min="5134" max="5134" width="12.7109375" style="111" customWidth="1"/>
    <col min="5135" max="5135" width="40.28515625" style="111" customWidth="1"/>
    <col min="5136" max="5136" width="2.7109375" style="111" customWidth="1"/>
    <col min="5137" max="5138" width="21" style="111" customWidth="1"/>
    <col min="5139" max="5139" width="19.28515625" style="111" customWidth="1"/>
    <col min="5140" max="5140" width="12.7109375" style="111" customWidth="1"/>
    <col min="5141" max="5141" width="2.7109375" style="111" customWidth="1"/>
    <col min="5142" max="5143" width="21" style="111" customWidth="1"/>
    <col min="5144" max="5144" width="19.28515625" style="111" customWidth="1"/>
    <col min="5145" max="5145" width="12.7109375" style="111" customWidth="1"/>
    <col min="5146" max="5146" width="6.28515625" style="111" customWidth="1"/>
    <col min="5147" max="5147" width="21.85546875" style="111" customWidth="1"/>
    <col min="5148" max="5148" width="1" style="111" customWidth="1"/>
    <col min="5149" max="5160" width="21.85546875" style="111" customWidth="1"/>
    <col min="5161" max="5161" width="1" style="111" customWidth="1"/>
    <col min="5162" max="5173" width="21.85546875" style="111" customWidth="1"/>
    <col min="5174" max="5376" width="9.140625" style="111"/>
    <col min="5377" max="5377" width="0" style="111" hidden="1" customWidth="1"/>
    <col min="5378" max="5378" width="12.7109375" style="111" customWidth="1"/>
    <col min="5379" max="5379" width="35.42578125" style="111" customWidth="1"/>
    <col min="5380" max="5380" width="1" style="111" customWidth="1"/>
    <col min="5381" max="5381" width="1.140625" style="111" customWidth="1"/>
    <col min="5382" max="5383" width="21" style="111" customWidth="1"/>
    <col min="5384" max="5384" width="19.28515625" style="111" customWidth="1"/>
    <col min="5385" max="5385" width="12.7109375" style="111" customWidth="1"/>
    <col min="5386" max="5386" width="2.7109375" style="111" customWidth="1"/>
    <col min="5387" max="5387" width="19.5703125" style="111" customWidth="1"/>
    <col min="5388" max="5388" width="18.5703125" style="111" customWidth="1"/>
    <col min="5389" max="5389" width="19.28515625" style="111" customWidth="1"/>
    <col min="5390" max="5390" width="12.7109375" style="111" customWidth="1"/>
    <col min="5391" max="5391" width="40.28515625" style="111" customWidth="1"/>
    <col min="5392" max="5392" width="2.7109375" style="111" customWidth="1"/>
    <col min="5393" max="5394" width="21" style="111" customWidth="1"/>
    <col min="5395" max="5395" width="19.28515625" style="111" customWidth="1"/>
    <col min="5396" max="5396" width="12.7109375" style="111" customWidth="1"/>
    <col min="5397" max="5397" width="2.7109375" style="111" customWidth="1"/>
    <col min="5398" max="5399" width="21" style="111" customWidth="1"/>
    <col min="5400" max="5400" width="19.28515625" style="111" customWidth="1"/>
    <col min="5401" max="5401" width="12.7109375" style="111" customWidth="1"/>
    <col min="5402" max="5402" width="6.28515625" style="111" customWidth="1"/>
    <col min="5403" max="5403" width="21.85546875" style="111" customWidth="1"/>
    <col min="5404" max="5404" width="1" style="111" customWidth="1"/>
    <col min="5405" max="5416" width="21.85546875" style="111" customWidth="1"/>
    <col min="5417" max="5417" width="1" style="111" customWidth="1"/>
    <col min="5418" max="5429" width="21.85546875" style="111" customWidth="1"/>
    <col min="5430" max="5632" width="9.140625" style="111"/>
    <col min="5633" max="5633" width="0" style="111" hidden="1" customWidth="1"/>
    <col min="5634" max="5634" width="12.7109375" style="111" customWidth="1"/>
    <col min="5635" max="5635" width="35.42578125" style="111" customWidth="1"/>
    <col min="5636" max="5636" width="1" style="111" customWidth="1"/>
    <col min="5637" max="5637" width="1.140625" style="111" customWidth="1"/>
    <col min="5638" max="5639" width="21" style="111" customWidth="1"/>
    <col min="5640" max="5640" width="19.28515625" style="111" customWidth="1"/>
    <col min="5641" max="5641" width="12.7109375" style="111" customWidth="1"/>
    <col min="5642" max="5642" width="2.7109375" style="111" customWidth="1"/>
    <col min="5643" max="5643" width="19.5703125" style="111" customWidth="1"/>
    <col min="5644" max="5644" width="18.5703125" style="111" customWidth="1"/>
    <col min="5645" max="5645" width="19.28515625" style="111" customWidth="1"/>
    <col min="5646" max="5646" width="12.7109375" style="111" customWidth="1"/>
    <col min="5647" max="5647" width="40.28515625" style="111" customWidth="1"/>
    <col min="5648" max="5648" width="2.7109375" style="111" customWidth="1"/>
    <col min="5649" max="5650" width="21" style="111" customWidth="1"/>
    <col min="5651" max="5651" width="19.28515625" style="111" customWidth="1"/>
    <col min="5652" max="5652" width="12.7109375" style="111" customWidth="1"/>
    <col min="5653" max="5653" width="2.7109375" style="111" customWidth="1"/>
    <col min="5654" max="5655" width="21" style="111" customWidth="1"/>
    <col min="5656" max="5656" width="19.28515625" style="111" customWidth="1"/>
    <col min="5657" max="5657" width="12.7109375" style="111" customWidth="1"/>
    <col min="5658" max="5658" width="6.28515625" style="111" customWidth="1"/>
    <col min="5659" max="5659" width="21.85546875" style="111" customWidth="1"/>
    <col min="5660" max="5660" width="1" style="111" customWidth="1"/>
    <col min="5661" max="5672" width="21.85546875" style="111" customWidth="1"/>
    <col min="5673" max="5673" width="1" style="111" customWidth="1"/>
    <col min="5674" max="5685" width="21.85546875" style="111" customWidth="1"/>
    <col min="5686" max="5888" width="9.140625" style="111"/>
    <col min="5889" max="5889" width="0" style="111" hidden="1" customWidth="1"/>
    <col min="5890" max="5890" width="12.7109375" style="111" customWidth="1"/>
    <col min="5891" max="5891" width="35.42578125" style="111" customWidth="1"/>
    <col min="5892" max="5892" width="1" style="111" customWidth="1"/>
    <col min="5893" max="5893" width="1.140625" style="111" customWidth="1"/>
    <col min="5894" max="5895" width="21" style="111" customWidth="1"/>
    <col min="5896" max="5896" width="19.28515625" style="111" customWidth="1"/>
    <col min="5897" max="5897" width="12.7109375" style="111" customWidth="1"/>
    <col min="5898" max="5898" width="2.7109375" style="111" customWidth="1"/>
    <col min="5899" max="5899" width="19.5703125" style="111" customWidth="1"/>
    <col min="5900" max="5900" width="18.5703125" style="111" customWidth="1"/>
    <col min="5901" max="5901" width="19.28515625" style="111" customWidth="1"/>
    <col min="5902" max="5902" width="12.7109375" style="111" customWidth="1"/>
    <col min="5903" max="5903" width="40.28515625" style="111" customWidth="1"/>
    <col min="5904" max="5904" width="2.7109375" style="111" customWidth="1"/>
    <col min="5905" max="5906" width="21" style="111" customWidth="1"/>
    <col min="5907" max="5907" width="19.28515625" style="111" customWidth="1"/>
    <col min="5908" max="5908" width="12.7109375" style="111" customWidth="1"/>
    <col min="5909" max="5909" width="2.7109375" style="111" customWidth="1"/>
    <col min="5910" max="5911" width="21" style="111" customWidth="1"/>
    <col min="5912" max="5912" width="19.28515625" style="111" customWidth="1"/>
    <col min="5913" max="5913" width="12.7109375" style="111" customWidth="1"/>
    <col min="5914" max="5914" width="6.28515625" style="111" customWidth="1"/>
    <col min="5915" max="5915" width="21.85546875" style="111" customWidth="1"/>
    <col min="5916" max="5916" width="1" style="111" customWidth="1"/>
    <col min="5917" max="5928" width="21.85546875" style="111" customWidth="1"/>
    <col min="5929" max="5929" width="1" style="111" customWidth="1"/>
    <col min="5930" max="5941" width="21.85546875" style="111" customWidth="1"/>
    <col min="5942" max="6144" width="9.140625" style="111"/>
    <col min="6145" max="6145" width="0" style="111" hidden="1" customWidth="1"/>
    <col min="6146" max="6146" width="12.7109375" style="111" customWidth="1"/>
    <col min="6147" max="6147" width="35.42578125" style="111" customWidth="1"/>
    <col min="6148" max="6148" width="1" style="111" customWidth="1"/>
    <col min="6149" max="6149" width="1.140625" style="111" customWidth="1"/>
    <col min="6150" max="6151" width="21" style="111" customWidth="1"/>
    <col min="6152" max="6152" width="19.28515625" style="111" customWidth="1"/>
    <col min="6153" max="6153" width="12.7109375" style="111" customWidth="1"/>
    <col min="6154" max="6154" width="2.7109375" style="111" customWidth="1"/>
    <col min="6155" max="6155" width="19.5703125" style="111" customWidth="1"/>
    <col min="6156" max="6156" width="18.5703125" style="111" customWidth="1"/>
    <col min="6157" max="6157" width="19.28515625" style="111" customWidth="1"/>
    <col min="6158" max="6158" width="12.7109375" style="111" customWidth="1"/>
    <col min="6159" max="6159" width="40.28515625" style="111" customWidth="1"/>
    <col min="6160" max="6160" width="2.7109375" style="111" customWidth="1"/>
    <col min="6161" max="6162" width="21" style="111" customWidth="1"/>
    <col min="6163" max="6163" width="19.28515625" style="111" customWidth="1"/>
    <col min="6164" max="6164" width="12.7109375" style="111" customWidth="1"/>
    <col min="6165" max="6165" width="2.7109375" style="111" customWidth="1"/>
    <col min="6166" max="6167" width="21" style="111" customWidth="1"/>
    <col min="6168" max="6168" width="19.28515625" style="111" customWidth="1"/>
    <col min="6169" max="6169" width="12.7109375" style="111" customWidth="1"/>
    <col min="6170" max="6170" width="6.28515625" style="111" customWidth="1"/>
    <col min="6171" max="6171" width="21.85546875" style="111" customWidth="1"/>
    <col min="6172" max="6172" width="1" style="111" customWidth="1"/>
    <col min="6173" max="6184" width="21.85546875" style="111" customWidth="1"/>
    <col min="6185" max="6185" width="1" style="111" customWidth="1"/>
    <col min="6186" max="6197" width="21.85546875" style="111" customWidth="1"/>
    <col min="6198" max="6400" width="9.140625" style="111"/>
    <col min="6401" max="6401" width="0" style="111" hidden="1" customWidth="1"/>
    <col min="6402" max="6402" width="12.7109375" style="111" customWidth="1"/>
    <col min="6403" max="6403" width="35.42578125" style="111" customWidth="1"/>
    <col min="6404" max="6404" width="1" style="111" customWidth="1"/>
    <col min="6405" max="6405" width="1.140625" style="111" customWidth="1"/>
    <col min="6406" max="6407" width="21" style="111" customWidth="1"/>
    <col min="6408" max="6408" width="19.28515625" style="111" customWidth="1"/>
    <col min="6409" max="6409" width="12.7109375" style="111" customWidth="1"/>
    <col min="6410" max="6410" width="2.7109375" style="111" customWidth="1"/>
    <col min="6411" max="6411" width="19.5703125" style="111" customWidth="1"/>
    <col min="6412" max="6412" width="18.5703125" style="111" customWidth="1"/>
    <col min="6413" max="6413" width="19.28515625" style="111" customWidth="1"/>
    <col min="6414" max="6414" width="12.7109375" style="111" customWidth="1"/>
    <col min="6415" max="6415" width="40.28515625" style="111" customWidth="1"/>
    <col min="6416" max="6416" width="2.7109375" style="111" customWidth="1"/>
    <col min="6417" max="6418" width="21" style="111" customWidth="1"/>
    <col min="6419" max="6419" width="19.28515625" style="111" customWidth="1"/>
    <col min="6420" max="6420" width="12.7109375" style="111" customWidth="1"/>
    <col min="6421" max="6421" width="2.7109375" style="111" customWidth="1"/>
    <col min="6422" max="6423" width="21" style="111" customWidth="1"/>
    <col min="6424" max="6424" width="19.28515625" style="111" customWidth="1"/>
    <col min="6425" max="6425" width="12.7109375" style="111" customWidth="1"/>
    <col min="6426" max="6426" width="6.28515625" style="111" customWidth="1"/>
    <col min="6427" max="6427" width="21.85546875" style="111" customWidth="1"/>
    <col min="6428" max="6428" width="1" style="111" customWidth="1"/>
    <col min="6429" max="6440" width="21.85546875" style="111" customWidth="1"/>
    <col min="6441" max="6441" width="1" style="111" customWidth="1"/>
    <col min="6442" max="6453" width="21.85546875" style="111" customWidth="1"/>
    <col min="6454" max="6656" width="9.140625" style="111"/>
    <col min="6657" max="6657" width="0" style="111" hidden="1" customWidth="1"/>
    <col min="6658" max="6658" width="12.7109375" style="111" customWidth="1"/>
    <col min="6659" max="6659" width="35.42578125" style="111" customWidth="1"/>
    <col min="6660" max="6660" width="1" style="111" customWidth="1"/>
    <col min="6661" max="6661" width="1.140625" style="111" customWidth="1"/>
    <col min="6662" max="6663" width="21" style="111" customWidth="1"/>
    <col min="6664" max="6664" width="19.28515625" style="111" customWidth="1"/>
    <col min="6665" max="6665" width="12.7109375" style="111" customWidth="1"/>
    <col min="6666" max="6666" width="2.7109375" style="111" customWidth="1"/>
    <col min="6667" max="6667" width="19.5703125" style="111" customWidth="1"/>
    <col min="6668" max="6668" width="18.5703125" style="111" customWidth="1"/>
    <col min="6669" max="6669" width="19.28515625" style="111" customWidth="1"/>
    <col min="6670" max="6670" width="12.7109375" style="111" customWidth="1"/>
    <col min="6671" max="6671" width="40.28515625" style="111" customWidth="1"/>
    <col min="6672" max="6672" width="2.7109375" style="111" customWidth="1"/>
    <col min="6673" max="6674" width="21" style="111" customWidth="1"/>
    <col min="6675" max="6675" width="19.28515625" style="111" customWidth="1"/>
    <col min="6676" max="6676" width="12.7109375" style="111" customWidth="1"/>
    <col min="6677" max="6677" width="2.7109375" style="111" customWidth="1"/>
    <col min="6678" max="6679" width="21" style="111" customWidth="1"/>
    <col min="6680" max="6680" width="19.28515625" style="111" customWidth="1"/>
    <col min="6681" max="6681" width="12.7109375" style="111" customWidth="1"/>
    <col min="6682" max="6682" width="6.28515625" style="111" customWidth="1"/>
    <col min="6683" max="6683" width="21.85546875" style="111" customWidth="1"/>
    <col min="6684" max="6684" width="1" style="111" customWidth="1"/>
    <col min="6685" max="6696" width="21.85546875" style="111" customWidth="1"/>
    <col min="6697" max="6697" width="1" style="111" customWidth="1"/>
    <col min="6698" max="6709" width="21.85546875" style="111" customWidth="1"/>
    <col min="6710" max="6912" width="9.140625" style="111"/>
    <col min="6913" max="6913" width="0" style="111" hidden="1" customWidth="1"/>
    <col min="6914" max="6914" width="12.7109375" style="111" customWidth="1"/>
    <col min="6915" max="6915" width="35.42578125" style="111" customWidth="1"/>
    <col min="6916" max="6916" width="1" style="111" customWidth="1"/>
    <col min="6917" max="6917" width="1.140625" style="111" customWidth="1"/>
    <col min="6918" max="6919" width="21" style="111" customWidth="1"/>
    <col min="6920" max="6920" width="19.28515625" style="111" customWidth="1"/>
    <col min="6921" max="6921" width="12.7109375" style="111" customWidth="1"/>
    <col min="6922" max="6922" width="2.7109375" style="111" customWidth="1"/>
    <col min="6923" max="6923" width="19.5703125" style="111" customWidth="1"/>
    <col min="6924" max="6924" width="18.5703125" style="111" customWidth="1"/>
    <col min="6925" max="6925" width="19.28515625" style="111" customWidth="1"/>
    <col min="6926" max="6926" width="12.7109375" style="111" customWidth="1"/>
    <col min="6927" max="6927" width="40.28515625" style="111" customWidth="1"/>
    <col min="6928" max="6928" width="2.7109375" style="111" customWidth="1"/>
    <col min="6929" max="6930" width="21" style="111" customWidth="1"/>
    <col min="6931" max="6931" width="19.28515625" style="111" customWidth="1"/>
    <col min="6932" max="6932" width="12.7109375" style="111" customWidth="1"/>
    <col min="6933" max="6933" width="2.7109375" style="111" customWidth="1"/>
    <col min="6934" max="6935" width="21" style="111" customWidth="1"/>
    <col min="6936" max="6936" width="19.28515625" style="111" customWidth="1"/>
    <col min="6937" max="6937" width="12.7109375" style="111" customWidth="1"/>
    <col min="6938" max="6938" width="6.28515625" style="111" customWidth="1"/>
    <col min="6939" max="6939" width="21.85546875" style="111" customWidth="1"/>
    <col min="6940" max="6940" width="1" style="111" customWidth="1"/>
    <col min="6941" max="6952" width="21.85546875" style="111" customWidth="1"/>
    <col min="6953" max="6953" width="1" style="111" customWidth="1"/>
    <col min="6954" max="6965" width="21.85546875" style="111" customWidth="1"/>
    <col min="6966" max="7168" width="9.140625" style="111"/>
    <col min="7169" max="7169" width="0" style="111" hidden="1" customWidth="1"/>
    <col min="7170" max="7170" width="12.7109375" style="111" customWidth="1"/>
    <col min="7171" max="7171" width="35.42578125" style="111" customWidth="1"/>
    <col min="7172" max="7172" width="1" style="111" customWidth="1"/>
    <col min="7173" max="7173" width="1.140625" style="111" customWidth="1"/>
    <col min="7174" max="7175" width="21" style="111" customWidth="1"/>
    <col min="7176" max="7176" width="19.28515625" style="111" customWidth="1"/>
    <col min="7177" max="7177" width="12.7109375" style="111" customWidth="1"/>
    <col min="7178" max="7178" width="2.7109375" style="111" customWidth="1"/>
    <col min="7179" max="7179" width="19.5703125" style="111" customWidth="1"/>
    <col min="7180" max="7180" width="18.5703125" style="111" customWidth="1"/>
    <col min="7181" max="7181" width="19.28515625" style="111" customWidth="1"/>
    <col min="7182" max="7182" width="12.7109375" style="111" customWidth="1"/>
    <col min="7183" max="7183" width="40.28515625" style="111" customWidth="1"/>
    <col min="7184" max="7184" width="2.7109375" style="111" customWidth="1"/>
    <col min="7185" max="7186" width="21" style="111" customWidth="1"/>
    <col min="7187" max="7187" width="19.28515625" style="111" customWidth="1"/>
    <col min="7188" max="7188" width="12.7109375" style="111" customWidth="1"/>
    <col min="7189" max="7189" width="2.7109375" style="111" customWidth="1"/>
    <col min="7190" max="7191" width="21" style="111" customWidth="1"/>
    <col min="7192" max="7192" width="19.28515625" style="111" customWidth="1"/>
    <col min="7193" max="7193" width="12.7109375" style="111" customWidth="1"/>
    <col min="7194" max="7194" width="6.28515625" style="111" customWidth="1"/>
    <col min="7195" max="7195" width="21.85546875" style="111" customWidth="1"/>
    <col min="7196" max="7196" width="1" style="111" customWidth="1"/>
    <col min="7197" max="7208" width="21.85546875" style="111" customWidth="1"/>
    <col min="7209" max="7209" width="1" style="111" customWidth="1"/>
    <col min="7210" max="7221" width="21.85546875" style="111" customWidth="1"/>
    <col min="7222" max="7424" width="9.140625" style="111"/>
    <col min="7425" max="7425" width="0" style="111" hidden="1" customWidth="1"/>
    <col min="7426" max="7426" width="12.7109375" style="111" customWidth="1"/>
    <col min="7427" max="7427" width="35.42578125" style="111" customWidth="1"/>
    <col min="7428" max="7428" width="1" style="111" customWidth="1"/>
    <col min="7429" max="7429" width="1.140625" style="111" customWidth="1"/>
    <col min="7430" max="7431" width="21" style="111" customWidth="1"/>
    <col min="7432" max="7432" width="19.28515625" style="111" customWidth="1"/>
    <col min="7433" max="7433" width="12.7109375" style="111" customWidth="1"/>
    <col min="7434" max="7434" width="2.7109375" style="111" customWidth="1"/>
    <col min="7435" max="7435" width="19.5703125" style="111" customWidth="1"/>
    <col min="7436" max="7436" width="18.5703125" style="111" customWidth="1"/>
    <col min="7437" max="7437" width="19.28515625" style="111" customWidth="1"/>
    <col min="7438" max="7438" width="12.7109375" style="111" customWidth="1"/>
    <col min="7439" max="7439" width="40.28515625" style="111" customWidth="1"/>
    <col min="7440" max="7440" width="2.7109375" style="111" customWidth="1"/>
    <col min="7441" max="7442" width="21" style="111" customWidth="1"/>
    <col min="7443" max="7443" width="19.28515625" style="111" customWidth="1"/>
    <col min="7444" max="7444" width="12.7109375" style="111" customWidth="1"/>
    <col min="7445" max="7445" width="2.7109375" style="111" customWidth="1"/>
    <col min="7446" max="7447" width="21" style="111" customWidth="1"/>
    <col min="7448" max="7448" width="19.28515625" style="111" customWidth="1"/>
    <col min="7449" max="7449" width="12.7109375" style="111" customWidth="1"/>
    <col min="7450" max="7450" width="6.28515625" style="111" customWidth="1"/>
    <col min="7451" max="7451" width="21.85546875" style="111" customWidth="1"/>
    <col min="7452" max="7452" width="1" style="111" customWidth="1"/>
    <col min="7453" max="7464" width="21.85546875" style="111" customWidth="1"/>
    <col min="7465" max="7465" width="1" style="111" customWidth="1"/>
    <col min="7466" max="7477" width="21.85546875" style="111" customWidth="1"/>
    <col min="7478" max="7680" width="9.140625" style="111"/>
    <col min="7681" max="7681" width="0" style="111" hidden="1" customWidth="1"/>
    <col min="7682" max="7682" width="12.7109375" style="111" customWidth="1"/>
    <col min="7683" max="7683" width="35.42578125" style="111" customWidth="1"/>
    <col min="7684" max="7684" width="1" style="111" customWidth="1"/>
    <col min="7685" max="7685" width="1.140625" style="111" customWidth="1"/>
    <col min="7686" max="7687" width="21" style="111" customWidth="1"/>
    <col min="7688" max="7688" width="19.28515625" style="111" customWidth="1"/>
    <col min="7689" max="7689" width="12.7109375" style="111" customWidth="1"/>
    <col min="7690" max="7690" width="2.7109375" style="111" customWidth="1"/>
    <col min="7691" max="7691" width="19.5703125" style="111" customWidth="1"/>
    <col min="7692" max="7692" width="18.5703125" style="111" customWidth="1"/>
    <col min="7693" max="7693" width="19.28515625" style="111" customWidth="1"/>
    <col min="7694" max="7694" width="12.7109375" style="111" customWidth="1"/>
    <col min="7695" max="7695" width="40.28515625" style="111" customWidth="1"/>
    <col min="7696" max="7696" width="2.7109375" style="111" customWidth="1"/>
    <col min="7697" max="7698" width="21" style="111" customWidth="1"/>
    <col min="7699" max="7699" width="19.28515625" style="111" customWidth="1"/>
    <col min="7700" max="7700" width="12.7109375" style="111" customWidth="1"/>
    <col min="7701" max="7701" width="2.7109375" style="111" customWidth="1"/>
    <col min="7702" max="7703" width="21" style="111" customWidth="1"/>
    <col min="7704" max="7704" width="19.28515625" style="111" customWidth="1"/>
    <col min="7705" max="7705" width="12.7109375" style="111" customWidth="1"/>
    <col min="7706" max="7706" width="6.28515625" style="111" customWidth="1"/>
    <col min="7707" max="7707" width="21.85546875" style="111" customWidth="1"/>
    <col min="7708" max="7708" width="1" style="111" customWidth="1"/>
    <col min="7709" max="7720" width="21.85546875" style="111" customWidth="1"/>
    <col min="7721" max="7721" width="1" style="111" customWidth="1"/>
    <col min="7722" max="7733" width="21.85546875" style="111" customWidth="1"/>
    <col min="7734" max="7936" width="9.140625" style="111"/>
    <col min="7937" max="7937" width="0" style="111" hidden="1" customWidth="1"/>
    <col min="7938" max="7938" width="12.7109375" style="111" customWidth="1"/>
    <col min="7939" max="7939" width="35.42578125" style="111" customWidth="1"/>
    <col min="7940" max="7940" width="1" style="111" customWidth="1"/>
    <col min="7941" max="7941" width="1.140625" style="111" customWidth="1"/>
    <col min="7942" max="7943" width="21" style="111" customWidth="1"/>
    <col min="7944" max="7944" width="19.28515625" style="111" customWidth="1"/>
    <col min="7945" max="7945" width="12.7109375" style="111" customWidth="1"/>
    <col min="7946" max="7946" width="2.7109375" style="111" customWidth="1"/>
    <col min="7947" max="7947" width="19.5703125" style="111" customWidth="1"/>
    <col min="7948" max="7948" width="18.5703125" style="111" customWidth="1"/>
    <col min="7949" max="7949" width="19.28515625" style="111" customWidth="1"/>
    <col min="7950" max="7950" width="12.7109375" style="111" customWidth="1"/>
    <col min="7951" max="7951" width="40.28515625" style="111" customWidth="1"/>
    <col min="7952" max="7952" width="2.7109375" style="111" customWidth="1"/>
    <col min="7953" max="7954" width="21" style="111" customWidth="1"/>
    <col min="7955" max="7955" width="19.28515625" style="111" customWidth="1"/>
    <col min="7956" max="7956" width="12.7109375" style="111" customWidth="1"/>
    <col min="7957" max="7957" width="2.7109375" style="111" customWidth="1"/>
    <col min="7958" max="7959" width="21" style="111" customWidth="1"/>
    <col min="7960" max="7960" width="19.28515625" style="111" customWidth="1"/>
    <col min="7961" max="7961" width="12.7109375" style="111" customWidth="1"/>
    <col min="7962" max="7962" width="6.28515625" style="111" customWidth="1"/>
    <col min="7963" max="7963" width="21.85546875" style="111" customWidth="1"/>
    <col min="7964" max="7964" width="1" style="111" customWidth="1"/>
    <col min="7965" max="7976" width="21.85546875" style="111" customWidth="1"/>
    <col min="7977" max="7977" width="1" style="111" customWidth="1"/>
    <col min="7978" max="7989" width="21.85546875" style="111" customWidth="1"/>
    <col min="7990" max="8192" width="9.140625" style="111"/>
    <col min="8193" max="8193" width="0" style="111" hidden="1" customWidth="1"/>
    <col min="8194" max="8194" width="12.7109375" style="111" customWidth="1"/>
    <col min="8195" max="8195" width="35.42578125" style="111" customWidth="1"/>
    <col min="8196" max="8196" width="1" style="111" customWidth="1"/>
    <col min="8197" max="8197" width="1.140625" style="111" customWidth="1"/>
    <col min="8198" max="8199" width="21" style="111" customWidth="1"/>
    <col min="8200" max="8200" width="19.28515625" style="111" customWidth="1"/>
    <col min="8201" max="8201" width="12.7109375" style="111" customWidth="1"/>
    <col min="8202" max="8202" width="2.7109375" style="111" customWidth="1"/>
    <col min="8203" max="8203" width="19.5703125" style="111" customWidth="1"/>
    <col min="8204" max="8204" width="18.5703125" style="111" customWidth="1"/>
    <col min="8205" max="8205" width="19.28515625" style="111" customWidth="1"/>
    <col min="8206" max="8206" width="12.7109375" style="111" customWidth="1"/>
    <col min="8207" max="8207" width="40.28515625" style="111" customWidth="1"/>
    <col min="8208" max="8208" width="2.7109375" style="111" customWidth="1"/>
    <col min="8209" max="8210" width="21" style="111" customWidth="1"/>
    <col min="8211" max="8211" width="19.28515625" style="111" customWidth="1"/>
    <col min="8212" max="8212" width="12.7109375" style="111" customWidth="1"/>
    <col min="8213" max="8213" width="2.7109375" style="111" customWidth="1"/>
    <col min="8214" max="8215" width="21" style="111" customWidth="1"/>
    <col min="8216" max="8216" width="19.28515625" style="111" customWidth="1"/>
    <col min="8217" max="8217" width="12.7109375" style="111" customWidth="1"/>
    <col min="8218" max="8218" width="6.28515625" style="111" customWidth="1"/>
    <col min="8219" max="8219" width="21.85546875" style="111" customWidth="1"/>
    <col min="8220" max="8220" width="1" style="111" customWidth="1"/>
    <col min="8221" max="8232" width="21.85546875" style="111" customWidth="1"/>
    <col min="8233" max="8233" width="1" style="111" customWidth="1"/>
    <col min="8234" max="8245" width="21.85546875" style="111" customWidth="1"/>
    <col min="8246" max="8448" width="9.140625" style="111"/>
    <col min="8449" max="8449" width="0" style="111" hidden="1" customWidth="1"/>
    <col min="8450" max="8450" width="12.7109375" style="111" customWidth="1"/>
    <col min="8451" max="8451" width="35.42578125" style="111" customWidth="1"/>
    <col min="8452" max="8452" width="1" style="111" customWidth="1"/>
    <col min="8453" max="8453" width="1.140625" style="111" customWidth="1"/>
    <col min="8454" max="8455" width="21" style="111" customWidth="1"/>
    <col min="8456" max="8456" width="19.28515625" style="111" customWidth="1"/>
    <col min="8457" max="8457" width="12.7109375" style="111" customWidth="1"/>
    <col min="8458" max="8458" width="2.7109375" style="111" customWidth="1"/>
    <col min="8459" max="8459" width="19.5703125" style="111" customWidth="1"/>
    <col min="8460" max="8460" width="18.5703125" style="111" customWidth="1"/>
    <col min="8461" max="8461" width="19.28515625" style="111" customWidth="1"/>
    <col min="8462" max="8462" width="12.7109375" style="111" customWidth="1"/>
    <col min="8463" max="8463" width="40.28515625" style="111" customWidth="1"/>
    <col min="8464" max="8464" width="2.7109375" style="111" customWidth="1"/>
    <col min="8465" max="8466" width="21" style="111" customWidth="1"/>
    <col min="8467" max="8467" width="19.28515625" style="111" customWidth="1"/>
    <col min="8468" max="8468" width="12.7109375" style="111" customWidth="1"/>
    <col min="8469" max="8469" width="2.7109375" style="111" customWidth="1"/>
    <col min="8470" max="8471" width="21" style="111" customWidth="1"/>
    <col min="8472" max="8472" width="19.28515625" style="111" customWidth="1"/>
    <col min="8473" max="8473" width="12.7109375" style="111" customWidth="1"/>
    <col min="8474" max="8474" width="6.28515625" style="111" customWidth="1"/>
    <col min="8475" max="8475" width="21.85546875" style="111" customWidth="1"/>
    <col min="8476" max="8476" width="1" style="111" customWidth="1"/>
    <col min="8477" max="8488" width="21.85546875" style="111" customWidth="1"/>
    <col min="8489" max="8489" width="1" style="111" customWidth="1"/>
    <col min="8490" max="8501" width="21.85546875" style="111" customWidth="1"/>
    <col min="8502" max="8704" width="9.140625" style="111"/>
    <col min="8705" max="8705" width="0" style="111" hidden="1" customWidth="1"/>
    <col min="8706" max="8706" width="12.7109375" style="111" customWidth="1"/>
    <col min="8707" max="8707" width="35.42578125" style="111" customWidth="1"/>
    <col min="8708" max="8708" width="1" style="111" customWidth="1"/>
    <col min="8709" max="8709" width="1.140625" style="111" customWidth="1"/>
    <col min="8710" max="8711" width="21" style="111" customWidth="1"/>
    <col min="8712" max="8712" width="19.28515625" style="111" customWidth="1"/>
    <col min="8713" max="8713" width="12.7109375" style="111" customWidth="1"/>
    <col min="8714" max="8714" width="2.7109375" style="111" customWidth="1"/>
    <col min="8715" max="8715" width="19.5703125" style="111" customWidth="1"/>
    <col min="8716" max="8716" width="18.5703125" style="111" customWidth="1"/>
    <col min="8717" max="8717" width="19.28515625" style="111" customWidth="1"/>
    <col min="8718" max="8718" width="12.7109375" style="111" customWidth="1"/>
    <col min="8719" max="8719" width="40.28515625" style="111" customWidth="1"/>
    <col min="8720" max="8720" width="2.7109375" style="111" customWidth="1"/>
    <col min="8721" max="8722" width="21" style="111" customWidth="1"/>
    <col min="8723" max="8723" width="19.28515625" style="111" customWidth="1"/>
    <col min="8724" max="8724" width="12.7109375" style="111" customWidth="1"/>
    <col min="8725" max="8725" width="2.7109375" style="111" customWidth="1"/>
    <col min="8726" max="8727" width="21" style="111" customWidth="1"/>
    <col min="8728" max="8728" width="19.28515625" style="111" customWidth="1"/>
    <col min="8729" max="8729" width="12.7109375" style="111" customWidth="1"/>
    <col min="8730" max="8730" width="6.28515625" style="111" customWidth="1"/>
    <col min="8731" max="8731" width="21.85546875" style="111" customWidth="1"/>
    <col min="8732" max="8732" width="1" style="111" customWidth="1"/>
    <col min="8733" max="8744" width="21.85546875" style="111" customWidth="1"/>
    <col min="8745" max="8745" width="1" style="111" customWidth="1"/>
    <col min="8746" max="8757" width="21.85546875" style="111" customWidth="1"/>
    <col min="8758" max="8960" width="9.140625" style="111"/>
    <col min="8961" max="8961" width="0" style="111" hidden="1" customWidth="1"/>
    <col min="8962" max="8962" width="12.7109375" style="111" customWidth="1"/>
    <col min="8963" max="8963" width="35.42578125" style="111" customWidth="1"/>
    <col min="8964" max="8964" width="1" style="111" customWidth="1"/>
    <col min="8965" max="8965" width="1.140625" style="111" customWidth="1"/>
    <col min="8966" max="8967" width="21" style="111" customWidth="1"/>
    <col min="8968" max="8968" width="19.28515625" style="111" customWidth="1"/>
    <col min="8969" max="8969" width="12.7109375" style="111" customWidth="1"/>
    <col min="8970" max="8970" width="2.7109375" style="111" customWidth="1"/>
    <col min="8971" max="8971" width="19.5703125" style="111" customWidth="1"/>
    <col min="8972" max="8972" width="18.5703125" style="111" customWidth="1"/>
    <col min="8973" max="8973" width="19.28515625" style="111" customWidth="1"/>
    <col min="8974" max="8974" width="12.7109375" style="111" customWidth="1"/>
    <col min="8975" max="8975" width="40.28515625" style="111" customWidth="1"/>
    <col min="8976" max="8976" width="2.7109375" style="111" customWidth="1"/>
    <col min="8977" max="8978" width="21" style="111" customWidth="1"/>
    <col min="8979" max="8979" width="19.28515625" style="111" customWidth="1"/>
    <col min="8980" max="8980" width="12.7109375" style="111" customWidth="1"/>
    <col min="8981" max="8981" width="2.7109375" style="111" customWidth="1"/>
    <col min="8982" max="8983" width="21" style="111" customWidth="1"/>
    <col min="8984" max="8984" width="19.28515625" style="111" customWidth="1"/>
    <col min="8985" max="8985" width="12.7109375" style="111" customWidth="1"/>
    <col min="8986" max="8986" width="6.28515625" style="111" customWidth="1"/>
    <col min="8987" max="8987" width="21.85546875" style="111" customWidth="1"/>
    <col min="8988" max="8988" width="1" style="111" customWidth="1"/>
    <col min="8989" max="9000" width="21.85546875" style="111" customWidth="1"/>
    <col min="9001" max="9001" width="1" style="111" customWidth="1"/>
    <col min="9002" max="9013" width="21.85546875" style="111" customWidth="1"/>
    <col min="9014" max="9216" width="9.140625" style="111"/>
    <col min="9217" max="9217" width="0" style="111" hidden="1" customWidth="1"/>
    <col min="9218" max="9218" width="12.7109375" style="111" customWidth="1"/>
    <col min="9219" max="9219" width="35.42578125" style="111" customWidth="1"/>
    <col min="9220" max="9220" width="1" style="111" customWidth="1"/>
    <col min="9221" max="9221" width="1.140625" style="111" customWidth="1"/>
    <col min="9222" max="9223" width="21" style="111" customWidth="1"/>
    <col min="9224" max="9224" width="19.28515625" style="111" customWidth="1"/>
    <col min="9225" max="9225" width="12.7109375" style="111" customWidth="1"/>
    <col min="9226" max="9226" width="2.7109375" style="111" customWidth="1"/>
    <col min="9227" max="9227" width="19.5703125" style="111" customWidth="1"/>
    <col min="9228" max="9228" width="18.5703125" style="111" customWidth="1"/>
    <col min="9229" max="9229" width="19.28515625" style="111" customWidth="1"/>
    <col min="9230" max="9230" width="12.7109375" style="111" customWidth="1"/>
    <col min="9231" max="9231" width="40.28515625" style="111" customWidth="1"/>
    <col min="9232" max="9232" width="2.7109375" style="111" customWidth="1"/>
    <col min="9233" max="9234" width="21" style="111" customWidth="1"/>
    <col min="9235" max="9235" width="19.28515625" style="111" customWidth="1"/>
    <col min="9236" max="9236" width="12.7109375" style="111" customWidth="1"/>
    <col min="9237" max="9237" width="2.7109375" style="111" customWidth="1"/>
    <col min="9238" max="9239" width="21" style="111" customWidth="1"/>
    <col min="9240" max="9240" width="19.28515625" style="111" customWidth="1"/>
    <col min="9241" max="9241" width="12.7109375" style="111" customWidth="1"/>
    <col min="9242" max="9242" width="6.28515625" style="111" customWidth="1"/>
    <col min="9243" max="9243" width="21.85546875" style="111" customWidth="1"/>
    <col min="9244" max="9244" width="1" style="111" customWidth="1"/>
    <col min="9245" max="9256" width="21.85546875" style="111" customWidth="1"/>
    <col min="9257" max="9257" width="1" style="111" customWidth="1"/>
    <col min="9258" max="9269" width="21.85546875" style="111" customWidth="1"/>
    <col min="9270" max="9472" width="9.140625" style="111"/>
    <col min="9473" max="9473" width="0" style="111" hidden="1" customWidth="1"/>
    <col min="9474" max="9474" width="12.7109375" style="111" customWidth="1"/>
    <col min="9475" max="9475" width="35.42578125" style="111" customWidth="1"/>
    <col min="9476" max="9476" width="1" style="111" customWidth="1"/>
    <col min="9477" max="9477" width="1.140625" style="111" customWidth="1"/>
    <col min="9478" max="9479" width="21" style="111" customWidth="1"/>
    <col min="9480" max="9480" width="19.28515625" style="111" customWidth="1"/>
    <col min="9481" max="9481" width="12.7109375" style="111" customWidth="1"/>
    <col min="9482" max="9482" width="2.7109375" style="111" customWidth="1"/>
    <col min="9483" max="9483" width="19.5703125" style="111" customWidth="1"/>
    <col min="9484" max="9484" width="18.5703125" style="111" customWidth="1"/>
    <col min="9485" max="9485" width="19.28515625" style="111" customWidth="1"/>
    <col min="9486" max="9486" width="12.7109375" style="111" customWidth="1"/>
    <col min="9487" max="9487" width="40.28515625" style="111" customWidth="1"/>
    <col min="9488" max="9488" width="2.7109375" style="111" customWidth="1"/>
    <col min="9489" max="9490" width="21" style="111" customWidth="1"/>
    <col min="9491" max="9491" width="19.28515625" style="111" customWidth="1"/>
    <col min="9492" max="9492" width="12.7109375" style="111" customWidth="1"/>
    <col min="9493" max="9493" width="2.7109375" style="111" customWidth="1"/>
    <col min="9494" max="9495" width="21" style="111" customWidth="1"/>
    <col min="9496" max="9496" width="19.28515625" style="111" customWidth="1"/>
    <col min="9497" max="9497" width="12.7109375" style="111" customWidth="1"/>
    <col min="9498" max="9498" width="6.28515625" style="111" customWidth="1"/>
    <col min="9499" max="9499" width="21.85546875" style="111" customWidth="1"/>
    <col min="9500" max="9500" width="1" style="111" customWidth="1"/>
    <col min="9501" max="9512" width="21.85546875" style="111" customWidth="1"/>
    <col min="9513" max="9513" width="1" style="111" customWidth="1"/>
    <col min="9514" max="9525" width="21.85546875" style="111" customWidth="1"/>
    <col min="9526" max="9728" width="9.140625" style="111"/>
    <col min="9729" max="9729" width="0" style="111" hidden="1" customWidth="1"/>
    <col min="9730" max="9730" width="12.7109375" style="111" customWidth="1"/>
    <col min="9731" max="9731" width="35.42578125" style="111" customWidth="1"/>
    <col min="9732" max="9732" width="1" style="111" customWidth="1"/>
    <col min="9733" max="9733" width="1.140625" style="111" customWidth="1"/>
    <col min="9734" max="9735" width="21" style="111" customWidth="1"/>
    <col min="9736" max="9736" width="19.28515625" style="111" customWidth="1"/>
    <col min="9737" max="9737" width="12.7109375" style="111" customWidth="1"/>
    <col min="9738" max="9738" width="2.7109375" style="111" customWidth="1"/>
    <col min="9739" max="9739" width="19.5703125" style="111" customWidth="1"/>
    <col min="9740" max="9740" width="18.5703125" style="111" customWidth="1"/>
    <col min="9741" max="9741" width="19.28515625" style="111" customWidth="1"/>
    <col min="9742" max="9742" width="12.7109375" style="111" customWidth="1"/>
    <col min="9743" max="9743" width="40.28515625" style="111" customWidth="1"/>
    <col min="9744" max="9744" width="2.7109375" style="111" customWidth="1"/>
    <col min="9745" max="9746" width="21" style="111" customWidth="1"/>
    <col min="9747" max="9747" width="19.28515625" style="111" customWidth="1"/>
    <col min="9748" max="9748" width="12.7109375" style="111" customWidth="1"/>
    <col min="9749" max="9749" width="2.7109375" style="111" customWidth="1"/>
    <col min="9750" max="9751" width="21" style="111" customWidth="1"/>
    <col min="9752" max="9752" width="19.28515625" style="111" customWidth="1"/>
    <col min="9753" max="9753" width="12.7109375" style="111" customWidth="1"/>
    <col min="9754" max="9754" width="6.28515625" style="111" customWidth="1"/>
    <col min="9755" max="9755" width="21.85546875" style="111" customWidth="1"/>
    <col min="9756" max="9756" width="1" style="111" customWidth="1"/>
    <col min="9757" max="9768" width="21.85546875" style="111" customWidth="1"/>
    <col min="9769" max="9769" width="1" style="111" customWidth="1"/>
    <col min="9770" max="9781" width="21.85546875" style="111" customWidth="1"/>
    <col min="9782" max="9984" width="9.140625" style="111"/>
    <col min="9985" max="9985" width="0" style="111" hidden="1" customWidth="1"/>
    <col min="9986" max="9986" width="12.7109375" style="111" customWidth="1"/>
    <col min="9987" max="9987" width="35.42578125" style="111" customWidth="1"/>
    <col min="9988" max="9988" width="1" style="111" customWidth="1"/>
    <col min="9989" max="9989" width="1.140625" style="111" customWidth="1"/>
    <col min="9990" max="9991" width="21" style="111" customWidth="1"/>
    <col min="9992" max="9992" width="19.28515625" style="111" customWidth="1"/>
    <col min="9993" max="9993" width="12.7109375" style="111" customWidth="1"/>
    <col min="9994" max="9994" width="2.7109375" style="111" customWidth="1"/>
    <col min="9995" max="9995" width="19.5703125" style="111" customWidth="1"/>
    <col min="9996" max="9996" width="18.5703125" style="111" customWidth="1"/>
    <col min="9997" max="9997" width="19.28515625" style="111" customWidth="1"/>
    <col min="9998" max="9998" width="12.7109375" style="111" customWidth="1"/>
    <col min="9999" max="9999" width="40.28515625" style="111" customWidth="1"/>
    <col min="10000" max="10000" width="2.7109375" style="111" customWidth="1"/>
    <col min="10001" max="10002" width="21" style="111" customWidth="1"/>
    <col min="10003" max="10003" width="19.28515625" style="111" customWidth="1"/>
    <col min="10004" max="10004" width="12.7109375" style="111" customWidth="1"/>
    <col min="10005" max="10005" width="2.7109375" style="111" customWidth="1"/>
    <col min="10006" max="10007" width="21" style="111" customWidth="1"/>
    <col min="10008" max="10008" width="19.28515625" style="111" customWidth="1"/>
    <col min="10009" max="10009" width="12.7109375" style="111" customWidth="1"/>
    <col min="10010" max="10010" width="6.28515625" style="111" customWidth="1"/>
    <col min="10011" max="10011" width="21.85546875" style="111" customWidth="1"/>
    <col min="10012" max="10012" width="1" style="111" customWidth="1"/>
    <col min="10013" max="10024" width="21.85546875" style="111" customWidth="1"/>
    <col min="10025" max="10025" width="1" style="111" customWidth="1"/>
    <col min="10026" max="10037" width="21.85546875" style="111" customWidth="1"/>
    <col min="10038" max="10240" width="9.140625" style="111"/>
    <col min="10241" max="10241" width="0" style="111" hidden="1" customWidth="1"/>
    <col min="10242" max="10242" width="12.7109375" style="111" customWidth="1"/>
    <col min="10243" max="10243" width="35.42578125" style="111" customWidth="1"/>
    <col min="10244" max="10244" width="1" style="111" customWidth="1"/>
    <col min="10245" max="10245" width="1.140625" style="111" customWidth="1"/>
    <col min="10246" max="10247" width="21" style="111" customWidth="1"/>
    <col min="10248" max="10248" width="19.28515625" style="111" customWidth="1"/>
    <col min="10249" max="10249" width="12.7109375" style="111" customWidth="1"/>
    <col min="10250" max="10250" width="2.7109375" style="111" customWidth="1"/>
    <col min="10251" max="10251" width="19.5703125" style="111" customWidth="1"/>
    <col min="10252" max="10252" width="18.5703125" style="111" customWidth="1"/>
    <col min="10253" max="10253" width="19.28515625" style="111" customWidth="1"/>
    <col min="10254" max="10254" width="12.7109375" style="111" customWidth="1"/>
    <col min="10255" max="10255" width="40.28515625" style="111" customWidth="1"/>
    <col min="10256" max="10256" width="2.7109375" style="111" customWidth="1"/>
    <col min="10257" max="10258" width="21" style="111" customWidth="1"/>
    <col min="10259" max="10259" width="19.28515625" style="111" customWidth="1"/>
    <col min="10260" max="10260" width="12.7109375" style="111" customWidth="1"/>
    <col min="10261" max="10261" width="2.7109375" style="111" customWidth="1"/>
    <col min="10262" max="10263" width="21" style="111" customWidth="1"/>
    <col min="10264" max="10264" width="19.28515625" style="111" customWidth="1"/>
    <col min="10265" max="10265" width="12.7109375" style="111" customWidth="1"/>
    <col min="10266" max="10266" width="6.28515625" style="111" customWidth="1"/>
    <col min="10267" max="10267" width="21.85546875" style="111" customWidth="1"/>
    <col min="10268" max="10268" width="1" style="111" customWidth="1"/>
    <col min="10269" max="10280" width="21.85546875" style="111" customWidth="1"/>
    <col min="10281" max="10281" width="1" style="111" customWidth="1"/>
    <col min="10282" max="10293" width="21.85546875" style="111" customWidth="1"/>
    <col min="10294" max="10496" width="9.140625" style="111"/>
    <col min="10497" max="10497" width="0" style="111" hidden="1" customWidth="1"/>
    <col min="10498" max="10498" width="12.7109375" style="111" customWidth="1"/>
    <col min="10499" max="10499" width="35.42578125" style="111" customWidth="1"/>
    <col min="10500" max="10500" width="1" style="111" customWidth="1"/>
    <col min="10501" max="10501" width="1.140625" style="111" customWidth="1"/>
    <col min="10502" max="10503" width="21" style="111" customWidth="1"/>
    <col min="10504" max="10504" width="19.28515625" style="111" customWidth="1"/>
    <col min="10505" max="10505" width="12.7109375" style="111" customWidth="1"/>
    <col min="10506" max="10506" width="2.7109375" style="111" customWidth="1"/>
    <col min="10507" max="10507" width="19.5703125" style="111" customWidth="1"/>
    <col min="10508" max="10508" width="18.5703125" style="111" customWidth="1"/>
    <col min="10509" max="10509" width="19.28515625" style="111" customWidth="1"/>
    <col min="10510" max="10510" width="12.7109375" style="111" customWidth="1"/>
    <col min="10511" max="10511" width="40.28515625" style="111" customWidth="1"/>
    <col min="10512" max="10512" width="2.7109375" style="111" customWidth="1"/>
    <col min="10513" max="10514" width="21" style="111" customWidth="1"/>
    <col min="10515" max="10515" width="19.28515625" style="111" customWidth="1"/>
    <col min="10516" max="10516" width="12.7109375" style="111" customWidth="1"/>
    <col min="10517" max="10517" width="2.7109375" style="111" customWidth="1"/>
    <col min="10518" max="10519" width="21" style="111" customWidth="1"/>
    <col min="10520" max="10520" width="19.28515625" style="111" customWidth="1"/>
    <col min="10521" max="10521" width="12.7109375" style="111" customWidth="1"/>
    <col min="10522" max="10522" width="6.28515625" style="111" customWidth="1"/>
    <col min="10523" max="10523" width="21.85546875" style="111" customWidth="1"/>
    <col min="10524" max="10524" width="1" style="111" customWidth="1"/>
    <col min="10525" max="10536" width="21.85546875" style="111" customWidth="1"/>
    <col min="10537" max="10537" width="1" style="111" customWidth="1"/>
    <col min="10538" max="10549" width="21.85546875" style="111" customWidth="1"/>
    <col min="10550" max="10752" width="9.140625" style="111"/>
    <col min="10753" max="10753" width="0" style="111" hidden="1" customWidth="1"/>
    <col min="10754" max="10754" width="12.7109375" style="111" customWidth="1"/>
    <col min="10755" max="10755" width="35.42578125" style="111" customWidth="1"/>
    <col min="10756" max="10756" width="1" style="111" customWidth="1"/>
    <col min="10757" max="10757" width="1.140625" style="111" customWidth="1"/>
    <col min="10758" max="10759" width="21" style="111" customWidth="1"/>
    <col min="10760" max="10760" width="19.28515625" style="111" customWidth="1"/>
    <col min="10761" max="10761" width="12.7109375" style="111" customWidth="1"/>
    <col min="10762" max="10762" width="2.7109375" style="111" customWidth="1"/>
    <col min="10763" max="10763" width="19.5703125" style="111" customWidth="1"/>
    <col min="10764" max="10764" width="18.5703125" style="111" customWidth="1"/>
    <col min="10765" max="10765" width="19.28515625" style="111" customWidth="1"/>
    <col min="10766" max="10766" width="12.7109375" style="111" customWidth="1"/>
    <col min="10767" max="10767" width="40.28515625" style="111" customWidth="1"/>
    <col min="10768" max="10768" width="2.7109375" style="111" customWidth="1"/>
    <col min="10769" max="10770" width="21" style="111" customWidth="1"/>
    <col min="10771" max="10771" width="19.28515625" style="111" customWidth="1"/>
    <col min="10772" max="10772" width="12.7109375" style="111" customWidth="1"/>
    <col min="10773" max="10773" width="2.7109375" style="111" customWidth="1"/>
    <col min="10774" max="10775" width="21" style="111" customWidth="1"/>
    <col min="10776" max="10776" width="19.28515625" style="111" customWidth="1"/>
    <col min="10777" max="10777" width="12.7109375" style="111" customWidth="1"/>
    <col min="10778" max="10778" width="6.28515625" style="111" customWidth="1"/>
    <col min="10779" max="10779" width="21.85546875" style="111" customWidth="1"/>
    <col min="10780" max="10780" width="1" style="111" customWidth="1"/>
    <col min="10781" max="10792" width="21.85546875" style="111" customWidth="1"/>
    <col min="10793" max="10793" width="1" style="111" customWidth="1"/>
    <col min="10794" max="10805" width="21.85546875" style="111" customWidth="1"/>
    <col min="10806" max="11008" width="9.140625" style="111"/>
    <col min="11009" max="11009" width="0" style="111" hidden="1" customWidth="1"/>
    <col min="11010" max="11010" width="12.7109375" style="111" customWidth="1"/>
    <col min="11011" max="11011" width="35.42578125" style="111" customWidth="1"/>
    <col min="11012" max="11012" width="1" style="111" customWidth="1"/>
    <col min="11013" max="11013" width="1.140625" style="111" customWidth="1"/>
    <col min="11014" max="11015" width="21" style="111" customWidth="1"/>
    <col min="11016" max="11016" width="19.28515625" style="111" customWidth="1"/>
    <col min="11017" max="11017" width="12.7109375" style="111" customWidth="1"/>
    <col min="11018" max="11018" width="2.7109375" style="111" customWidth="1"/>
    <col min="11019" max="11019" width="19.5703125" style="111" customWidth="1"/>
    <col min="11020" max="11020" width="18.5703125" style="111" customWidth="1"/>
    <col min="11021" max="11021" width="19.28515625" style="111" customWidth="1"/>
    <col min="11022" max="11022" width="12.7109375" style="111" customWidth="1"/>
    <col min="11023" max="11023" width="40.28515625" style="111" customWidth="1"/>
    <col min="11024" max="11024" width="2.7109375" style="111" customWidth="1"/>
    <col min="11025" max="11026" width="21" style="111" customWidth="1"/>
    <col min="11027" max="11027" width="19.28515625" style="111" customWidth="1"/>
    <col min="11028" max="11028" width="12.7109375" style="111" customWidth="1"/>
    <col min="11029" max="11029" width="2.7109375" style="111" customWidth="1"/>
    <col min="11030" max="11031" width="21" style="111" customWidth="1"/>
    <col min="11032" max="11032" width="19.28515625" style="111" customWidth="1"/>
    <col min="11033" max="11033" width="12.7109375" style="111" customWidth="1"/>
    <col min="11034" max="11034" width="6.28515625" style="111" customWidth="1"/>
    <col min="11035" max="11035" width="21.85546875" style="111" customWidth="1"/>
    <col min="11036" max="11036" width="1" style="111" customWidth="1"/>
    <col min="11037" max="11048" width="21.85546875" style="111" customWidth="1"/>
    <col min="11049" max="11049" width="1" style="111" customWidth="1"/>
    <col min="11050" max="11061" width="21.85546875" style="111" customWidth="1"/>
    <col min="11062" max="11264" width="9.140625" style="111"/>
    <col min="11265" max="11265" width="0" style="111" hidden="1" customWidth="1"/>
    <col min="11266" max="11266" width="12.7109375" style="111" customWidth="1"/>
    <col min="11267" max="11267" width="35.42578125" style="111" customWidth="1"/>
    <col min="11268" max="11268" width="1" style="111" customWidth="1"/>
    <col min="11269" max="11269" width="1.140625" style="111" customWidth="1"/>
    <col min="11270" max="11271" width="21" style="111" customWidth="1"/>
    <col min="11272" max="11272" width="19.28515625" style="111" customWidth="1"/>
    <col min="11273" max="11273" width="12.7109375" style="111" customWidth="1"/>
    <col min="11274" max="11274" width="2.7109375" style="111" customWidth="1"/>
    <col min="11275" max="11275" width="19.5703125" style="111" customWidth="1"/>
    <col min="11276" max="11276" width="18.5703125" style="111" customWidth="1"/>
    <col min="11277" max="11277" width="19.28515625" style="111" customWidth="1"/>
    <col min="11278" max="11278" width="12.7109375" style="111" customWidth="1"/>
    <col min="11279" max="11279" width="40.28515625" style="111" customWidth="1"/>
    <col min="11280" max="11280" width="2.7109375" style="111" customWidth="1"/>
    <col min="11281" max="11282" width="21" style="111" customWidth="1"/>
    <col min="11283" max="11283" width="19.28515625" style="111" customWidth="1"/>
    <col min="11284" max="11284" width="12.7109375" style="111" customWidth="1"/>
    <col min="11285" max="11285" width="2.7109375" style="111" customWidth="1"/>
    <col min="11286" max="11287" width="21" style="111" customWidth="1"/>
    <col min="11288" max="11288" width="19.28515625" style="111" customWidth="1"/>
    <col min="11289" max="11289" width="12.7109375" style="111" customWidth="1"/>
    <col min="11290" max="11290" width="6.28515625" style="111" customWidth="1"/>
    <col min="11291" max="11291" width="21.85546875" style="111" customWidth="1"/>
    <col min="11292" max="11292" width="1" style="111" customWidth="1"/>
    <col min="11293" max="11304" width="21.85546875" style="111" customWidth="1"/>
    <col min="11305" max="11305" width="1" style="111" customWidth="1"/>
    <col min="11306" max="11317" width="21.85546875" style="111" customWidth="1"/>
    <col min="11318" max="11520" width="9.140625" style="111"/>
    <col min="11521" max="11521" width="0" style="111" hidden="1" customWidth="1"/>
    <col min="11522" max="11522" width="12.7109375" style="111" customWidth="1"/>
    <col min="11523" max="11523" width="35.42578125" style="111" customWidth="1"/>
    <col min="11524" max="11524" width="1" style="111" customWidth="1"/>
    <col min="11525" max="11525" width="1.140625" style="111" customWidth="1"/>
    <col min="11526" max="11527" width="21" style="111" customWidth="1"/>
    <col min="11528" max="11528" width="19.28515625" style="111" customWidth="1"/>
    <col min="11529" max="11529" width="12.7109375" style="111" customWidth="1"/>
    <col min="11530" max="11530" width="2.7109375" style="111" customWidth="1"/>
    <col min="11531" max="11531" width="19.5703125" style="111" customWidth="1"/>
    <col min="11532" max="11532" width="18.5703125" style="111" customWidth="1"/>
    <col min="11533" max="11533" width="19.28515625" style="111" customWidth="1"/>
    <col min="11534" max="11534" width="12.7109375" style="111" customWidth="1"/>
    <col min="11535" max="11535" width="40.28515625" style="111" customWidth="1"/>
    <col min="11536" max="11536" width="2.7109375" style="111" customWidth="1"/>
    <col min="11537" max="11538" width="21" style="111" customWidth="1"/>
    <col min="11539" max="11539" width="19.28515625" style="111" customWidth="1"/>
    <col min="11540" max="11540" width="12.7109375" style="111" customWidth="1"/>
    <col min="11541" max="11541" width="2.7109375" style="111" customWidth="1"/>
    <col min="11542" max="11543" width="21" style="111" customWidth="1"/>
    <col min="11544" max="11544" width="19.28515625" style="111" customWidth="1"/>
    <col min="11545" max="11545" width="12.7109375" style="111" customWidth="1"/>
    <col min="11546" max="11546" width="6.28515625" style="111" customWidth="1"/>
    <col min="11547" max="11547" width="21.85546875" style="111" customWidth="1"/>
    <col min="11548" max="11548" width="1" style="111" customWidth="1"/>
    <col min="11549" max="11560" width="21.85546875" style="111" customWidth="1"/>
    <col min="11561" max="11561" width="1" style="111" customWidth="1"/>
    <col min="11562" max="11573" width="21.85546875" style="111" customWidth="1"/>
    <col min="11574" max="11776" width="9.140625" style="111"/>
    <col min="11777" max="11777" width="0" style="111" hidden="1" customWidth="1"/>
    <col min="11778" max="11778" width="12.7109375" style="111" customWidth="1"/>
    <col min="11779" max="11779" width="35.42578125" style="111" customWidth="1"/>
    <col min="11780" max="11780" width="1" style="111" customWidth="1"/>
    <col min="11781" max="11781" width="1.140625" style="111" customWidth="1"/>
    <col min="11782" max="11783" width="21" style="111" customWidth="1"/>
    <col min="11784" max="11784" width="19.28515625" style="111" customWidth="1"/>
    <col min="11785" max="11785" width="12.7109375" style="111" customWidth="1"/>
    <col min="11786" max="11786" width="2.7109375" style="111" customWidth="1"/>
    <col min="11787" max="11787" width="19.5703125" style="111" customWidth="1"/>
    <col min="11788" max="11788" width="18.5703125" style="111" customWidth="1"/>
    <col min="11789" max="11789" width="19.28515625" style="111" customWidth="1"/>
    <col min="11790" max="11790" width="12.7109375" style="111" customWidth="1"/>
    <col min="11791" max="11791" width="40.28515625" style="111" customWidth="1"/>
    <col min="11792" max="11792" width="2.7109375" style="111" customWidth="1"/>
    <col min="11793" max="11794" width="21" style="111" customWidth="1"/>
    <col min="11795" max="11795" width="19.28515625" style="111" customWidth="1"/>
    <col min="11796" max="11796" width="12.7109375" style="111" customWidth="1"/>
    <col min="11797" max="11797" width="2.7109375" style="111" customWidth="1"/>
    <col min="11798" max="11799" width="21" style="111" customWidth="1"/>
    <col min="11800" max="11800" width="19.28515625" style="111" customWidth="1"/>
    <col min="11801" max="11801" width="12.7109375" style="111" customWidth="1"/>
    <col min="11802" max="11802" width="6.28515625" style="111" customWidth="1"/>
    <col min="11803" max="11803" width="21.85546875" style="111" customWidth="1"/>
    <col min="11804" max="11804" width="1" style="111" customWidth="1"/>
    <col min="11805" max="11816" width="21.85546875" style="111" customWidth="1"/>
    <col min="11817" max="11817" width="1" style="111" customWidth="1"/>
    <col min="11818" max="11829" width="21.85546875" style="111" customWidth="1"/>
    <col min="11830" max="12032" width="9.140625" style="111"/>
    <col min="12033" max="12033" width="0" style="111" hidden="1" customWidth="1"/>
    <col min="12034" max="12034" width="12.7109375" style="111" customWidth="1"/>
    <col min="12035" max="12035" width="35.42578125" style="111" customWidth="1"/>
    <col min="12036" max="12036" width="1" style="111" customWidth="1"/>
    <col min="12037" max="12037" width="1.140625" style="111" customWidth="1"/>
    <col min="12038" max="12039" width="21" style="111" customWidth="1"/>
    <col min="12040" max="12040" width="19.28515625" style="111" customWidth="1"/>
    <col min="12041" max="12041" width="12.7109375" style="111" customWidth="1"/>
    <col min="12042" max="12042" width="2.7109375" style="111" customWidth="1"/>
    <col min="12043" max="12043" width="19.5703125" style="111" customWidth="1"/>
    <col min="12044" max="12044" width="18.5703125" style="111" customWidth="1"/>
    <col min="12045" max="12045" width="19.28515625" style="111" customWidth="1"/>
    <col min="12046" max="12046" width="12.7109375" style="111" customWidth="1"/>
    <col min="12047" max="12047" width="40.28515625" style="111" customWidth="1"/>
    <col min="12048" max="12048" width="2.7109375" style="111" customWidth="1"/>
    <col min="12049" max="12050" width="21" style="111" customWidth="1"/>
    <col min="12051" max="12051" width="19.28515625" style="111" customWidth="1"/>
    <col min="12052" max="12052" width="12.7109375" style="111" customWidth="1"/>
    <col min="12053" max="12053" width="2.7109375" style="111" customWidth="1"/>
    <col min="12054" max="12055" width="21" style="111" customWidth="1"/>
    <col min="12056" max="12056" width="19.28515625" style="111" customWidth="1"/>
    <col min="12057" max="12057" width="12.7109375" style="111" customWidth="1"/>
    <col min="12058" max="12058" width="6.28515625" style="111" customWidth="1"/>
    <col min="12059" max="12059" width="21.85546875" style="111" customWidth="1"/>
    <col min="12060" max="12060" width="1" style="111" customWidth="1"/>
    <col min="12061" max="12072" width="21.85546875" style="111" customWidth="1"/>
    <col min="12073" max="12073" width="1" style="111" customWidth="1"/>
    <col min="12074" max="12085" width="21.85546875" style="111" customWidth="1"/>
    <col min="12086" max="12288" width="9.140625" style="111"/>
    <col min="12289" max="12289" width="0" style="111" hidden="1" customWidth="1"/>
    <col min="12290" max="12290" width="12.7109375" style="111" customWidth="1"/>
    <col min="12291" max="12291" width="35.42578125" style="111" customWidth="1"/>
    <col min="12292" max="12292" width="1" style="111" customWidth="1"/>
    <col min="12293" max="12293" width="1.140625" style="111" customWidth="1"/>
    <col min="12294" max="12295" width="21" style="111" customWidth="1"/>
    <col min="12296" max="12296" width="19.28515625" style="111" customWidth="1"/>
    <col min="12297" max="12297" width="12.7109375" style="111" customWidth="1"/>
    <col min="12298" max="12298" width="2.7109375" style="111" customWidth="1"/>
    <col min="12299" max="12299" width="19.5703125" style="111" customWidth="1"/>
    <col min="12300" max="12300" width="18.5703125" style="111" customWidth="1"/>
    <col min="12301" max="12301" width="19.28515625" style="111" customWidth="1"/>
    <col min="12302" max="12302" width="12.7109375" style="111" customWidth="1"/>
    <col min="12303" max="12303" width="40.28515625" style="111" customWidth="1"/>
    <col min="12304" max="12304" width="2.7109375" style="111" customWidth="1"/>
    <col min="12305" max="12306" width="21" style="111" customWidth="1"/>
    <col min="12307" max="12307" width="19.28515625" style="111" customWidth="1"/>
    <col min="12308" max="12308" width="12.7109375" style="111" customWidth="1"/>
    <col min="12309" max="12309" width="2.7109375" style="111" customWidth="1"/>
    <col min="12310" max="12311" width="21" style="111" customWidth="1"/>
    <col min="12312" max="12312" width="19.28515625" style="111" customWidth="1"/>
    <col min="12313" max="12313" width="12.7109375" style="111" customWidth="1"/>
    <col min="12314" max="12314" width="6.28515625" style="111" customWidth="1"/>
    <col min="12315" max="12315" width="21.85546875" style="111" customWidth="1"/>
    <col min="12316" max="12316" width="1" style="111" customWidth="1"/>
    <col min="12317" max="12328" width="21.85546875" style="111" customWidth="1"/>
    <col min="12329" max="12329" width="1" style="111" customWidth="1"/>
    <col min="12330" max="12341" width="21.85546875" style="111" customWidth="1"/>
    <col min="12342" max="12544" width="9.140625" style="111"/>
    <col min="12545" max="12545" width="0" style="111" hidden="1" customWidth="1"/>
    <col min="12546" max="12546" width="12.7109375" style="111" customWidth="1"/>
    <col min="12547" max="12547" width="35.42578125" style="111" customWidth="1"/>
    <col min="12548" max="12548" width="1" style="111" customWidth="1"/>
    <col min="12549" max="12549" width="1.140625" style="111" customWidth="1"/>
    <col min="12550" max="12551" width="21" style="111" customWidth="1"/>
    <col min="12552" max="12552" width="19.28515625" style="111" customWidth="1"/>
    <col min="12553" max="12553" width="12.7109375" style="111" customWidth="1"/>
    <col min="12554" max="12554" width="2.7109375" style="111" customWidth="1"/>
    <col min="12555" max="12555" width="19.5703125" style="111" customWidth="1"/>
    <col min="12556" max="12556" width="18.5703125" style="111" customWidth="1"/>
    <col min="12557" max="12557" width="19.28515625" style="111" customWidth="1"/>
    <col min="12558" max="12558" width="12.7109375" style="111" customWidth="1"/>
    <col min="12559" max="12559" width="40.28515625" style="111" customWidth="1"/>
    <col min="12560" max="12560" width="2.7109375" style="111" customWidth="1"/>
    <col min="12561" max="12562" width="21" style="111" customWidth="1"/>
    <col min="12563" max="12563" width="19.28515625" style="111" customWidth="1"/>
    <col min="12564" max="12564" width="12.7109375" style="111" customWidth="1"/>
    <col min="12565" max="12565" width="2.7109375" style="111" customWidth="1"/>
    <col min="12566" max="12567" width="21" style="111" customWidth="1"/>
    <col min="12568" max="12568" width="19.28515625" style="111" customWidth="1"/>
    <col min="12569" max="12569" width="12.7109375" style="111" customWidth="1"/>
    <col min="12570" max="12570" width="6.28515625" style="111" customWidth="1"/>
    <col min="12571" max="12571" width="21.85546875" style="111" customWidth="1"/>
    <col min="12572" max="12572" width="1" style="111" customWidth="1"/>
    <col min="12573" max="12584" width="21.85546875" style="111" customWidth="1"/>
    <col min="12585" max="12585" width="1" style="111" customWidth="1"/>
    <col min="12586" max="12597" width="21.85546875" style="111" customWidth="1"/>
    <col min="12598" max="12800" width="9.140625" style="111"/>
    <col min="12801" max="12801" width="0" style="111" hidden="1" customWidth="1"/>
    <col min="12802" max="12802" width="12.7109375" style="111" customWidth="1"/>
    <col min="12803" max="12803" width="35.42578125" style="111" customWidth="1"/>
    <col min="12804" max="12804" width="1" style="111" customWidth="1"/>
    <col min="12805" max="12805" width="1.140625" style="111" customWidth="1"/>
    <col min="12806" max="12807" width="21" style="111" customWidth="1"/>
    <col min="12808" max="12808" width="19.28515625" style="111" customWidth="1"/>
    <col min="12809" max="12809" width="12.7109375" style="111" customWidth="1"/>
    <col min="12810" max="12810" width="2.7109375" style="111" customWidth="1"/>
    <col min="12811" max="12811" width="19.5703125" style="111" customWidth="1"/>
    <col min="12812" max="12812" width="18.5703125" style="111" customWidth="1"/>
    <col min="12813" max="12813" width="19.28515625" style="111" customWidth="1"/>
    <col min="12814" max="12814" width="12.7109375" style="111" customWidth="1"/>
    <col min="12815" max="12815" width="40.28515625" style="111" customWidth="1"/>
    <col min="12816" max="12816" width="2.7109375" style="111" customWidth="1"/>
    <col min="12817" max="12818" width="21" style="111" customWidth="1"/>
    <col min="12819" max="12819" width="19.28515625" style="111" customWidth="1"/>
    <col min="12820" max="12820" width="12.7109375" style="111" customWidth="1"/>
    <col min="12821" max="12821" width="2.7109375" style="111" customWidth="1"/>
    <col min="12822" max="12823" width="21" style="111" customWidth="1"/>
    <col min="12824" max="12824" width="19.28515625" style="111" customWidth="1"/>
    <col min="12825" max="12825" width="12.7109375" style="111" customWidth="1"/>
    <col min="12826" max="12826" width="6.28515625" style="111" customWidth="1"/>
    <col min="12827" max="12827" width="21.85546875" style="111" customWidth="1"/>
    <col min="12828" max="12828" width="1" style="111" customWidth="1"/>
    <col min="12829" max="12840" width="21.85546875" style="111" customWidth="1"/>
    <col min="12841" max="12841" width="1" style="111" customWidth="1"/>
    <col min="12842" max="12853" width="21.85546875" style="111" customWidth="1"/>
    <col min="12854" max="13056" width="9.140625" style="111"/>
    <col min="13057" max="13057" width="0" style="111" hidden="1" customWidth="1"/>
    <col min="13058" max="13058" width="12.7109375" style="111" customWidth="1"/>
    <col min="13059" max="13059" width="35.42578125" style="111" customWidth="1"/>
    <col min="13060" max="13060" width="1" style="111" customWidth="1"/>
    <col min="13061" max="13061" width="1.140625" style="111" customWidth="1"/>
    <col min="13062" max="13063" width="21" style="111" customWidth="1"/>
    <col min="13064" max="13064" width="19.28515625" style="111" customWidth="1"/>
    <col min="13065" max="13065" width="12.7109375" style="111" customWidth="1"/>
    <col min="13066" max="13066" width="2.7109375" style="111" customWidth="1"/>
    <col min="13067" max="13067" width="19.5703125" style="111" customWidth="1"/>
    <col min="13068" max="13068" width="18.5703125" style="111" customWidth="1"/>
    <col min="13069" max="13069" width="19.28515625" style="111" customWidth="1"/>
    <col min="13070" max="13070" width="12.7109375" style="111" customWidth="1"/>
    <col min="13071" max="13071" width="40.28515625" style="111" customWidth="1"/>
    <col min="13072" max="13072" width="2.7109375" style="111" customWidth="1"/>
    <col min="13073" max="13074" width="21" style="111" customWidth="1"/>
    <col min="13075" max="13075" width="19.28515625" style="111" customWidth="1"/>
    <col min="13076" max="13076" width="12.7109375" style="111" customWidth="1"/>
    <col min="13077" max="13077" width="2.7109375" style="111" customWidth="1"/>
    <col min="13078" max="13079" width="21" style="111" customWidth="1"/>
    <col min="13080" max="13080" width="19.28515625" style="111" customWidth="1"/>
    <col min="13081" max="13081" width="12.7109375" style="111" customWidth="1"/>
    <col min="13082" max="13082" width="6.28515625" style="111" customWidth="1"/>
    <col min="13083" max="13083" width="21.85546875" style="111" customWidth="1"/>
    <col min="13084" max="13084" width="1" style="111" customWidth="1"/>
    <col min="13085" max="13096" width="21.85546875" style="111" customWidth="1"/>
    <col min="13097" max="13097" width="1" style="111" customWidth="1"/>
    <col min="13098" max="13109" width="21.85546875" style="111" customWidth="1"/>
    <col min="13110" max="13312" width="9.140625" style="111"/>
    <col min="13313" max="13313" width="0" style="111" hidden="1" customWidth="1"/>
    <col min="13314" max="13314" width="12.7109375" style="111" customWidth="1"/>
    <col min="13315" max="13315" width="35.42578125" style="111" customWidth="1"/>
    <col min="13316" max="13316" width="1" style="111" customWidth="1"/>
    <col min="13317" max="13317" width="1.140625" style="111" customWidth="1"/>
    <col min="13318" max="13319" width="21" style="111" customWidth="1"/>
    <col min="13320" max="13320" width="19.28515625" style="111" customWidth="1"/>
    <col min="13321" max="13321" width="12.7109375" style="111" customWidth="1"/>
    <col min="13322" max="13322" width="2.7109375" style="111" customWidth="1"/>
    <col min="13323" max="13323" width="19.5703125" style="111" customWidth="1"/>
    <col min="13324" max="13324" width="18.5703125" style="111" customWidth="1"/>
    <col min="13325" max="13325" width="19.28515625" style="111" customWidth="1"/>
    <col min="13326" max="13326" width="12.7109375" style="111" customWidth="1"/>
    <col min="13327" max="13327" width="40.28515625" style="111" customWidth="1"/>
    <col min="13328" max="13328" width="2.7109375" style="111" customWidth="1"/>
    <col min="13329" max="13330" width="21" style="111" customWidth="1"/>
    <col min="13331" max="13331" width="19.28515625" style="111" customWidth="1"/>
    <col min="13332" max="13332" width="12.7109375" style="111" customWidth="1"/>
    <col min="13333" max="13333" width="2.7109375" style="111" customWidth="1"/>
    <col min="13334" max="13335" width="21" style="111" customWidth="1"/>
    <col min="13336" max="13336" width="19.28515625" style="111" customWidth="1"/>
    <col min="13337" max="13337" width="12.7109375" style="111" customWidth="1"/>
    <col min="13338" max="13338" width="6.28515625" style="111" customWidth="1"/>
    <col min="13339" max="13339" width="21.85546875" style="111" customWidth="1"/>
    <col min="13340" max="13340" width="1" style="111" customWidth="1"/>
    <col min="13341" max="13352" width="21.85546875" style="111" customWidth="1"/>
    <col min="13353" max="13353" width="1" style="111" customWidth="1"/>
    <col min="13354" max="13365" width="21.85546875" style="111" customWidth="1"/>
    <col min="13366" max="13568" width="9.140625" style="111"/>
    <col min="13569" max="13569" width="0" style="111" hidden="1" customWidth="1"/>
    <col min="13570" max="13570" width="12.7109375" style="111" customWidth="1"/>
    <col min="13571" max="13571" width="35.42578125" style="111" customWidth="1"/>
    <col min="13572" max="13572" width="1" style="111" customWidth="1"/>
    <col min="13573" max="13573" width="1.140625" style="111" customWidth="1"/>
    <col min="13574" max="13575" width="21" style="111" customWidth="1"/>
    <col min="13576" max="13576" width="19.28515625" style="111" customWidth="1"/>
    <col min="13577" max="13577" width="12.7109375" style="111" customWidth="1"/>
    <col min="13578" max="13578" width="2.7109375" style="111" customWidth="1"/>
    <col min="13579" max="13579" width="19.5703125" style="111" customWidth="1"/>
    <col min="13580" max="13580" width="18.5703125" style="111" customWidth="1"/>
    <col min="13581" max="13581" width="19.28515625" style="111" customWidth="1"/>
    <col min="13582" max="13582" width="12.7109375" style="111" customWidth="1"/>
    <col min="13583" max="13583" width="40.28515625" style="111" customWidth="1"/>
    <col min="13584" max="13584" width="2.7109375" style="111" customWidth="1"/>
    <col min="13585" max="13586" width="21" style="111" customWidth="1"/>
    <col min="13587" max="13587" width="19.28515625" style="111" customWidth="1"/>
    <col min="13588" max="13588" width="12.7109375" style="111" customWidth="1"/>
    <col min="13589" max="13589" width="2.7109375" style="111" customWidth="1"/>
    <col min="13590" max="13591" width="21" style="111" customWidth="1"/>
    <col min="13592" max="13592" width="19.28515625" style="111" customWidth="1"/>
    <col min="13593" max="13593" width="12.7109375" style="111" customWidth="1"/>
    <col min="13594" max="13594" width="6.28515625" style="111" customWidth="1"/>
    <col min="13595" max="13595" width="21.85546875" style="111" customWidth="1"/>
    <col min="13596" max="13596" width="1" style="111" customWidth="1"/>
    <col min="13597" max="13608" width="21.85546875" style="111" customWidth="1"/>
    <col min="13609" max="13609" width="1" style="111" customWidth="1"/>
    <col min="13610" max="13621" width="21.85546875" style="111" customWidth="1"/>
    <col min="13622" max="13824" width="9.140625" style="111"/>
    <col min="13825" max="13825" width="0" style="111" hidden="1" customWidth="1"/>
    <col min="13826" max="13826" width="12.7109375" style="111" customWidth="1"/>
    <col min="13827" max="13827" width="35.42578125" style="111" customWidth="1"/>
    <col min="13828" max="13828" width="1" style="111" customWidth="1"/>
    <col min="13829" max="13829" width="1.140625" style="111" customWidth="1"/>
    <col min="13830" max="13831" width="21" style="111" customWidth="1"/>
    <col min="13832" max="13832" width="19.28515625" style="111" customWidth="1"/>
    <col min="13833" max="13833" width="12.7109375" style="111" customWidth="1"/>
    <col min="13834" max="13834" width="2.7109375" style="111" customWidth="1"/>
    <col min="13835" max="13835" width="19.5703125" style="111" customWidth="1"/>
    <col min="13836" max="13836" width="18.5703125" style="111" customWidth="1"/>
    <col min="13837" max="13837" width="19.28515625" style="111" customWidth="1"/>
    <col min="13838" max="13838" width="12.7109375" style="111" customWidth="1"/>
    <col min="13839" max="13839" width="40.28515625" style="111" customWidth="1"/>
    <col min="13840" max="13840" width="2.7109375" style="111" customWidth="1"/>
    <col min="13841" max="13842" width="21" style="111" customWidth="1"/>
    <col min="13843" max="13843" width="19.28515625" style="111" customWidth="1"/>
    <col min="13844" max="13844" width="12.7109375" style="111" customWidth="1"/>
    <col min="13845" max="13845" width="2.7109375" style="111" customWidth="1"/>
    <col min="13846" max="13847" width="21" style="111" customWidth="1"/>
    <col min="13848" max="13848" width="19.28515625" style="111" customWidth="1"/>
    <col min="13849" max="13849" width="12.7109375" style="111" customWidth="1"/>
    <col min="13850" max="13850" width="6.28515625" style="111" customWidth="1"/>
    <col min="13851" max="13851" width="21.85546875" style="111" customWidth="1"/>
    <col min="13852" max="13852" width="1" style="111" customWidth="1"/>
    <col min="13853" max="13864" width="21.85546875" style="111" customWidth="1"/>
    <col min="13865" max="13865" width="1" style="111" customWidth="1"/>
    <col min="13866" max="13877" width="21.85546875" style="111" customWidth="1"/>
    <col min="13878" max="14080" width="9.140625" style="111"/>
    <col min="14081" max="14081" width="0" style="111" hidden="1" customWidth="1"/>
    <col min="14082" max="14082" width="12.7109375" style="111" customWidth="1"/>
    <col min="14083" max="14083" width="35.42578125" style="111" customWidth="1"/>
    <col min="14084" max="14084" width="1" style="111" customWidth="1"/>
    <col min="14085" max="14085" width="1.140625" style="111" customWidth="1"/>
    <col min="14086" max="14087" width="21" style="111" customWidth="1"/>
    <col min="14088" max="14088" width="19.28515625" style="111" customWidth="1"/>
    <col min="14089" max="14089" width="12.7109375" style="111" customWidth="1"/>
    <col min="14090" max="14090" width="2.7109375" style="111" customWidth="1"/>
    <col min="14091" max="14091" width="19.5703125" style="111" customWidth="1"/>
    <col min="14092" max="14092" width="18.5703125" style="111" customWidth="1"/>
    <col min="14093" max="14093" width="19.28515625" style="111" customWidth="1"/>
    <col min="14094" max="14094" width="12.7109375" style="111" customWidth="1"/>
    <col min="14095" max="14095" width="40.28515625" style="111" customWidth="1"/>
    <col min="14096" max="14096" width="2.7109375" style="111" customWidth="1"/>
    <col min="14097" max="14098" width="21" style="111" customWidth="1"/>
    <col min="14099" max="14099" width="19.28515625" style="111" customWidth="1"/>
    <col min="14100" max="14100" width="12.7109375" style="111" customWidth="1"/>
    <col min="14101" max="14101" width="2.7109375" style="111" customWidth="1"/>
    <col min="14102" max="14103" width="21" style="111" customWidth="1"/>
    <col min="14104" max="14104" width="19.28515625" style="111" customWidth="1"/>
    <col min="14105" max="14105" width="12.7109375" style="111" customWidth="1"/>
    <col min="14106" max="14106" width="6.28515625" style="111" customWidth="1"/>
    <col min="14107" max="14107" width="21.85546875" style="111" customWidth="1"/>
    <col min="14108" max="14108" width="1" style="111" customWidth="1"/>
    <col min="14109" max="14120" width="21.85546875" style="111" customWidth="1"/>
    <col min="14121" max="14121" width="1" style="111" customWidth="1"/>
    <col min="14122" max="14133" width="21.85546875" style="111" customWidth="1"/>
    <col min="14134" max="14336" width="9.140625" style="111"/>
    <col min="14337" max="14337" width="0" style="111" hidden="1" customWidth="1"/>
    <col min="14338" max="14338" width="12.7109375" style="111" customWidth="1"/>
    <col min="14339" max="14339" width="35.42578125" style="111" customWidth="1"/>
    <col min="14340" max="14340" width="1" style="111" customWidth="1"/>
    <col min="14341" max="14341" width="1.140625" style="111" customWidth="1"/>
    <col min="14342" max="14343" width="21" style="111" customWidth="1"/>
    <col min="14344" max="14344" width="19.28515625" style="111" customWidth="1"/>
    <col min="14345" max="14345" width="12.7109375" style="111" customWidth="1"/>
    <col min="14346" max="14346" width="2.7109375" style="111" customWidth="1"/>
    <col min="14347" max="14347" width="19.5703125" style="111" customWidth="1"/>
    <col min="14348" max="14348" width="18.5703125" style="111" customWidth="1"/>
    <col min="14349" max="14349" width="19.28515625" style="111" customWidth="1"/>
    <col min="14350" max="14350" width="12.7109375" style="111" customWidth="1"/>
    <col min="14351" max="14351" width="40.28515625" style="111" customWidth="1"/>
    <col min="14352" max="14352" width="2.7109375" style="111" customWidth="1"/>
    <col min="14353" max="14354" width="21" style="111" customWidth="1"/>
    <col min="14355" max="14355" width="19.28515625" style="111" customWidth="1"/>
    <col min="14356" max="14356" width="12.7109375" style="111" customWidth="1"/>
    <col min="14357" max="14357" width="2.7109375" style="111" customWidth="1"/>
    <col min="14358" max="14359" width="21" style="111" customWidth="1"/>
    <col min="14360" max="14360" width="19.28515625" style="111" customWidth="1"/>
    <col min="14361" max="14361" width="12.7109375" style="111" customWidth="1"/>
    <col min="14362" max="14362" width="6.28515625" style="111" customWidth="1"/>
    <col min="14363" max="14363" width="21.85546875" style="111" customWidth="1"/>
    <col min="14364" max="14364" width="1" style="111" customWidth="1"/>
    <col min="14365" max="14376" width="21.85546875" style="111" customWidth="1"/>
    <col min="14377" max="14377" width="1" style="111" customWidth="1"/>
    <col min="14378" max="14389" width="21.85546875" style="111" customWidth="1"/>
    <col min="14390" max="14592" width="9.140625" style="111"/>
    <col min="14593" max="14593" width="0" style="111" hidden="1" customWidth="1"/>
    <col min="14594" max="14594" width="12.7109375" style="111" customWidth="1"/>
    <col min="14595" max="14595" width="35.42578125" style="111" customWidth="1"/>
    <col min="14596" max="14596" width="1" style="111" customWidth="1"/>
    <col min="14597" max="14597" width="1.140625" style="111" customWidth="1"/>
    <col min="14598" max="14599" width="21" style="111" customWidth="1"/>
    <col min="14600" max="14600" width="19.28515625" style="111" customWidth="1"/>
    <col min="14601" max="14601" width="12.7109375" style="111" customWidth="1"/>
    <col min="14602" max="14602" width="2.7109375" style="111" customWidth="1"/>
    <col min="14603" max="14603" width="19.5703125" style="111" customWidth="1"/>
    <col min="14604" max="14604" width="18.5703125" style="111" customWidth="1"/>
    <col min="14605" max="14605" width="19.28515625" style="111" customWidth="1"/>
    <col min="14606" max="14606" width="12.7109375" style="111" customWidth="1"/>
    <col min="14607" max="14607" width="40.28515625" style="111" customWidth="1"/>
    <col min="14608" max="14608" width="2.7109375" style="111" customWidth="1"/>
    <col min="14609" max="14610" width="21" style="111" customWidth="1"/>
    <col min="14611" max="14611" width="19.28515625" style="111" customWidth="1"/>
    <col min="14612" max="14612" width="12.7109375" style="111" customWidth="1"/>
    <col min="14613" max="14613" width="2.7109375" style="111" customWidth="1"/>
    <col min="14614" max="14615" width="21" style="111" customWidth="1"/>
    <col min="14616" max="14616" width="19.28515625" style="111" customWidth="1"/>
    <col min="14617" max="14617" width="12.7109375" style="111" customWidth="1"/>
    <col min="14618" max="14618" width="6.28515625" style="111" customWidth="1"/>
    <col min="14619" max="14619" width="21.85546875" style="111" customWidth="1"/>
    <col min="14620" max="14620" width="1" style="111" customWidth="1"/>
    <col min="14621" max="14632" width="21.85546875" style="111" customWidth="1"/>
    <col min="14633" max="14633" width="1" style="111" customWidth="1"/>
    <col min="14634" max="14645" width="21.85546875" style="111" customWidth="1"/>
    <col min="14646" max="14848" width="9.140625" style="111"/>
    <col min="14849" max="14849" width="0" style="111" hidden="1" customWidth="1"/>
    <col min="14850" max="14850" width="12.7109375" style="111" customWidth="1"/>
    <col min="14851" max="14851" width="35.42578125" style="111" customWidth="1"/>
    <col min="14852" max="14852" width="1" style="111" customWidth="1"/>
    <col min="14853" max="14853" width="1.140625" style="111" customWidth="1"/>
    <col min="14854" max="14855" width="21" style="111" customWidth="1"/>
    <col min="14856" max="14856" width="19.28515625" style="111" customWidth="1"/>
    <col min="14857" max="14857" width="12.7109375" style="111" customWidth="1"/>
    <col min="14858" max="14858" width="2.7109375" style="111" customWidth="1"/>
    <col min="14859" max="14859" width="19.5703125" style="111" customWidth="1"/>
    <col min="14860" max="14860" width="18.5703125" style="111" customWidth="1"/>
    <col min="14861" max="14861" width="19.28515625" style="111" customWidth="1"/>
    <col min="14862" max="14862" width="12.7109375" style="111" customWidth="1"/>
    <col min="14863" max="14863" width="40.28515625" style="111" customWidth="1"/>
    <col min="14864" max="14864" width="2.7109375" style="111" customWidth="1"/>
    <col min="14865" max="14866" width="21" style="111" customWidth="1"/>
    <col min="14867" max="14867" width="19.28515625" style="111" customWidth="1"/>
    <col min="14868" max="14868" width="12.7109375" style="111" customWidth="1"/>
    <col min="14869" max="14869" width="2.7109375" style="111" customWidth="1"/>
    <col min="14870" max="14871" width="21" style="111" customWidth="1"/>
    <col min="14872" max="14872" width="19.28515625" style="111" customWidth="1"/>
    <col min="14873" max="14873" width="12.7109375" style="111" customWidth="1"/>
    <col min="14874" max="14874" width="6.28515625" style="111" customWidth="1"/>
    <col min="14875" max="14875" width="21.85546875" style="111" customWidth="1"/>
    <col min="14876" max="14876" width="1" style="111" customWidth="1"/>
    <col min="14877" max="14888" width="21.85546875" style="111" customWidth="1"/>
    <col min="14889" max="14889" width="1" style="111" customWidth="1"/>
    <col min="14890" max="14901" width="21.85546875" style="111" customWidth="1"/>
    <col min="14902" max="15104" width="9.140625" style="111"/>
    <col min="15105" max="15105" width="0" style="111" hidden="1" customWidth="1"/>
    <col min="15106" max="15106" width="12.7109375" style="111" customWidth="1"/>
    <col min="15107" max="15107" width="35.42578125" style="111" customWidth="1"/>
    <col min="15108" max="15108" width="1" style="111" customWidth="1"/>
    <col min="15109" max="15109" width="1.140625" style="111" customWidth="1"/>
    <col min="15110" max="15111" width="21" style="111" customWidth="1"/>
    <col min="15112" max="15112" width="19.28515625" style="111" customWidth="1"/>
    <col min="15113" max="15113" width="12.7109375" style="111" customWidth="1"/>
    <col min="15114" max="15114" width="2.7109375" style="111" customWidth="1"/>
    <col min="15115" max="15115" width="19.5703125" style="111" customWidth="1"/>
    <col min="15116" max="15116" width="18.5703125" style="111" customWidth="1"/>
    <col min="15117" max="15117" width="19.28515625" style="111" customWidth="1"/>
    <col min="15118" max="15118" width="12.7109375" style="111" customWidth="1"/>
    <col min="15119" max="15119" width="40.28515625" style="111" customWidth="1"/>
    <col min="15120" max="15120" width="2.7109375" style="111" customWidth="1"/>
    <col min="15121" max="15122" width="21" style="111" customWidth="1"/>
    <col min="15123" max="15123" width="19.28515625" style="111" customWidth="1"/>
    <col min="15124" max="15124" width="12.7109375" style="111" customWidth="1"/>
    <col min="15125" max="15125" width="2.7109375" style="111" customWidth="1"/>
    <col min="15126" max="15127" width="21" style="111" customWidth="1"/>
    <col min="15128" max="15128" width="19.28515625" style="111" customWidth="1"/>
    <col min="15129" max="15129" width="12.7109375" style="111" customWidth="1"/>
    <col min="15130" max="15130" width="6.28515625" style="111" customWidth="1"/>
    <col min="15131" max="15131" width="21.85546875" style="111" customWidth="1"/>
    <col min="15132" max="15132" width="1" style="111" customWidth="1"/>
    <col min="15133" max="15144" width="21.85546875" style="111" customWidth="1"/>
    <col min="15145" max="15145" width="1" style="111" customWidth="1"/>
    <col min="15146" max="15157" width="21.85546875" style="111" customWidth="1"/>
    <col min="15158" max="15360" width="9.140625" style="111"/>
    <col min="15361" max="15361" width="0" style="111" hidden="1" customWidth="1"/>
    <col min="15362" max="15362" width="12.7109375" style="111" customWidth="1"/>
    <col min="15363" max="15363" width="35.42578125" style="111" customWidth="1"/>
    <col min="15364" max="15364" width="1" style="111" customWidth="1"/>
    <col min="15365" max="15365" width="1.140625" style="111" customWidth="1"/>
    <col min="15366" max="15367" width="21" style="111" customWidth="1"/>
    <col min="15368" max="15368" width="19.28515625" style="111" customWidth="1"/>
    <col min="15369" max="15369" width="12.7109375" style="111" customWidth="1"/>
    <col min="15370" max="15370" width="2.7109375" style="111" customWidth="1"/>
    <col min="15371" max="15371" width="19.5703125" style="111" customWidth="1"/>
    <col min="15372" max="15372" width="18.5703125" style="111" customWidth="1"/>
    <col min="15373" max="15373" width="19.28515625" style="111" customWidth="1"/>
    <col min="15374" max="15374" width="12.7109375" style="111" customWidth="1"/>
    <col min="15375" max="15375" width="40.28515625" style="111" customWidth="1"/>
    <col min="15376" max="15376" width="2.7109375" style="111" customWidth="1"/>
    <col min="15377" max="15378" width="21" style="111" customWidth="1"/>
    <col min="15379" max="15379" width="19.28515625" style="111" customWidth="1"/>
    <col min="15380" max="15380" width="12.7109375" style="111" customWidth="1"/>
    <col min="15381" max="15381" width="2.7109375" style="111" customWidth="1"/>
    <col min="15382" max="15383" width="21" style="111" customWidth="1"/>
    <col min="15384" max="15384" width="19.28515625" style="111" customWidth="1"/>
    <col min="15385" max="15385" width="12.7109375" style="111" customWidth="1"/>
    <col min="15386" max="15386" width="6.28515625" style="111" customWidth="1"/>
    <col min="15387" max="15387" width="21.85546875" style="111" customWidth="1"/>
    <col min="15388" max="15388" width="1" style="111" customWidth="1"/>
    <col min="15389" max="15400" width="21.85546875" style="111" customWidth="1"/>
    <col min="15401" max="15401" width="1" style="111" customWidth="1"/>
    <col min="15402" max="15413" width="21.85546875" style="111" customWidth="1"/>
    <col min="15414" max="15616" width="9.140625" style="111"/>
    <col min="15617" max="15617" width="0" style="111" hidden="1" customWidth="1"/>
    <col min="15618" max="15618" width="12.7109375" style="111" customWidth="1"/>
    <col min="15619" max="15619" width="35.42578125" style="111" customWidth="1"/>
    <col min="15620" max="15620" width="1" style="111" customWidth="1"/>
    <col min="15621" max="15621" width="1.140625" style="111" customWidth="1"/>
    <col min="15622" max="15623" width="21" style="111" customWidth="1"/>
    <col min="15624" max="15624" width="19.28515625" style="111" customWidth="1"/>
    <col min="15625" max="15625" width="12.7109375" style="111" customWidth="1"/>
    <col min="15626" max="15626" width="2.7109375" style="111" customWidth="1"/>
    <col min="15627" max="15627" width="19.5703125" style="111" customWidth="1"/>
    <col min="15628" max="15628" width="18.5703125" style="111" customWidth="1"/>
    <col min="15629" max="15629" width="19.28515625" style="111" customWidth="1"/>
    <col min="15630" max="15630" width="12.7109375" style="111" customWidth="1"/>
    <col min="15631" max="15631" width="40.28515625" style="111" customWidth="1"/>
    <col min="15632" max="15632" width="2.7109375" style="111" customWidth="1"/>
    <col min="15633" max="15634" width="21" style="111" customWidth="1"/>
    <col min="15635" max="15635" width="19.28515625" style="111" customWidth="1"/>
    <col min="15636" max="15636" width="12.7109375" style="111" customWidth="1"/>
    <col min="15637" max="15637" width="2.7109375" style="111" customWidth="1"/>
    <col min="15638" max="15639" width="21" style="111" customWidth="1"/>
    <col min="15640" max="15640" width="19.28515625" style="111" customWidth="1"/>
    <col min="15641" max="15641" width="12.7109375" style="111" customWidth="1"/>
    <col min="15642" max="15642" width="6.28515625" style="111" customWidth="1"/>
    <col min="15643" max="15643" width="21.85546875" style="111" customWidth="1"/>
    <col min="15644" max="15644" width="1" style="111" customWidth="1"/>
    <col min="15645" max="15656" width="21.85546875" style="111" customWidth="1"/>
    <col min="15657" max="15657" width="1" style="111" customWidth="1"/>
    <col min="15658" max="15669" width="21.85546875" style="111" customWidth="1"/>
    <col min="15670" max="15872" width="9.140625" style="111"/>
    <col min="15873" max="15873" width="0" style="111" hidden="1" customWidth="1"/>
    <col min="15874" max="15874" width="12.7109375" style="111" customWidth="1"/>
    <col min="15875" max="15875" width="35.42578125" style="111" customWidth="1"/>
    <col min="15876" max="15876" width="1" style="111" customWidth="1"/>
    <col min="15877" max="15877" width="1.140625" style="111" customWidth="1"/>
    <col min="15878" max="15879" width="21" style="111" customWidth="1"/>
    <col min="15880" max="15880" width="19.28515625" style="111" customWidth="1"/>
    <col min="15881" max="15881" width="12.7109375" style="111" customWidth="1"/>
    <col min="15882" max="15882" width="2.7109375" style="111" customWidth="1"/>
    <col min="15883" max="15883" width="19.5703125" style="111" customWidth="1"/>
    <col min="15884" max="15884" width="18.5703125" style="111" customWidth="1"/>
    <col min="15885" max="15885" width="19.28515625" style="111" customWidth="1"/>
    <col min="15886" max="15886" width="12.7109375" style="111" customWidth="1"/>
    <col min="15887" max="15887" width="40.28515625" style="111" customWidth="1"/>
    <col min="15888" max="15888" width="2.7109375" style="111" customWidth="1"/>
    <col min="15889" max="15890" width="21" style="111" customWidth="1"/>
    <col min="15891" max="15891" width="19.28515625" style="111" customWidth="1"/>
    <col min="15892" max="15892" width="12.7109375" style="111" customWidth="1"/>
    <col min="15893" max="15893" width="2.7109375" style="111" customWidth="1"/>
    <col min="15894" max="15895" width="21" style="111" customWidth="1"/>
    <col min="15896" max="15896" width="19.28515625" style="111" customWidth="1"/>
    <col min="15897" max="15897" width="12.7109375" style="111" customWidth="1"/>
    <col min="15898" max="15898" width="6.28515625" style="111" customWidth="1"/>
    <col min="15899" max="15899" width="21.85546875" style="111" customWidth="1"/>
    <col min="15900" max="15900" width="1" style="111" customWidth="1"/>
    <col min="15901" max="15912" width="21.85546875" style="111" customWidth="1"/>
    <col min="15913" max="15913" width="1" style="111" customWidth="1"/>
    <col min="15914" max="15925" width="21.85546875" style="111" customWidth="1"/>
    <col min="15926" max="16128" width="9.140625" style="111"/>
    <col min="16129" max="16129" width="0" style="111" hidden="1" customWidth="1"/>
    <col min="16130" max="16130" width="12.7109375" style="111" customWidth="1"/>
    <col min="16131" max="16131" width="35.42578125" style="111" customWidth="1"/>
    <col min="16132" max="16132" width="1" style="111" customWidth="1"/>
    <col min="16133" max="16133" width="1.140625" style="111" customWidth="1"/>
    <col min="16134" max="16135" width="21" style="111" customWidth="1"/>
    <col min="16136" max="16136" width="19.28515625" style="111" customWidth="1"/>
    <col min="16137" max="16137" width="12.7109375" style="111" customWidth="1"/>
    <col min="16138" max="16138" width="2.7109375" style="111" customWidth="1"/>
    <col min="16139" max="16139" width="19.5703125" style="111" customWidth="1"/>
    <col min="16140" max="16140" width="18.5703125" style="111" customWidth="1"/>
    <col min="16141" max="16141" width="19.28515625" style="111" customWidth="1"/>
    <col min="16142" max="16142" width="12.7109375" style="111" customWidth="1"/>
    <col min="16143" max="16143" width="40.28515625" style="111" customWidth="1"/>
    <col min="16144" max="16144" width="2.7109375" style="111" customWidth="1"/>
    <col min="16145" max="16146" width="21" style="111" customWidth="1"/>
    <col min="16147" max="16147" width="19.28515625" style="111" customWidth="1"/>
    <col min="16148" max="16148" width="12.7109375" style="111" customWidth="1"/>
    <col min="16149" max="16149" width="2.7109375" style="111" customWidth="1"/>
    <col min="16150" max="16151" width="21" style="111" customWidth="1"/>
    <col min="16152" max="16152" width="19.28515625" style="111" customWidth="1"/>
    <col min="16153" max="16153" width="12.7109375" style="111" customWidth="1"/>
    <col min="16154" max="16154" width="6.28515625" style="111" customWidth="1"/>
    <col min="16155" max="16155" width="21.85546875" style="111" customWidth="1"/>
    <col min="16156" max="16156" width="1" style="111" customWidth="1"/>
    <col min="16157" max="16168" width="21.85546875" style="111" customWidth="1"/>
    <col min="16169" max="16169" width="1" style="111" customWidth="1"/>
    <col min="16170" max="16181" width="21.85546875" style="111" customWidth="1"/>
    <col min="16182" max="16384" width="9.140625" style="111"/>
  </cols>
  <sheetData>
    <row r="1" spans="1:53" s="102" customFormat="1" ht="11.25" hidden="1" customHeight="1">
      <c r="A1" s="102" t="s">
        <v>110</v>
      </c>
      <c r="B1" s="103" t="s">
        <v>111</v>
      </c>
      <c r="C1" s="104" t="s">
        <v>112</v>
      </c>
      <c r="D1" s="298"/>
      <c r="E1" s="299"/>
      <c r="F1" s="105" t="s">
        <v>113</v>
      </c>
      <c r="G1" s="105" t="s">
        <v>114</v>
      </c>
      <c r="H1" s="106" t="s">
        <v>115</v>
      </c>
      <c r="I1" s="300" t="s">
        <v>115</v>
      </c>
      <c r="J1" s="107"/>
      <c r="K1" s="105" t="s">
        <v>116</v>
      </c>
      <c r="L1" s="105" t="s">
        <v>117</v>
      </c>
      <c r="M1" s="106" t="s">
        <v>115</v>
      </c>
      <c r="N1" s="300" t="s">
        <v>115</v>
      </c>
      <c r="O1" s="301"/>
      <c r="P1" s="107"/>
      <c r="Q1" s="105" t="s">
        <v>118</v>
      </c>
      <c r="R1" s="105" t="s">
        <v>119</v>
      </c>
      <c r="S1" s="106" t="s">
        <v>115</v>
      </c>
      <c r="T1" s="300" t="s">
        <v>115</v>
      </c>
      <c r="U1" s="107"/>
      <c r="V1" s="105" t="s">
        <v>120</v>
      </c>
      <c r="W1" s="105" t="s">
        <v>121</v>
      </c>
      <c r="X1" s="106" t="s">
        <v>115</v>
      </c>
      <c r="Y1" s="300" t="s">
        <v>115</v>
      </c>
      <c r="Z1" s="302"/>
      <c r="AA1" s="108" t="s">
        <v>122</v>
      </c>
      <c r="AB1" s="109"/>
      <c r="AC1" s="110" t="s">
        <v>123</v>
      </c>
      <c r="AD1" s="110" t="s">
        <v>124</v>
      </c>
      <c r="AE1" s="110" t="s">
        <v>125</v>
      </c>
      <c r="AF1" s="110" t="s">
        <v>126</v>
      </c>
      <c r="AG1" s="110" t="s">
        <v>127</v>
      </c>
      <c r="AH1" s="110" t="s">
        <v>128</v>
      </c>
      <c r="AI1" s="110" t="s">
        <v>129</v>
      </c>
      <c r="AJ1" s="110" t="s">
        <v>130</v>
      </c>
      <c r="AK1" s="110" t="s">
        <v>131</v>
      </c>
      <c r="AL1" s="110" t="s">
        <v>132</v>
      </c>
      <c r="AM1" s="110" t="s">
        <v>133</v>
      </c>
      <c r="AN1" s="110" t="s">
        <v>134</v>
      </c>
      <c r="AO1" s="109"/>
      <c r="AP1" s="110" t="s">
        <v>135</v>
      </c>
      <c r="AQ1" s="110" t="s">
        <v>136</v>
      </c>
      <c r="AR1" s="110" t="s">
        <v>137</v>
      </c>
      <c r="AS1" s="110" t="s">
        <v>138</v>
      </c>
      <c r="AT1" s="110" t="s">
        <v>139</v>
      </c>
      <c r="AU1" s="110" t="s">
        <v>140</v>
      </c>
      <c r="AV1" s="110" t="s">
        <v>141</v>
      </c>
      <c r="AW1" s="110" t="s">
        <v>142</v>
      </c>
      <c r="AX1" s="110" t="s">
        <v>143</v>
      </c>
      <c r="AY1" s="110" t="s">
        <v>144</v>
      </c>
      <c r="AZ1" s="110" t="s">
        <v>145</v>
      </c>
      <c r="BA1" s="110" t="s">
        <v>146</v>
      </c>
    </row>
    <row r="2" spans="1:53">
      <c r="C2" s="112" t="str">
        <f>IF($C$683="Error",$C$688,IF($C$689="Error",$C$685&amp;" - "&amp;$C$684,IF($C$689 = $C$688, "BU"&amp; $C$689&amp;" -" &amp; $C$683,$C$689&amp;" - "&amp;$C$688)))</f>
        <v>Kentucky Power Corp Consol</v>
      </c>
      <c r="D2" s="303"/>
      <c r="E2" s="304"/>
      <c r="F2" s="305"/>
      <c r="G2" s="305" t="str">
        <f>+C2</f>
        <v>Kentucky Power Corp Consol</v>
      </c>
      <c r="H2" s="305"/>
      <c r="I2" s="306"/>
      <c r="J2" s="307"/>
      <c r="K2" s="305"/>
      <c r="L2" s="305" t="str">
        <f>+G2</f>
        <v>Kentucky Power Corp Consol</v>
      </c>
      <c r="M2" s="305"/>
      <c r="N2" s="306"/>
      <c r="O2" s="308"/>
      <c r="P2" s="307"/>
      <c r="Q2" s="305"/>
      <c r="R2" s="305" t="str">
        <f>+L2</f>
        <v>Kentucky Power Corp Consol</v>
      </c>
      <c r="S2" s="305"/>
      <c r="T2" s="306"/>
      <c r="U2" s="307"/>
      <c r="V2" s="305"/>
      <c r="W2" s="305" t="str">
        <f>+R2</f>
        <v>Kentucky Power Corp Consol</v>
      </c>
      <c r="X2" s="305"/>
      <c r="Y2" s="306"/>
      <c r="Z2" s="306"/>
      <c r="AA2" s="309" t="str">
        <f>+C2</f>
        <v>Kentucky Power Corp Consol</v>
      </c>
      <c r="AB2" s="310"/>
      <c r="AC2" s="116"/>
      <c r="AD2" s="116"/>
      <c r="AE2" s="116"/>
      <c r="AF2" s="116"/>
      <c r="AG2" s="116"/>
      <c r="AH2" s="116"/>
      <c r="AI2" s="116"/>
      <c r="AJ2" s="116"/>
      <c r="AN2" s="311"/>
      <c r="AO2" s="310"/>
      <c r="AP2" s="305" t="str">
        <f>+C2</f>
        <v>Kentucky Power Corp Consol</v>
      </c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11"/>
    </row>
    <row r="3" spans="1:53">
      <c r="C3" s="112" t="str">
        <f>TEXT(+$C$673,"MMMM YYYY")</f>
        <v>March 2023</v>
      </c>
      <c r="E3" s="114"/>
      <c r="F3" s="115"/>
      <c r="G3" s="116" t="str">
        <f>+"As of: "&amp; TEXT(+$C$673,"MMM YYYY")</f>
        <v>As of: Mar 2023</v>
      </c>
      <c r="H3" s="122"/>
      <c r="I3" s="313"/>
      <c r="K3" s="115"/>
      <c r="L3" s="116" t="str">
        <f>+G3</f>
        <v>As of: Mar 2023</v>
      </c>
      <c r="M3" s="122"/>
      <c r="N3" s="313"/>
      <c r="Q3" s="115"/>
      <c r="R3" s="116" t="str">
        <f>+L3</f>
        <v>As of: Mar 2023</v>
      </c>
      <c r="S3" s="122"/>
      <c r="T3" s="313"/>
      <c r="V3" s="115"/>
      <c r="W3" s="116" t="str">
        <f>+R3</f>
        <v>As of: Mar 2023</v>
      </c>
      <c r="X3" s="122"/>
      <c r="Y3" s="313"/>
      <c r="AA3" s="315" t="str">
        <f>+G3</f>
        <v>As of: Mar 2023</v>
      </c>
      <c r="AB3" s="310"/>
      <c r="AC3" s="305"/>
      <c r="AD3" s="116"/>
      <c r="AE3" s="116"/>
      <c r="AF3" s="116"/>
      <c r="AG3" s="116"/>
      <c r="AH3" s="116"/>
      <c r="AI3" s="116"/>
      <c r="AJ3" s="116"/>
      <c r="AN3" s="311"/>
      <c r="AO3" s="310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11"/>
    </row>
    <row r="4" spans="1:53" ht="13.5" thickBot="1">
      <c r="B4" s="117" t="str">
        <f>"Run Date: "&amp; TEXT(NvsEndTime,"MM/DD/YYYY  hh:mm AM/PM;@")</f>
        <v>Run Date: 04/06/2013  03:12 PM</v>
      </c>
      <c r="C4" s="118"/>
      <c r="D4" s="316"/>
      <c r="E4" s="127"/>
      <c r="F4" s="128"/>
      <c r="G4" s="128"/>
      <c r="H4" s="317"/>
      <c r="I4" s="318"/>
      <c r="J4" s="319"/>
      <c r="K4" s="128"/>
      <c r="L4" s="128"/>
      <c r="M4" s="317"/>
      <c r="N4" s="318"/>
      <c r="O4" s="320"/>
      <c r="P4" s="319"/>
      <c r="Q4" s="128"/>
      <c r="R4" s="128"/>
      <c r="S4" s="317"/>
      <c r="T4" s="318"/>
      <c r="U4" s="319"/>
      <c r="V4" s="128"/>
      <c r="W4" s="128"/>
      <c r="X4" s="317"/>
      <c r="Y4" s="318"/>
      <c r="Z4" s="321"/>
      <c r="AA4" s="119"/>
      <c r="AB4" s="310"/>
      <c r="AC4" s="305"/>
      <c r="AD4" s="116"/>
      <c r="AE4" s="116"/>
      <c r="AF4" s="116"/>
      <c r="AG4" s="116"/>
      <c r="AH4" s="116"/>
      <c r="AI4" s="116"/>
      <c r="AJ4" s="116"/>
      <c r="AN4" s="311"/>
      <c r="AO4" s="310"/>
      <c r="AP4" s="305">
        <f>+AA4</f>
        <v>0</v>
      </c>
      <c r="AQ4" s="305"/>
      <c r="AR4" s="305"/>
      <c r="AS4" s="305"/>
      <c r="AT4" s="305"/>
      <c r="AU4" s="305"/>
      <c r="AV4" s="305"/>
      <c r="AW4" s="305"/>
      <c r="AX4" s="305"/>
      <c r="AY4" s="305"/>
      <c r="AZ4" s="305"/>
      <c r="BA4" s="311"/>
    </row>
    <row r="5" spans="1:53">
      <c r="B5" s="322" t="str">
        <f>IF(C686&lt;&gt;"Error",C686,"")</f>
        <v>GLR6283P</v>
      </c>
      <c r="C5" s="323" t="str">
        <f>"Rpt ID: "&amp; C681&amp; "      Layout: "&amp;C682</f>
        <v>Rpt ID: FERC_IS1      Layout: FERC_IS1</v>
      </c>
      <c r="E5" s="120"/>
      <c r="F5" s="121" t="s">
        <v>149</v>
      </c>
      <c r="G5" s="122"/>
      <c r="H5" s="116" t="s">
        <v>150</v>
      </c>
      <c r="I5" s="313"/>
      <c r="J5" s="324"/>
      <c r="K5" s="121" t="s">
        <v>151</v>
      </c>
      <c r="L5" s="122"/>
      <c r="M5" s="116" t="s">
        <v>150</v>
      </c>
      <c r="N5" s="313"/>
      <c r="P5" s="324"/>
      <c r="Q5" s="121" t="s">
        <v>152</v>
      </c>
      <c r="R5" s="122"/>
      <c r="S5" s="116" t="s">
        <v>150</v>
      </c>
      <c r="T5" s="313"/>
      <c r="U5" s="324"/>
      <c r="V5" s="121" t="s">
        <v>153</v>
      </c>
      <c r="W5" s="122"/>
      <c r="X5" s="116" t="s">
        <v>150</v>
      </c>
      <c r="Y5" s="313"/>
      <c r="Z5" s="325"/>
      <c r="AA5" s="123"/>
      <c r="AB5" s="310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310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</row>
    <row r="6" spans="1:53" s="131" customFormat="1" ht="13.5" thickBot="1">
      <c r="A6" s="111"/>
      <c r="B6" s="125" t="str">
        <f>IF(C683="Error",""&amp;C689,IF(C689= "Error","" &amp; C685,"" &amp;C689))</f>
        <v>KYP_CORP_CONSOL</v>
      </c>
      <c r="C6" s="126" t="str">
        <f>IF($C$683="Error",NvsTreeASD &amp; " Acct: GL_FERC_ACCT      BU: "&amp;+$C$690,IF(C689="Error",NvsTreeASD &amp; " Acct: GL_FERC_ACCT     BU: "&amp;+$C$685,NvsTreeASD &amp; "  Acct: GL_FERC_ACCT    BU: "&amp;+$C$689))</f>
        <v>V2099-01-01 Acct: GL_FERC_ACCT      BU: GL_PRPT_CONS</v>
      </c>
      <c r="D6" s="316"/>
      <c r="E6" s="127"/>
      <c r="F6" s="128" t="str">
        <f>TEXT($C$673,"YYYY")</f>
        <v>2023</v>
      </c>
      <c r="G6" s="129">
        <f>+F6-1</f>
        <v>2022</v>
      </c>
      <c r="H6" s="128" t="s">
        <v>155</v>
      </c>
      <c r="I6" s="326" t="s">
        <v>156</v>
      </c>
      <c r="J6" s="327"/>
      <c r="K6" s="128" t="str">
        <f>TEXT($C$673,"YYYY")</f>
        <v>2023</v>
      </c>
      <c r="L6" s="129">
        <f>+K6-1</f>
        <v>2022</v>
      </c>
      <c r="M6" s="128" t="s">
        <v>155</v>
      </c>
      <c r="N6" s="326" t="s">
        <v>156</v>
      </c>
      <c r="O6" s="326" t="s">
        <v>157</v>
      </c>
      <c r="P6" s="327"/>
      <c r="Q6" s="128" t="str">
        <f>TEXT($C$673,"YYYY")</f>
        <v>2023</v>
      </c>
      <c r="R6" s="129">
        <f>+Q6-1</f>
        <v>2022</v>
      </c>
      <c r="S6" s="128" t="s">
        <v>155</v>
      </c>
      <c r="T6" s="326" t="s">
        <v>156</v>
      </c>
      <c r="U6" s="327"/>
      <c r="V6" s="128" t="str">
        <f>TEXT($C$673,"YYYY")</f>
        <v>2023</v>
      </c>
      <c r="W6" s="129">
        <f>+V6-1</f>
        <v>2022</v>
      </c>
      <c r="X6" s="128" t="s">
        <v>155</v>
      </c>
      <c r="Y6" s="326" t="s">
        <v>156</v>
      </c>
      <c r="Z6" s="328"/>
      <c r="AA6" s="130" t="str">
        <f>"Dec "&amp;TEXT($C$673,"YYYY") - 2</f>
        <v>Dec 2021</v>
      </c>
      <c r="AB6" s="310"/>
      <c r="AC6" s="128" t="str">
        <f>"Jan "&amp;TEXT($C$673,"YYYY")-1</f>
        <v>Jan 2022</v>
      </c>
      <c r="AD6" s="128" t="str">
        <f>"Feb "&amp;TEXT($C$673,"YYYY") - 1</f>
        <v>Feb 2022</v>
      </c>
      <c r="AE6" s="128" t="str">
        <f>"Mar "&amp;TEXT($C$673,"YYYY") - 1</f>
        <v>Mar 2022</v>
      </c>
      <c r="AF6" s="128" t="str">
        <f>"Apr "&amp;TEXT($C$673,"YYYY") - 1</f>
        <v>Apr 2022</v>
      </c>
      <c r="AG6" s="128" t="str">
        <f>"May "&amp;TEXT($C$673,"YYYY") - 1</f>
        <v>May 2022</v>
      </c>
      <c r="AH6" s="128" t="str">
        <f>"Jun "&amp;TEXT($C$673,"YYYY") - 1</f>
        <v>Jun 2022</v>
      </c>
      <c r="AI6" s="128" t="str">
        <f>"Jul "&amp;TEXT($C$673,"YYYY") - 1</f>
        <v>Jul 2022</v>
      </c>
      <c r="AJ6" s="128" t="str">
        <f>"Aug "&amp;TEXT($C$673,"YYYY") - 1</f>
        <v>Aug 2022</v>
      </c>
      <c r="AK6" s="128" t="str">
        <f>"Sep "&amp;TEXT($C$673,"YYYY") - 1</f>
        <v>Sep 2022</v>
      </c>
      <c r="AL6" s="128" t="str">
        <f>"Oct "&amp;TEXT($C$673,"YYYY") - 1</f>
        <v>Oct 2022</v>
      </c>
      <c r="AM6" s="128" t="str">
        <f>"Nov "&amp;TEXT($C$673,"YYYY") - 1</f>
        <v>Nov 2022</v>
      </c>
      <c r="AN6" s="128" t="str">
        <f>"Dec "&amp;TEXT($C$673,"YYYY") - 1</f>
        <v>Dec 2022</v>
      </c>
      <c r="AO6" s="310"/>
      <c r="AP6" s="128" t="str">
        <f>"Jan "&amp;TEXT($C$673,"YYYY")</f>
        <v>Jan 2023</v>
      </c>
      <c r="AQ6" s="128" t="str">
        <f>"Feb "&amp;TEXT($C$673,"YYYY")</f>
        <v>Feb 2023</v>
      </c>
      <c r="AR6" s="128" t="str">
        <f>"Mar "&amp;TEXT($C$673,"YYYY")</f>
        <v>Mar 2023</v>
      </c>
      <c r="AS6" s="128" t="str">
        <f>"Apr "&amp;TEXT($C$673,"YYYY")</f>
        <v>Apr 2023</v>
      </c>
      <c r="AT6" s="128" t="str">
        <f>"May "&amp;TEXT($C$673,"YYYY")</f>
        <v>May 2023</v>
      </c>
      <c r="AU6" s="128" t="str">
        <f>"Jun "&amp;TEXT($C$673,"YYYY")</f>
        <v>Jun 2023</v>
      </c>
      <c r="AV6" s="128" t="str">
        <f>"Jul "&amp;TEXT($C$673,"YYYY")</f>
        <v>Jul 2023</v>
      </c>
      <c r="AW6" s="128" t="str">
        <f>"Aug "&amp;TEXT($C$673,"YYYY")</f>
        <v>Aug 2023</v>
      </c>
      <c r="AX6" s="128" t="str">
        <f>"Sep "&amp;TEXT($C$673,"YYYY")</f>
        <v>Sep 2023</v>
      </c>
      <c r="AY6" s="128" t="str">
        <f>"Oct "&amp;TEXT($C$673,"YYYY")</f>
        <v>Oct 2023</v>
      </c>
      <c r="AZ6" s="128" t="str">
        <f>"Nov "&amp;TEXT($C$673,"YYYY")</f>
        <v>Nov 2023</v>
      </c>
      <c r="BA6" s="128" t="str">
        <f>"Dec "&amp;TEXT($C$673,"YYYY")</f>
        <v>Dec 2023</v>
      </c>
    </row>
    <row r="7" spans="1:53" ht="18.75" thickTop="1">
      <c r="B7" s="111" t="s">
        <v>158</v>
      </c>
      <c r="C7" s="132" t="s">
        <v>159</v>
      </c>
      <c r="E7" s="133"/>
      <c r="H7" s="305"/>
      <c r="I7" s="329"/>
      <c r="J7" s="307"/>
      <c r="M7" s="305"/>
      <c r="N7" s="329"/>
      <c r="O7" s="330"/>
      <c r="P7" s="307"/>
      <c r="S7" s="305"/>
      <c r="T7" s="329"/>
      <c r="U7" s="307"/>
      <c r="X7" s="305"/>
      <c r="Y7" s="329"/>
      <c r="Z7" s="321"/>
    </row>
    <row r="8" spans="1:53" ht="10.5" customHeight="1" outlineLevel="2">
      <c r="B8" s="331"/>
      <c r="C8" s="332"/>
      <c r="E8" s="333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4"/>
      <c r="W8" s="334"/>
      <c r="X8" s="334"/>
      <c r="Y8" s="335"/>
      <c r="Z8" s="336"/>
    </row>
    <row r="9" spans="1:53">
      <c r="B9" s="331" t="s">
        <v>160</v>
      </c>
      <c r="C9" s="337" t="s">
        <v>161</v>
      </c>
      <c r="D9" s="338"/>
      <c r="E9" s="338"/>
      <c r="F9" s="334"/>
      <c r="G9" s="334"/>
      <c r="H9" s="334"/>
      <c r="I9" s="334"/>
      <c r="J9" s="135"/>
      <c r="K9" s="339"/>
      <c r="L9" s="339"/>
      <c r="M9" s="339"/>
      <c r="N9" s="340"/>
      <c r="O9" s="334"/>
      <c r="P9" s="135"/>
      <c r="Q9" s="334"/>
      <c r="R9" s="334"/>
      <c r="S9" s="334"/>
      <c r="T9" s="334"/>
      <c r="U9" s="135"/>
      <c r="V9" s="334"/>
      <c r="W9" s="334"/>
      <c r="X9" s="334"/>
      <c r="Y9" s="334"/>
      <c r="Z9" s="334"/>
      <c r="AA9" s="136"/>
      <c r="AB9" s="341"/>
      <c r="AC9" s="339"/>
      <c r="AD9" s="339"/>
      <c r="AE9" s="339"/>
      <c r="AF9" s="339"/>
      <c r="AG9" s="339"/>
      <c r="AH9" s="339"/>
      <c r="AI9" s="339"/>
      <c r="AJ9" s="339"/>
      <c r="AK9" s="339"/>
      <c r="AL9" s="339"/>
      <c r="AM9" s="339"/>
      <c r="AN9" s="339"/>
      <c r="AO9" s="341"/>
      <c r="AP9" s="339"/>
      <c r="AQ9" s="339"/>
      <c r="AR9" s="339"/>
      <c r="AS9" s="339"/>
      <c r="AT9" s="339"/>
      <c r="AU9" s="339"/>
      <c r="AV9" s="339"/>
      <c r="AW9" s="339"/>
      <c r="AX9" s="339"/>
      <c r="AY9" s="339"/>
      <c r="AZ9" s="339"/>
      <c r="BA9" s="339"/>
    </row>
    <row r="10" spans="1:53" ht="0.75" customHeight="1" outlineLevel="2">
      <c r="B10" s="331"/>
      <c r="C10" s="332"/>
      <c r="D10" s="342"/>
      <c r="E10" s="342"/>
      <c r="F10" s="333"/>
      <c r="G10" s="333"/>
      <c r="H10" s="333"/>
      <c r="I10" s="343"/>
      <c r="J10" s="157"/>
      <c r="K10" s="333"/>
      <c r="L10" s="333"/>
      <c r="M10" s="333"/>
      <c r="N10" s="137"/>
      <c r="O10" s="344"/>
      <c r="P10" s="344"/>
      <c r="Q10" s="333"/>
      <c r="R10" s="333"/>
      <c r="S10" s="333"/>
      <c r="T10" s="343"/>
      <c r="U10" s="344"/>
      <c r="V10" s="333"/>
      <c r="W10" s="333"/>
      <c r="X10" s="333"/>
      <c r="Y10" s="345"/>
      <c r="Z10" s="111"/>
      <c r="AA10" s="139"/>
      <c r="AB10" s="346"/>
      <c r="AC10" s="333"/>
      <c r="AD10" s="333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46"/>
      <c r="AP10" s="333"/>
      <c r="AQ10" s="333"/>
      <c r="AR10" s="333"/>
      <c r="AS10" s="333"/>
      <c r="AT10" s="333"/>
      <c r="AU10" s="333"/>
      <c r="AV10" s="333"/>
      <c r="AW10" s="333"/>
      <c r="AX10" s="333"/>
      <c r="AY10" s="333"/>
      <c r="AZ10" s="333"/>
      <c r="BA10" s="333"/>
    </row>
    <row r="11" spans="1:53" s="102" customFormat="1" outlineLevel="2">
      <c r="A11" s="102" t="s">
        <v>162</v>
      </c>
      <c r="B11" s="103" t="s">
        <v>163</v>
      </c>
      <c r="C11" s="104" t="s">
        <v>164</v>
      </c>
      <c r="D11" s="298"/>
      <c r="E11" s="299"/>
      <c r="F11" s="105">
        <v>8947021.6500000004</v>
      </c>
      <c r="G11" s="105">
        <v>10814115.220000001</v>
      </c>
      <c r="H11" s="106">
        <f>+F11-G11</f>
        <v>-1867093.5700000003</v>
      </c>
      <c r="I11" s="300">
        <f>IF(G11&lt;0,IF(H11=0,0,IF(OR(G11=0,F11=0),"N.M.",IF(ABS(H11/G11)&gt;=10,"N.M.",H11/(-G11)))),IF(H11=0,0,IF(OR(G11=0,F11=0),"N.M.",IF(ABS(H11/G11)&gt;=10,"N.M.",H11/G11))))</f>
        <v>-0.17265338236335162</v>
      </c>
      <c r="J11" s="107"/>
      <c r="K11" s="105">
        <v>32313572.289999999</v>
      </c>
      <c r="L11" s="105">
        <v>42192627.82</v>
      </c>
      <c r="M11" s="106"/>
      <c r="N11" s="300"/>
      <c r="O11" s="301"/>
      <c r="P11" s="107"/>
      <c r="Q11" s="105">
        <v>32313572.289999999</v>
      </c>
      <c r="R11" s="105">
        <v>42192627.82</v>
      </c>
      <c r="S11" s="106"/>
      <c r="T11" s="300"/>
      <c r="U11" s="107"/>
      <c r="V11" s="105">
        <v>139518727.72999999</v>
      </c>
      <c r="W11" s="105">
        <v>147495803.81</v>
      </c>
      <c r="X11" s="106">
        <f>+V11-W11</f>
        <v>-7977076.0800000131</v>
      </c>
      <c r="Y11" s="300">
        <f>IF(W11&lt;0,IF(X11=0,0,IF(OR(W11=0,V11=0),"N.M.",IF(ABS(X11/W11)&gt;=10,"N.M.",X11/(-W11)))),IF(X11=0,0,IF(OR(W11=0,V11=0),"N.M.",IF(ABS(X11/W11)&gt;=10,"N.M.",X11/W11))))</f>
        <v>-5.4083410334004219E-2</v>
      </c>
      <c r="Z11" s="302"/>
      <c r="AA11" s="108">
        <v>11719301.689999999</v>
      </c>
      <c r="AB11" s="109"/>
      <c r="AC11" s="110">
        <v>17432431.030000001</v>
      </c>
      <c r="AD11" s="110">
        <v>13946081.57</v>
      </c>
      <c r="AE11" s="110">
        <v>10814115.220000001</v>
      </c>
      <c r="AF11" s="110">
        <v>12414707.859999999</v>
      </c>
      <c r="AG11" s="110">
        <v>10444776.52</v>
      </c>
      <c r="AH11" s="110">
        <v>11424631.390000001</v>
      </c>
      <c r="AI11" s="110">
        <v>13128746.52</v>
      </c>
      <c r="AJ11" s="110">
        <v>12820935.060000001</v>
      </c>
      <c r="AK11" s="110">
        <v>9694785.1500000004</v>
      </c>
      <c r="AL11" s="110">
        <v>10385489.279999999</v>
      </c>
      <c r="AM11" s="110">
        <v>13737050.109999999</v>
      </c>
      <c r="AN11" s="110">
        <v>13154033.550000001</v>
      </c>
      <c r="AO11" s="109"/>
      <c r="AP11" s="110">
        <v>13227920.6</v>
      </c>
      <c r="AQ11" s="110">
        <v>10138630.039999999</v>
      </c>
      <c r="AR11" s="110">
        <v>8947021.6500000004</v>
      </c>
      <c r="AS11" s="110">
        <v>-4609229.6500000004</v>
      </c>
      <c r="AT11" s="110">
        <v>0</v>
      </c>
      <c r="AU11" s="110">
        <v>0</v>
      </c>
      <c r="AV11" s="110">
        <v>0</v>
      </c>
      <c r="AW11" s="110">
        <v>0</v>
      </c>
      <c r="AX11" s="110">
        <v>0</v>
      </c>
      <c r="AY11" s="110">
        <v>0</v>
      </c>
      <c r="AZ11" s="110">
        <v>0</v>
      </c>
      <c r="BA11" s="110">
        <v>0</v>
      </c>
    </row>
    <row r="12" spans="1:53" s="102" customFormat="1" outlineLevel="2">
      <c r="A12" s="102" t="s">
        <v>165</v>
      </c>
      <c r="B12" s="103" t="s">
        <v>166</v>
      </c>
      <c r="C12" s="104" t="s">
        <v>167</v>
      </c>
      <c r="D12" s="298"/>
      <c r="E12" s="299"/>
      <c r="F12" s="105">
        <v>4155842.92</v>
      </c>
      <c r="G12" s="105">
        <v>4629941.45</v>
      </c>
      <c r="H12" s="106">
        <f>+F12-G12</f>
        <v>-474098.53000000026</v>
      </c>
      <c r="I12" s="300">
        <f>IF(G12&lt;0,IF(H12=0,0,IF(OR(G12=0,F12=0),"N.M.",IF(ABS(H12/G12)&gt;=10,"N.M.",H12/(-G12)))),IF(H12=0,0,IF(OR(G12=0,F12=0),"N.M.",IF(ABS(H12/G12)&gt;=10,"N.M.",H12/G12))))</f>
        <v>-0.10239838562105363</v>
      </c>
      <c r="J12" s="107"/>
      <c r="K12" s="105">
        <v>13807355.380000001</v>
      </c>
      <c r="L12" s="105">
        <v>16547972.039999999</v>
      </c>
      <c r="M12" s="106"/>
      <c r="N12" s="300"/>
      <c r="O12" s="301"/>
      <c r="P12" s="107"/>
      <c r="Q12" s="105">
        <v>13807355.380000001</v>
      </c>
      <c r="R12" s="105">
        <v>16547972.039999999</v>
      </c>
      <c r="S12" s="106"/>
      <c r="T12" s="300"/>
      <c r="U12" s="107"/>
      <c r="V12" s="105">
        <v>64696526.859999999</v>
      </c>
      <c r="W12" s="105">
        <v>68803988.099999994</v>
      </c>
      <c r="X12" s="106">
        <f>+V12-W12</f>
        <v>-4107461.2399999946</v>
      </c>
      <c r="Y12" s="300">
        <f>IF(W12&lt;0,IF(X12=0,0,IF(OR(W12=0,V12=0),"N.M.",IF(ABS(X12/W12)&gt;=10,"N.M.",X12/(-W12)))),IF(X12=0,0,IF(OR(W12=0,V12=0),"N.M.",IF(ABS(X12/W12)&gt;=10,"N.M.",X12/W12))))</f>
        <v>-5.9698011022706908E-2</v>
      </c>
      <c r="Z12" s="302"/>
      <c r="AA12" s="108">
        <v>3982607.66</v>
      </c>
      <c r="AB12" s="109"/>
      <c r="AC12" s="110">
        <v>6968691.2599999998</v>
      </c>
      <c r="AD12" s="110">
        <v>4949339.33</v>
      </c>
      <c r="AE12" s="110">
        <v>4629941.45</v>
      </c>
      <c r="AF12" s="110">
        <v>4881575.1900000004</v>
      </c>
      <c r="AG12" s="110">
        <v>5078787.22</v>
      </c>
      <c r="AH12" s="110">
        <v>5445819.2699999996</v>
      </c>
      <c r="AI12" s="110">
        <v>6893613.0499999998</v>
      </c>
      <c r="AJ12" s="110">
        <v>6569065.8399999999</v>
      </c>
      <c r="AK12" s="110">
        <v>5549399.5600000005</v>
      </c>
      <c r="AL12" s="110">
        <v>5221412.97</v>
      </c>
      <c r="AM12" s="110">
        <v>5908201.5199999996</v>
      </c>
      <c r="AN12" s="110">
        <v>5341296.8600000003</v>
      </c>
      <c r="AO12" s="109"/>
      <c r="AP12" s="110">
        <v>5219685.41</v>
      </c>
      <c r="AQ12" s="110">
        <v>4431827.05</v>
      </c>
      <c r="AR12" s="110">
        <v>4155842.92</v>
      </c>
      <c r="AS12" s="110">
        <v>-1960539.01</v>
      </c>
      <c r="AT12" s="110">
        <v>0</v>
      </c>
      <c r="AU12" s="110">
        <v>0</v>
      </c>
      <c r="AV12" s="110">
        <v>0</v>
      </c>
      <c r="AW12" s="110">
        <v>0</v>
      </c>
      <c r="AX12" s="110">
        <v>0</v>
      </c>
      <c r="AY12" s="110">
        <v>0</v>
      </c>
      <c r="AZ12" s="110">
        <v>0</v>
      </c>
      <c r="BA12" s="110">
        <v>0</v>
      </c>
    </row>
    <row r="13" spans="1:53" s="102" customFormat="1" outlineLevel="2">
      <c r="A13" s="102" t="s">
        <v>168</v>
      </c>
      <c r="B13" s="103" t="s">
        <v>169</v>
      </c>
      <c r="C13" s="104" t="s">
        <v>170</v>
      </c>
      <c r="D13" s="298"/>
      <c r="E13" s="299"/>
      <c r="F13" s="105">
        <v>4010237.51</v>
      </c>
      <c r="G13" s="105">
        <v>5456386.4000000004</v>
      </c>
      <c r="H13" s="106">
        <f>+F13-G13</f>
        <v>-1446148.8900000006</v>
      </c>
      <c r="I13" s="300">
        <f>IF(G13&lt;0,IF(H13=0,0,IF(OR(G13=0,F13=0),"N.M.",IF(ABS(H13/G13)&gt;=10,"N.M.",H13/(-G13)))),IF(H13=0,0,IF(OR(G13=0,F13=0),"N.M.",IF(ABS(H13/G13)&gt;=10,"N.M.",H13/G13))))</f>
        <v>-0.26503784446057571</v>
      </c>
      <c r="J13" s="107"/>
      <c r="K13" s="105">
        <v>26733083.289999999</v>
      </c>
      <c r="L13" s="105">
        <v>22899613.109999999</v>
      </c>
      <c r="M13" s="106"/>
      <c r="N13" s="300"/>
      <c r="O13" s="301"/>
      <c r="P13" s="107"/>
      <c r="Q13" s="105">
        <v>26733083.289999999</v>
      </c>
      <c r="R13" s="105">
        <v>22899613.109999999</v>
      </c>
      <c r="S13" s="106"/>
      <c r="T13" s="300"/>
      <c r="U13" s="107"/>
      <c r="V13" s="105">
        <v>102953389.35999998</v>
      </c>
      <c r="W13" s="105">
        <v>70963913.920000002</v>
      </c>
      <c r="X13" s="106">
        <f>+V13-W13</f>
        <v>31989475.439999983</v>
      </c>
      <c r="Y13" s="300">
        <f>IF(W13&lt;0,IF(X13=0,0,IF(OR(W13=0,V13=0),"N.M.",IF(ABS(X13/W13)&gt;=10,"N.M.",X13/(-W13)))),IF(X13=0,0,IF(OR(W13=0,V13=0),"N.M.",IF(ABS(X13/W13)&gt;=10,"N.M.",X13/W13))))</f>
        <v>0.45078510573786545</v>
      </c>
      <c r="Z13" s="302"/>
      <c r="AA13" s="108">
        <v>11474561.800000001</v>
      </c>
      <c r="AB13" s="109"/>
      <c r="AC13" s="110">
        <v>11062126.58</v>
      </c>
      <c r="AD13" s="110">
        <v>6381100.1299999999</v>
      </c>
      <c r="AE13" s="110">
        <v>5456386.4000000004</v>
      </c>
      <c r="AF13" s="110">
        <v>5283309.91</v>
      </c>
      <c r="AG13" s="110">
        <v>6019361.1699999999</v>
      </c>
      <c r="AH13" s="110">
        <v>8448774.0500000007</v>
      </c>
      <c r="AI13" s="110">
        <v>9884426.3100000005</v>
      </c>
      <c r="AJ13" s="110">
        <v>8222126.3300000001</v>
      </c>
      <c r="AK13" s="110">
        <v>5972272.4100000001</v>
      </c>
      <c r="AL13" s="110">
        <v>7338865.1699999999</v>
      </c>
      <c r="AM13" s="110">
        <v>10184662.390000001</v>
      </c>
      <c r="AN13" s="110">
        <v>14866508.33</v>
      </c>
      <c r="AO13" s="109"/>
      <c r="AP13" s="110">
        <v>15270395</v>
      </c>
      <c r="AQ13" s="110">
        <v>7452450.7800000003</v>
      </c>
      <c r="AR13" s="110">
        <v>4010237.51</v>
      </c>
      <c r="AS13" s="110">
        <v>-3375189.58</v>
      </c>
      <c r="AT13" s="110">
        <v>0</v>
      </c>
      <c r="AU13" s="110">
        <v>0</v>
      </c>
      <c r="AV13" s="110">
        <v>0</v>
      </c>
      <c r="AW13" s="110">
        <v>0</v>
      </c>
      <c r="AX13" s="110">
        <v>0</v>
      </c>
      <c r="AY13" s="110">
        <v>0</v>
      </c>
      <c r="AZ13" s="110">
        <v>0</v>
      </c>
      <c r="BA13" s="110">
        <v>0</v>
      </c>
    </row>
    <row r="14" spans="1:53" outlineLevel="1">
      <c r="A14" s="111" t="s">
        <v>171</v>
      </c>
      <c r="B14" s="331"/>
      <c r="C14" s="332" t="s">
        <v>172</v>
      </c>
      <c r="D14" s="342"/>
      <c r="E14" s="342"/>
      <c r="F14" s="333">
        <v>17113102.079999998</v>
      </c>
      <c r="G14" s="333">
        <v>20900443.07</v>
      </c>
      <c r="H14" s="133">
        <f>+F14-G14</f>
        <v>-3787340.9900000021</v>
      </c>
      <c r="I14" s="138">
        <f>IF(G14&lt;0,IF(H14=0,0,IF(OR(G14=0,F14=0),"N.M.",IF(ABS(H14/G14)&gt;=10,"N.M.",H14/(-G14)))),IF(H14=0,0,IF(OR(G14=0,F14=0),"N.M.",IF(ABS(H14/G14)&gt;=10,"N.M.",H14/G14))))</f>
        <v>-0.18120864602321571</v>
      </c>
      <c r="J14" s="157"/>
      <c r="K14" s="333">
        <v>72854010.960000008</v>
      </c>
      <c r="L14" s="333">
        <v>81640212.969999999</v>
      </c>
      <c r="M14" s="333"/>
      <c r="N14" s="137"/>
      <c r="O14" s="344"/>
      <c r="P14" s="344"/>
      <c r="Q14" s="333">
        <v>72854010.960000008</v>
      </c>
      <c r="R14" s="333">
        <v>81640212.969999999</v>
      </c>
      <c r="S14" s="333"/>
      <c r="T14" s="343"/>
      <c r="U14" s="344"/>
      <c r="V14" s="333">
        <v>307168643.94999999</v>
      </c>
      <c r="W14" s="333">
        <v>287263705.82999998</v>
      </c>
      <c r="X14" s="133">
        <f>+V14-W14</f>
        <v>19904938.120000005</v>
      </c>
      <c r="Y14" s="137">
        <f>IF(W14&lt;0,IF(X14=0,0,IF(OR(W14=0,V14=0),"N.M.",IF(ABS(X14/W14)&gt;=10,"N.M.",X14/(-W14)))),IF(X14=0,0,IF(OR(W14=0,V14=0),"N.M.",IF(ABS(X14/W14)&gt;=10,"N.M.",X14/W14))))</f>
        <v>6.9291517570895522E-2</v>
      </c>
      <c r="Z14" s="111"/>
      <c r="AA14" s="139">
        <v>27176471.149999999</v>
      </c>
      <c r="AB14" s="346"/>
      <c r="AC14" s="333">
        <v>35463248.869999997</v>
      </c>
      <c r="AD14" s="333">
        <v>25276521.029999997</v>
      </c>
      <c r="AE14" s="333">
        <v>20900443.07</v>
      </c>
      <c r="AF14" s="333">
        <v>22579592.960000001</v>
      </c>
      <c r="AG14" s="333">
        <v>21542924.909999996</v>
      </c>
      <c r="AH14" s="333">
        <v>25319224.710000001</v>
      </c>
      <c r="AI14" s="333">
        <v>29906785.880000003</v>
      </c>
      <c r="AJ14" s="333">
        <v>27612127.229999997</v>
      </c>
      <c r="AK14" s="333">
        <v>21216457.120000001</v>
      </c>
      <c r="AL14" s="333">
        <v>22945767.420000002</v>
      </c>
      <c r="AM14" s="333">
        <v>29829914.02</v>
      </c>
      <c r="AN14" s="333">
        <v>33361838.740000002</v>
      </c>
      <c r="AO14" s="346"/>
      <c r="AP14" s="333">
        <v>33718001.009999998</v>
      </c>
      <c r="AQ14" s="333">
        <v>22022907.870000001</v>
      </c>
      <c r="AR14" s="333">
        <v>17113102.079999998</v>
      </c>
      <c r="AS14" s="333">
        <v>-9944958.2400000002</v>
      </c>
      <c r="AT14" s="333">
        <v>0</v>
      </c>
      <c r="AU14" s="333">
        <v>0</v>
      </c>
      <c r="AV14" s="333">
        <v>0</v>
      </c>
      <c r="AW14" s="333">
        <v>0</v>
      </c>
      <c r="AX14" s="333">
        <v>0</v>
      </c>
      <c r="AY14" s="333">
        <v>0</v>
      </c>
      <c r="AZ14" s="333">
        <v>0</v>
      </c>
      <c r="BA14" s="333">
        <v>0</v>
      </c>
    </row>
    <row r="15" spans="1:53" ht="0.75" customHeight="1" outlineLevel="2">
      <c r="B15" s="331"/>
      <c r="C15" s="332"/>
      <c r="D15" s="342"/>
      <c r="E15" s="342"/>
      <c r="F15" s="333"/>
      <c r="G15" s="333"/>
      <c r="H15" s="333"/>
      <c r="I15" s="343"/>
      <c r="J15" s="157"/>
      <c r="K15" s="333"/>
      <c r="L15" s="333"/>
      <c r="M15" s="333"/>
      <c r="N15" s="137"/>
      <c r="O15" s="344"/>
      <c r="P15" s="344"/>
      <c r="Q15" s="333"/>
      <c r="R15" s="333"/>
      <c r="S15" s="333"/>
      <c r="T15" s="343"/>
      <c r="U15" s="344"/>
      <c r="V15" s="333"/>
      <c r="W15" s="333"/>
      <c r="X15" s="333"/>
      <c r="Y15" s="345"/>
      <c r="Z15" s="111"/>
      <c r="AA15" s="139"/>
      <c r="AB15" s="346"/>
      <c r="AC15" s="333"/>
      <c r="AD15" s="333"/>
      <c r="AE15" s="333"/>
      <c r="AF15" s="333"/>
      <c r="AG15" s="333"/>
      <c r="AH15" s="333"/>
      <c r="AI15" s="333"/>
      <c r="AJ15" s="333"/>
      <c r="AK15" s="333"/>
      <c r="AL15" s="333"/>
      <c r="AM15" s="333"/>
      <c r="AN15" s="333"/>
      <c r="AO15" s="346"/>
      <c r="AP15" s="333"/>
      <c r="AQ15" s="333"/>
      <c r="AR15" s="333"/>
      <c r="AS15" s="333"/>
      <c r="AT15" s="333"/>
      <c r="AU15" s="333"/>
      <c r="AV15" s="333"/>
      <c r="AW15" s="333"/>
      <c r="AX15" s="333"/>
      <c r="AY15" s="333"/>
      <c r="AZ15" s="333"/>
      <c r="BA15" s="333"/>
    </row>
    <row r="16" spans="1:53" s="102" customFormat="1" outlineLevel="2">
      <c r="A16" s="102" t="s">
        <v>173</v>
      </c>
      <c r="B16" s="103" t="s">
        <v>174</v>
      </c>
      <c r="C16" s="104" t="s">
        <v>175</v>
      </c>
      <c r="D16" s="298"/>
      <c r="E16" s="299"/>
      <c r="F16" s="105">
        <v>7338653.5300000003</v>
      </c>
      <c r="G16" s="105">
        <v>7716571.0099999998</v>
      </c>
      <c r="H16" s="106">
        <f t="shared" ref="H16:H23" si="0">+F16-G16</f>
        <v>-377917.47999999952</v>
      </c>
      <c r="I16" s="300">
        <f t="shared" ref="I16:I23" si="1">IF(G16&lt;0,IF(H16=0,0,IF(OR(G16=0,F16=0),"N.M.",IF(ABS(H16/G16)&gt;=10,"N.M.",H16/(-G16)))),IF(H16=0,0,IF(OR(G16=0,F16=0),"N.M.",IF(ABS(H16/G16)&gt;=10,"N.M.",H16/G16))))</f>
        <v>-4.8974794570055998E-2</v>
      </c>
      <c r="J16" s="107"/>
      <c r="K16" s="105">
        <v>20912403.91</v>
      </c>
      <c r="L16" s="105">
        <v>24102891.379999999</v>
      </c>
      <c r="M16" s="106"/>
      <c r="N16" s="300"/>
      <c r="O16" s="301"/>
      <c r="P16" s="107"/>
      <c r="Q16" s="105">
        <v>20912403.91</v>
      </c>
      <c r="R16" s="105">
        <v>24102891.379999999</v>
      </c>
      <c r="S16" s="106"/>
      <c r="T16" s="300"/>
      <c r="U16" s="107"/>
      <c r="V16" s="105">
        <v>89295889.530000001</v>
      </c>
      <c r="W16" s="105">
        <v>90933943.179999992</v>
      </c>
      <c r="X16" s="106">
        <f t="shared" ref="X16:X23" si="2">+V16-W16</f>
        <v>-1638053.6499999911</v>
      </c>
      <c r="Y16" s="300">
        <f t="shared" ref="Y16:Y23" si="3">IF(W16&lt;0,IF(X16=0,0,IF(OR(W16=0,V16=0),"N.M.",IF(ABS(X16/W16)&gt;=10,"N.M.",X16/(-W16)))),IF(X16=0,0,IF(OR(W16=0,V16=0),"N.M.",IF(ABS(X16/W16)&gt;=10,"N.M.",X16/W16))))</f>
        <v>-1.801366566450914E-2</v>
      </c>
      <c r="Z16" s="302"/>
      <c r="AA16" s="108">
        <v>5961974.3200000003</v>
      </c>
      <c r="AB16" s="109"/>
      <c r="AC16" s="110">
        <v>9599648.0600000005</v>
      </c>
      <c r="AD16" s="110">
        <v>6786672.3100000005</v>
      </c>
      <c r="AE16" s="110">
        <v>7716571.0099999998</v>
      </c>
      <c r="AF16" s="110">
        <v>6192554.2800000003</v>
      </c>
      <c r="AG16" s="110">
        <v>7565950.3899999997</v>
      </c>
      <c r="AH16" s="110">
        <v>7433929.7699999996</v>
      </c>
      <c r="AI16" s="110">
        <v>7649376.71</v>
      </c>
      <c r="AJ16" s="110">
        <v>7886865.5899999999</v>
      </c>
      <c r="AK16" s="110">
        <v>7287715.8200000003</v>
      </c>
      <c r="AL16" s="110">
        <v>7804095.1900000004</v>
      </c>
      <c r="AM16" s="110">
        <v>8237159.7999999998</v>
      </c>
      <c r="AN16" s="110">
        <v>8325838.0700000003</v>
      </c>
      <c r="AO16" s="109"/>
      <c r="AP16" s="110">
        <v>7021514.0700000003</v>
      </c>
      <c r="AQ16" s="110">
        <v>6552236.3100000005</v>
      </c>
      <c r="AR16" s="110">
        <v>7338653.5300000003</v>
      </c>
      <c r="AS16" s="110">
        <v>-3285319.41</v>
      </c>
      <c r="AT16" s="110">
        <v>0</v>
      </c>
      <c r="AU16" s="110">
        <v>0</v>
      </c>
      <c r="AV16" s="110">
        <v>0</v>
      </c>
      <c r="AW16" s="110">
        <v>0</v>
      </c>
      <c r="AX16" s="110">
        <v>0</v>
      </c>
      <c r="AY16" s="110">
        <v>0</v>
      </c>
      <c r="AZ16" s="110">
        <v>0</v>
      </c>
      <c r="BA16" s="110">
        <v>0</v>
      </c>
    </row>
    <row r="17" spans="1:53" s="102" customFormat="1" outlineLevel="2">
      <c r="A17" s="102" t="s">
        <v>176</v>
      </c>
      <c r="B17" s="103" t="s">
        <v>177</v>
      </c>
      <c r="C17" s="104" t="s">
        <v>178</v>
      </c>
      <c r="D17" s="298"/>
      <c r="E17" s="299"/>
      <c r="F17" s="105">
        <v>5768182.2699999996</v>
      </c>
      <c r="G17" s="105">
        <v>5059952.09</v>
      </c>
      <c r="H17" s="106">
        <f t="shared" si="0"/>
        <v>708230.1799999997</v>
      </c>
      <c r="I17" s="300">
        <f t="shared" si="1"/>
        <v>0.1399677640030777</v>
      </c>
      <c r="J17" s="107"/>
      <c r="K17" s="105">
        <v>14229817.380000001</v>
      </c>
      <c r="L17" s="105">
        <v>15205014.779999999</v>
      </c>
      <c r="M17" s="106"/>
      <c r="N17" s="300"/>
      <c r="O17" s="301"/>
      <c r="P17" s="107"/>
      <c r="Q17" s="105">
        <v>14229817.380000001</v>
      </c>
      <c r="R17" s="105">
        <v>15205014.779999999</v>
      </c>
      <c r="S17" s="106"/>
      <c r="T17" s="300"/>
      <c r="U17" s="107"/>
      <c r="V17" s="105">
        <v>60375593.770000003</v>
      </c>
      <c r="W17" s="105">
        <v>61478819.07</v>
      </c>
      <c r="X17" s="106">
        <f t="shared" si="2"/>
        <v>-1103225.299999997</v>
      </c>
      <c r="Y17" s="300">
        <f t="shared" si="3"/>
        <v>-1.7944803050687439E-2</v>
      </c>
      <c r="Z17" s="302"/>
      <c r="AA17" s="108">
        <v>4574453.51</v>
      </c>
      <c r="AB17" s="109"/>
      <c r="AC17" s="110">
        <v>5390506.6200000001</v>
      </c>
      <c r="AD17" s="110">
        <v>4754556.07</v>
      </c>
      <c r="AE17" s="110">
        <v>5059952.09</v>
      </c>
      <c r="AF17" s="110">
        <v>4634784.45</v>
      </c>
      <c r="AG17" s="110">
        <v>3794482.17</v>
      </c>
      <c r="AH17" s="110">
        <v>5832019.6699999999</v>
      </c>
      <c r="AI17" s="110">
        <v>4826858.7699999996</v>
      </c>
      <c r="AJ17" s="110">
        <v>4148231.64</v>
      </c>
      <c r="AK17" s="110">
        <v>5454347.3300000001</v>
      </c>
      <c r="AL17" s="110">
        <v>5873660.04</v>
      </c>
      <c r="AM17" s="110">
        <v>6227283.1500000004</v>
      </c>
      <c r="AN17" s="110">
        <v>5354109.17</v>
      </c>
      <c r="AO17" s="109"/>
      <c r="AP17" s="110">
        <v>4238972.83</v>
      </c>
      <c r="AQ17" s="110">
        <v>4222662.28</v>
      </c>
      <c r="AR17" s="110">
        <v>5768182.2699999996</v>
      </c>
      <c r="AS17" s="110">
        <v>-1277355.42</v>
      </c>
      <c r="AT17" s="110">
        <v>0</v>
      </c>
      <c r="AU17" s="110">
        <v>0</v>
      </c>
      <c r="AV17" s="110">
        <v>0</v>
      </c>
      <c r="AW17" s="110">
        <v>0</v>
      </c>
      <c r="AX17" s="110">
        <v>0</v>
      </c>
      <c r="AY17" s="110">
        <v>0</v>
      </c>
      <c r="AZ17" s="110">
        <v>0</v>
      </c>
      <c r="BA17" s="110">
        <v>0</v>
      </c>
    </row>
    <row r="18" spans="1:53" s="102" customFormat="1" outlineLevel="2">
      <c r="A18" s="102" t="s">
        <v>179</v>
      </c>
      <c r="B18" s="103" t="s">
        <v>180</v>
      </c>
      <c r="C18" s="104" t="s">
        <v>181</v>
      </c>
      <c r="D18" s="298"/>
      <c r="E18" s="299"/>
      <c r="F18" s="105">
        <v>1501355.6400000001</v>
      </c>
      <c r="G18" s="105">
        <v>1541795.63</v>
      </c>
      <c r="H18" s="106">
        <f t="shared" si="0"/>
        <v>-40439.989999999758</v>
      </c>
      <c r="I18" s="300">
        <f t="shared" si="1"/>
        <v>-2.6229150746782025E-2</v>
      </c>
      <c r="J18" s="107"/>
      <c r="K18" s="105">
        <v>4538742.57</v>
      </c>
      <c r="L18" s="105">
        <v>5176697.95</v>
      </c>
      <c r="M18" s="106"/>
      <c r="N18" s="300"/>
      <c r="O18" s="301"/>
      <c r="P18" s="107"/>
      <c r="Q18" s="105">
        <v>4538742.57</v>
      </c>
      <c r="R18" s="105">
        <v>5176697.95</v>
      </c>
      <c r="S18" s="106"/>
      <c r="T18" s="300"/>
      <c r="U18" s="107"/>
      <c r="V18" s="105">
        <v>19299900.34</v>
      </c>
      <c r="W18" s="105">
        <v>19606749.280000001</v>
      </c>
      <c r="X18" s="106">
        <f t="shared" si="2"/>
        <v>-306848.94000000134</v>
      </c>
      <c r="Y18" s="300">
        <f t="shared" si="3"/>
        <v>-1.565016901159667E-2</v>
      </c>
      <c r="Z18" s="302"/>
      <c r="AA18" s="108">
        <v>1433508.09</v>
      </c>
      <c r="AB18" s="109"/>
      <c r="AC18" s="110">
        <v>1945473.73</v>
      </c>
      <c r="AD18" s="110">
        <v>1689428.5899999999</v>
      </c>
      <c r="AE18" s="110">
        <v>1541795.63</v>
      </c>
      <c r="AF18" s="110">
        <v>1500733.47</v>
      </c>
      <c r="AG18" s="110">
        <v>1857188</v>
      </c>
      <c r="AH18" s="110">
        <v>1441993.56</v>
      </c>
      <c r="AI18" s="110">
        <v>1595903.99</v>
      </c>
      <c r="AJ18" s="110">
        <v>1763483.75</v>
      </c>
      <c r="AK18" s="110">
        <v>1515749.79</v>
      </c>
      <c r="AL18" s="110">
        <v>1778738.3599999999</v>
      </c>
      <c r="AM18" s="110">
        <v>1735180.23</v>
      </c>
      <c r="AN18" s="110">
        <v>1572186.62</v>
      </c>
      <c r="AO18" s="109"/>
      <c r="AP18" s="110">
        <v>1471592.4100000001</v>
      </c>
      <c r="AQ18" s="110">
        <v>1565794.52</v>
      </c>
      <c r="AR18" s="110">
        <v>1501355.6400000001</v>
      </c>
      <c r="AS18" s="110">
        <v>-444790.73</v>
      </c>
      <c r="AT18" s="110">
        <v>0</v>
      </c>
      <c r="AU18" s="110">
        <v>0</v>
      </c>
      <c r="AV18" s="110">
        <v>0</v>
      </c>
      <c r="AW18" s="110">
        <v>0</v>
      </c>
      <c r="AX18" s="110">
        <v>0</v>
      </c>
      <c r="AY18" s="110">
        <v>0</v>
      </c>
      <c r="AZ18" s="110">
        <v>0</v>
      </c>
      <c r="BA18" s="110">
        <v>0</v>
      </c>
    </row>
    <row r="19" spans="1:53" s="102" customFormat="1" outlineLevel="2">
      <c r="A19" s="102" t="s">
        <v>182</v>
      </c>
      <c r="B19" s="103" t="s">
        <v>183</v>
      </c>
      <c r="C19" s="104" t="s">
        <v>184</v>
      </c>
      <c r="D19" s="298"/>
      <c r="E19" s="299"/>
      <c r="F19" s="105">
        <v>1214539.96</v>
      </c>
      <c r="G19" s="105">
        <v>1326002.93</v>
      </c>
      <c r="H19" s="106">
        <f t="shared" si="0"/>
        <v>-111462.96999999997</v>
      </c>
      <c r="I19" s="300">
        <f t="shared" si="1"/>
        <v>-8.4059369310745022E-2</v>
      </c>
      <c r="J19" s="107"/>
      <c r="K19" s="105">
        <v>3437867.61</v>
      </c>
      <c r="L19" s="105">
        <v>4221389.9000000004</v>
      </c>
      <c r="M19" s="106"/>
      <c r="N19" s="300"/>
      <c r="O19" s="301"/>
      <c r="P19" s="107"/>
      <c r="Q19" s="105">
        <v>3437867.61</v>
      </c>
      <c r="R19" s="105">
        <v>4221389.9000000004</v>
      </c>
      <c r="S19" s="106"/>
      <c r="T19" s="300"/>
      <c r="U19" s="107"/>
      <c r="V19" s="105">
        <v>14608851.609999999</v>
      </c>
      <c r="W19" s="105">
        <v>15440664.76</v>
      </c>
      <c r="X19" s="106">
        <f t="shared" si="2"/>
        <v>-831813.15000000037</v>
      </c>
      <c r="Y19" s="300">
        <f t="shared" si="3"/>
        <v>-5.3871589269580154E-2</v>
      </c>
      <c r="Z19" s="302"/>
      <c r="AA19" s="108">
        <v>1057710.44</v>
      </c>
      <c r="AB19" s="109"/>
      <c r="AC19" s="110">
        <v>1591510.75</v>
      </c>
      <c r="AD19" s="110">
        <v>1303876.22</v>
      </c>
      <c r="AE19" s="110">
        <v>1326002.93</v>
      </c>
      <c r="AF19" s="110">
        <v>1127822.6000000001</v>
      </c>
      <c r="AG19" s="110">
        <v>1303329.3799999999</v>
      </c>
      <c r="AH19" s="110">
        <v>1235036.96</v>
      </c>
      <c r="AI19" s="110">
        <v>1054789</v>
      </c>
      <c r="AJ19" s="110">
        <v>1254097.24</v>
      </c>
      <c r="AK19" s="110">
        <v>1252388.77</v>
      </c>
      <c r="AL19" s="110">
        <v>1319284.83</v>
      </c>
      <c r="AM19" s="110">
        <v>1311010.02</v>
      </c>
      <c r="AN19" s="110">
        <v>1313225.2</v>
      </c>
      <c r="AO19" s="109"/>
      <c r="AP19" s="110">
        <v>1096372.28</v>
      </c>
      <c r="AQ19" s="110">
        <v>1126955.3700000001</v>
      </c>
      <c r="AR19" s="110">
        <v>1214539.96</v>
      </c>
      <c r="AS19" s="110">
        <v>-556411.48</v>
      </c>
      <c r="AT19" s="110">
        <v>0</v>
      </c>
      <c r="AU19" s="110">
        <v>0</v>
      </c>
      <c r="AV19" s="110">
        <v>0</v>
      </c>
      <c r="AW19" s="110">
        <v>0</v>
      </c>
      <c r="AX19" s="110">
        <v>0</v>
      </c>
      <c r="AY19" s="110">
        <v>0</v>
      </c>
      <c r="AZ19" s="110">
        <v>0</v>
      </c>
      <c r="BA19" s="110">
        <v>0</v>
      </c>
    </row>
    <row r="20" spans="1:53" s="102" customFormat="1" outlineLevel="2">
      <c r="A20" s="102" t="s">
        <v>185</v>
      </c>
      <c r="B20" s="103" t="s">
        <v>186</v>
      </c>
      <c r="C20" s="104" t="s">
        <v>187</v>
      </c>
      <c r="D20" s="298"/>
      <c r="E20" s="299"/>
      <c r="F20" s="105">
        <v>1442127.55</v>
      </c>
      <c r="G20" s="105">
        <v>1532251.02</v>
      </c>
      <c r="H20" s="106">
        <f t="shared" si="0"/>
        <v>-90123.469999999972</v>
      </c>
      <c r="I20" s="300">
        <f t="shared" si="1"/>
        <v>-5.8817692939111224E-2</v>
      </c>
      <c r="J20" s="107"/>
      <c r="K20" s="105">
        <v>4190547.45</v>
      </c>
      <c r="L20" s="105">
        <v>4822733.79</v>
      </c>
      <c r="M20" s="106"/>
      <c r="N20" s="300"/>
      <c r="O20" s="301"/>
      <c r="P20" s="107"/>
      <c r="Q20" s="105">
        <v>4190547.45</v>
      </c>
      <c r="R20" s="105">
        <v>4822733.79</v>
      </c>
      <c r="S20" s="106"/>
      <c r="T20" s="300"/>
      <c r="U20" s="107"/>
      <c r="V20" s="105">
        <v>17947748.809999999</v>
      </c>
      <c r="W20" s="105">
        <v>18540149.370000001</v>
      </c>
      <c r="X20" s="106">
        <f t="shared" si="2"/>
        <v>-592400.56000000238</v>
      </c>
      <c r="Y20" s="300">
        <f t="shared" si="3"/>
        <v>-3.1952307836234137E-2</v>
      </c>
      <c r="Z20" s="302"/>
      <c r="AA20" s="108">
        <v>1238575.1100000001</v>
      </c>
      <c r="AB20" s="109"/>
      <c r="AC20" s="110">
        <v>1994526.96</v>
      </c>
      <c r="AD20" s="110">
        <v>1295955.81</v>
      </c>
      <c r="AE20" s="110">
        <v>1532251.02</v>
      </c>
      <c r="AF20" s="110">
        <v>1346279.24</v>
      </c>
      <c r="AG20" s="110">
        <v>1585039.48</v>
      </c>
      <c r="AH20" s="110">
        <v>1577285.8</v>
      </c>
      <c r="AI20" s="110">
        <v>1533750.23</v>
      </c>
      <c r="AJ20" s="110">
        <v>1590512.87</v>
      </c>
      <c r="AK20" s="110">
        <v>1396466.2</v>
      </c>
      <c r="AL20" s="110">
        <v>1519266.45</v>
      </c>
      <c r="AM20" s="110">
        <v>1635411.87</v>
      </c>
      <c r="AN20" s="110">
        <v>1573189.22</v>
      </c>
      <c r="AO20" s="109"/>
      <c r="AP20" s="110">
        <v>1423511.97</v>
      </c>
      <c r="AQ20" s="110">
        <v>1324907.93</v>
      </c>
      <c r="AR20" s="110">
        <v>1442127.55</v>
      </c>
      <c r="AS20" s="110">
        <v>-680804.09</v>
      </c>
      <c r="AT20" s="110">
        <v>0</v>
      </c>
      <c r="AU20" s="110">
        <v>0</v>
      </c>
      <c r="AV20" s="110">
        <v>0</v>
      </c>
      <c r="AW20" s="110">
        <v>0</v>
      </c>
      <c r="AX20" s="110">
        <v>0</v>
      </c>
      <c r="AY20" s="110">
        <v>0</v>
      </c>
      <c r="AZ20" s="110">
        <v>0</v>
      </c>
      <c r="BA20" s="110">
        <v>0</v>
      </c>
    </row>
    <row r="21" spans="1:53" s="102" customFormat="1" outlineLevel="2">
      <c r="A21" s="102" t="s">
        <v>188</v>
      </c>
      <c r="B21" s="103" t="s">
        <v>189</v>
      </c>
      <c r="C21" s="104" t="s">
        <v>190</v>
      </c>
      <c r="D21" s="298"/>
      <c r="E21" s="299"/>
      <c r="F21" s="105">
        <v>2581885.44</v>
      </c>
      <c r="G21" s="105">
        <v>3211318.85</v>
      </c>
      <c r="H21" s="106">
        <f t="shared" si="0"/>
        <v>-629433.41000000015</v>
      </c>
      <c r="I21" s="300">
        <f t="shared" si="1"/>
        <v>-0.19600464463377723</v>
      </c>
      <c r="J21" s="107"/>
      <c r="K21" s="105">
        <v>15320639.68</v>
      </c>
      <c r="L21" s="105">
        <v>11007757.029999999</v>
      </c>
      <c r="M21" s="106"/>
      <c r="N21" s="300"/>
      <c r="O21" s="301"/>
      <c r="P21" s="107"/>
      <c r="Q21" s="105">
        <v>15320639.68</v>
      </c>
      <c r="R21" s="105">
        <v>11007757.029999999</v>
      </c>
      <c r="S21" s="106"/>
      <c r="T21" s="300"/>
      <c r="U21" s="107"/>
      <c r="V21" s="105">
        <v>73879583.810000002</v>
      </c>
      <c r="W21" s="105">
        <v>41231616.359999999</v>
      </c>
      <c r="X21" s="106">
        <f t="shared" si="2"/>
        <v>32647967.450000003</v>
      </c>
      <c r="Y21" s="300">
        <f t="shared" si="3"/>
        <v>0.79181876269281437</v>
      </c>
      <c r="Z21" s="302"/>
      <c r="AA21" s="108">
        <v>4756053.51</v>
      </c>
      <c r="AB21" s="109"/>
      <c r="AC21" s="110">
        <v>5292447.3600000003</v>
      </c>
      <c r="AD21" s="110">
        <v>2503990.8199999998</v>
      </c>
      <c r="AE21" s="110">
        <v>3211318.85</v>
      </c>
      <c r="AF21" s="110">
        <v>3406429.67</v>
      </c>
      <c r="AG21" s="110">
        <v>5162237.4400000004</v>
      </c>
      <c r="AH21" s="110">
        <v>7284135.8700000001</v>
      </c>
      <c r="AI21" s="110">
        <v>7544078.0199999996</v>
      </c>
      <c r="AJ21" s="110">
        <v>6785165.2999999998</v>
      </c>
      <c r="AK21" s="110">
        <v>5305157.24</v>
      </c>
      <c r="AL21" s="110">
        <v>7251965.8700000001</v>
      </c>
      <c r="AM21" s="110">
        <v>8093184.5599999996</v>
      </c>
      <c r="AN21" s="110">
        <v>7726590.1600000001</v>
      </c>
      <c r="AO21" s="109"/>
      <c r="AP21" s="110">
        <v>8073710.1299999999</v>
      </c>
      <c r="AQ21" s="110">
        <v>4665044.1100000003</v>
      </c>
      <c r="AR21" s="110">
        <v>2581885.44</v>
      </c>
      <c r="AS21" s="110">
        <v>-2026704.95</v>
      </c>
      <c r="AT21" s="110">
        <v>0</v>
      </c>
      <c r="AU21" s="110">
        <v>0</v>
      </c>
      <c r="AV21" s="110">
        <v>0</v>
      </c>
      <c r="AW21" s="110">
        <v>0</v>
      </c>
      <c r="AX21" s="110">
        <v>0</v>
      </c>
      <c r="AY21" s="110">
        <v>0</v>
      </c>
      <c r="AZ21" s="110">
        <v>0</v>
      </c>
      <c r="BA21" s="110">
        <v>0</v>
      </c>
    </row>
    <row r="22" spans="1:53" s="102" customFormat="1" outlineLevel="2">
      <c r="A22" s="102" t="s">
        <v>191</v>
      </c>
      <c r="B22" s="103" t="s">
        <v>192</v>
      </c>
      <c r="C22" s="104" t="s">
        <v>193</v>
      </c>
      <c r="D22" s="298"/>
      <c r="E22" s="299"/>
      <c r="F22" s="105">
        <v>1994288.06</v>
      </c>
      <c r="G22" s="105">
        <v>5364429.05</v>
      </c>
      <c r="H22" s="106">
        <f t="shared" si="0"/>
        <v>-3370140.9899999998</v>
      </c>
      <c r="I22" s="300">
        <f t="shared" si="1"/>
        <v>-0.6282385242843318</v>
      </c>
      <c r="J22" s="107"/>
      <c r="K22" s="105">
        <v>23659831.850000001</v>
      </c>
      <c r="L22" s="105">
        <v>19505953.84</v>
      </c>
      <c r="M22" s="106"/>
      <c r="N22" s="300"/>
      <c r="O22" s="301"/>
      <c r="P22" s="107"/>
      <c r="Q22" s="105">
        <v>23659831.850000001</v>
      </c>
      <c r="R22" s="105">
        <v>19505953.84</v>
      </c>
      <c r="S22" s="106"/>
      <c r="T22" s="300"/>
      <c r="U22" s="107"/>
      <c r="V22" s="105">
        <v>106771129.06999999</v>
      </c>
      <c r="W22" s="105">
        <v>69187300.890000001</v>
      </c>
      <c r="X22" s="106">
        <f t="shared" si="2"/>
        <v>37583828.179999992</v>
      </c>
      <c r="Y22" s="300">
        <f t="shared" si="3"/>
        <v>0.54321859209039003</v>
      </c>
      <c r="Z22" s="302"/>
      <c r="AA22" s="108">
        <v>8296591.6200000001</v>
      </c>
      <c r="AB22" s="109"/>
      <c r="AC22" s="110">
        <v>9954435.8399999999</v>
      </c>
      <c r="AD22" s="110">
        <v>4187088.95</v>
      </c>
      <c r="AE22" s="110">
        <v>5364429.05</v>
      </c>
      <c r="AF22" s="110">
        <v>6426511.0700000003</v>
      </c>
      <c r="AG22" s="110">
        <v>10419896.890000001</v>
      </c>
      <c r="AH22" s="110">
        <v>7502648.8499999996</v>
      </c>
      <c r="AI22" s="110">
        <v>10000458.060000001</v>
      </c>
      <c r="AJ22" s="110">
        <v>9833903.9800000004</v>
      </c>
      <c r="AK22" s="110">
        <v>6646582.9500000002</v>
      </c>
      <c r="AL22" s="110">
        <v>9862707.9399999995</v>
      </c>
      <c r="AM22" s="110">
        <v>10722387.25</v>
      </c>
      <c r="AN22" s="110">
        <v>11696200.23</v>
      </c>
      <c r="AO22" s="109"/>
      <c r="AP22" s="110">
        <v>10593952.199999999</v>
      </c>
      <c r="AQ22" s="110">
        <v>11071591.59</v>
      </c>
      <c r="AR22" s="110">
        <v>1994288.06</v>
      </c>
      <c r="AS22" s="110">
        <v>-1191696.8400000001</v>
      </c>
      <c r="AT22" s="110">
        <v>0</v>
      </c>
      <c r="AU22" s="110">
        <v>0</v>
      </c>
      <c r="AV22" s="110">
        <v>0</v>
      </c>
      <c r="AW22" s="110">
        <v>0</v>
      </c>
      <c r="AX22" s="110">
        <v>0</v>
      </c>
      <c r="AY22" s="110">
        <v>0</v>
      </c>
      <c r="AZ22" s="110">
        <v>0</v>
      </c>
      <c r="BA22" s="110">
        <v>0</v>
      </c>
    </row>
    <row r="23" spans="1:53" outlineLevel="1">
      <c r="A23" s="111" t="s">
        <v>194</v>
      </c>
      <c r="B23" s="331"/>
      <c r="C23" s="332" t="s">
        <v>175</v>
      </c>
      <c r="D23" s="342"/>
      <c r="E23" s="342"/>
      <c r="F23" s="333">
        <v>21841032.450000003</v>
      </c>
      <c r="G23" s="333">
        <v>25752320.580000002</v>
      </c>
      <c r="H23" s="133">
        <f t="shared" si="0"/>
        <v>-3911288.129999999</v>
      </c>
      <c r="I23" s="138">
        <f t="shared" si="1"/>
        <v>-0.15188099720370904</v>
      </c>
      <c r="J23" s="157"/>
      <c r="K23" s="333">
        <v>86289850.450000003</v>
      </c>
      <c r="L23" s="333">
        <v>84042438.670000002</v>
      </c>
      <c r="M23" s="333"/>
      <c r="N23" s="137"/>
      <c r="O23" s="344"/>
      <c r="P23" s="344"/>
      <c r="Q23" s="333">
        <v>86289850.450000003</v>
      </c>
      <c r="R23" s="333">
        <v>84042438.670000002</v>
      </c>
      <c r="S23" s="333"/>
      <c r="T23" s="343"/>
      <c r="U23" s="344"/>
      <c r="V23" s="333">
        <v>382178696.94000006</v>
      </c>
      <c r="W23" s="333">
        <v>316419242.90999991</v>
      </c>
      <c r="X23" s="133">
        <f t="shared" si="2"/>
        <v>65759454.03000015</v>
      </c>
      <c r="Y23" s="137">
        <f t="shared" si="3"/>
        <v>0.20782381445967973</v>
      </c>
      <c r="Z23" s="111"/>
      <c r="AA23" s="139">
        <v>27318866.599999998</v>
      </c>
      <c r="AB23" s="346"/>
      <c r="AC23" s="333">
        <v>35768549.32</v>
      </c>
      <c r="AD23" s="333">
        <v>22521568.77</v>
      </c>
      <c r="AE23" s="333">
        <v>25752320.580000002</v>
      </c>
      <c r="AF23" s="333">
        <v>24635114.780000001</v>
      </c>
      <c r="AG23" s="333">
        <v>31688123.75</v>
      </c>
      <c r="AH23" s="333">
        <v>32307050.480000004</v>
      </c>
      <c r="AI23" s="333">
        <v>34205214.780000001</v>
      </c>
      <c r="AJ23" s="333">
        <v>33262260.370000001</v>
      </c>
      <c r="AK23" s="333">
        <v>28858408.099999998</v>
      </c>
      <c r="AL23" s="333">
        <v>35409718.68</v>
      </c>
      <c r="AM23" s="333">
        <v>37961616.879999995</v>
      </c>
      <c r="AN23" s="333">
        <v>37561338.670000002</v>
      </c>
      <c r="AO23" s="346"/>
      <c r="AP23" s="333">
        <v>33919625.890000001</v>
      </c>
      <c r="AQ23" s="333">
        <v>30529192.109999999</v>
      </c>
      <c r="AR23" s="333">
        <v>21841032.450000003</v>
      </c>
      <c r="AS23" s="333">
        <v>-9463082.9200000018</v>
      </c>
      <c r="AT23" s="333">
        <v>0</v>
      </c>
      <c r="AU23" s="333">
        <v>0</v>
      </c>
      <c r="AV23" s="333">
        <v>0</v>
      </c>
      <c r="AW23" s="333">
        <v>0</v>
      </c>
      <c r="AX23" s="333">
        <v>0</v>
      </c>
      <c r="AY23" s="333">
        <v>0</v>
      </c>
      <c r="AZ23" s="333">
        <v>0</v>
      </c>
      <c r="BA23" s="333">
        <v>0</v>
      </c>
    </row>
    <row r="24" spans="1:53" ht="0.75" customHeight="1" outlineLevel="2">
      <c r="B24" s="331"/>
      <c r="C24" s="332"/>
      <c r="D24" s="342"/>
      <c r="E24" s="342"/>
      <c r="F24" s="333"/>
      <c r="G24" s="333"/>
      <c r="H24" s="333"/>
      <c r="I24" s="343"/>
      <c r="J24" s="157"/>
      <c r="K24" s="333"/>
      <c r="L24" s="333"/>
      <c r="M24" s="333"/>
      <c r="N24" s="137"/>
      <c r="O24" s="344"/>
      <c r="P24" s="344"/>
      <c r="Q24" s="333"/>
      <c r="R24" s="333"/>
      <c r="S24" s="333"/>
      <c r="T24" s="343"/>
      <c r="U24" s="344"/>
      <c r="V24" s="333"/>
      <c r="W24" s="333"/>
      <c r="X24" s="333"/>
      <c r="Y24" s="345"/>
      <c r="Z24" s="111"/>
      <c r="AA24" s="139"/>
      <c r="AB24" s="346"/>
      <c r="AC24" s="333"/>
      <c r="AD24" s="333"/>
      <c r="AE24" s="333"/>
      <c r="AF24" s="333"/>
      <c r="AG24" s="333"/>
      <c r="AH24" s="333"/>
      <c r="AI24" s="333"/>
      <c r="AJ24" s="333"/>
      <c r="AK24" s="333"/>
      <c r="AL24" s="333"/>
      <c r="AM24" s="333"/>
      <c r="AN24" s="333"/>
      <c r="AO24" s="346"/>
      <c r="AP24" s="333"/>
      <c r="AQ24" s="333"/>
      <c r="AR24" s="333"/>
      <c r="AS24" s="333"/>
      <c r="AT24" s="333"/>
      <c r="AU24" s="333"/>
      <c r="AV24" s="333"/>
      <c r="AW24" s="333"/>
      <c r="AX24" s="333"/>
      <c r="AY24" s="333"/>
      <c r="AZ24" s="333"/>
      <c r="BA24" s="333"/>
    </row>
    <row r="25" spans="1:53" s="102" customFormat="1" outlineLevel="2">
      <c r="A25" s="102" t="s">
        <v>195</v>
      </c>
      <c r="B25" s="103" t="s">
        <v>196</v>
      </c>
      <c r="C25" s="104" t="s">
        <v>197</v>
      </c>
      <c r="D25" s="298"/>
      <c r="E25" s="299"/>
      <c r="F25" s="105">
        <v>136759</v>
      </c>
      <c r="G25" s="105">
        <v>143195.41</v>
      </c>
      <c r="H25" s="106">
        <f>+F25-G25</f>
        <v>-6436.4100000000035</v>
      </c>
      <c r="I25" s="300">
        <f>IF(G25&lt;0,IF(H25=0,0,IF(OR(G25=0,F25=0),"N.M.",IF(ABS(H25/G25)&gt;=10,"N.M.",H25/(-G25)))),IF(H25=0,0,IF(OR(G25=0,F25=0),"N.M.",IF(ABS(H25/G25)&gt;=10,"N.M.",H25/G25))))</f>
        <v>-4.494843794224971E-2</v>
      </c>
      <c r="J25" s="107"/>
      <c r="K25" s="105">
        <v>414416.64000000001</v>
      </c>
      <c r="L25" s="105">
        <v>431881.09</v>
      </c>
      <c r="M25" s="106"/>
      <c r="N25" s="300"/>
      <c r="O25" s="301"/>
      <c r="P25" s="107"/>
      <c r="Q25" s="105">
        <v>414416.64000000001</v>
      </c>
      <c r="R25" s="105">
        <v>431881.09</v>
      </c>
      <c r="S25" s="106"/>
      <c r="T25" s="300"/>
      <c r="U25" s="107"/>
      <c r="V25" s="105">
        <v>1692904.1099999999</v>
      </c>
      <c r="W25" s="105">
        <v>1726013.1300000001</v>
      </c>
      <c r="X25" s="106">
        <f>+V25-W25</f>
        <v>-33109.020000000251</v>
      </c>
      <c r="Y25" s="300">
        <f>IF(W25&lt;0,IF(X25=0,0,IF(OR(W25=0,V25=0),"N.M.",IF(ABS(X25/W25)&gt;=10,"N.M.",X25/(-W25)))),IF(X25=0,0,IF(OR(W25=0,V25=0),"N.M.",IF(ABS(X25/W25)&gt;=10,"N.M.",X25/W25))))</f>
        <v>-1.918236856054522E-2</v>
      </c>
      <c r="Z25" s="302"/>
      <c r="AA25" s="108">
        <v>139084.18</v>
      </c>
      <c r="AB25" s="109"/>
      <c r="AC25" s="110">
        <v>147887.36000000002</v>
      </c>
      <c r="AD25" s="110">
        <v>140798.32</v>
      </c>
      <c r="AE25" s="110">
        <v>143195.41</v>
      </c>
      <c r="AF25" s="110">
        <v>136956.63</v>
      </c>
      <c r="AG25" s="110">
        <v>144695.82</v>
      </c>
      <c r="AH25" s="110">
        <v>137289.19</v>
      </c>
      <c r="AI25" s="110">
        <v>142881.19</v>
      </c>
      <c r="AJ25" s="110">
        <v>138900.93</v>
      </c>
      <c r="AK25" s="110">
        <v>139735.34</v>
      </c>
      <c r="AL25" s="110">
        <v>141805.51999999999</v>
      </c>
      <c r="AM25" s="110">
        <v>151969.80000000002</v>
      </c>
      <c r="AN25" s="110">
        <v>144253.05000000002</v>
      </c>
      <c r="AO25" s="109"/>
      <c r="AP25" s="110">
        <v>140102.35</v>
      </c>
      <c r="AQ25" s="110">
        <v>137555.29</v>
      </c>
      <c r="AR25" s="110">
        <v>136759</v>
      </c>
      <c r="AS25" s="110">
        <v>-9143.77</v>
      </c>
      <c r="AT25" s="110">
        <v>0</v>
      </c>
      <c r="AU25" s="110">
        <v>0</v>
      </c>
      <c r="AV25" s="110">
        <v>0</v>
      </c>
      <c r="AW25" s="110">
        <v>0</v>
      </c>
      <c r="AX25" s="110">
        <v>0</v>
      </c>
      <c r="AY25" s="110">
        <v>0</v>
      </c>
      <c r="AZ25" s="110">
        <v>0</v>
      </c>
      <c r="BA25" s="110">
        <v>0</v>
      </c>
    </row>
    <row r="26" spans="1:53" s="102" customFormat="1" outlineLevel="2">
      <c r="A26" s="102" t="s">
        <v>198</v>
      </c>
      <c r="B26" s="103" t="s">
        <v>199</v>
      </c>
      <c r="C26" s="104" t="s">
        <v>200</v>
      </c>
      <c r="D26" s="298"/>
      <c r="E26" s="299"/>
      <c r="F26" s="105">
        <v>8899.8700000000008</v>
      </c>
      <c r="G26" s="105">
        <v>24506.93</v>
      </c>
      <c r="H26" s="106">
        <f>+F26-G26</f>
        <v>-15607.06</v>
      </c>
      <c r="I26" s="300">
        <f>IF(G26&lt;0,IF(H26=0,0,IF(OR(G26=0,F26=0),"N.M.",IF(ABS(H26/G26)&gt;=10,"N.M.",H26/(-G26)))),IF(H26=0,0,IF(OR(G26=0,F26=0),"N.M.",IF(ABS(H26/G26)&gt;=10,"N.M.",H26/G26))))</f>
        <v>-0.63684272163016742</v>
      </c>
      <c r="J26" s="107"/>
      <c r="K26" s="105">
        <v>134687.22</v>
      </c>
      <c r="L26" s="105">
        <v>107638.42</v>
      </c>
      <c r="M26" s="106"/>
      <c r="N26" s="300"/>
      <c r="O26" s="301"/>
      <c r="P26" s="107"/>
      <c r="Q26" s="105">
        <v>134687.22</v>
      </c>
      <c r="R26" s="105">
        <v>107638.42</v>
      </c>
      <c r="S26" s="106"/>
      <c r="T26" s="300"/>
      <c r="U26" s="107"/>
      <c r="V26" s="105">
        <v>509970.72</v>
      </c>
      <c r="W26" s="105">
        <v>340798.55</v>
      </c>
      <c r="X26" s="106">
        <f>+V26-W26</f>
        <v>169172.16999999998</v>
      </c>
      <c r="Y26" s="300">
        <f>IF(W26&lt;0,IF(X26=0,0,IF(OR(W26=0,V26=0),"N.M.",IF(ABS(X26/W26)&gt;=10,"N.M.",X26/(-W26)))),IF(X26=0,0,IF(OR(W26=0,V26=0),"N.M.",IF(ABS(X26/W26)&gt;=10,"N.M.",X26/W26))))</f>
        <v>0.49639932446895679</v>
      </c>
      <c r="Z26" s="302"/>
      <c r="AA26" s="108">
        <v>49486.3</v>
      </c>
      <c r="AB26" s="109"/>
      <c r="AC26" s="110">
        <v>60316.61</v>
      </c>
      <c r="AD26" s="110">
        <v>22814.880000000001</v>
      </c>
      <c r="AE26" s="110">
        <v>24506.93</v>
      </c>
      <c r="AF26" s="110">
        <v>26968.2</v>
      </c>
      <c r="AG26" s="110">
        <v>28663.91</v>
      </c>
      <c r="AH26" s="110">
        <v>32572.32</v>
      </c>
      <c r="AI26" s="110">
        <v>36373.9</v>
      </c>
      <c r="AJ26" s="110">
        <v>39062.53</v>
      </c>
      <c r="AK26" s="110">
        <v>31366.82</v>
      </c>
      <c r="AL26" s="110">
        <v>46265.4</v>
      </c>
      <c r="AM26" s="110">
        <v>64054.26</v>
      </c>
      <c r="AN26" s="110">
        <v>69956.160000000003</v>
      </c>
      <c r="AO26" s="109"/>
      <c r="AP26" s="110">
        <v>63656.93</v>
      </c>
      <c r="AQ26" s="110">
        <v>62130.42</v>
      </c>
      <c r="AR26" s="110">
        <v>8899.8700000000008</v>
      </c>
      <c r="AS26" s="110">
        <v>-2306.61</v>
      </c>
      <c r="AT26" s="110">
        <v>0</v>
      </c>
      <c r="AU26" s="110">
        <v>0</v>
      </c>
      <c r="AV26" s="110">
        <v>0</v>
      </c>
      <c r="AW26" s="110">
        <v>0</v>
      </c>
      <c r="AX26" s="110">
        <v>0</v>
      </c>
      <c r="AY26" s="110">
        <v>0</v>
      </c>
      <c r="AZ26" s="110">
        <v>0</v>
      </c>
      <c r="BA26" s="110">
        <v>0</v>
      </c>
    </row>
    <row r="27" spans="1:53" outlineLevel="1">
      <c r="A27" s="111" t="s">
        <v>201</v>
      </c>
      <c r="B27" s="331"/>
      <c r="C27" s="332" t="s">
        <v>202</v>
      </c>
      <c r="D27" s="342"/>
      <c r="E27" s="342"/>
      <c r="F27" s="333">
        <v>145658.87</v>
      </c>
      <c r="G27" s="333">
        <v>167702.34</v>
      </c>
      <c r="H27" s="133">
        <f>+F27-G27</f>
        <v>-22043.47</v>
      </c>
      <c r="I27" s="138">
        <f>IF(G27&lt;0,IF(H27=0,0,IF(OR(G27=0,F27=0),"N.M.",IF(ABS(H27/G27)&gt;=10,"N.M.",H27/(-G27)))),IF(H27=0,0,IF(OR(G27=0,F27=0),"N.M.",IF(ABS(H27/G27)&gt;=10,"N.M.",H27/G27))))</f>
        <v>-0.13144402159206606</v>
      </c>
      <c r="J27" s="157"/>
      <c r="K27" s="333">
        <v>549103.86</v>
      </c>
      <c r="L27" s="333">
        <v>539519.51</v>
      </c>
      <c r="M27" s="333"/>
      <c r="N27" s="137"/>
      <c r="O27" s="344"/>
      <c r="P27" s="344"/>
      <c r="Q27" s="333">
        <v>549103.86</v>
      </c>
      <c r="R27" s="333">
        <v>539519.51</v>
      </c>
      <c r="S27" s="333"/>
      <c r="T27" s="343"/>
      <c r="U27" s="344"/>
      <c r="V27" s="333">
        <v>2202874.83</v>
      </c>
      <c r="W27" s="333">
        <v>2066811.68</v>
      </c>
      <c r="X27" s="133">
        <f>+V27-W27</f>
        <v>136063.15000000014</v>
      </c>
      <c r="Y27" s="137">
        <f>IF(W27&lt;0,IF(X27=0,0,IF(OR(W27=0,V27=0),"N.M.",IF(ABS(X27/W27)&gt;=10,"N.M.",X27/(-W27)))),IF(X27=0,0,IF(OR(W27=0,V27=0),"N.M.",IF(ABS(X27/W27)&gt;=10,"N.M.",X27/W27))))</f>
        <v>6.5832388754451077E-2</v>
      </c>
      <c r="Z27" s="111"/>
      <c r="AA27" s="139">
        <v>188570.47999999998</v>
      </c>
      <c r="AB27" s="346"/>
      <c r="AC27" s="333">
        <v>208203.97000000003</v>
      </c>
      <c r="AD27" s="333">
        <v>163613.20000000001</v>
      </c>
      <c r="AE27" s="333">
        <v>167702.34</v>
      </c>
      <c r="AF27" s="333">
        <v>163924.83000000002</v>
      </c>
      <c r="AG27" s="333">
        <v>173359.73</v>
      </c>
      <c r="AH27" s="333">
        <v>169861.51</v>
      </c>
      <c r="AI27" s="333">
        <v>179255.09</v>
      </c>
      <c r="AJ27" s="333">
        <v>177963.46</v>
      </c>
      <c r="AK27" s="333">
        <v>171102.16</v>
      </c>
      <c r="AL27" s="333">
        <v>188070.91999999998</v>
      </c>
      <c r="AM27" s="333">
        <v>216024.06000000003</v>
      </c>
      <c r="AN27" s="333">
        <v>214209.21000000002</v>
      </c>
      <c r="AO27" s="346"/>
      <c r="AP27" s="333">
        <v>203759.28</v>
      </c>
      <c r="AQ27" s="333">
        <v>199685.71000000002</v>
      </c>
      <c r="AR27" s="333">
        <v>145658.87</v>
      </c>
      <c r="AS27" s="333">
        <v>-11450.380000000001</v>
      </c>
      <c r="AT27" s="333">
        <v>0</v>
      </c>
      <c r="AU27" s="333">
        <v>0</v>
      </c>
      <c r="AV27" s="333">
        <v>0</v>
      </c>
      <c r="AW27" s="333">
        <v>0</v>
      </c>
      <c r="AX27" s="333">
        <v>0</v>
      </c>
      <c r="AY27" s="333">
        <v>0</v>
      </c>
      <c r="AZ27" s="333">
        <v>0</v>
      </c>
      <c r="BA27" s="333">
        <v>0</v>
      </c>
    </row>
    <row r="28" spans="1:53" ht="0.75" customHeight="1" outlineLevel="2">
      <c r="B28" s="331"/>
      <c r="C28" s="332"/>
      <c r="D28" s="342"/>
      <c r="E28" s="342"/>
      <c r="F28" s="333"/>
      <c r="G28" s="333"/>
      <c r="H28" s="333"/>
      <c r="I28" s="343"/>
      <c r="J28" s="157"/>
      <c r="K28" s="333"/>
      <c r="L28" s="333"/>
      <c r="M28" s="333"/>
      <c r="N28" s="137"/>
      <c r="O28" s="344"/>
      <c r="P28" s="344"/>
      <c r="Q28" s="333"/>
      <c r="R28" s="333"/>
      <c r="S28" s="333"/>
      <c r="T28" s="343"/>
      <c r="U28" s="344"/>
      <c r="V28" s="333"/>
      <c r="W28" s="333"/>
      <c r="X28" s="333"/>
      <c r="Y28" s="345"/>
      <c r="Z28" s="111"/>
      <c r="AA28" s="139"/>
      <c r="AB28" s="346"/>
      <c r="AC28" s="333"/>
      <c r="AD28" s="333"/>
      <c r="AE28" s="333"/>
      <c r="AF28" s="333"/>
      <c r="AG28" s="333"/>
      <c r="AH28" s="333"/>
      <c r="AI28" s="333"/>
      <c r="AJ28" s="333"/>
      <c r="AK28" s="333"/>
      <c r="AL28" s="333"/>
      <c r="AM28" s="333"/>
      <c r="AN28" s="333"/>
      <c r="AO28" s="346"/>
      <c r="AP28" s="333"/>
      <c r="AQ28" s="333"/>
      <c r="AR28" s="333"/>
      <c r="AS28" s="333"/>
      <c r="AT28" s="333"/>
      <c r="AU28" s="333"/>
      <c r="AV28" s="333"/>
      <c r="AW28" s="333"/>
      <c r="AX28" s="333"/>
      <c r="AY28" s="333"/>
      <c r="AZ28" s="333"/>
      <c r="BA28" s="333"/>
    </row>
    <row r="29" spans="1:53" s="102" customFormat="1" outlineLevel="2">
      <c r="A29" s="102" t="s">
        <v>203</v>
      </c>
      <c r="B29" s="103" t="s">
        <v>204</v>
      </c>
      <c r="C29" s="104" t="s">
        <v>205</v>
      </c>
      <c r="D29" s="298"/>
      <c r="E29" s="299"/>
      <c r="F29" s="105">
        <v>0</v>
      </c>
      <c r="G29" s="105">
        <v>26061.48</v>
      </c>
      <c r="H29" s="106">
        <f t="shared" ref="H29:H62" si="4">+F29-G29</f>
        <v>-26061.48</v>
      </c>
      <c r="I29" s="300" t="str">
        <f t="shared" ref="I29:I62" si="5">IF(G29&lt;0,IF(H29=0,0,IF(OR(G29=0,F29=0),"N.M.",IF(ABS(H29/G29)&gt;=10,"N.M.",H29/(-G29)))),IF(H29=0,0,IF(OR(G29=0,F29=0),"N.M.",IF(ABS(H29/G29)&gt;=10,"N.M.",H29/G29))))</f>
        <v>N.M.</v>
      </c>
      <c r="J29" s="107"/>
      <c r="K29" s="105">
        <v>0</v>
      </c>
      <c r="L29" s="105">
        <v>82467.56</v>
      </c>
      <c r="M29" s="106"/>
      <c r="N29" s="300"/>
      <c r="O29" s="301"/>
      <c r="P29" s="107"/>
      <c r="Q29" s="105">
        <v>0</v>
      </c>
      <c r="R29" s="105">
        <v>82467.56</v>
      </c>
      <c r="S29" s="106"/>
      <c r="T29" s="300"/>
      <c r="U29" s="107"/>
      <c r="V29" s="105">
        <v>46799.18</v>
      </c>
      <c r="W29" s="105">
        <v>1167731.02</v>
      </c>
      <c r="X29" s="106">
        <f t="shared" ref="X29:X62" si="6">+V29-W29</f>
        <v>-1120931.8400000001</v>
      </c>
      <c r="Y29" s="300">
        <f t="shared" ref="Y29:Y62" si="7">IF(W29&lt;0,IF(X29=0,0,IF(OR(W29=0,V29=0),"N.M.",IF(ABS(X29/W29)&gt;=10,"N.M.",X29/(-W29)))),IF(X29=0,0,IF(OR(W29=0,V29=0),"N.M.",IF(ABS(X29/W29)&gt;=10,"N.M.",X29/W29))))</f>
        <v>-0.95992297952314398</v>
      </c>
      <c r="Z29" s="302"/>
      <c r="AA29" s="108">
        <v>41815.090000000004</v>
      </c>
      <c r="AB29" s="109"/>
      <c r="AC29" s="110">
        <v>30241.79</v>
      </c>
      <c r="AD29" s="110">
        <v>26164.29</v>
      </c>
      <c r="AE29" s="110">
        <v>26061.48</v>
      </c>
      <c r="AF29" s="110">
        <v>23197.91</v>
      </c>
      <c r="AG29" s="110">
        <v>24011.86</v>
      </c>
      <c r="AH29" s="110">
        <v>-319.3</v>
      </c>
      <c r="AI29" s="110">
        <v>-91.33</v>
      </c>
      <c r="AJ29" s="110">
        <v>0.04</v>
      </c>
      <c r="AK29" s="110">
        <v>0</v>
      </c>
      <c r="AL29" s="110">
        <v>0</v>
      </c>
      <c r="AM29" s="110">
        <v>0</v>
      </c>
      <c r="AN29" s="110">
        <v>0</v>
      </c>
      <c r="AO29" s="109"/>
      <c r="AP29" s="110">
        <v>0</v>
      </c>
      <c r="AQ29" s="110">
        <v>0</v>
      </c>
      <c r="AR29" s="110">
        <v>0</v>
      </c>
      <c r="AS29" s="110">
        <v>0</v>
      </c>
      <c r="AT29" s="110">
        <v>0</v>
      </c>
      <c r="AU29" s="110">
        <v>0</v>
      </c>
      <c r="AV29" s="110">
        <v>0</v>
      </c>
      <c r="AW29" s="110">
        <v>0</v>
      </c>
      <c r="AX29" s="110">
        <v>0</v>
      </c>
      <c r="AY29" s="110">
        <v>0</v>
      </c>
      <c r="AZ29" s="110">
        <v>0</v>
      </c>
      <c r="BA29" s="110">
        <v>0</v>
      </c>
    </row>
    <row r="30" spans="1:53" s="102" customFormat="1" outlineLevel="2">
      <c r="A30" s="102" t="s">
        <v>206</v>
      </c>
      <c r="B30" s="103" t="s">
        <v>207</v>
      </c>
      <c r="C30" s="104" t="s">
        <v>208</v>
      </c>
      <c r="D30" s="298"/>
      <c r="E30" s="299"/>
      <c r="F30" s="105">
        <v>-36.33</v>
      </c>
      <c r="G30" s="105">
        <v>-38978.379999999997</v>
      </c>
      <c r="H30" s="106">
        <f t="shared" si="4"/>
        <v>38942.049999999996</v>
      </c>
      <c r="I30" s="300">
        <f t="shared" si="5"/>
        <v>0.99906794484532191</v>
      </c>
      <c r="J30" s="107"/>
      <c r="K30" s="105">
        <v>-81.260000000000005</v>
      </c>
      <c r="L30" s="105">
        <v>-94525.59</v>
      </c>
      <c r="M30" s="106"/>
      <c r="N30" s="300"/>
      <c r="O30" s="301"/>
      <c r="P30" s="107"/>
      <c r="Q30" s="105">
        <v>-81.260000000000005</v>
      </c>
      <c r="R30" s="105">
        <v>-94525.59</v>
      </c>
      <c r="S30" s="106"/>
      <c r="T30" s="300"/>
      <c r="U30" s="107"/>
      <c r="V30" s="105">
        <v>-86411.739999999991</v>
      </c>
      <c r="W30" s="105">
        <v>-1298704.08</v>
      </c>
      <c r="X30" s="106">
        <f t="shared" si="6"/>
        <v>1212292.3400000001</v>
      </c>
      <c r="Y30" s="300">
        <f t="shared" si="7"/>
        <v>0.93346310269541932</v>
      </c>
      <c r="Z30" s="302"/>
      <c r="AA30" s="108">
        <v>-33110</v>
      </c>
      <c r="AB30" s="109"/>
      <c r="AC30" s="110">
        <v>-22236.12</v>
      </c>
      <c r="AD30" s="110">
        <v>-33311.090000000004</v>
      </c>
      <c r="AE30" s="110">
        <v>-38978.379999999997</v>
      </c>
      <c r="AF30" s="110">
        <v>-47372.4</v>
      </c>
      <c r="AG30" s="110">
        <v>-40867.480000000003</v>
      </c>
      <c r="AH30" s="110">
        <v>864.78</v>
      </c>
      <c r="AI30" s="110">
        <v>594.08000000000004</v>
      </c>
      <c r="AJ30" s="110">
        <v>254.71</v>
      </c>
      <c r="AK30" s="110">
        <v>230.21</v>
      </c>
      <c r="AL30" s="110">
        <v>130.58000000000001</v>
      </c>
      <c r="AM30" s="110">
        <v>-64.63</v>
      </c>
      <c r="AN30" s="110">
        <v>-100.33</v>
      </c>
      <c r="AO30" s="109"/>
      <c r="AP30" s="110">
        <v>-24.900000000000002</v>
      </c>
      <c r="AQ30" s="110">
        <v>-20.03</v>
      </c>
      <c r="AR30" s="110">
        <v>-36.33</v>
      </c>
      <c r="AS30" s="110">
        <v>33.21</v>
      </c>
      <c r="AT30" s="110">
        <v>0</v>
      </c>
      <c r="AU30" s="110">
        <v>0</v>
      </c>
      <c r="AV30" s="110">
        <v>0</v>
      </c>
      <c r="AW30" s="110">
        <v>0</v>
      </c>
      <c r="AX30" s="110">
        <v>0</v>
      </c>
      <c r="AY30" s="110">
        <v>0</v>
      </c>
      <c r="AZ30" s="110">
        <v>0</v>
      </c>
      <c r="BA30" s="110">
        <v>0</v>
      </c>
    </row>
    <row r="31" spans="1:53" s="102" customFormat="1" outlineLevel="2">
      <c r="A31" s="102" t="s">
        <v>209</v>
      </c>
      <c r="B31" s="103" t="s">
        <v>210</v>
      </c>
      <c r="C31" s="104" t="s">
        <v>211</v>
      </c>
      <c r="D31" s="298"/>
      <c r="E31" s="299"/>
      <c r="F31" s="105">
        <v>461073.14</v>
      </c>
      <c r="G31" s="105">
        <v>345313.3</v>
      </c>
      <c r="H31" s="106">
        <f t="shared" si="4"/>
        <v>115759.84000000003</v>
      </c>
      <c r="I31" s="300">
        <f t="shared" si="5"/>
        <v>0.33523133919255366</v>
      </c>
      <c r="J31" s="107"/>
      <c r="K31" s="105">
        <v>1523236.51</v>
      </c>
      <c r="L31" s="105">
        <v>1075194.8700000001</v>
      </c>
      <c r="M31" s="106"/>
      <c r="N31" s="300"/>
      <c r="O31" s="301"/>
      <c r="P31" s="107"/>
      <c r="Q31" s="105">
        <v>1523236.51</v>
      </c>
      <c r="R31" s="105">
        <v>1075194.8700000001</v>
      </c>
      <c r="S31" s="106"/>
      <c r="T31" s="300"/>
      <c r="U31" s="107"/>
      <c r="V31" s="105">
        <v>4487355.6900000004</v>
      </c>
      <c r="W31" s="105">
        <v>2811306.219</v>
      </c>
      <c r="X31" s="106">
        <f t="shared" si="6"/>
        <v>1676049.4710000004</v>
      </c>
      <c r="Y31" s="300">
        <f t="shared" si="7"/>
        <v>0.59618175340435953</v>
      </c>
      <c r="Z31" s="302"/>
      <c r="AA31" s="108">
        <v>287640.67</v>
      </c>
      <c r="AB31" s="109"/>
      <c r="AC31" s="110">
        <v>354180.60000000003</v>
      </c>
      <c r="AD31" s="110">
        <v>375700.97000000003</v>
      </c>
      <c r="AE31" s="110">
        <v>345313.3</v>
      </c>
      <c r="AF31" s="110">
        <v>344187.99</v>
      </c>
      <c r="AG31" s="110">
        <v>181888.15</v>
      </c>
      <c r="AH31" s="110">
        <v>335150.95</v>
      </c>
      <c r="AI31" s="110">
        <v>434054.34</v>
      </c>
      <c r="AJ31" s="110">
        <v>313661.05</v>
      </c>
      <c r="AK31" s="110">
        <v>326232.55</v>
      </c>
      <c r="AL31" s="110">
        <v>304829.58</v>
      </c>
      <c r="AM31" s="110">
        <v>311990.3</v>
      </c>
      <c r="AN31" s="110">
        <v>412124.27</v>
      </c>
      <c r="AO31" s="109"/>
      <c r="AP31" s="110">
        <v>457701.32</v>
      </c>
      <c r="AQ31" s="110">
        <v>604462.05000000005</v>
      </c>
      <c r="AR31" s="110">
        <v>461073.14</v>
      </c>
      <c r="AS31" s="110">
        <v>-461073.14</v>
      </c>
      <c r="AT31" s="110">
        <v>0</v>
      </c>
      <c r="AU31" s="110">
        <v>0</v>
      </c>
      <c r="AV31" s="110">
        <v>0</v>
      </c>
      <c r="AW31" s="110">
        <v>0</v>
      </c>
      <c r="AX31" s="110">
        <v>0</v>
      </c>
      <c r="AY31" s="110">
        <v>0</v>
      </c>
      <c r="AZ31" s="110">
        <v>0</v>
      </c>
      <c r="BA31" s="110">
        <v>0</v>
      </c>
    </row>
    <row r="32" spans="1:53" s="102" customFormat="1" outlineLevel="2">
      <c r="A32" s="102" t="s">
        <v>212</v>
      </c>
      <c r="B32" s="103" t="s">
        <v>213</v>
      </c>
      <c r="C32" s="104" t="s">
        <v>214</v>
      </c>
      <c r="D32" s="298"/>
      <c r="E32" s="299"/>
      <c r="F32" s="105">
        <v>230321.9</v>
      </c>
      <c r="G32" s="105">
        <v>225911.67999999999</v>
      </c>
      <c r="H32" s="106">
        <f t="shared" si="4"/>
        <v>4410.2200000000012</v>
      </c>
      <c r="I32" s="300">
        <f t="shared" si="5"/>
        <v>1.9521876867986645E-2</v>
      </c>
      <c r="J32" s="107"/>
      <c r="K32" s="105">
        <v>698281.92</v>
      </c>
      <c r="L32" s="105">
        <v>775604.91</v>
      </c>
      <c r="M32" s="106"/>
      <c r="N32" s="300"/>
      <c r="O32" s="301"/>
      <c r="P32" s="107"/>
      <c r="Q32" s="105">
        <v>698281.92</v>
      </c>
      <c r="R32" s="105">
        <v>775604.91</v>
      </c>
      <c r="S32" s="106"/>
      <c r="T32" s="300"/>
      <c r="U32" s="107"/>
      <c r="V32" s="105">
        <v>2826953.46</v>
      </c>
      <c r="W32" s="105">
        <v>2879126.72</v>
      </c>
      <c r="X32" s="106">
        <f t="shared" si="6"/>
        <v>-52173.260000000242</v>
      </c>
      <c r="Y32" s="300">
        <f t="shared" si="7"/>
        <v>-1.8121210031352922E-2</v>
      </c>
      <c r="Z32" s="302"/>
      <c r="AA32" s="108">
        <v>236408.27000000002</v>
      </c>
      <c r="AB32" s="109"/>
      <c r="AC32" s="110">
        <v>291075.37</v>
      </c>
      <c r="AD32" s="110">
        <v>258617.86000000002</v>
      </c>
      <c r="AE32" s="110">
        <v>225911.67999999999</v>
      </c>
      <c r="AF32" s="110">
        <v>194214.23</v>
      </c>
      <c r="AG32" s="110">
        <v>235707.67</v>
      </c>
      <c r="AH32" s="110">
        <v>251797.87</v>
      </c>
      <c r="AI32" s="110">
        <v>244857.83000000002</v>
      </c>
      <c r="AJ32" s="110">
        <v>242459.41</v>
      </c>
      <c r="AK32" s="110">
        <v>212702.76</v>
      </c>
      <c r="AL32" s="110">
        <v>189737.41</v>
      </c>
      <c r="AM32" s="110">
        <v>241260.25</v>
      </c>
      <c r="AN32" s="110">
        <v>315934.11</v>
      </c>
      <c r="AO32" s="109"/>
      <c r="AP32" s="110">
        <v>231883.97</v>
      </c>
      <c r="AQ32" s="110">
        <v>236076.05000000002</v>
      </c>
      <c r="AR32" s="110">
        <v>230321.9</v>
      </c>
      <c r="AS32" s="110">
        <v>-230321.9</v>
      </c>
      <c r="AT32" s="110">
        <v>0</v>
      </c>
      <c r="AU32" s="110">
        <v>0</v>
      </c>
      <c r="AV32" s="110">
        <v>0</v>
      </c>
      <c r="AW32" s="110">
        <v>0</v>
      </c>
      <c r="AX32" s="110">
        <v>0</v>
      </c>
      <c r="AY32" s="110">
        <v>0</v>
      </c>
      <c r="AZ32" s="110">
        <v>0</v>
      </c>
      <c r="BA32" s="110">
        <v>0</v>
      </c>
    </row>
    <row r="33" spans="1:53" s="102" customFormat="1" outlineLevel="2">
      <c r="A33" s="102" t="s">
        <v>215</v>
      </c>
      <c r="B33" s="103" t="s">
        <v>216</v>
      </c>
      <c r="C33" s="104" t="s">
        <v>217</v>
      </c>
      <c r="D33" s="298"/>
      <c r="E33" s="299"/>
      <c r="F33" s="105">
        <v>0</v>
      </c>
      <c r="G33" s="105">
        <v>0</v>
      </c>
      <c r="H33" s="106">
        <f t="shared" si="4"/>
        <v>0</v>
      </c>
      <c r="I33" s="300">
        <f t="shared" si="5"/>
        <v>0</v>
      </c>
      <c r="J33" s="107"/>
      <c r="K33" s="105">
        <v>0</v>
      </c>
      <c r="L33" s="105">
        <v>0</v>
      </c>
      <c r="M33" s="106"/>
      <c r="N33" s="300"/>
      <c r="O33" s="301"/>
      <c r="P33" s="107"/>
      <c r="Q33" s="105">
        <v>0</v>
      </c>
      <c r="R33" s="105">
        <v>0</v>
      </c>
      <c r="S33" s="106"/>
      <c r="T33" s="300"/>
      <c r="U33" s="107"/>
      <c r="V33" s="105">
        <v>0</v>
      </c>
      <c r="W33" s="105">
        <v>0</v>
      </c>
      <c r="X33" s="106">
        <f t="shared" si="6"/>
        <v>0</v>
      </c>
      <c r="Y33" s="300">
        <f t="shared" si="7"/>
        <v>0</v>
      </c>
      <c r="Z33" s="302"/>
      <c r="AA33" s="108">
        <v>0</v>
      </c>
      <c r="AB33" s="109"/>
      <c r="AC33" s="110">
        <v>0</v>
      </c>
      <c r="AD33" s="110">
        <v>0</v>
      </c>
      <c r="AE33" s="110">
        <v>0</v>
      </c>
      <c r="AF33" s="110">
        <v>0</v>
      </c>
      <c r="AG33" s="110">
        <v>0</v>
      </c>
      <c r="AH33" s="110">
        <v>0</v>
      </c>
      <c r="AI33" s="110">
        <v>0</v>
      </c>
      <c r="AJ33" s="110">
        <v>0</v>
      </c>
      <c r="AK33" s="110">
        <v>0</v>
      </c>
      <c r="AL33" s="110">
        <v>0</v>
      </c>
      <c r="AM33" s="110">
        <v>0</v>
      </c>
      <c r="AN33" s="110">
        <v>0</v>
      </c>
      <c r="AO33" s="109"/>
      <c r="AP33" s="110">
        <v>0</v>
      </c>
      <c r="AQ33" s="110">
        <v>0</v>
      </c>
      <c r="AR33" s="110">
        <v>0</v>
      </c>
      <c r="AS33" s="110">
        <v>95359080.129999995</v>
      </c>
      <c r="AT33" s="110">
        <v>0</v>
      </c>
      <c r="AU33" s="110">
        <v>0</v>
      </c>
      <c r="AV33" s="110">
        <v>0</v>
      </c>
      <c r="AW33" s="110">
        <v>0</v>
      </c>
      <c r="AX33" s="110">
        <v>0</v>
      </c>
      <c r="AY33" s="110">
        <v>0</v>
      </c>
      <c r="AZ33" s="110">
        <v>0</v>
      </c>
      <c r="BA33" s="110">
        <v>0</v>
      </c>
    </row>
    <row r="34" spans="1:53" s="102" customFormat="1" outlineLevel="2">
      <c r="A34" s="102" t="s">
        <v>218</v>
      </c>
      <c r="B34" s="103" t="s">
        <v>219</v>
      </c>
      <c r="C34" s="104" t="s">
        <v>220</v>
      </c>
      <c r="D34" s="298"/>
      <c r="E34" s="299"/>
      <c r="F34" s="105">
        <v>0</v>
      </c>
      <c r="G34" s="105">
        <v>19759.84</v>
      </c>
      <c r="H34" s="106">
        <f t="shared" si="4"/>
        <v>-19759.84</v>
      </c>
      <c r="I34" s="300" t="str">
        <f t="shared" si="5"/>
        <v>N.M.</v>
      </c>
      <c r="J34" s="107"/>
      <c r="K34" s="105">
        <v>0</v>
      </c>
      <c r="L34" s="105">
        <v>79587.23</v>
      </c>
      <c r="M34" s="106"/>
      <c r="N34" s="300"/>
      <c r="O34" s="301"/>
      <c r="P34" s="107"/>
      <c r="Q34" s="105">
        <v>0</v>
      </c>
      <c r="R34" s="105">
        <v>79587.23</v>
      </c>
      <c r="S34" s="106"/>
      <c r="T34" s="300"/>
      <c r="U34" s="107"/>
      <c r="V34" s="105">
        <v>60613.1</v>
      </c>
      <c r="W34" s="105">
        <v>206761.22999999998</v>
      </c>
      <c r="X34" s="106">
        <f t="shared" si="6"/>
        <v>-146148.12999999998</v>
      </c>
      <c r="Y34" s="300">
        <f t="shared" si="7"/>
        <v>-0.70684494380305241</v>
      </c>
      <c r="Z34" s="302"/>
      <c r="AA34" s="108">
        <v>-13746.630000000001</v>
      </c>
      <c r="AB34" s="109"/>
      <c r="AC34" s="110">
        <v>32996.19</v>
      </c>
      <c r="AD34" s="110">
        <v>26831.200000000001</v>
      </c>
      <c r="AE34" s="110">
        <v>19759.84</v>
      </c>
      <c r="AF34" s="110">
        <v>34587.870000000003</v>
      </c>
      <c r="AG34" s="110">
        <v>25193.670000000002</v>
      </c>
      <c r="AH34" s="110">
        <v>831.56000000000006</v>
      </c>
      <c r="AI34" s="110">
        <v>0</v>
      </c>
      <c r="AJ34" s="110">
        <v>0</v>
      </c>
      <c r="AK34" s="110">
        <v>0</v>
      </c>
      <c r="AL34" s="110">
        <v>0</v>
      </c>
      <c r="AM34" s="110">
        <v>0</v>
      </c>
      <c r="AN34" s="110">
        <v>0</v>
      </c>
      <c r="AO34" s="109"/>
      <c r="AP34" s="110">
        <v>0</v>
      </c>
      <c r="AQ34" s="110">
        <v>0</v>
      </c>
      <c r="AR34" s="110">
        <v>0</v>
      </c>
      <c r="AS34" s="110">
        <v>0</v>
      </c>
      <c r="AT34" s="110">
        <v>0</v>
      </c>
      <c r="AU34" s="110">
        <v>0</v>
      </c>
      <c r="AV34" s="110">
        <v>0</v>
      </c>
      <c r="AW34" s="110">
        <v>0</v>
      </c>
      <c r="AX34" s="110">
        <v>0</v>
      </c>
      <c r="AY34" s="110">
        <v>0</v>
      </c>
      <c r="AZ34" s="110">
        <v>0</v>
      </c>
      <c r="BA34" s="110">
        <v>0</v>
      </c>
    </row>
    <row r="35" spans="1:53" s="102" customFormat="1" outlineLevel="2">
      <c r="A35" s="102" t="s">
        <v>221</v>
      </c>
      <c r="B35" s="103" t="s">
        <v>222</v>
      </c>
      <c r="C35" s="104" t="s">
        <v>223</v>
      </c>
      <c r="D35" s="298"/>
      <c r="E35" s="299"/>
      <c r="F35" s="105">
        <v>60509.35</v>
      </c>
      <c r="G35" s="105">
        <v>-25314.940000000002</v>
      </c>
      <c r="H35" s="106">
        <f t="shared" si="4"/>
        <v>85824.290000000008</v>
      </c>
      <c r="I35" s="300">
        <f t="shared" si="5"/>
        <v>3.3902624300116848</v>
      </c>
      <c r="J35" s="107"/>
      <c r="K35" s="105">
        <v>-32592.920000000002</v>
      </c>
      <c r="L35" s="105">
        <v>-356212</v>
      </c>
      <c r="M35" s="106"/>
      <c r="N35" s="300"/>
      <c r="O35" s="301"/>
      <c r="P35" s="107"/>
      <c r="Q35" s="105">
        <v>-32592.920000000002</v>
      </c>
      <c r="R35" s="105">
        <v>-356212</v>
      </c>
      <c r="S35" s="106"/>
      <c r="T35" s="300"/>
      <c r="U35" s="107"/>
      <c r="V35" s="105">
        <v>9109112.2799999993</v>
      </c>
      <c r="W35" s="105">
        <v>3834700.05</v>
      </c>
      <c r="X35" s="106">
        <f t="shared" si="6"/>
        <v>5274412.2299999995</v>
      </c>
      <c r="Y35" s="300">
        <f t="shared" si="7"/>
        <v>1.3754432318637282</v>
      </c>
      <c r="Z35" s="302"/>
      <c r="AA35" s="108">
        <v>62182.71</v>
      </c>
      <c r="AB35" s="109"/>
      <c r="AC35" s="110">
        <v>-290385.72000000003</v>
      </c>
      <c r="AD35" s="110">
        <v>-40511.340000000004</v>
      </c>
      <c r="AE35" s="110">
        <v>-25314.940000000002</v>
      </c>
      <c r="AF35" s="110">
        <v>897480.61</v>
      </c>
      <c r="AG35" s="110">
        <v>552248.4</v>
      </c>
      <c r="AH35" s="110">
        <v>3059947.5</v>
      </c>
      <c r="AI35" s="110">
        <v>1937327.49</v>
      </c>
      <c r="AJ35" s="110">
        <v>2916868.7199999997</v>
      </c>
      <c r="AK35" s="110">
        <v>-59323.57</v>
      </c>
      <c r="AL35" s="110">
        <v>-40036.160000000003</v>
      </c>
      <c r="AM35" s="110">
        <v>-2364.33</v>
      </c>
      <c r="AN35" s="110">
        <v>-120443.46</v>
      </c>
      <c r="AO35" s="109"/>
      <c r="AP35" s="110">
        <v>-112059.13</v>
      </c>
      <c r="AQ35" s="110">
        <v>18956.86</v>
      </c>
      <c r="AR35" s="110">
        <v>60509.35</v>
      </c>
      <c r="AS35" s="110">
        <v>-59690.64</v>
      </c>
      <c r="AT35" s="110">
        <v>0</v>
      </c>
      <c r="AU35" s="110">
        <v>0</v>
      </c>
      <c r="AV35" s="110">
        <v>0</v>
      </c>
      <c r="AW35" s="110">
        <v>0</v>
      </c>
      <c r="AX35" s="110">
        <v>0</v>
      </c>
      <c r="AY35" s="110">
        <v>0</v>
      </c>
      <c r="AZ35" s="110">
        <v>0</v>
      </c>
      <c r="BA35" s="110">
        <v>0</v>
      </c>
    </row>
    <row r="36" spans="1:53" s="102" customFormat="1" outlineLevel="2">
      <c r="A36" s="102" t="s">
        <v>224</v>
      </c>
      <c r="B36" s="103" t="s">
        <v>225</v>
      </c>
      <c r="C36" s="104" t="s">
        <v>226</v>
      </c>
      <c r="D36" s="298"/>
      <c r="E36" s="299"/>
      <c r="F36" s="105">
        <v>-723.75</v>
      </c>
      <c r="G36" s="105">
        <v>-544.19000000000005</v>
      </c>
      <c r="H36" s="106">
        <f t="shared" si="4"/>
        <v>-179.55999999999995</v>
      </c>
      <c r="I36" s="300">
        <f t="shared" si="5"/>
        <v>-0.32995828662783205</v>
      </c>
      <c r="J36" s="107"/>
      <c r="K36" s="105">
        <v>155090.88</v>
      </c>
      <c r="L36" s="105">
        <v>-10092.92</v>
      </c>
      <c r="M36" s="106"/>
      <c r="N36" s="300"/>
      <c r="O36" s="301"/>
      <c r="P36" s="107"/>
      <c r="Q36" s="105">
        <v>155090.88</v>
      </c>
      <c r="R36" s="105">
        <v>-10092.92</v>
      </c>
      <c r="S36" s="106"/>
      <c r="T36" s="300"/>
      <c r="U36" s="107"/>
      <c r="V36" s="105">
        <v>84645.36</v>
      </c>
      <c r="W36" s="105">
        <v>-93054.26</v>
      </c>
      <c r="X36" s="106">
        <f t="shared" si="6"/>
        <v>177699.62</v>
      </c>
      <c r="Y36" s="300">
        <f t="shared" si="7"/>
        <v>1.9096344433881909</v>
      </c>
      <c r="Z36" s="302"/>
      <c r="AA36" s="108">
        <v>-1017.36</v>
      </c>
      <c r="AB36" s="109"/>
      <c r="AC36" s="110">
        <v>-4557.96</v>
      </c>
      <c r="AD36" s="110">
        <v>-4990.7700000000004</v>
      </c>
      <c r="AE36" s="110">
        <v>-544.19000000000005</v>
      </c>
      <c r="AF36" s="110">
        <v>-4476.3100000000004</v>
      </c>
      <c r="AG36" s="110">
        <v>-3097.63</v>
      </c>
      <c r="AH36" s="110">
        <v>-9772.64</v>
      </c>
      <c r="AI36" s="110">
        <v>-24005.89</v>
      </c>
      <c r="AJ36" s="110">
        <v>-19992.420000000002</v>
      </c>
      <c r="AK36" s="110">
        <v>-3390.05</v>
      </c>
      <c r="AL36" s="110">
        <v>-595.97</v>
      </c>
      <c r="AM36" s="110">
        <v>-745.81000000000006</v>
      </c>
      <c r="AN36" s="110">
        <v>-4368.8</v>
      </c>
      <c r="AO36" s="109"/>
      <c r="AP36" s="110">
        <v>165114.98000000001</v>
      </c>
      <c r="AQ36" s="110">
        <v>-9300.35</v>
      </c>
      <c r="AR36" s="110">
        <v>-723.75</v>
      </c>
      <c r="AS36" s="110">
        <v>1013.2900000000001</v>
      </c>
      <c r="AT36" s="110">
        <v>0</v>
      </c>
      <c r="AU36" s="110">
        <v>0</v>
      </c>
      <c r="AV36" s="110">
        <v>0</v>
      </c>
      <c r="AW36" s="110">
        <v>0</v>
      </c>
      <c r="AX36" s="110">
        <v>0</v>
      </c>
      <c r="AY36" s="110">
        <v>0</v>
      </c>
      <c r="AZ36" s="110">
        <v>0</v>
      </c>
      <c r="BA36" s="110">
        <v>0</v>
      </c>
    </row>
    <row r="37" spans="1:53" s="102" customFormat="1" outlineLevel="2">
      <c r="A37" s="102" t="s">
        <v>227</v>
      </c>
      <c r="B37" s="103" t="s">
        <v>228</v>
      </c>
      <c r="C37" s="104" t="s">
        <v>229</v>
      </c>
      <c r="D37" s="298"/>
      <c r="E37" s="299"/>
      <c r="F37" s="105">
        <v>0</v>
      </c>
      <c r="G37" s="105">
        <v>468435.35000000003</v>
      </c>
      <c r="H37" s="106">
        <f t="shared" si="4"/>
        <v>-468435.35000000003</v>
      </c>
      <c r="I37" s="300" t="str">
        <f t="shared" si="5"/>
        <v>N.M.</v>
      </c>
      <c r="J37" s="107"/>
      <c r="K37" s="105">
        <v>-113758.07</v>
      </c>
      <c r="L37" s="105">
        <v>1390195.37</v>
      </c>
      <c r="M37" s="106"/>
      <c r="N37" s="300"/>
      <c r="O37" s="301"/>
      <c r="P37" s="107"/>
      <c r="Q37" s="105">
        <v>-113758.07</v>
      </c>
      <c r="R37" s="105">
        <v>1390195.37</v>
      </c>
      <c r="S37" s="106"/>
      <c r="T37" s="300"/>
      <c r="U37" s="107"/>
      <c r="V37" s="105">
        <v>1822328.0399999998</v>
      </c>
      <c r="W37" s="105">
        <v>4986739.57</v>
      </c>
      <c r="X37" s="106">
        <f t="shared" si="6"/>
        <v>-3164411.5300000003</v>
      </c>
      <c r="Y37" s="300">
        <f t="shared" si="7"/>
        <v>-0.63456522755608835</v>
      </c>
      <c r="Z37" s="302"/>
      <c r="AA37" s="108">
        <v>438214.48</v>
      </c>
      <c r="AB37" s="109"/>
      <c r="AC37" s="110">
        <v>498657.16000000003</v>
      </c>
      <c r="AD37" s="110">
        <v>423102.86</v>
      </c>
      <c r="AE37" s="110">
        <v>468435.35000000003</v>
      </c>
      <c r="AF37" s="110">
        <v>453327.64</v>
      </c>
      <c r="AG37" s="110">
        <v>468421.88</v>
      </c>
      <c r="AH37" s="110">
        <v>142196.72</v>
      </c>
      <c r="AI37" s="110">
        <v>146936.59</v>
      </c>
      <c r="AJ37" s="110">
        <v>146936.59</v>
      </c>
      <c r="AK37" s="110">
        <v>142196.70000000001</v>
      </c>
      <c r="AL37" s="110">
        <v>146936.59</v>
      </c>
      <c r="AM37" s="110">
        <v>142196.70000000001</v>
      </c>
      <c r="AN37" s="110">
        <v>146936.70000000001</v>
      </c>
      <c r="AO37" s="109"/>
      <c r="AP37" s="110">
        <v>-113758.07</v>
      </c>
      <c r="AQ37" s="110">
        <v>0</v>
      </c>
      <c r="AR37" s="110">
        <v>0</v>
      </c>
      <c r="AS37" s="110">
        <v>0</v>
      </c>
      <c r="AT37" s="110">
        <v>0</v>
      </c>
      <c r="AU37" s="110">
        <v>0</v>
      </c>
      <c r="AV37" s="110">
        <v>0</v>
      </c>
      <c r="AW37" s="110">
        <v>0</v>
      </c>
      <c r="AX37" s="110">
        <v>0</v>
      </c>
      <c r="AY37" s="110">
        <v>0</v>
      </c>
      <c r="AZ37" s="110">
        <v>0</v>
      </c>
      <c r="BA37" s="110">
        <v>0</v>
      </c>
    </row>
    <row r="38" spans="1:53" s="102" customFormat="1" outlineLevel="2">
      <c r="A38" s="102" t="s">
        <v>230</v>
      </c>
      <c r="B38" s="103" t="s">
        <v>231</v>
      </c>
      <c r="C38" s="104" t="s">
        <v>232</v>
      </c>
      <c r="D38" s="298"/>
      <c r="E38" s="299"/>
      <c r="F38" s="105">
        <v>6285.88</v>
      </c>
      <c r="G38" s="105">
        <v>10252.210000000001</v>
      </c>
      <c r="H38" s="106">
        <f t="shared" si="4"/>
        <v>-3966.3300000000008</v>
      </c>
      <c r="I38" s="300">
        <f t="shared" si="5"/>
        <v>-0.38687561023428124</v>
      </c>
      <c r="J38" s="107"/>
      <c r="K38" s="105">
        <v>5749.66</v>
      </c>
      <c r="L38" s="105">
        <v>180562.44</v>
      </c>
      <c r="M38" s="106"/>
      <c r="N38" s="300"/>
      <c r="O38" s="301"/>
      <c r="P38" s="107"/>
      <c r="Q38" s="105">
        <v>5749.66</v>
      </c>
      <c r="R38" s="105">
        <v>180562.44</v>
      </c>
      <c r="S38" s="106"/>
      <c r="T38" s="300"/>
      <c r="U38" s="107"/>
      <c r="V38" s="105">
        <v>416595.91</v>
      </c>
      <c r="W38" s="105">
        <v>404506.81</v>
      </c>
      <c r="X38" s="106">
        <f t="shared" si="6"/>
        <v>12089.099999999977</v>
      </c>
      <c r="Y38" s="300">
        <f t="shared" si="7"/>
        <v>2.988602342689849E-2</v>
      </c>
      <c r="Z38" s="302"/>
      <c r="AA38" s="108">
        <v>8510.380000000001</v>
      </c>
      <c r="AB38" s="109"/>
      <c r="AC38" s="110">
        <v>153667.55000000002</v>
      </c>
      <c r="AD38" s="110">
        <v>16642.68</v>
      </c>
      <c r="AE38" s="110">
        <v>10252.210000000001</v>
      </c>
      <c r="AF38" s="110">
        <v>36124.97</v>
      </c>
      <c r="AG38" s="110">
        <v>47768.99</v>
      </c>
      <c r="AH38" s="110">
        <v>74894.53</v>
      </c>
      <c r="AI38" s="110">
        <v>76428.2</v>
      </c>
      <c r="AJ38" s="110">
        <v>112702.27</v>
      </c>
      <c r="AK38" s="110">
        <v>5219.12</v>
      </c>
      <c r="AL38" s="110">
        <v>6165.17</v>
      </c>
      <c r="AM38" s="110">
        <v>12888.62</v>
      </c>
      <c r="AN38" s="110">
        <v>38654.379999999997</v>
      </c>
      <c r="AO38" s="109"/>
      <c r="AP38" s="110">
        <v>-9156.56</v>
      </c>
      <c r="AQ38" s="110">
        <v>8620.34</v>
      </c>
      <c r="AR38" s="110">
        <v>6285.88</v>
      </c>
      <c r="AS38" s="110">
        <v>-5813.62</v>
      </c>
      <c r="AT38" s="110">
        <v>0</v>
      </c>
      <c r="AU38" s="110">
        <v>0</v>
      </c>
      <c r="AV38" s="110">
        <v>0</v>
      </c>
      <c r="AW38" s="110">
        <v>0</v>
      </c>
      <c r="AX38" s="110">
        <v>0</v>
      </c>
      <c r="AY38" s="110">
        <v>0</v>
      </c>
      <c r="AZ38" s="110">
        <v>0</v>
      </c>
      <c r="BA38" s="110">
        <v>0</v>
      </c>
    </row>
    <row r="39" spans="1:53" s="102" customFormat="1" outlineLevel="2">
      <c r="A39" s="102" t="s">
        <v>233</v>
      </c>
      <c r="B39" s="103" t="s">
        <v>234</v>
      </c>
      <c r="C39" s="104" t="s">
        <v>235</v>
      </c>
      <c r="D39" s="298"/>
      <c r="E39" s="299"/>
      <c r="F39" s="105">
        <v>871255.46</v>
      </c>
      <c r="G39" s="105">
        <v>539648.38</v>
      </c>
      <c r="H39" s="106">
        <f t="shared" si="4"/>
        <v>331607.07999999996</v>
      </c>
      <c r="I39" s="300">
        <f t="shared" si="5"/>
        <v>0.61448730745749658</v>
      </c>
      <c r="J39" s="107"/>
      <c r="K39" s="105">
        <v>2510188.31</v>
      </c>
      <c r="L39" s="105">
        <v>7320967.25</v>
      </c>
      <c r="M39" s="106"/>
      <c r="N39" s="300"/>
      <c r="O39" s="301"/>
      <c r="P39" s="107"/>
      <c r="Q39" s="105">
        <v>2510188.31</v>
      </c>
      <c r="R39" s="105">
        <v>7320967.25</v>
      </c>
      <c r="S39" s="106"/>
      <c r="T39" s="300"/>
      <c r="U39" s="107"/>
      <c r="V39" s="105">
        <v>32645043.91</v>
      </c>
      <c r="W39" s="105">
        <v>29505275.18</v>
      </c>
      <c r="X39" s="106">
        <f t="shared" si="6"/>
        <v>3139768.7300000004</v>
      </c>
      <c r="Y39" s="300">
        <f t="shared" si="7"/>
        <v>0.10641380942375608</v>
      </c>
      <c r="Z39" s="302"/>
      <c r="AA39" s="108">
        <v>1163398.8500000001</v>
      </c>
      <c r="AB39" s="109"/>
      <c r="AC39" s="110">
        <v>5666089.3700000001</v>
      </c>
      <c r="AD39" s="110">
        <v>1115229.5</v>
      </c>
      <c r="AE39" s="110">
        <v>539648.38</v>
      </c>
      <c r="AF39" s="110">
        <v>3992643.31</v>
      </c>
      <c r="AG39" s="110">
        <v>3398429.63</v>
      </c>
      <c r="AH39" s="110">
        <v>3841487.4</v>
      </c>
      <c r="AI39" s="110">
        <v>8120116.8200000003</v>
      </c>
      <c r="AJ39" s="110">
        <v>6991458.8300000001</v>
      </c>
      <c r="AK39" s="110">
        <v>590457.26</v>
      </c>
      <c r="AL39" s="110">
        <v>488009.82</v>
      </c>
      <c r="AM39" s="110">
        <v>850332.9</v>
      </c>
      <c r="AN39" s="110">
        <v>1861919.63</v>
      </c>
      <c r="AO39" s="109"/>
      <c r="AP39" s="110">
        <v>1328902.3900000001</v>
      </c>
      <c r="AQ39" s="110">
        <v>310030.46000000002</v>
      </c>
      <c r="AR39" s="110">
        <v>871255.46</v>
      </c>
      <c r="AS39" s="110">
        <v>-872074.16</v>
      </c>
      <c r="AT39" s="110">
        <v>0</v>
      </c>
      <c r="AU39" s="110">
        <v>0</v>
      </c>
      <c r="AV39" s="110">
        <v>0</v>
      </c>
      <c r="AW39" s="110">
        <v>0</v>
      </c>
      <c r="AX39" s="110">
        <v>0</v>
      </c>
      <c r="AY39" s="110">
        <v>0</v>
      </c>
      <c r="AZ39" s="110">
        <v>0</v>
      </c>
      <c r="BA39" s="110">
        <v>0</v>
      </c>
    </row>
    <row r="40" spans="1:53" s="102" customFormat="1" outlineLevel="2">
      <c r="A40" s="102" t="s">
        <v>236</v>
      </c>
      <c r="B40" s="103" t="s">
        <v>237</v>
      </c>
      <c r="C40" s="104" t="s">
        <v>238</v>
      </c>
      <c r="D40" s="298"/>
      <c r="E40" s="299"/>
      <c r="F40" s="105">
        <v>0</v>
      </c>
      <c r="G40" s="105">
        <v>0</v>
      </c>
      <c r="H40" s="106">
        <f t="shared" si="4"/>
        <v>0</v>
      </c>
      <c r="I40" s="300">
        <f t="shared" si="5"/>
        <v>0</v>
      </c>
      <c r="J40" s="107"/>
      <c r="K40" s="105">
        <v>0</v>
      </c>
      <c r="L40" s="105">
        <v>-0.01</v>
      </c>
      <c r="M40" s="106"/>
      <c r="N40" s="300"/>
      <c r="O40" s="301"/>
      <c r="P40" s="107"/>
      <c r="Q40" s="105">
        <v>0</v>
      </c>
      <c r="R40" s="105">
        <v>-0.01</v>
      </c>
      <c r="S40" s="106"/>
      <c r="T40" s="300"/>
      <c r="U40" s="107"/>
      <c r="V40" s="105">
        <v>-4.9800000000000004</v>
      </c>
      <c r="W40" s="105">
        <v>4.9999999999999996E-2</v>
      </c>
      <c r="X40" s="106">
        <f t="shared" si="6"/>
        <v>-5.03</v>
      </c>
      <c r="Y40" s="300" t="str">
        <f t="shared" si="7"/>
        <v>N.M.</v>
      </c>
      <c r="Z40" s="302"/>
      <c r="AA40" s="108">
        <v>0.01</v>
      </c>
      <c r="AB40" s="109"/>
      <c r="AC40" s="110">
        <v>0</v>
      </c>
      <c r="AD40" s="110">
        <v>-0.01</v>
      </c>
      <c r="AE40" s="110">
        <v>0</v>
      </c>
      <c r="AF40" s="110">
        <v>-0.01</v>
      </c>
      <c r="AG40" s="110">
        <v>-0.02</v>
      </c>
      <c r="AH40" s="110">
        <v>-0.01</v>
      </c>
      <c r="AI40" s="110">
        <v>0</v>
      </c>
      <c r="AJ40" s="110">
        <v>-0.63</v>
      </c>
      <c r="AK40" s="110">
        <v>0.62</v>
      </c>
      <c r="AL40" s="110">
        <v>0.01</v>
      </c>
      <c r="AM40" s="110">
        <v>-4.9400000000000004</v>
      </c>
      <c r="AN40" s="110">
        <v>0</v>
      </c>
      <c r="AO40" s="109"/>
      <c r="AP40" s="110">
        <v>0</v>
      </c>
      <c r="AQ40" s="110">
        <v>0</v>
      </c>
      <c r="AR40" s="110">
        <v>0</v>
      </c>
      <c r="AS40" s="110">
        <v>0</v>
      </c>
      <c r="AT40" s="110">
        <v>0</v>
      </c>
      <c r="AU40" s="110">
        <v>0</v>
      </c>
      <c r="AV40" s="110">
        <v>0</v>
      </c>
      <c r="AW40" s="110">
        <v>0</v>
      </c>
      <c r="AX40" s="110">
        <v>0</v>
      </c>
      <c r="AY40" s="110">
        <v>0</v>
      </c>
      <c r="AZ40" s="110">
        <v>0</v>
      </c>
      <c r="BA40" s="110">
        <v>0</v>
      </c>
    </row>
    <row r="41" spans="1:53" s="102" customFormat="1" outlineLevel="2">
      <c r="A41" s="102" t="s">
        <v>239</v>
      </c>
      <c r="B41" s="103" t="s">
        <v>240</v>
      </c>
      <c r="C41" s="104" t="s">
        <v>241</v>
      </c>
      <c r="D41" s="298"/>
      <c r="E41" s="299"/>
      <c r="F41" s="105">
        <v>-247.42000000000002</v>
      </c>
      <c r="G41" s="105">
        <v>9939.77</v>
      </c>
      <c r="H41" s="106">
        <f t="shared" si="4"/>
        <v>-10187.19</v>
      </c>
      <c r="I41" s="300">
        <f t="shared" si="5"/>
        <v>-1.024891924058605</v>
      </c>
      <c r="J41" s="107"/>
      <c r="K41" s="105">
        <v>-2646.37</v>
      </c>
      <c r="L41" s="105">
        <v>24055.040000000001</v>
      </c>
      <c r="M41" s="106"/>
      <c r="N41" s="300"/>
      <c r="O41" s="301"/>
      <c r="P41" s="107"/>
      <c r="Q41" s="105">
        <v>-2646.37</v>
      </c>
      <c r="R41" s="105">
        <v>24055.040000000001</v>
      </c>
      <c r="S41" s="106"/>
      <c r="T41" s="300"/>
      <c r="U41" s="107"/>
      <c r="V41" s="105">
        <v>18547.800000000003</v>
      </c>
      <c r="W41" s="105">
        <v>32052.95</v>
      </c>
      <c r="X41" s="106">
        <f t="shared" si="6"/>
        <v>-13505.149999999998</v>
      </c>
      <c r="Y41" s="300">
        <f t="shared" si="7"/>
        <v>-0.42133875353126615</v>
      </c>
      <c r="Z41" s="302"/>
      <c r="AA41" s="108">
        <v>488.64</v>
      </c>
      <c r="AB41" s="109"/>
      <c r="AC41" s="110">
        <v>5135.92</v>
      </c>
      <c r="AD41" s="110">
        <v>8979.35</v>
      </c>
      <c r="AE41" s="110">
        <v>9939.77</v>
      </c>
      <c r="AF41" s="110">
        <v>803.4</v>
      </c>
      <c r="AG41" s="110">
        <v>4035.7400000000002</v>
      </c>
      <c r="AH41" s="110">
        <v>4682.22</v>
      </c>
      <c r="AI41" s="110">
        <v>7742.63</v>
      </c>
      <c r="AJ41" s="110">
        <v>271.8</v>
      </c>
      <c r="AK41" s="110">
        <v>4042.4500000000003</v>
      </c>
      <c r="AL41" s="110">
        <v>-2835.17</v>
      </c>
      <c r="AM41" s="110">
        <v>433.52</v>
      </c>
      <c r="AN41" s="110">
        <v>2017.5800000000002</v>
      </c>
      <c r="AO41" s="109"/>
      <c r="AP41" s="110">
        <v>3817.78</v>
      </c>
      <c r="AQ41" s="110">
        <v>-6216.7300000000005</v>
      </c>
      <c r="AR41" s="110">
        <v>-247.42000000000002</v>
      </c>
      <c r="AS41" s="110">
        <v>0</v>
      </c>
      <c r="AT41" s="110">
        <v>0</v>
      </c>
      <c r="AU41" s="110">
        <v>0</v>
      </c>
      <c r="AV41" s="110">
        <v>0</v>
      </c>
      <c r="AW41" s="110">
        <v>0</v>
      </c>
      <c r="AX41" s="110">
        <v>0</v>
      </c>
      <c r="AY41" s="110">
        <v>0</v>
      </c>
      <c r="AZ41" s="110">
        <v>0</v>
      </c>
      <c r="BA41" s="110">
        <v>0</v>
      </c>
    </row>
    <row r="42" spans="1:53" s="102" customFormat="1" outlineLevel="2">
      <c r="A42" s="102" t="s">
        <v>242</v>
      </c>
      <c r="B42" s="103" t="s">
        <v>243</v>
      </c>
      <c r="C42" s="104" t="s">
        <v>244</v>
      </c>
      <c r="D42" s="298"/>
      <c r="E42" s="299"/>
      <c r="F42" s="105">
        <v>-5944.1500000000005</v>
      </c>
      <c r="G42" s="105">
        <v>192637.05000000002</v>
      </c>
      <c r="H42" s="106">
        <f t="shared" si="4"/>
        <v>-198581.2</v>
      </c>
      <c r="I42" s="300">
        <f t="shared" si="5"/>
        <v>-1.030856732907818</v>
      </c>
      <c r="J42" s="107"/>
      <c r="K42" s="105">
        <v>-45141.07</v>
      </c>
      <c r="L42" s="105">
        <v>333912.87</v>
      </c>
      <c r="M42" s="106"/>
      <c r="N42" s="300"/>
      <c r="O42" s="301"/>
      <c r="P42" s="107"/>
      <c r="Q42" s="105">
        <v>-45141.07</v>
      </c>
      <c r="R42" s="105">
        <v>333912.87</v>
      </c>
      <c r="S42" s="106"/>
      <c r="T42" s="300"/>
      <c r="U42" s="107"/>
      <c r="V42" s="105">
        <v>280916.09999999998</v>
      </c>
      <c r="W42" s="105">
        <v>433097.48</v>
      </c>
      <c r="X42" s="106">
        <f t="shared" si="6"/>
        <v>-152181.38</v>
      </c>
      <c r="Y42" s="300">
        <f t="shared" si="7"/>
        <v>-0.35137904750681076</v>
      </c>
      <c r="Z42" s="302"/>
      <c r="AA42" s="108">
        <v>17731.170000000002</v>
      </c>
      <c r="AB42" s="109"/>
      <c r="AC42" s="110">
        <v>70151.98</v>
      </c>
      <c r="AD42" s="110">
        <v>71123.839999999997</v>
      </c>
      <c r="AE42" s="110">
        <v>192637.05000000002</v>
      </c>
      <c r="AF42" s="110">
        <v>31113.41</v>
      </c>
      <c r="AG42" s="110">
        <v>24445.15</v>
      </c>
      <c r="AH42" s="110">
        <v>54036.22</v>
      </c>
      <c r="AI42" s="110">
        <v>98589.260000000009</v>
      </c>
      <c r="AJ42" s="110">
        <v>2746.89</v>
      </c>
      <c r="AK42" s="110">
        <v>213092.64</v>
      </c>
      <c r="AL42" s="110">
        <v>-173793.42</v>
      </c>
      <c r="AM42" s="110">
        <v>21345.89</v>
      </c>
      <c r="AN42" s="110">
        <v>54481.130000000005</v>
      </c>
      <c r="AO42" s="109"/>
      <c r="AP42" s="110">
        <v>75239.22</v>
      </c>
      <c r="AQ42" s="110">
        <v>-114436.14</v>
      </c>
      <c r="AR42" s="110">
        <v>-5944.1500000000005</v>
      </c>
      <c r="AS42" s="110">
        <v>0</v>
      </c>
      <c r="AT42" s="110">
        <v>0</v>
      </c>
      <c r="AU42" s="110">
        <v>0</v>
      </c>
      <c r="AV42" s="110">
        <v>0</v>
      </c>
      <c r="AW42" s="110">
        <v>0</v>
      </c>
      <c r="AX42" s="110">
        <v>0</v>
      </c>
      <c r="AY42" s="110">
        <v>0</v>
      </c>
      <c r="AZ42" s="110">
        <v>0</v>
      </c>
      <c r="BA42" s="110">
        <v>0</v>
      </c>
    </row>
    <row r="43" spans="1:53" s="102" customFormat="1" outlineLevel="2">
      <c r="A43" s="102" t="s">
        <v>245</v>
      </c>
      <c r="B43" s="103" t="s">
        <v>246</v>
      </c>
      <c r="C43" s="104" t="s">
        <v>247</v>
      </c>
      <c r="D43" s="298"/>
      <c r="E43" s="299"/>
      <c r="F43" s="105">
        <v>-9570.44</v>
      </c>
      <c r="G43" s="105">
        <v>-1334.43</v>
      </c>
      <c r="H43" s="106">
        <f t="shared" si="4"/>
        <v>-8236.01</v>
      </c>
      <c r="I43" s="300">
        <f t="shared" si="5"/>
        <v>-6.1719310866812043</v>
      </c>
      <c r="J43" s="107"/>
      <c r="K43" s="105">
        <v>76421.94</v>
      </c>
      <c r="L43" s="105">
        <v>-195418.45</v>
      </c>
      <c r="M43" s="106"/>
      <c r="N43" s="300"/>
      <c r="O43" s="301"/>
      <c r="P43" s="107"/>
      <c r="Q43" s="105">
        <v>76421.94</v>
      </c>
      <c r="R43" s="105">
        <v>-195418.45</v>
      </c>
      <c r="S43" s="106"/>
      <c r="T43" s="300"/>
      <c r="U43" s="107"/>
      <c r="V43" s="105">
        <v>-230281.05</v>
      </c>
      <c r="W43" s="105">
        <v>-438664.9</v>
      </c>
      <c r="X43" s="106">
        <f t="shared" si="6"/>
        <v>208383.85000000003</v>
      </c>
      <c r="Y43" s="300">
        <f t="shared" si="7"/>
        <v>0.47504108489190727</v>
      </c>
      <c r="Z43" s="302"/>
      <c r="AA43" s="108">
        <v>2867.81</v>
      </c>
      <c r="AB43" s="109"/>
      <c r="AC43" s="110">
        <v>-173414.14</v>
      </c>
      <c r="AD43" s="110">
        <v>-20669.88</v>
      </c>
      <c r="AE43" s="110">
        <v>-1334.43</v>
      </c>
      <c r="AF43" s="110">
        <v>71995.67</v>
      </c>
      <c r="AG43" s="110">
        <v>-11966.28</v>
      </c>
      <c r="AH43" s="110">
        <v>193207.36000000002</v>
      </c>
      <c r="AI43" s="110">
        <v>-126322.42</v>
      </c>
      <c r="AJ43" s="110">
        <v>-313600.86</v>
      </c>
      <c r="AK43" s="110">
        <v>-2334.6</v>
      </c>
      <c r="AL43" s="110">
        <v>-4925.75</v>
      </c>
      <c r="AM43" s="110">
        <v>-3787.42</v>
      </c>
      <c r="AN43" s="110">
        <v>-108968.69</v>
      </c>
      <c r="AO43" s="109"/>
      <c r="AP43" s="110">
        <v>82815.540000000008</v>
      </c>
      <c r="AQ43" s="110">
        <v>3176.84</v>
      </c>
      <c r="AR43" s="110">
        <v>-9570.44</v>
      </c>
      <c r="AS43" s="110">
        <v>17140.189999999999</v>
      </c>
      <c r="AT43" s="110">
        <v>0</v>
      </c>
      <c r="AU43" s="110">
        <v>0</v>
      </c>
      <c r="AV43" s="110">
        <v>0</v>
      </c>
      <c r="AW43" s="110">
        <v>0</v>
      </c>
      <c r="AX43" s="110">
        <v>0</v>
      </c>
      <c r="AY43" s="110">
        <v>0</v>
      </c>
      <c r="AZ43" s="110">
        <v>0</v>
      </c>
      <c r="BA43" s="110">
        <v>0</v>
      </c>
    </row>
    <row r="44" spans="1:53" s="102" customFormat="1" outlineLevel="2">
      <c r="A44" s="102" t="s">
        <v>248</v>
      </c>
      <c r="B44" s="103" t="s">
        <v>249</v>
      </c>
      <c r="C44" s="104" t="s">
        <v>250</v>
      </c>
      <c r="D44" s="298"/>
      <c r="E44" s="299"/>
      <c r="F44" s="105">
        <v>0</v>
      </c>
      <c r="G44" s="105">
        <v>0</v>
      </c>
      <c r="H44" s="106">
        <f t="shared" si="4"/>
        <v>0</v>
      </c>
      <c r="I44" s="300">
        <f t="shared" si="5"/>
        <v>0</v>
      </c>
      <c r="J44" s="107"/>
      <c r="K44" s="105">
        <v>0</v>
      </c>
      <c r="L44" s="105">
        <v>0</v>
      </c>
      <c r="M44" s="106"/>
      <c r="N44" s="300"/>
      <c r="O44" s="301"/>
      <c r="P44" s="107"/>
      <c r="Q44" s="105">
        <v>0</v>
      </c>
      <c r="R44" s="105">
        <v>0</v>
      </c>
      <c r="S44" s="106"/>
      <c r="T44" s="300"/>
      <c r="U44" s="107"/>
      <c r="V44" s="105">
        <v>0</v>
      </c>
      <c r="W44" s="105">
        <v>-7.3900000000000006</v>
      </c>
      <c r="X44" s="106">
        <f t="shared" si="6"/>
        <v>7.3900000000000006</v>
      </c>
      <c r="Y44" s="300" t="str">
        <f t="shared" si="7"/>
        <v>N.M.</v>
      </c>
      <c r="Z44" s="302"/>
      <c r="AA44" s="108">
        <v>0</v>
      </c>
      <c r="AB44" s="109"/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09"/>
      <c r="AP44" s="110">
        <v>0</v>
      </c>
      <c r="AQ44" s="110">
        <v>0</v>
      </c>
      <c r="AR44" s="110">
        <v>0</v>
      </c>
      <c r="AS44" s="110">
        <v>0</v>
      </c>
      <c r="AT44" s="110">
        <v>0</v>
      </c>
      <c r="AU44" s="110">
        <v>0</v>
      </c>
      <c r="AV44" s="110">
        <v>0</v>
      </c>
      <c r="AW44" s="110">
        <v>0</v>
      </c>
      <c r="AX44" s="110">
        <v>0</v>
      </c>
      <c r="AY44" s="110">
        <v>0</v>
      </c>
      <c r="AZ44" s="110">
        <v>0</v>
      </c>
      <c r="BA44" s="110">
        <v>0</v>
      </c>
    </row>
    <row r="45" spans="1:53" s="102" customFormat="1" outlineLevel="2">
      <c r="A45" s="102" t="s">
        <v>251</v>
      </c>
      <c r="B45" s="103" t="s">
        <v>252</v>
      </c>
      <c r="C45" s="104" t="s">
        <v>253</v>
      </c>
      <c r="D45" s="298"/>
      <c r="E45" s="299"/>
      <c r="F45" s="105">
        <v>0</v>
      </c>
      <c r="G45" s="105">
        <v>0</v>
      </c>
      <c r="H45" s="106">
        <f t="shared" si="4"/>
        <v>0</v>
      </c>
      <c r="I45" s="300">
        <f t="shared" si="5"/>
        <v>0</v>
      </c>
      <c r="J45" s="107"/>
      <c r="K45" s="105">
        <v>0</v>
      </c>
      <c r="L45" s="105">
        <v>-114286.27</v>
      </c>
      <c r="M45" s="106"/>
      <c r="N45" s="300"/>
      <c r="O45" s="301"/>
      <c r="P45" s="107"/>
      <c r="Q45" s="105">
        <v>0</v>
      </c>
      <c r="R45" s="105">
        <v>-114286.27</v>
      </c>
      <c r="S45" s="106"/>
      <c r="T45" s="300"/>
      <c r="U45" s="107"/>
      <c r="V45" s="105">
        <v>0</v>
      </c>
      <c r="W45" s="105">
        <v>-1151584.8399999999</v>
      </c>
      <c r="X45" s="106">
        <f t="shared" si="6"/>
        <v>1151584.8399999999</v>
      </c>
      <c r="Y45" s="300" t="str">
        <f t="shared" si="7"/>
        <v>N.M.</v>
      </c>
      <c r="Z45" s="302"/>
      <c r="AA45" s="108">
        <v>5588.06</v>
      </c>
      <c r="AB45" s="109"/>
      <c r="AC45" s="110">
        <v>-114714.02</v>
      </c>
      <c r="AD45" s="110">
        <v>427.75</v>
      </c>
      <c r="AE45" s="110">
        <v>0</v>
      </c>
      <c r="AF45" s="110">
        <v>0</v>
      </c>
      <c r="AG45" s="110">
        <v>0</v>
      </c>
      <c r="AH45" s="110">
        <v>0</v>
      </c>
      <c r="AI45" s="110">
        <v>0</v>
      </c>
      <c r="AJ45" s="110">
        <v>0</v>
      </c>
      <c r="AK45" s="110">
        <v>0</v>
      </c>
      <c r="AL45" s="110">
        <v>0</v>
      </c>
      <c r="AM45" s="110">
        <v>0</v>
      </c>
      <c r="AN45" s="110">
        <v>0</v>
      </c>
      <c r="AO45" s="109"/>
      <c r="AP45" s="110">
        <v>0</v>
      </c>
      <c r="AQ45" s="110">
        <v>0</v>
      </c>
      <c r="AR45" s="110">
        <v>0</v>
      </c>
      <c r="AS45" s="110">
        <v>0</v>
      </c>
      <c r="AT45" s="110">
        <v>0</v>
      </c>
      <c r="AU45" s="110">
        <v>0</v>
      </c>
      <c r="AV45" s="110">
        <v>0</v>
      </c>
      <c r="AW45" s="110">
        <v>0</v>
      </c>
      <c r="AX45" s="110">
        <v>0</v>
      </c>
      <c r="AY45" s="110">
        <v>0</v>
      </c>
      <c r="AZ45" s="110">
        <v>0</v>
      </c>
      <c r="BA45" s="110">
        <v>0</v>
      </c>
    </row>
    <row r="46" spans="1:53" s="102" customFormat="1" outlineLevel="2">
      <c r="A46" s="102" t="s">
        <v>254</v>
      </c>
      <c r="B46" s="103" t="s">
        <v>255</v>
      </c>
      <c r="C46" s="104" t="s">
        <v>256</v>
      </c>
      <c r="D46" s="298"/>
      <c r="E46" s="299"/>
      <c r="F46" s="105">
        <v>3327.52</v>
      </c>
      <c r="G46" s="105">
        <v>9004.17</v>
      </c>
      <c r="H46" s="106">
        <f t="shared" si="4"/>
        <v>-5676.65</v>
      </c>
      <c r="I46" s="300">
        <f t="shared" si="5"/>
        <v>-0.63044678187995118</v>
      </c>
      <c r="J46" s="107"/>
      <c r="K46" s="105">
        <v>21939.19</v>
      </c>
      <c r="L46" s="105">
        <v>25760.190000000002</v>
      </c>
      <c r="M46" s="106"/>
      <c r="N46" s="300"/>
      <c r="O46" s="301"/>
      <c r="P46" s="107"/>
      <c r="Q46" s="105">
        <v>21939.19</v>
      </c>
      <c r="R46" s="105">
        <v>25760.190000000002</v>
      </c>
      <c r="S46" s="106"/>
      <c r="T46" s="300"/>
      <c r="U46" s="107"/>
      <c r="V46" s="105">
        <v>81301.45</v>
      </c>
      <c r="W46" s="105">
        <v>33303.300000000003</v>
      </c>
      <c r="X46" s="106">
        <f t="shared" si="6"/>
        <v>47998.149999999994</v>
      </c>
      <c r="Y46" s="300">
        <f t="shared" si="7"/>
        <v>1.4412430599970572</v>
      </c>
      <c r="Z46" s="302"/>
      <c r="AA46" s="108">
        <v>4092.85</v>
      </c>
      <c r="AB46" s="109"/>
      <c r="AC46" s="110">
        <v>-11545.64</v>
      </c>
      <c r="AD46" s="110">
        <v>28301.66</v>
      </c>
      <c r="AE46" s="110">
        <v>9004.17</v>
      </c>
      <c r="AF46" s="110">
        <v>8258.67</v>
      </c>
      <c r="AG46" s="110">
        <v>8902.380000000001</v>
      </c>
      <c r="AH46" s="110">
        <v>8218.0400000000009</v>
      </c>
      <c r="AI46" s="110">
        <v>8383.7999999999993</v>
      </c>
      <c r="AJ46" s="110">
        <v>9265.2199999999993</v>
      </c>
      <c r="AK46" s="110">
        <v>8408</v>
      </c>
      <c r="AL46" s="110">
        <v>8118.9800000000005</v>
      </c>
      <c r="AM46" s="110">
        <v>9007.0300000000007</v>
      </c>
      <c r="AN46" s="110">
        <v>-9199.86</v>
      </c>
      <c r="AO46" s="109"/>
      <c r="AP46" s="110">
        <v>-9438.6200000000008</v>
      </c>
      <c r="AQ46" s="110">
        <v>28050.29</v>
      </c>
      <c r="AR46" s="110">
        <v>3327.52</v>
      </c>
      <c r="AS46" s="110">
        <v>-4118.29</v>
      </c>
      <c r="AT46" s="110">
        <v>0</v>
      </c>
      <c r="AU46" s="110">
        <v>0</v>
      </c>
      <c r="AV46" s="110">
        <v>0</v>
      </c>
      <c r="AW46" s="110">
        <v>0</v>
      </c>
      <c r="AX46" s="110">
        <v>0</v>
      </c>
      <c r="AY46" s="110">
        <v>0</v>
      </c>
      <c r="AZ46" s="110">
        <v>0</v>
      </c>
      <c r="BA46" s="110">
        <v>0</v>
      </c>
    </row>
    <row r="47" spans="1:53" s="102" customFormat="1" outlineLevel="2">
      <c r="A47" s="102" t="s">
        <v>257</v>
      </c>
      <c r="B47" s="103" t="s">
        <v>258</v>
      </c>
      <c r="C47" s="104" t="s">
        <v>259</v>
      </c>
      <c r="D47" s="298"/>
      <c r="E47" s="299"/>
      <c r="F47" s="105">
        <v>0</v>
      </c>
      <c r="G47" s="105">
        <v>0</v>
      </c>
      <c r="H47" s="106">
        <f t="shared" si="4"/>
        <v>0</v>
      </c>
      <c r="I47" s="300">
        <f t="shared" si="5"/>
        <v>0</v>
      </c>
      <c r="J47" s="107"/>
      <c r="K47" s="105">
        <v>0</v>
      </c>
      <c r="L47" s="105">
        <v>0</v>
      </c>
      <c r="M47" s="106"/>
      <c r="N47" s="300"/>
      <c r="O47" s="301"/>
      <c r="P47" s="107"/>
      <c r="Q47" s="105">
        <v>0</v>
      </c>
      <c r="R47" s="105">
        <v>0</v>
      </c>
      <c r="S47" s="106"/>
      <c r="T47" s="300"/>
      <c r="U47" s="107"/>
      <c r="V47" s="105">
        <v>-374.39</v>
      </c>
      <c r="W47" s="105">
        <v>204.33</v>
      </c>
      <c r="X47" s="106">
        <f t="shared" si="6"/>
        <v>-578.72</v>
      </c>
      <c r="Y47" s="300">
        <f t="shared" si="7"/>
        <v>-2.8322811138844028</v>
      </c>
      <c r="Z47" s="302"/>
      <c r="AA47" s="108">
        <v>0</v>
      </c>
      <c r="AB47" s="109"/>
      <c r="AC47" s="110">
        <v>0</v>
      </c>
      <c r="AD47" s="110">
        <v>0</v>
      </c>
      <c r="AE47" s="110">
        <v>0</v>
      </c>
      <c r="AF47" s="110">
        <v>0</v>
      </c>
      <c r="AG47" s="110">
        <v>0</v>
      </c>
      <c r="AH47" s="110">
        <v>0</v>
      </c>
      <c r="AI47" s="110">
        <v>0</v>
      </c>
      <c r="AJ47" s="110">
        <v>0</v>
      </c>
      <c r="AK47" s="110">
        <v>0</v>
      </c>
      <c r="AL47" s="110">
        <v>-374.39</v>
      </c>
      <c r="AM47" s="110">
        <v>0</v>
      </c>
      <c r="AN47" s="110">
        <v>0</v>
      </c>
      <c r="AO47" s="109"/>
      <c r="AP47" s="110">
        <v>0</v>
      </c>
      <c r="AQ47" s="110">
        <v>0</v>
      </c>
      <c r="AR47" s="110">
        <v>0</v>
      </c>
      <c r="AS47" s="110">
        <v>0</v>
      </c>
      <c r="AT47" s="110">
        <v>0</v>
      </c>
      <c r="AU47" s="110">
        <v>0</v>
      </c>
      <c r="AV47" s="110">
        <v>0</v>
      </c>
      <c r="AW47" s="110">
        <v>0</v>
      </c>
      <c r="AX47" s="110">
        <v>0</v>
      </c>
      <c r="AY47" s="110">
        <v>0</v>
      </c>
      <c r="AZ47" s="110">
        <v>0</v>
      </c>
      <c r="BA47" s="110">
        <v>0</v>
      </c>
    </row>
    <row r="48" spans="1:53" s="102" customFormat="1" outlineLevel="2">
      <c r="A48" s="102" t="s">
        <v>260</v>
      </c>
      <c r="B48" s="103" t="s">
        <v>261</v>
      </c>
      <c r="C48" s="104" t="s">
        <v>262</v>
      </c>
      <c r="D48" s="298"/>
      <c r="E48" s="299"/>
      <c r="F48" s="105">
        <v>175805.33000000002</v>
      </c>
      <c r="G48" s="105">
        <v>-210525.63</v>
      </c>
      <c r="H48" s="106">
        <f t="shared" si="4"/>
        <v>386330.96</v>
      </c>
      <c r="I48" s="300">
        <f t="shared" si="5"/>
        <v>1.8350780377667082</v>
      </c>
      <c r="J48" s="107"/>
      <c r="K48" s="105">
        <v>319110.13</v>
      </c>
      <c r="L48" s="105">
        <v>-758435.20000000007</v>
      </c>
      <c r="M48" s="106"/>
      <c r="N48" s="300"/>
      <c r="O48" s="301"/>
      <c r="P48" s="107"/>
      <c r="Q48" s="105">
        <v>319110.13</v>
      </c>
      <c r="R48" s="105">
        <v>-758435.20000000007</v>
      </c>
      <c r="S48" s="106"/>
      <c r="T48" s="300"/>
      <c r="U48" s="107"/>
      <c r="V48" s="105">
        <v>15508821.75</v>
      </c>
      <c r="W48" s="105">
        <v>-437147.91000000009</v>
      </c>
      <c r="X48" s="106">
        <f t="shared" si="6"/>
        <v>15945969.66</v>
      </c>
      <c r="Y48" s="300" t="str">
        <f t="shared" si="7"/>
        <v>N.M.</v>
      </c>
      <c r="Z48" s="302"/>
      <c r="AA48" s="108">
        <v>-70088.63</v>
      </c>
      <c r="AB48" s="109"/>
      <c r="AC48" s="110">
        <v>-252257.54</v>
      </c>
      <c r="AD48" s="110">
        <v>-295652.03000000003</v>
      </c>
      <c r="AE48" s="110">
        <v>-210525.63</v>
      </c>
      <c r="AF48" s="110">
        <v>4212749.17</v>
      </c>
      <c r="AG48" s="110">
        <v>1514878.17</v>
      </c>
      <c r="AH48" s="110">
        <v>3634023.62</v>
      </c>
      <c r="AI48" s="110">
        <v>2441870.7800000003</v>
      </c>
      <c r="AJ48" s="110">
        <v>3098688.22</v>
      </c>
      <c r="AK48" s="110">
        <v>96503.74</v>
      </c>
      <c r="AL48" s="110">
        <v>103436.09</v>
      </c>
      <c r="AM48" s="110">
        <v>147210.89000000001</v>
      </c>
      <c r="AN48" s="110">
        <v>-59649.06</v>
      </c>
      <c r="AO48" s="109"/>
      <c r="AP48" s="110">
        <v>141946.32</v>
      </c>
      <c r="AQ48" s="110">
        <v>1358.48</v>
      </c>
      <c r="AR48" s="110">
        <v>175805.33000000002</v>
      </c>
      <c r="AS48" s="110">
        <v>0</v>
      </c>
      <c r="AT48" s="110">
        <v>0</v>
      </c>
      <c r="AU48" s="110">
        <v>0</v>
      </c>
      <c r="AV48" s="110">
        <v>0</v>
      </c>
      <c r="AW48" s="110">
        <v>0</v>
      </c>
      <c r="AX48" s="110">
        <v>0</v>
      </c>
      <c r="AY48" s="110">
        <v>0</v>
      </c>
      <c r="AZ48" s="110">
        <v>0</v>
      </c>
      <c r="BA48" s="110">
        <v>0</v>
      </c>
    </row>
    <row r="49" spans="1:53" s="102" customFormat="1" outlineLevel="2">
      <c r="A49" s="102" t="s">
        <v>263</v>
      </c>
      <c r="B49" s="103" t="s">
        <v>264</v>
      </c>
      <c r="C49" s="104" t="s">
        <v>265</v>
      </c>
      <c r="D49" s="298"/>
      <c r="E49" s="299"/>
      <c r="F49" s="105">
        <v>-175805.33000000002</v>
      </c>
      <c r="G49" s="105">
        <v>210525.63</v>
      </c>
      <c r="H49" s="106">
        <f t="shared" si="4"/>
        <v>-386330.96</v>
      </c>
      <c r="I49" s="300">
        <f t="shared" si="5"/>
        <v>-1.8350780377667082</v>
      </c>
      <c r="J49" s="107"/>
      <c r="K49" s="105">
        <v>-319110.13</v>
      </c>
      <c r="L49" s="105">
        <v>758435.20000000007</v>
      </c>
      <c r="M49" s="106"/>
      <c r="N49" s="300"/>
      <c r="O49" s="301"/>
      <c r="P49" s="107"/>
      <c r="Q49" s="105">
        <v>-319110.13</v>
      </c>
      <c r="R49" s="105">
        <v>758435.20000000007</v>
      </c>
      <c r="S49" s="106"/>
      <c r="T49" s="300"/>
      <c r="U49" s="107"/>
      <c r="V49" s="105">
        <v>-15508821.75</v>
      </c>
      <c r="W49" s="105">
        <v>437147.91000000009</v>
      </c>
      <c r="X49" s="106">
        <f t="shared" si="6"/>
        <v>-15945969.66</v>
      </c>
      <c r="Y49" s="300" t="str">
        <f t="shared" si="7"/>
        <v>N.M.</v>
      </c>
      <c r="Z49" s="302"/>
      <c r="AA49" s="108">
        <v>70088.63</v>
      </c>
      <c r="AB49" s="109"/>
      <c r="AC49" s="110">
        <v>252257.54</v>
      </c>
      <c r="AD49" s="110">
        <v>295652.03000000003</v>
      </c>
      <c r="AE49" s="110">
        <v>210525.63</v>
      </c>
      <c r="AF49" s="110">
        <v>-4212749.17</v>
      </c>
      <c r="AG49" s="110">
        <v>-1514878.17</v>
      </c>
      <c r="AH49" s="110">
        <v>-3634023.62</v>
      </c>
      <c r="AI49" s="110">
        <v>-2441870.7800000003</v>
      </c>
      <c r="AJ49" s="110">
        <v>-3098688.22</v>
      </c>
      <c r="AK49" s="110">
        <v>-96503.74</v>
      </c>
      <c r="AL49" s="110">
        <v>-103436.09</v>
      </c>
      <c r="AM49" s="110">
        <v>-147210.89000000001</v>
      </c>
      <c r="AN49" s="110">
        <v>59649.06</v>
      </c>
      <c r="AO49" s="109"/>
      <c r="AP49" s="110">
        <v>-141946.32</v>
      </c>
      <c r="AQ49" s="110">
        <v>-1358.48</v>
      </c>
      <c r="AR49" s="110">
        <v>-175805.33000000002</v>
      </c>
      <c r="AS49" s="110">
        <v>0</v>
      </c>
      <c r="AT49" s="110">
        <v>0</v>
      </c>
      <c r="AU49" s="110">
        <v>0</v>
      </c>
      <c r="AV49" s="110">
        <v>0</v>
      </c>
      <c r="AW49" s="110">
        <v>0</v>
      </c>
      <c r="AX49" s="110">
        <v>0</v>
      </c>
      <c r="AY49" s="110">
        <v>0</v>
      </c>
      <c r="AZ49" s="110">
        <v>0</v>
      </c>
      <c r="BA49" s="110">
        <v>0</v>
      </c>
    </row>
    <row r="50" spans="1:53" s="102" customFormat="1" outlineLevel="2">
      <c r="A50" s="102" t="s">
        <v>266</v>
      </c>
      <c r="B50" s="103" t="s">
        <v>267</v>
      </c>
      <c r="C50" s="104" t="s">
        <v>268</v>
      </c>
      <c r="D50" s="298"/>
      <c r="E50" s="299"/>
      <c r="F50" s="105">
        <v>4934.51</v>
      </c>
      <c r="G50" s="105">
        <v>5147.57</v>
      </c>
      <c r="H50" s="106">
        <f t="shared" si="4"/>
        <v>-213.05999999999949</v>
      </c>
      <c r="I50" s="300">
        <f t="shared" si="5"/>
        <v>-4.139040362734251E-2</v>
      </c>
      <c r="J50" s="107"/>
      <c r="K50" s="105">
        <v>-15204.49</v>
      </c>
      <c r="L50" s="105">
        <v>30668.23</v>
      </c>
      <c r="M50" s="106"/>
      <c r="N50" s="300"/>
      <c r="O50" s="301"/>
      <c r="P50" s="107"/>
      <c r="Q50" s="105">
        <v>-15204.49</v>
      </c>
      <c r="R50" s="105">
        <v>30668.23</v>
      </c>
      <c r="S50" s="106"/>
      <c r="T50" s="300"/>
      <c r="U50" s="107"/>
      <c r="V50" s="105">
        <v>151257.18000000002</v>
      </c>
      <c r="W50" s="105">
        <v>148572.89000000001</v>
      </c>
      <c r="X50" s="106">
        <f t="shared" si="6"/>
        <v>2684.2900000000081</v>
      </c>
      <c r="Y50" s="300">
        <f t="shared" si="7"/>
        <v>1.8067158820158965E-2</v>
      </c>
      <c r="Z50" s="302"/>
      <c r="AA50" s="108">
        <v>1797.71</v>
      </c>
      <c r="AB50" s="109"/>
      <c r="AC50" s="110">
        <v>19403.82</v>
      </c>
      <c r="AD50" s="110">
        <v>6116.84</v>
      </c>
      <c r="AE50" s="110">
        <v>5147.57</v>
      </c>
      <c r="AF50" s="110">
        <v>3960</v>
      </c>
      <c r="AG50" s="110">
        <v>6150.55</v>
      </c>
      <c r="AH50" s="110">
        <v>20835.080000000002</v>
      </c>
      <c r="AI50" s="110">
        <v>37257.15</v>
      </c>
      <c r="AJ50" s="110">
        <v>74440.08</v>
      </c>
      <c r="AK50" s="110">
        <v>-286</v>
      </c>
      <c r="AL50" s="110">
        <v>24.7</v>
      </c>
      <c r="AM50" s="110">
        <v>-7.0000000000000007E-2</v>
      </c>
      <c r="AN50" s="110">
        <v>24080.18</v>
      </c>
      <c r="AO50" s="109"/>
      <c r="AP50" s="110">
        <v>-22367.34</v>
      </c>
      <c r="AQ50" s="110">
        <v>2228.34</v>
      </c>
      <c r="AR50" s="110">
        <v>4934.51</v>
      </c>
      <c r="AS50" s="110">
        <v>-1750.13</v>
      </c>
      <c r="AT50" s="110">
        <v>0</v>
      </c>
      <c r="AU50" s="110">
        <v>0</v>
      </c>
      <c r="AV50" s="110">
        <v>0</v>
      </c>
      <c r="AW50" s="110">
        <v>0</v>
      </c>
      <c r="AX50" s="110">
        <v>0</v>
      </c>
      <c r="AY50" s="110">
        <v>0</v>
      </c>
      <c r="AZ50" s="110">
        <v>0</v>
      </c>
      <c r="BA50" s="110">
        <v>0</v>
      </c>
    </row>
    <row r="51" spans="1:53" s="102" customFormat="1" outlineLevel="2">
      <c r="A51" s="102" t="s">
        <v>269</v>
      </c>
      <c r="B51" s="103" t="s">
        <v>270</v>
      </c>
      <c r="C51" s="104" t="s">
        <v>271</v>
      </c>
      <c r="D51" s="298"/>
      <c r="E51" s="299"/>
      <c r="F51" s="105">
        <v>-17330.96</v>
      </c>
      <c r="G51" s="105">
        <v>-5292.06</v>
      </c>
      <c r="H51" s="106">
        <f t="shared" si="4"/>
        <v>-12038.899999999998</v>
      </c>
      <c r="I51" s="300">
        <f t="shared" si="5"/>
        <v>-2.2748986217087479</v>
      </c>
      <c r="J51" s="107"/>
      <c r="K51" s="105">
        <v>36663</v>
      </c>
      <c r="L51" s="105">
        <v>-77991.95</v>
      </c>
      <c r="M51" s="106"/>
      <c r="N51" s="300"/>
      <c r="O51" s="301"/>
      <c r="P51" s="107"/>
      <c r="Q51" s="105">
        <v>36663</v>
      </c>
      <c r="R51" s="105">
        <v>-77991.95</v>
      </c>
      <c r="S51" s="106"/>
      <c r="T51" s="300"/>
      <c r="U51" s="107"/>
      <c r="V51" s="105">
        <v>-666977.80000000005</v>
      </c>
      <c r="W51" s="105">
        <v>-700633.08</v>
      </c>
      <c r="X51" s="106">
        <f t="shared" si="6"/>
        <v>33655.279999999912</v>
      </c>
      <c r="Y51" s="300">
        <f t="shared" si="7"/>
        <v>4.8035528096960413E-2</v>
      </c>
      <c r="Z51" s="302"/>
      <c r="AA51" s="108">
        <v>-8938.3700000000008</v>
      </c>
      <c r="AB51" s="109"/>
      <c r="AC51" s="110">
        <v>-62049.4</v>
      </c>
      <c r="AD51" s="110">
        <v>-10650.49</v>
      </c>
      <c r="AE51" s="110">
        <v>-5292.06</v>
      </c>
      <c r="AF51" s="110">
        <v>-39170.06</v>
      </c>
      <c r="AG51" s="110">
        <v>-32241.920000000002</v>
      </c>
      <c r="AH51" s="110">
        <v>-103684.83</v>
      </c>
      <c r="AI51" s="110">
        <v>-183281.86000000002</v>
      </c>
      <c r="AJ51" s="110">
        <v>-282270.8</v>
      </c>
      <c r="AK51" s="110">
        <v>590.21</v>
      </c>
      <c r="AL51" s="110">
        <v>-98.490000000000009</v>
      </c>
      <c r="AM51" s="110">
        <v>-825.36</v>
      </c>
      <c r="AN51" s="110">
        <v>-62657.69</v>
      </c>
      <c r="AO51" s="109"/>
      <c r="AP51" s="110">
        <v>60921.5</v>
      </c>
      <c r="AQ51" s="110">
        <v>-6927.54</v>
      </c>
      <c r="AR51" s="110">
        <v>-17330.96</v>
      </c>
      <c r="AS51" s="110">
        <v>7752.82</v>
      </c>
      <c r="AT51" s="110">
        <v>0</v>
      </c>
      <c r="AU51" s="110">
        <v>0</v>
      </c>
      <c r="AV51" s="110">
        <v>0</v>
      </c>
      <c r="AW51" s="110">
        <v>0</v>
      </c>
      <c r="AX51" s="110">
        <v>0</v>
      </c>
      <c r="AY51" s="110">
        <v>0</v>
      </c>
      <c r="AZ51" s="110">
        <v>0</v>
      </c>
      <c r="BA51" s="110">
        <v>0</v>
      </c>
    </row>
    <row r="52" spans="1:53" s="102" customFormat="1" outlineLevel="2">
      <c r="A52" s="102" t="s">
        <v>272</v>
      </c>
      <c r="B52" s="103" t="s">
        <v>273</v>
      </c>
      <c r="C52" s="104" t="s">
        <v>274</v>
      </c>
      <c r="D52" s="298"/>
      <c r="E52" s="299"/>
      <c r="F52" s="105">
        <v>0</v>
      </c>
      <c r="G52" s="105">
        <v>0</v>
      </c>
      <c r="H52" s="106">
        <f t="shared" si="4"/>
        <v>0</v>
      </c>
      <c r="I52" s="300">
        <f t="shared" si="5"/>
        <v>0</v>
      </c>
      <c r="J52" s="107"/>
      <c r="K52" s="105">
        <v>0</v>
      </c>
      <c r="L52" s="105">
        <v>36.64</v>
      </c>
      <c r="M52" s="106"/>
      <c r="N52" s="300"/>
      <c r="O52" s="301"/>
      <c r="P52" s="107"/>
      <c r="Q52" s="105">
        <v>0</v>
      </c>
      <c r="R52" s="105">
        <v>36.64</v>
      </c>
      <c r="S52" s="106"/>
      <c r="T52" s="300"/>
      <c r="U52" s="107"/>
      <c r="V52" s="105">
        <v>5230.96</v>
      </c>
      <c r="W52" s="105">
        <v>1717.65</v>
      </c>
      <c r="X52" s="106">
        <f t="shared" si="6"/>
        <v>3513.31</v>
      </c>
      <c r="Y52" s="300">
        <f t="shared" si="7"/>
        <v>2.0454167030535904</v>
      </c>
      <c r="Z52" s="302"/>
      <c r="AA52" s="108">
        <v>163.51</v>
      </c>
      <c r="AB52" s="109"/>
      <c r="AC52" s="110">
        <v>33.549999999999997</v>
      </c>
      <c r="AD52" s="110">
        <v>3.09</v>
      </c>
      <c r="AE52" s="110">
        <v>0</v>
      </c>
      <c r="AF52" s="110">
        <v>92.91</v>
      </c>
      <c r="AG52" s="110">
        <v>2310.11</v>
      </c>
      <c r="AH52" s="110">
        <v>925.79</v>
      </c>
      <c r="AI52" s="110">
        <v>52.56</v>
      </c>
      <c r="AJ52" s="110">
        <v>460.39</v>
      </c>
      <c r="AK52" s="110">
        <v>1389.2</v>
      </c>
      <c r="AL52" s="110">
        <v>0</v>
      </c>
      <c r="AM52" s="110">
        <v>0</v>
      </c>
      <c r="AN52" s="110">
        <v>0</v>
      </c>
      <c r="AO52" s="109"/>
      <c r="AP52" s="110">
        <v>0</v>
      </c>
      <c r="AQ52" s="110">
        <v>0</v>
      </c>
      <c r="AR52" s="110">
        <v>0</v>
      </c>
      <c r="AS52" s="110">
        <v>0</v>
      </c>
      <c r="AT52" s="110">
        <v>0</v>
      </c>
      <c r="AU52" s="110">
        <v>0</v>
      </c>
      <c r="AV52" s="110">
        <v>0</v>
      </c>
      <c r="AW52" s="110">
        <v>0</v>
      </c>
      <c r="AX52" s="110">
        <v>0</v>
      </c>
      <c r="AY52" s="110">
        <v>0</v>
      </c>
      <c r="AZ52" s="110">
        <v>0</v>
      </c>
      <c r="BA52" s="110">
        <v>0</v>
      </c>
    </row>
    <row r="53" spans="1:53" s="102" customFormat="1" outlineLevel="2">
      <c r="A53" s="102" t="s">
        <v>275</v>
      </c>
      <c r="B53" s="103" t="s">
        <v>276</v>
      </c>
      <c r="C53" s="104" t="s">
        <v>277</v>
      </c>
      <c r="D53" s="298"/>
      <c r="E53" s="299"/>
      <c r="F53" s="105">
        <v>0</v>
      </c>
      <c r="G53" s="105">
        <v>1.1500000000000001</v>
      </c>
      <c r="H53" s="106">
        <f t="shared" si="4"/>
        <v>-1.1500000000000001</v>
      </c>
      <c r="I53" s="300" t="str">
        <f t="shared" si="5"/>
        <v>N.M.</v>
      </c>
      <c r="J53" s="107"/>
      <c r="K53" s="105">
        <v>24.02</v>
      </c>
      <c r="L53" s="105">
        <v>-14.91</v>
      </c>
      <c r="M53" s="106"/>
      <c r="N53" s="300"/>
      <c r="O53" s="301"/>
      <c r="P53" s="107"/>
      <c r="Q53" s="105">
        <v>24.02</v>
      </c>
      <c r="R53" s="105">
        <v>-14.91</v>
      </c>
      <c r="S53" s="106"/>
      <c r="T53" s="300"/>
      <c r="U53" s="107"/>
      <c r="V53" s="105">
        <v>-3963.9100000000003</v>
      </c>
      <c r="W53" s="105">
        <v>-1247.2</v>
      </c>
      <c r="X53" s="106">
        <f t="shared" si="6"/>
        <v>-2716.71</v>
      </c>
      <c r="Y53" s="300">
        <f t="shared" si="7"/>
        <v>-2.1782472738935215</v>
      </c>
      <c r="Z53" s="302"/>
      <c r="AA53" s="108">
        <v>-106.88</v>
      </c>
      <c r="AB53" s="109"/>
      <c r="AC53" s="110">
        <v>-21.82</v>
      </c>
      <c r="AD53" s="110">
        <v>5.76</v>
      </c>
      <c r="AE53" s="110">
        <v>1.1500000000000001</v>
      </c>
      <c r="AF53" s="110">
        <v>-66.900000000000006</v>
      </c>
      <c r="AG53" s="110">
        <v>-2203.4299999999998</v>
      </c>
      <c r="AH53" s="110">
        <v>-640.58000000000004</v>
      </c>
      <c r="AI53" s="110">
        <v>-22.94</v>
      </c>
      <c r="AJ53" s="110">
        <v>-262.5</v>
      </c>
      <c r="AK53" s="110">
        <v>-983.32</v>
      </c>
      <c r="AL53" s="110">
        <v>0</v>
      </c>
      <c r="AM53" s="110">
        <v>138.33000000000001</v>
      </c>
      <c r="AN53" s="110">
        <v>53.410000000000004</v>
      </c>
      <c r="AO53" s="109"/>
      <c r="AP53" s="110">
        <v>23.92</v>
      </c>
      <c r="AQ53" s="110">
        <v>0.1</v>
      </c>
      <c r="AR53" s="110">
        <v>0</v>
      </c>
      <c r="AS53" s="110">
        <v>0</v>
      </c>
      <c r="AT53" s="110">
        <v>0</v>
      </c>
      <c r="AU53" s="110">
        <v>0</v>
      </c>
      <c r="AV53" s="110">
        <v>0</v>
      </c>
      <c r="AW53" s="110">
        <v>0</v>
      </c>
      <c r="AX53" s="110">
        <v>0</v>
      </c>
      <c r="AY53" s="110">
        <v>0</v>
      </c>
      <c r="AZ53" s="110">
        <v>0</v>
      </c>
      <c r="BA53" s="110">
        <v>0</v>
      </c>
    </row>
    <row r="54" spans="1:53" s="102" customFormat="1" outlineLevel="2">
      <c r="A54" s="102" t="s">
        <v>278</v>
      </c>
      <c r="B54" s="103" t="s">
        <v>279</v>
      </c>
      <c r="C54" s="104" t="s">
        <v>280</v>
      </c>
      <c r="D54" s="298"/>
      <c r="E54" s="299"/>
      <c r="F54" s="105">
        <v>133311.51</v>
      </c>
      <c r="G54" s="105">
        <v>19738.939999999999</v>
      </c>
      <c r="H54" s="106">
        <f t="shared" si="4"/>
        <v>113572.57</v>
      </c>
      <c r="I54" s="300">
        <f t="shared" si="5"/>
        <v>5.75373196331718</v>
      </c>
      <c r="J54" s="107"/>
      <c r="K54" s="105">
        <v>195821.34</v>
      </c>
      <c r="L54" s="105">
        <v>624826.51</v>
      </c>
      <c r="M54" s="106"/>
      <c r="N54" s="300"/>
      <c r="O54" s="301"/>
      <c r="P54" s="107"/>
      <c r="Q54" s="105">
        <v>195821.34</v>
      </c>
      <c r="R54" s="105">
        <v>624826.51</v>
      </c>
      <c r="S54" s="106"/>
      <c r="T54" s="300"/>
      <c r="U54" s="107"/>
      <c r="V54" s="105">
        <v>2550531.36</v>
      </c>
      <c r="W54" s="105">
        <v>1423027.32</v>
      </c>
      <c r="X54" s="106">
        <f t="shared" si="6"/>
        <v>1127504.0399999998</v>
      </c>
      <c r="Y54" s="300">
        <f t="shared" si="7"/>
        <v>0.79232775376371534</v>
      </c>
      <c r="Z54" s="302"/>
      <c r="AA54" s="108">
        <v>109555.61</v>
      </c>
      <c r="AB54" s="109"/>
      <c r="AC54" s="110">
        <v>385072.14</v>
      </c>
      <c r="AD54" s="110">
        <v>220015.43</v>
      </c>
      <c r="AE54" s="110">
        <v>19738.939999999999</v>
      </c>
      <c r="AF54" s="110">
        <v>496357.73</v>
      </c>
      <c r="AG54" s="110">
        <v>464273.31</v>
      </c>
      <c r="AH54" s="110">
        <v>288297.22000000003</v>
      </c>
      <c r="AI54" s="110">
        <v>596351.91</v>
      </c>
      <c r="AJ54" s="110">
        <v>493986.32</v>
      </c>
      <c r="AK54" s="110">
        <v>10035.77</v>
      </c>
      <c r="AL54" s="110">
        <v>0</v>
      </c>
      <c r="AM54" s="110">
        <v>0</v>
      </c>
      <c r="AN54" s="110">
        <v>5407.76</v>
      </c>
      <c r="AO54" s="109"/>
      <c r="AP54" s="110">
        <v>11422.78</v>
      </c>
      <c r="AQ54" s="110">
        <v>51087.05</v>
      </c>
      <c r="AR54" s="110">
        <v>133311.51</v>
      </c>
      <c r="AS54" s="110">
        <v>-119196.56</v>
      </c>
      <c r="AT54" s="110">
        <v>0</v>
      </c>
      <c r="AU54" s="110">
        <v>0</v>
      </c>
      <c r="AV54" s="110">
        <v>0</v>
      </c>
      <c r="AW54" s="110">
        <v>0</v>
      </c>
      <c r="AX54" s="110">
        <v>0</v>
      </c>
      <c r="AY54" s="110">
        <v>0</v>
      </c>
      <c r="AZ54" s="110">
        <v>0</v>
      </c>
      <c r="BA54" s="110">
        <v>0</v>
      </c>
    </row>
    <row r="55" spans="1:53" s="102" customFormat="1" outlineLevel="2">
      <c r="A55" s="102" t="s">
        <v>281</v>
      </c>
      <c r="B55" s="103" t="s">
        <v>282</v>
      </c>
      <c r="C55" s="104" t="s">
        <v>283</v>
      </c>
      <c r="D55" s="298"/>
      <c r="E55" s="299"/>
      <c r="F55" s="105">
        <v>493.41</v>
      </c>
      <c r="G55" s="105">
        <v>0</v>
      </c>
      <c r="H55" s="106">
        <f t="shared" si="4"/>
        <v>493.41</v>
      </c>
      <c r="I55" s="300" t="str">
        <f t="shared" si="5"/>
        <v>N.M.</v>
      </c>
      <c r="J55" s="107"/>
      <c r="K55" s="105">
        <v>16385.900000000001</v>
      </c>
      <c r="L55" s="105">
        <v>631.30000000000007</v>
      </c>
      <c r="M55" s="106"/>
      <c r="N55" s="300"/>
      <c r="O55" s="301"/>
      <c r="P55" s="107"/>
      <c r="Q55" s="105">
        <v>16385.900000000001</v>
      </c>
      <c r="R55" s="105">
        <v>631.30000000000007</v>
      </c>
      <c r="S55" s="106"/>
      <c r="T55" s="300"/>
      <c r="U55" s="107"/>
      <c r="V55" s="105">
        <v>44916.22</v>
      </c>
      <c r="W55" s="105">
        <v>6251.06</v>
      </c>
      <c r="X55" s="106">
        <f t="shared" si="6"/>
        <v>38665.160000000003</v>
      </c>
      <c r="Y55" s="300">
        <f t="shared" si="7"/>
        <v>6.1853765601354009</v>
      </c>
      <c r="Z55" s="302"/>
      <c r="AA55" s="108">
        <v>1599.51</v>
      </c>
      <c r="AB55" s="109"/>
      <c r="AC55" s="110">
        <v>630.39</v>
      </c>
      <c r="AD55" s="110">
        <v>0.91</v>
      </c>
      <c r="AE55" s="110">
        <v>0</v>
      </c>
      <c r="AF55" s="110">
        <v>653.59</v>
      </c>
      <c r="AG55" s="110">
        <v>1412.55</v>
      </c>
      <c r="AH55" s="110">
        <v>1167.43</v>
      </c>
      <c r="AI55" s="110">
        <v>683.13</v>
      </c>
      <c r="AJ55" s="110">
        <v>3239.86</v>
      </c>
      <c r="AK55" s="110">
        <v>0</v>
      </c>
      <c r="AL55" s="110">
        <v>0</v>
      </c>
      <c r="AM55" s="110">
        <v>708.81000000000006</v>
      </c>
      <c r="AN55" s="110">
        <v>20664.95</v>
      </c>
      <c r="AO55" s="109"/>
      <c r="AP55" s="110">
        <v>76146.94</v>
      </c>
      <c r="AQ55" s="110">
        <v>-60254.450000000004</v>
      </c>
      <c r="AR55" s="110">
        <v>493.41</v>
      </c>
      <c r="AS55" s="110">
        <v>-463.35</v>
      </c>
      <c r="AT55" s="110">
        <v>0</v>
      </c>
      <c r="AU55" s="110">
        <v>0</v>
      </c>
      <c r="AV55" s="110">
        <v>0</v>
      </c>
      <c r="AW55" s="110">
        <v>0</v>
      </c>
      <c r="AX55" s="110">
        <v>0</v>
      </c>
      <c r="AY55" s="110">
        <v>0</v>
      </c>
      <c r="AZ55" s="110">
        <v>0</v>
      </c>
      <c r="BA55" s="110">
        <v>0</v>
      </c>
    </row>
    <row r="56" spans="1:53" s="102" customFormat="1" outlineLevel="2">
      <c r="A56" s="102" t="s">
        <v>284</v>
      </c>
      <c r="B56" s="103" t="s">
        <v>285</v>
      </c>
      <c r="C56" s="104" t="s">
        <v>286</v>
      </c>
      <c r="D56" s="298"/>
      <c r="E56" s="299"/>
      <c r="F56" s="105">
        <v>0</v>
      </c>
      <c r="G56" s="105">
        <v>0</v>
      </c>
      <c r="H56" s="106">
        <f t="shared" si="4"/>
        <v>0</v>
      </c>
      <c r="I56" s="300">
        <f t="shared" si="5"/>
        <v>0</v>
      </c>
      <c r="J56" s="107"/>
      <c r="K56" s="105">
        <v>0</v>
      </c>
      <c r="L56" s="105">
        <v>0</v>
      </c>
      <c r="M56" s="106"/>
      <c r="N56" s="300"/>
      <c r="O56" s="301"/>
      <c r="P56" s="107"/>
      <c r="Q56" s="105">
        <v>0</v>
      </c>
      <c r="R56" s="105">
        <v>0</v>
      </c>
      <c r="S56" s="106"/>
      <c r="T56" s="300"/>
      <c r="U56" s="107"/>
      <c r="V56" s="105">
        <v>24670.86</v>
      </c>
      <c r="W56" s="105">
        <v>271929.53000000003</v>
      </c>
      <c r="X56" s="106">
        <f t="shared" si="6"/>
        <v>-247258.67000000004</v>
      </c>
      <c r="Y56" s="300">
        <f t="shared" si="7"/>
        <v>-0.90927480365961</v>
      </c>
      <c r="Z56" s="302"/>
      <c r="AA56" s="108">
        <v>0</v>
      </c>
      <c r="AB56" s="109"/>
      <c r="AC56" s="110">
        <v>0</v>
      </c>
      <c r="AD56" s="110">
        <v>0</v>
      </c>
      <c r="AE56" s="110">
        <v>0</v>
      </c>
      <c r="AF56" s="110">
        <v>0</v>
      </c>
      <c r="AG56" s="110">
        <v>24670.86</v>
      </c>
      <c r="AH56" s="110">
        <v>0</v>
      </c>
      <c r="AI56" s="110">
        <v>0</v>
      </c>
      <c r="AJ56" s="110">
        <v>0</v>
      </c>
      <c r="AK56" s="110">
        <v>0</v>
      </c>
      <c r="AL56" s="110">
        <v>0</v>
      </c>
      <c r="AM56" s="110">
        <v>0</v>
      </c>
      <c r="AN56" s="110">
        <v>0</v>
      </c>
      <c r="AO56" s="109"/>
      <c r="AP56" s="110">
        <v>0</v>
      </c>
      <c r="AQ56" s="110">
        <v>0</v>
      </c>
      <c r="AR56" s="110">
        <v>0</v>
      </c>
      <c r="AS56" s="110">
        <v>0</v>
      </c>
      <c r="AT56" s="110">
        <v>0</v>
      </c>
      <c r="AU56" s="110">
        <v>0</v>
      </c>
      <c r="AV56" s="110">
        <v>0</v>
      </c>
      <c r="AW56" s="110">
        <v>0</v>
      </c>
      <c r="AX56" s="110">
        <v>0</v>
      </c>
      <c r="AY56" s="110">
        <v>0</v>
      </c>
      <c r="AZ56" s="110">
        <v>0</v>
      </c>
      <c r="BA56" s="110">
        <v>0</v>
      </c>
    </row>
    <row r="57" spans="1:53" outlineLevel="1">
      <c r="A57" s="111" t="s">
        <v>287</v>
      </c>
      <c r="B57" s="331"/>
      <c r="C57" s="332" t="s">
        <v>288</v>
      </c>
      <c r="D57" s="342"/>
      <c r="E57" s="342"/>
      <c r="F57" s="333">
        <v>1737659.6300000001</v>
      </c>
      <c r="G57" s="333">
        <v>1800386.89</v>
      </c>
      <c r="H57" s="133">
        <f t="shared" si="4"/>
        <v>-62727.259999999776</v>
      </c>
      <c r="I57" s="138">
        <f t="shared" si="5"/>
        <v>-3.4840989094293937E-2</v>
      </c>
      <c r="J57" s="157"/>
      <c r="K57" s="333">
        <v>5030378.49</v>
      </c>
      <c r="L57" s="333">
        <v>11095928.310000002</v>
      </c>
      <c r="M57" s="333"/>
      <c r="N57" s="137"/>
      <c r="O57" s="344"/>
      <c r="P57" s="344"/>
      <c r="Q57" s="333">
        <v>5030378.49</v>
      </c>
      <c r="R57" s="333">
        <v>11095928.310000002</v>
      </c>
      <c r="S57" s="333"/>
      <c r="T57" s="343"/>
      <c r="U57" s="344"/>
      <c r="V57" s="333">
        <v>53668804.99000001</v>
      </c>
      <c r="W57" s="333">
        <v>44462407.608999968</v>
      </c>
      <c r="X57" s="133">
        <f t="shared" si="6"/>
        <v>9206397.381000042</v>
      </c>
      <c r="Y57" s="137">
        <f t="shared" si="7"/>
        <v>0.20706025328094257</v>
      </c>
      <c r="Z57" s="111"/>
      <c r="AA57" s="139">
        <v>2325136.0899999994</v>
      </c>
      <c r="AB57" s="346"/>
      <c r="AC57" s="333">
        <v>6828411.0100000007</v>
      </c>
      <c r="AD57" s="333">
        <v>2467130.41</v>
      </c>
      <c r="AE57" s="333">
        <v>1800386.89</v>
      </c>
      <c r="AF57" s="333">
        <v>6497914.2300000004</v>
      </c>
      <c r="AG57" s="333">
        <v>5379494.1400000006</v>
      </c>
      <c r="AH57" s="333">
        <v>8164123.3099999996</v>
      </c>
      <c r="AI57" s="333">
        <v>11375651.350000005</v>
      </c>
      <c r="AJ57" s="333">
        <v>10692624.970000001</v>
      </c>
      <c r="AK57" s="333">
        <v>1448279.9499999997</v>
      </c>
      <c r="AL57" s="333">
        <v>921293.49</v>
      </c>
      <c r="AM57" s="333">
        <v>1582509.79</v>
      </c>
      <c r="AN57" s="333">
        <v>2576535.2700000005</v>
      </c>
      <c r="AO57" s="346"/>
      <c r="AP57" s="333">
        <v>2227185.7199999997</v>
      </c>
      <c r="AQ57" s="333">
        <v>1065533.1400000004</v>
      </c>
      <c r="AR57" s="333">
        <v>1737659.6300000001</v>
      </c>
      <c r="AS57" s="333">
        <v>93630517.849999994</v>
      </c>
      <c r="AT57" s="333">
        <v>0</v>
      </c>
      <c r="AU57" s="333">
        <v>0</v>
      </c>
      <c r="AV57" s="333">
        <v>0</v>
      </c>
      <c r="AW57" s="333">
        <v>0</v>
      </c>
      <c r="AX57" s="333">
        <v>0</v>
      </c>
      <c r="AY57" s="333">
        <v>0</v>
      </c>
      <c r="AZ57" s="333">
        <v>0</v>
      </c>
      <c r="BA57" s="333">
        <v>0</v>
      </c>
    </row>
    <row r="58" spans="1:53" ht="0.75" customHeight="1" outlineLevel="2">
      <c r="B58" s="331"/>
      <c r="C58" s="347" t="s">
        <v>289</v>
      </c>
      <c r="D58" s="342"/>
      <c r="E58" s="342"/>
      <c r="F58" s="333" t="e">
        <f>+F57+F27+#REF!+F23</f>
        <v>#REF!</v>
      </c>
      <c r="G58" s="333" t="e">
        <f>+G57+G27+#REF!+G23</f>
        <v>#REF!</v>
      </c>
      <c r="H58" s="133" t="e">
        <f t="shared" si="4"/>
        <v>#REF!</v>
      </c>
      <c r="I58" s="138" t="e">
        <f t="shared" si="5"/>
        <v>#REF!</v>
      </c>
      <c r="J58" s="157"/>
      <c r="K58" s="333" t="e">
        <f>+K57+K27+#REF!+K23</f>
        <v>#REF!</v>
      </c>
      <c r="L58" s="333" t="e">
        <f>+L57+L27+#REF!+L23</f>
        <v>#REF!</v>
      </c>
      <c r="M58" s="133" t="e">
        <f>+K58-L58</f>
        <v>#REF!</v>
      </c>
      <c r="N58" s="137" t="e">
        <f>IF(L58&lt;0,IF(M58=0,0,IF(OR(L58=0,K58=0),"N.M.",IF(ABS(M58/L58)&gt;=10,"N.M.",M58/(-L58)))),IF(M58=0,0,IF(OR(L58=0,K58=0),"N.M.",IF(ABS(M58/L58)&gt;=10,"N.M.",M58/L58))))</f>
        <v>#REF!</v>
      </c>
      <c r="O58" s="344"/>
      <c r="P58" s="344"/>
      <c r="Q58" s="333" t="e">
        <f>+Q57+Q27+#REF!+Q23</f>
        <v>#REF!</v>
      </c>
      <c r="R58" s="333" t="e">
        <f>+R57+R27+#REF!+R23</f>
        <v>#REF!</v>
      </c>
      <c r="S58" s="133" t="e">
        <f>+Q58-R58</f>
        <v>#REF!</v>
      </c>
      <c r="T58" s="138" t="e">
        <f>IF(R58&lt;0,IF(S58=0,0,IF(OR(R58=0,Q58=0),"N.M.",IF(ABS(S58/R58)&gt;=10,"N.M.",S58/(-R58)))),IF(S58=0,0,IF(OR(R58=0,Q58=0),"N.M.",IF(ABS(S58/R58)&gt;=10,"N.M.",S58/R58))))</f>
        <v>#REF!</v>
      </c>
      <c r="U58" s="344"/>
      <c r="V58" s="333" t="e">
        <f>+V57+V27+#REF!+V23</f>
        <v>#REF!</v>
      </c>
      <c r="W58" s="333" t="e">
        <f>+W57+W27+#REF!+W23</f>
        <v>#REF!</v>
      </c>
      <c r="X58" s="133" t="e">
        <f t="shared" si="6"/>
        <v>#REF!</v>
      </c>
      <c r="Y58" s="137" t="e">
        <f t="shared" si="7"/>
        <v>#REF!</v>
      </c>
      <c r="Z58" s="111"/>
      <c r="AA58" s="139" t="e">
        <f>+AA57+AA27+#REF!+AA23</f>
        <v>#REF!</v>
      </c>
      <c r="AB58" s="346"/>
      <c r="AC58" s="333" t="e">
        <f>+AC57+AC27+#REF!+AC23</f>
        <v>#REF!</v>
      </c>
      <c r="AD58" s="333" t="e">
        <f>+AD57+AD27+#REF!+AD23</f>
        <v>#REF!</v>
      </c>
      <c r="AE58" s="333" t="e">
        <f>+AE57+AE27+#REF!+AE23</f>
        <v>#REF!</v>
      </c>
      <c r="AF58" s="333" t="e">
        <f>+AF57+AF27+#REF!+AF23</f>
        <v>#REF!</v>
      </c>
      <c r="AG58" s="333" t="e">
        <f>+AG57+AG27+#REF!+AG23</f>
        <v>#REF!</v>
      </c>
      <c r="AH58" s="333" t="e">
        <f>+AH57+AH27+#REF!+AH23</f>
        <v>#REF!</v>
      </c>
      <c r="AI58" s="333" t="e">
        <f>+AI57+AI27+#REF!+AI23</f>
        <v>#REF!</v>
      </c>
      <c r="AJ58" s="333" t="e">
        <f>+AJ57+AJ27+#REF!+AJ23</f>
        <v>#REF!</v>
      </c>
      <c r="AK58" s="333" t="e">
        <f>+AK57+AK27+#REF!+AK23</f>
        <v>#REF!</v>
      </c>
      <c r="AL58" s="333" t="e">
        <f>+AL57+AL27+#REF!+AL23</f>
        <v>#REF!</v>
      </c>
      <c r="AM58" s="333" t="e">
        <f>+AM57+AM27+#REF!+AM23</f>
        <v>#REF!</v>
      </c>
      <c r="AN58" s="333" t="e">
        <f>+AN57+AN27+#REF!+AN23</f>
        <v>#REF!</v>
      </c>
      <c r="AO58" s="346"/>
      <c r="AP58" s="333" t="e">
        <f>+AP57+AP27+#REF!+AP23</f>
        <v>#REF!</v>
      </c>
      <c r="AQ58" s="333" t="e">
        <f>+AQ57+AQ27+#REF!+AQ23</f>
        <v>#REF!</v>
      </c>
      <c r="AR58" s="333" t="e">
        <f>+AR57+AR27+#REF!+AR23</f>
        <v>#REF!</v>
      </c>
      <c r="AS58" s="333" t="e">
        <f>+AS57+AS27+#REF!+AS23</f>
        <v>#REF!</v>
      </c>
      <c r="AT58" s="333" t="e">
        <f>+AT57+AT27+#REF!+AT23</f>
        <v>#REF!</v>
      </c>
      <c r="AU58" s="333" t="e">
        <f>+AU57+AU27+#REF!+AU23</f>
        <v>#REF!</v>
      </c>
      <c r="AV58" s="333" t="e">
        <f>+AV57+AV27+#REF!+AV23</f>
        <v>#REF!</v>
      </c>
      <c r="AW58" s="333" t="e">
        <f>+AW57+AW27+#REF!+AW23</f>
        <v>#REF!</v>
      </c>
      <c r="AX58" s="333" t="e">
        <f>+AX57+AX27+#REF!+AX23</f>
        <v>#REF!</v>
      </c>
      <c r="AY58" s="333" t="e">
        <f>+AY57+AY27+#REF!+AY23</f>
        <v>#REF!</v>
      </c>
      <c r="AZ58" s="333" t="e">
        <f>+AZ57+AZ27+#REF!+AZ23</f>
        <v>#REF!</v>
      </c>
      <c r="BA58" s="333" t="e">
        <f>+BA57+BA27+#REF!+BA23</f>
        <v>#REF!</v>
      </c>
    </row>
    <row r="59" spans="1:53" s="102" customFormat="1" outlineLevel="2">
      <c r="A59" s="102" t="s">
        <v>290</v>
      </c>
      <c r="B59" s="103" t="s">
        <v>291</v>
      </c>
      <c r="C59" s="104" t="s">
        <v>292</v>
      </c>
      <c r="D59" s="298"/>
      <c r="E59" s="299"/>
      <c r="F59" s="105">
        <v>-98659</v>
      </c>
      <c r="G59" s="105">
        <v>-358213</v>
      </c>
      <c r="H59" s="106">
        <f t="shared" si="4"/>
        <v>259554</v>
      </c>
      <c r="I59" s="300">
        <f t="shared" si="5"/>
        <v>0.72458006828339561</v>
      </c>
      <c r="J59" s="107"/>
      <c r="K59" s="105">
        <v>-295977</v>
      </c>
      <c r="L59" s="105">
        <v>-1074639</v>
      </c>
      <c r="M59" s="106">
        <f>+K59-L59</f>
        <v>778662</v>
      </c>
      <c r="N59" s="300">
        <f>IF(L59&lt;0,IF(M59=0,0,IF(OR(L59=0,K59=0),"N.M.",IF(ABS(M59/L59)&gt;=10,"N.M.",M59/(-L59)))),IF(M59=0,0,IF(OR(L59=0,K59=0),"N.M.",IF(ABS(M59/L59)&gt;=10,"N.M.",M59/L59))))</f>
        <v>0.72458006828339561</v>
      </c>
      <c r="O59" s="301"/>
      <c r="P59" s="107"/>
      <c r="Q59" s="105">
        <v>-295977</v>
      </c>
      <c r="R59" s="105">
        <v>-1074639</v>
      </c>
      <c r="S59" s="106">
        <f>+Q59-R59</f>
        <v>778662</v>
      </c>
      <c r="T59" s="300">
        <f>IF(R59&lt;0,IF(S59=0,0,IF(OR(R59=0,Q59=0),"N.M.",IF(ABS(S59/R59)&gt;=10,"N.M.",S59/(-R59)))),IF(S59=0,0,IF(OR(R59=0,Q59=0),"N.M.",IF(ABS(S59/R59)&gt;=10,"N.M.",S59/R59))))</f>
        <v>0.72458006828339561</v>
      </c>
      <c r="U59" s="107"/>
      <c r="V59" s="105">
        <v>-283033</v>
      </c>
      <c r="W59" s="105">
        <v>-1074639</v>
      </c>
      <c r="X59" s="106">
        <f t="shared" si="6"/>
        <v>791606</v>
      </c>
      <c r="Y59" s="300">
        <f t="shared" si="7"/>
        <v>0.7366250433866629</v>
      </c>
      <c r="Z59" s="302"/>
      <c r="AA59" s="108">
        <v>0</v>
      </c>
      <c r="AB59" s="109"/>
      <c r="AC59" s="110">
        <v>-358213</v>
      </c>
      <c r="AD59" s="110">
        <v>-358213</v>
      </c>
      <c r="AE59" s="110">
        <v>-358213</v>
      </c>
      <c r="AF59" s="110">
        <v>-358213</v>
      </c>
      <c r="AG59" s="110">
        <v>-358213</v>
      </c>
      <c r="AH59" s="110">
        <v>-358213</v>
      </c>
      <c r="AI59" s="110">
        <v>-358213</v>
      </c>
      <c r="AJ59" s="110">
        <v>-358213</v>
      </c>
      <c r="AK59" s="110">
        <v>-358213</v>
      </c>
      <c r="AL59" s="110">
        <v>-358213</v>
      </c>
      <c r="AM59" s="110">
        <v>-358213</v>
      </c>
      <c r="AN59" s="110">
        <v>2878648</v>
      </c>
      <c r="AO59" s="109"/>
      <c r="AP59" s="110">
        <v>-98659</v>
      </c>
      <c r="AQ59" s="110">
        <v>-98659</v>
      </c>
      <c r="AR59" s="110">
        <v>-98659</v>
      </c>
      <c r="AS59" s="110">
        <v>0</v>
      </c>
      <c r="AT59" s="110">
        <v>0</v>
      </c>
      <c r="AU59" s="110">
        <v>0</v>
      </c>
      <c r="AV59" s="110">
        <v>0</v>
      </c>
      <c r="AW59" s="110">
        <v>0</v>
      </c>
      <c r="AX59" s="110">
        <v>0</v>
      </c>
      <c r="AY59" s="110">
        <v>0</v>
      </c>
      <c r="AZ59" s="110">
        <v>0</v>
      </c>
      <c r="BA59" s="110">
        <v>0</v>
      </c>
    </row>
    <row r="60" spans="1:53" s="102" customFormat="1" outlineLevel="2">
      <c r="A60" s="102" t="s">
        <v>293</v>
      </c>
      <c r="B60" s="103" t="s">
        <v>294</v>
      </c>
      <c r="C60" s="104" t="s">
        <v>295</v>
      </c>
      <c r="D60" s="298"/>
      <c r="E60" s="299"/>
      <c r="F60" s="105">
        <v>0</v>
      </c>
      <c r="G60" s="105">
        <v>0</v>
      </c>
      <c r="H60" s="106">
        <f t="shared" si="4"/>
        <v>0</v>
      </c>
      <c r="I60" s="300">
        <f t="shared" si="5"/>
        <v>0</v>
      </c>
      <c r="J60" s="107"/>
      <c r="K60" s="105">
        <v>0</v>
      </c>
      <c r="L60" s="105">
        <v>0</v>
      </c>
      <c r="M60" s="106">
        <f>+K60-L60</f>
        <v>0</v>
      </c>
      <c r="N60" s="300">
        <f>IF(L60&lt;0,IF(M60=0,0,IF(OR(L60=0,K60=0),"N.M.",IF(ABS(M60/L60)&gt;=10,"N.M.",M60/(-L60)))),IF(M60=0,0,IF(OR(L60=0,K60=0),"N.M.",IF(ABS(M60/L60)&gt;=10,"N.M.",M60/L60))))</f>
        <v>0</v>
      </c>
      <c r="O60" s="301"/>
      <c r="P60" s="107"/>
      <c r="Q60" s="105">
        <v>0</v>
      </c>
      <c r="R60" s="105">
        <v>0</v>
      </c>
      <c r="S60" s="106">
        <f>+Q60-R60</f>
        <v>0</v>
      </c>
      <c r="T60" s="300">
        <f>IF(R60&lt;0,IF(S60=0,0,IF(OR(R60=0,Q60=0),"N.M.",IF(ABS(S60/R60)&gt;=10,"N.M.",S60/(-R60)))),IF(S60=0,0,IF(OR(R60=0,Q60=0),"N.M.",IF(ABS(S60/R60)&gt;=10,"N.M.",S60/R60))))</f>
        <v>0</v>
      </c>
      <c r="U60" s="107"/>
      <c r="V60" s="105">
        <v>-175806</v>
      </c>
      <c r="W60" s="105">
        <v>0</v>
      </c>
      <c r="X60" s="106">
        <f t="shared" si="6"/>
        <v>-175806</v>
      </c>
      <c r="Y60" s="300" t="str">
        <f t="shared" si="7"/>
        <v>N.M.</v>
      </c>
      <c r="Z60" s="302"/>
      <c r="AA60" s="108">
        <v>0</v>
      </c>
      <c r="AB60" s="109"/>
      <c r="AC60" s="110">
        <v>0</v>
      </c>
      <c r="AD60" s="110">
        <v>0</v>
      </c>
      <c r="AE60" s="110">
        <v>0</v>
      </c>
      <c r="AF60" s="110">
        <v>0</v>
      </c>
      <c r="AG60" s="110">
        <v>0</v>
      </c>
      <c r="AH60" s="110">
        <v>0</v>
      </c>
      <c r="AI60" s="110">
        <v>0</v>
      </c>
      <c r="AJ60" s="110">
        <v>0</v>
      </c>
      <c r="AK60" s="110">
        <v>0</v>
      </c>
      <c r="AL60" s="110">
        <v>0</v>
      </c>
      <c r="AM60" s="110">
        <v>0</v>
      </c>
      <c r="AN60" s="110">
        <v>-175806</v>
      </c>
      <c r="AO60" s="109"/>
      <c r="AP60" s="110">
        <v>0</v>
      </c>
      <c r="AQ60" s="110">
        <v>0</v>
      </c>
      <c r="AR60" s="110">
        <v>0</v>
      </c>
      <c r="AS60" s="110">
        <v>0</v>
      </c>
      <c r="AT60" s="110">
        <v>0</v>
      </c>
      <c r="AU60" s="110">
        <v>0</v>
      </c>
      <c r="AV60" s="110">
        <v>0</v>
      </c>
      <c r="AW60" s="110">
        <v>0</v>
      </c>
      <c r="AX60" s="110">
        <v>0</v>
      </c>
      <c r="AY60" s="110">
        <v>0</v>
      </c>
      <c r="AZ60" s="110">
        <v>0</v>
      </c>
      <c r="BA60" s="110">
        <v>0</v>
      </c>
    </row>
    <row r="61" spans="1:53" s="102" customFormat="1" outlineLevel="2">
      <c r="A61" s="102" t="s">
        <v>296</v>
      </c>
      <c r="B61" s="103" t="s">
        <v>297</v>
      </c>
      <c r="C61" s="104" t="s">
        <v>298</v>
      </c>
      <c r="D61" s="298"/>
      <c r="E61" s="299"/>
      <c r="F61" s="105">
        <v>38989</v>
      </c>
      <c r="G61" s="105">
        <v>0</v>
      </c>
      <c r="H61" s="106">
        <f t="shared" si="4"/>
        <v>38989</v>
      </c>
      <c r="I61" s="300" t="str">
        <f t="shared" si="5"/>
        <v>N.M.</v>
      </c>
      <c r="J61" s="107"/>
      <c r="K61" s="105">
        <v>116967</v>
      </c>
      <c r="L61" s="105">
        <v>0</v>
      </c>
      <c r="M61" s="106">
        <f>+K61-L61</f>
        <v>116967</v>
      </c>
      <c r="N61" s="300" t="str">
        <f>IF(L61&lt;0,IF(M61=0,0,IF(OR(L61=0,K61=0),"N.M.",IF(ABS(M61/L61)&gt;=10,"N.M.",M61/(-L61)))),IF(M61=0,0,IF(OR(L61=0,K61=0),"N.M.",IF(ABS(M61/L61)&gt;=10,"N.M.",M61/L61))))</f>
        <v>N.M.</v>
      </c>
      <c r="O61" s="301"/>
      <c r="P61" s="107"/>
      <c r="Q61" s="105">
        <v>116967</v>
      </c>
      <c r="R61" s="105">
        <v>0</v>
      </c>
      <c r="S61" s="106">
        <f>+Q61-R61</f>
        <v>116967</v>
      </c>
      <c r="T61" s="300" t="str">
        <f>IF(R61&lt;0,IF(S61=0,0,IF(OR(R61=0,Q61=0),"N.M.",IF(ABS(S61/R61)&gt;=10,"N.M.",S61/(-R61)))),IF(S61=0,0,IF(OR(R61=0,Q61=0),"N.M.",IF(ABS(S61/R61)&gt;=10,"N.M.",S61/R61))))</f>
        <v>N.M.</v>
      </c>
      <c r="U61" s="107"/>
      <c r="V61" s="105">
        <v>-4644606</v>
      </c>
      <c r="W61" s="105">
        <v>0</v>
      </c>
      <c r="X61" s="106">
        <f t="shared" si="6"/>
        <v>-4644606</v>
      </c>
      <c r="Y61" s="300" t="str">
        <f t="shared" si="7"/>
        <v>N.M.</v>
      </c>
      <c r="Z61" s="302"/>
      <c r="AA61" s="108">
        <v>0</v>
      </c>
      <c r="AB61" s="109"/>
      <c r="AC61" s="110">
        <v>0</v>
      </c>
      <c r="AD61" s="110">
        <v>0</v>
      </c>
      <c r="AE61" s="110">
        <v>0</v>
      </c>
      <c r="AF61" s="110">
        <v>0</v>
      </c>
      <c r="AG61" s="110">
        <v>0</v>
      </c>
      <c r="AH61" s="110">
        <v>0</v>
      </c>
      <c r="AI61" s="110">
        <v>0</v>
      </c>
      <c r="AJ61" s="110">
        <v>0</v>
      </c>
      <c r="AK61" s="110">
        <v>0</v>
      </c>
      <c r="AL61" s="110">
        <v>0</v>
      </c>
      <c r="AM61" s="110">
        <v>0</v>
      </c>
      <c r="AN61" s="110">
        <v>-4761573</v>
      </c>
      <c r="AO61" s="109"/>
      <c r="AP61" s="110">
        <v>38989</v>
      </c>
      <c r="AQ61" s="110">
        <v>38989</v>
      </c>
      <c r="AR61" s="110">
        <v>38989</v>
      </c>
      <c r="AS61" s="110">
        <v>0</v>
      </c>
      <c r="AT61" s="110">
        <v>0</v>
      </c>
      <c r="AU61" s="110">
        <v>0</v>
      </c>
      <c r="AV61" s="110">
        <v>0</v>
      </c>
      <c r="AW61" s="110">
        <v>0</v>
      </c>
      <c r="AX61" s="110">
        <v>0</v>
      </c>
      <c r="AY61" s="110">
        <v>0</v>
      </c>
      <c r="AZ61" s="110">
        <v>0</v>
      </c>
      <c r="BA61" s="110">
        <v>0</v>
      </c>
    </row>
    <row r="62" spans="1:53" outlineLevel="1">
      <c r="A62" s="111" t="s">
        <v>299</v>
      </c>
      <c r="B62" s="331"/>
      <c r="C62" s="347" t="s">
        <v>300</v>
      </c>
      <c r="D62" s="342"/>
      <c r="E62" s="342"/>
      <c r="F62" s="333">
        <v>-59670</v>
      </c>
      <c r="G62" s="333">
        <v>-358213</v>
      </c>
      <c r="H62" s="133">
        <f t="shared" si="4"/>
        <v>298543</v>
      </c>
      <c r="I62" s="138">
        <f t="shared" si="5"/>
        <v>0.83342313093047993</v>
      </c>
      <c r="J62" s="157"/>
      <c r="K62" s="333">
        <v>-179010</v>
      </c>
      <c r="L62" s="333">
        <v>-1074639</v>
      </c>
      <c r="M62" s="133">
        <f>+K62-L62</f>
        <v>895629</v>
      </c>
      <c r="N62" s="137">
        <f>IF(L62&lt;0,IF(M62=0,0,IF(OR(L62=0,K62=0),"N.M.",IF(ABS(M62/L62)&gt;=10,"N.M.",M62/(-L62)))),IF(M62=0,0,IF(OR(L62=0,K62=0),"N.M.",IF(ABS(M62/L62)&gt;=10,"N.M.",M62/L62))))</f>
        <v>0.83342313093047993</v>
      </c>
      <c r="O62" s="344"/>
      <c r="P62" s="344"/>
      <c r="Q62" s="333">
        <v>-179010</v>
      </c>
      <c r="R62" s="333">
        <v>-1074639</v>
      </c>
      <c r="S62" s="133">
        <f>+Q62-R62</f>
        <v>895629</v>
      </c>
      <c r="T62" s="138">
        <f>IF(R62&lt;0,IF(S62=0,0,IF(OR(R62=0,Q62=0),"N.M.",IF(ABS(S62/R62)&gt;=10,"N.M.",S62/(-R62)))),IF(S62=0,0,IF(OR(R62=0,Q62=0),"N.M.",IF(ABS(S62/R62)&gt;=10,"N.M.",S62/R62))))</f>
        <v>0.83342313093047993</v>
      </c>
      <c r="U62" s="344"/>
      <c r="V62" s="333">
        <v>-5103445</v>
      </c>
      <c r="W62" s="333">
        <v>-1074639</v>
      </c>
      <c r="X62" s="133">
        <f t="shared" si="6"/>
        <v>-4028806</v>
      </c>
      <c r="Y62" s="137">
        <f t="shared" si="7"/>
        <v>-3.7489854732612535</v>
      </c>
      <c r="Z62" s="111"/>
      <c r="AA62" s="139">
        <v>0</v>
      </c>
      <c r="AB62" s="346"/>
      <c r="AC62" s="333">
        <v>-358213</v>
      </c>
      <c r="AD62" s="333">
        <v>-358213</v>
      </c>
      <c r="AE62" s="333">
        <v>-358213</v>
      </c>
      <c r="AF62" s="333">
        <v>-358213</v>
      </c>
      <c r="AG62" s="333">
        <v>-358213</v>
      </c>
      <c r="AH62" s="333">
        <v>-358213</v>
      </c>
      <c r="AI62" s="333">
        <v>-358213</v>
      </c>
      <c r="AJ62" s="333">
        <v>-358213</v>
      </c>
      <c r="AK62" s="333">
        <v>-358213</v>
      </c>
      <c r="AL62" s="333">
        <v>-358213</v>
      </c>
      <c r="AM62" s="333">
        <v>-358213</v>
      </c>
      <c r="AN62" s="333">
        <v>-2058731</v>
      </c>
      <c r="AO62" s="346"/>
      <c r="AP62" s="333">
        <v>-59670</v>
      </c>
      <c r="AQ62" s="333">
        <v>-59670</v>
      </c>
      <c r="AR62" s="333">
        <v>-59670</v>
      </c>
      <c r="AS62" s="333">
        <v>0</v>
      </c>
      <c r="AT62" s="333">
        <v>0</v>
      </c>
      <c r="AU62" s="333">
        <v>0</v>
      </c>
      <c r="AV62" s="333">
        <v>0</v>
      </c>
      <c r="AW62" s="333">
        <v>0</v>
      </c>
      <c r="AX62" s="333">
        <v>0</v>
      </c>
      <c r="AY62" s="333">
        <v>0</v>
      </c>
      <c r="AZ62" s="333">
        <v>0</v>
      </c>
      <c r="BA62" s="333">
        <v>0</v>
      </c>
    </row>
    <row r="63" spans="1:53" ht="0.75" customHeight="1" outlineLevel="2">
      <c r="B63" s="331"/>
      <c r="C63" s="347"/>
      <c r="D63" s="342"/>
      <c r="E63" s="342"/>
      <c r="F63" s="333"/>
      <c r="G63" s="333"/>
      <c r="H63" s="133"/>
      <c r="I63" s="138"/>
      <c r="J63" s="157"/>
      <c r="K63" s="333"/>
      <c r="L63" s="333"/>
      <c r="M63" s="133"/>
      <c r="N63" s="137"/>
      <c r="O63" s="344"/>
      <c r="P63" s="344"/>
      <c r="Q63" s="333"/>
      <c r="R63" s="333"/>
      <c r="S63" s="133"/>
      <c r="T63" s="138"/>
      <c r="U63" s="344"/>
      <c r="V63" s="333"/>
      <c r="W63" s="333"/>
      <c r="X63" s="133"/>
      <c r="Y63" s="137"/>
      <c r="Z63" s="111"/>
      <c r="AA63" s="139"/>
      <c r="AB63" s="346"/>
      <c r="AC63" s="333"/>
      <c r="AD63" s="333"/>
      <c r="AE63" s="333"/>
      <c r="AF63" s="333"/>
      <c r="AG63" s="333"/>
      <c r="AH63" s="333"/>
      <c r="AI63" s="333"/>
      <c r="AJ63" s="333"/>
      <c r="AK63" s="333"/>
      <c r="AL63" s="333"/>
      <c r="AM63" s="333"/>
      <c r="AN63" s="333"/>
      <c r="AO63" s="346"/>
      <c r="AP63" s="333"/>
      <c r="AQ63" s="333"/>
      <c r="AR63" s="333"/>
      <c r="AS63" s="333"/>
      <c r="AT63" s="333"/>
      <c r="AU63" s="333"/>
      <c r="AV63" s="333"/>
      <c r="AW63" s="333"/>
      <c r="AX63" s="333"/>
      <c r="AY63" s="333"/>
      <c r="AZ63" s="333"/>
      <c r="BA63" s="333"/>
    </row>
    <row r="64" spans="1:53" s="102" customFormat="1" outlineLevel="2">
      <c r="A64" s="102" t="s">
        <v>301</v>
      </c>
      <c r="B64" s="103" t="s">
        <v>302</v>
      </c>
      <c r="C64" s="104" t="s">
        <v>303</v>
      </c>
      <c r="D64" s="298"/>
      <c r="E64" s="299"/>
      <c r="F64" s="105">
        <v>147301.44</v>
      </c>
      <c r="G64" s="105">
        <v>113155.67</v>
      </c>
      <c r="H64" s="106">
        <f t="shared" ref="H64:H94" si="8">+F64-G64</f>
        <v>34145.770000000004</v>
      </c>
      <c r="I64" s="300">
        <f t="shared" ref="I64:I94" si="9">IF(G64&lt;0,IF(H64=0,0,IF(OR(G64=0,F64=0),"N.M.",IF(ABS(H64/G64)&gt;=10,"N.M.",H64/(-G64)))),IF(H64=0,0,IF(OR(G64=0,F64=0),"N.M.",IF(ABS(H64/G64)&gt;=10,"N.M.",H64/G64))))</f>
        <v>0.30175924900625839</v>
      </c>
      <c r="J64" s="107"/>
      <c r="K64" s="105">
        <v>468243.23</v>
      </c>
      <c r="L64" s="105">
        <v>500811.59</v>
      </c>
      <c r="M64" s="106">
        <f t="shared" ref="M64:M94" si="10">+K64-L64</f>
        <v>-32568.360000000044</v>
      </c>
      <c r="N64" s="300">
        <f t="shared" ref="N64:N94" si="11">IF(L64&lt;0,IF(M64=0,0,IF(OR(L64=0,K64=0),"N.M.",IF(ABS(M64/L64)&gt;=10,"N.M.",M64/(-L64)))),IF(M64=0,0,IF(OR(L64=0,K64=0),"N.M.",IF(ABS(M64/L64)&gt;=10,"N.M.",M64/L64))))</f>
        <v>-6.5031162717300611E-2</v>
      </c>
      <c r="O64" s="301"/>
      <c r="P64" s="107"/>
      <c r="Q64" s="105">
        <v>468243.23</v>
      </c>
      <c r="R64" s="105">
        <v>500811.59</v>
      </c>
      <c r="S64" s="106">
        <f t="shared" ref="S64:S94" si="12">+Q64-R64</f>
        <v>-32568.360000000044</v>
      </c>
      <c r="T64" s="300">
        <f t="shared" ref="T64:T94" si="13">IF(R64&lt;0,IF(S64=0,0,IF(OR(R64=0,Q64=0),"N.M.",IF(ABS(S64/R64)&gt;=10,"N.M.",S64/(-R64)))),IF(S64=0,0,IF(OR(R64=0,Q64=0),"N.M.",IF(ABS(S64/R64)&gt;=10,"N.M.",S64/R64))))</f>
        <v>-6.5031162717300611E-2</v>
      </c>
      <c r="U64" s="107"/>
      <c r="V64" s="105">
        <v>1803105.37</v>
      </c>
      <c r="W64" s="105">
        <v>1438541.6600000001</v>
      </c>
      <c r="X64" s="106">
        <f t="shared" ref="X64:X94" si="14">+V64-W64</f>
        <v>364563.70999999996</v>
      </c>
      <c r="Y64" s="300">
        <f t="shared" ref="Y64:Y94" si="15">IF(W64&lt;0,IF(X64=0,0,IF(OR(W64=0,V64=0),"N.M.",IF(ABS(X64/W64)&gt;=10,"N.M.",X64/(-W64)))),IF(X64=0,0,IF(OR(W64=0,V64=0),"N.M.",IF(ABS(X64/W64)&gt;=10,"N.M.",X64/W64))))</f>
        <v>0.25342589661254572</v>
      </c>
      <c r="Z64" s="302"/>
      <c r="AA64" s="108">
        <v>177911.62</v>
      </c>
      <c r="AB64" s="109"/>
      <c r="AC64" s="110">
        <v>166013.45000000001</v>
      </c>
      <c r="AD64" s="110">
        <v>221642.47</v>
      </c>
      <c r="AE64" s="110">
        <v>113155.67</v>
      </c>
      <c r="AF64" s="110">
        <v>134649.86000000002</v>
      </c>
      <c r="AG64" s="110">
        <v>67762.720000000001</v>
      </c>
      <c r="AH64" s="110">
        <v>196873.25</v>
      </c>
      <c r="AI64" s="110">
        <v>186207.55000000002</v>
      </c>
      <c r="AJ64" s="110">
        <v>179170.2</v>
      </c>
      <c r="AK64" s="110">
        <v>227446.87</v>
      </c>
      <c r="AL64" s="110">
        <v>74583.55</v>
      </c>
      <c r="AM64" s="110">
        <v>114815.07</v>
      </c>
      <c r="AN64" s="110">
        <v>153353.07</v>
      </c>
      <c r="AO64" s="109"/>
      <c r="AP64" s="110">
        <v>244881.44</v>
      </c>
      <c r="AQ64" s="110">
        <v>76060.350000000006</v>
      </c>
      <c r="AR64" s="110">
        <v>147301.44</v>
      </c>
      <c r="AS64" s="110">
        <v>0</v>
      </c>
      <c r="AT64" s="110">
        <v>0</v>
      </c>
      <c r="AU64" s="110">
        <v>0</v>
      </c>
      <c r="AV64" s="110">
        <v>0</v>
      </c>
      <c r="AW64" s="110">
        <v>0</v>
      </c>
      <c r="AX64" s="110">
        <v>0</v>
      </c>
      <c r="AY64" s="110">
        <v>0</v>
      </c>
      <c r="AZ64" s="110">
        <v>0</v>
      </c>
      <c r="BA64" s="110">
        <v>0</v>
      </c>
    </row>
    <row r="65" spans="1:53" s="102" customFormat="1" outlineLevel="2">
      <c r="A65" s="102" t="s">
        <v>304</v>
      </c>
      <c r="B65" s="103" t="s">
        <v>305</v>
      </c>
      <c r="C65" s="104" t="s">
        <v>306</v>
      </c>
      <c r="D65" s="298"/>
      <c r="E65" s="299"/>
      <c r="F65" s="105">
        <v>10431.210000000001</v>
      </c>
      <c r="G65" s="105">
        <v>14202.4</v>
      </c>
      <c r="H65" s="106">
        <f t="shared" si="8"/>
        <v>-3771.1899999999987</v>
      </c>
      <c r="I65" s="300">
        <f t="shared" si="9"/>
        <v>-0.26553188193544747</v>
      </c>
      <c r="J65" s="107"/>
      <c r="K65" s="105">
        <v>32632.100000000002</v>
      </c>
      <c r="L65" s="105">
        <v>33720.69</v>
      </c>
      <c r="M65" s="106">
        <f t="shared" si="10"/>
        <v>-1088.5900000000001</v>
      </c>
      <c r="N65" s="300">
        <f t="shared" si="11"/>
        <v>-3.2282554123299376E-2</v>
      </c>
      <c r="O65" s="301"/>
      <c r="P65" s="107"/>
      <c r="Q65" s="105">
        <v>32632.100000000002</v>
      </c>
      <c r="R65" s="105">
        <v>33720.69</v>
      </c>
      <c r="S65" s="106">
        <f t="shared" si="12"/>
        <v>-1088.5900000000001</v>
      </c>
      <c r="T65" s="300">
        <f t="shared" si="13"/>
        <v>-3.2282554123299376E-2</v>
      </c>
      <c r="U65" s="107"/>
      <c r="V65" s="105">
        <v>158578.51</v>
      </c>
      <c r="W65" s="105">
        <v>200210.37</v>
      </c>
      <c r="X65" s="106">
        <f t="shared" si="14"/>
        <v>-41631.859999999986</v>
      </c>
      <c r="Y65" s="300">
        <f t="shared" si="15"/>
        <v>-0.20794057770334268</v>
      </c>
      <c r="Z65" s="302"/>
      <c r="AA65" s="108">
        <v>12076.460000000001</v>
      </c>
      <c r="AB65" s="109"/>
      <c r="AC65" s="110">
        <v>7350.24</v>
      </c>
      <c r="AD65" s="110">
        <v>12168.050000000001</v>
      </c>
      <c r="AE65" s="110">
        <v>14202.4</v>
      </c>
      <c r="AF65" s="110">
        <v>17173.02</v>
      </c>
      <c r="AG65" s="110">
        <v>11457.34</v>
      </c>
      <c r="AH65" s="110">
        <v>19488.66</v>
      </c>
      <c r="AI65" s="110">
        <v>21735.09</v>
      </c>
      <c r="AJ65" s="110">
        <v>18151.97</v>
      </c>
      <c r="AK65" s="110">
        <v>10296.86</v>
      </c>
      <c r="AL65" s="110">
        <v>14566.09</v>
      </c>
      <c r="AM65" s="110">
        <v>5115.29</v>
      </c>
      <c r="AN65" s="110">
        <v>7962.09</v>
      </c>
      <c r="AO65" s="109"/>
      <c r="AP65" s="110">
        <v>8491.2199999999993</v>
      </c>
      <c r="AQ65" s="110">
        <v>13709.67</v>
      </c>
      <c r="AR65" s="110">
        <v>10431.210000000001</v>
      </c>
      <c r="AS65" s="110">
        <v>0</v>
      </c>
      <c r="AT65" s="110">
        <v>0</v>
      </c>
      <c r="AU65" s="110">
        <v>0</v>
      </c>
      <c r="AV65" s="110">
        <v>0</v>
      </c>
      <c r="AW65" s="110">
        <v>0</v>
      </c>
      <c r="AX65" s="110">
        <v>0</v>
      </c>
      <c r="AY65" s="110">
        <v>0</v>
      </c>
      <c r="AZ65" s="110">
        <v>0</v>
      </c>
      <c r="BA65" s="110">
        <v>0</v>
      </c>
    </row>
    <row r="66" spans="1:53" s="102" customFormat="1" outlineLevel="2">
      <c r="A66" s="102" t="s">
        <v>307</v>
      </c>
      <c r="B66" s="103" t="s">
        <v>308</v>
      </c>
      <c r="C66" s="104" t="s">
        <v>309</v>
      </c>
      <c r="D66" s="298"/>
      <c r="E66" s="299"/>
      <c r="F66" s="105">
        <v>95349.400000000009</v>
      </c>
      <c r="G66" s="105">
        <v>130528.05</v>
      </c>
      <c r="H66" s="106">
        <f t="shared" si="8"/>
        <v>-35178.649999999994</v>
      </c>
      <c r="I66" s="300">
        <f t="shared" si="9"/>
        <v>-0.26951027001475925</v>
      </c>
      <c r="J66" s="107"/>
      <c r="K66" s="105">
        <v>286218.72000000003</v>
      </c>
      <c r="L66" s="105">
        <v>382899.09</v>
      </c>
      <c r="M66" s="106">
        <f t="shared" si="10"/>
        <v>-96680.37</v>
      </c>
      <c r="N66" s="300">
        <f t="shared" si="11"/>
        <v>-0.25249569018301921</v>
      </c>
      <c r="O66" s="301"/>
      <c r="P66" s="107"/>
      <c r="Q66" s="105">
        <v>286218.72000000003</v>
      </c>
      <c r="R66" s="105">
        <v>382899.09</v>
      </c>
      <c r="S66" s="106">
        <f t="shared" si="12"/>
        <v>-96680.37</v>
      </c>
      <c r="T66" s="300">
        <f t="shared" si="13"/>
        <v>-0.25249569018301921</v>
      </c>
      <c r="U66" s="107"/>
      <c r="V66" s="105">
        <v>1453442.7</v>
      </c>
      <c r="W66" s="105">
        <v>1561710.307</v>
      </c>
      <c r="X66" s="106">
        <f t="shared" si="14"/>
        <v>-108267.60700000008</v>
      </c>
      <c r="Y66" s="300">
        <f t="shared" si="15"/>
        <v>-6.932630623920194E-2</v>
      </c>
      <c r="Z66" s="302"/>
      <c r="AA66" s="108">
        <v>136428.08300000001</v>
      </c>
      <c r="AB66" s="109"/>
      <c r="AC66" s="110">
        <v>126207.89</v>
      </c>
      <c r="AD66" s="110">
        <v>126163.15000000001</v>
      </c>
      <c r="AE66" s="110">
        <v>130528.05</v>
      </c>
      <c r="AF66" s="110">
        <v>130039.97</v>
      </c>
      <c r="AG66" s="110">
        <v>129994.46</v>
      </c>
      <c r="AH66" s="110">
        <v>129942.62000000001</v>
      </c>
      <c r="AI66" s="110">
        <v>129850.24000000001</v>
      </c>
      <c r="AJ66" s="110">
        <v>129905.60000000001</v>
      </c>
      <c r="AK66" s="110">
        <v>129792.14</v>
      </c>
      <c r="AL66" s="110">
        <v>129666.19</v>
      </c>
      <c r="AM66" s="110">
        <v>129072.26000000001</v>
      </c>
      <c r="AN66" s="110">
        <v>128960.5</v>
      </c>
      <c r="AO66" s="109"/>
      <c r="AP66" s="110">
        <v>95478.53</v>
      </c>
      <c r="AQ66" s="110">
        <v>95390.790000000008</v>
      </c>
      <c r="AR66" s="110">
        <v>95349.400000000009</v>
      </c>
      <c r="AS66" s="110">
        <v>72985.86</v>
      </c>
      <c r="AT66" s="110">
        <v>0</v>
      </c>
      <c r="AU66" s="110">
        <v>0</v>
      </c>
      <c r="AV66" s="110">
        <v>0</v>
      </c>
      <c r="AW66" s="110">
        <v>0</v>
      </c>
      <c r="AX66" s="110">
        <v>0</v>
      </c>
      <c r="AY66" s="110">
        <v>0</v>
      </c>
      <c r="AZ66" s="110">
        <v>0</v>
      </c>
      <c r="BA66" s="110">
        <v>0</v>
      </c>
    </row>
    <row r="67" spans="1:53" s="102" customFormat="1" outlineLevel="2">
      <c r="A67" s="102" t="s">
        <v>310</v>
      </c>
      <c r="B67" s="103" t="s">
        <v>311</v>
      </c>
      <c r="C67" s="104" t="s">
        <v>312</v>
      </c>
      <c r="D67" s="298"/>
      <c r="E67" s="299"/>
      <c r="F67" s="105">
        <v>66825.02</v>
      </c>
      <c r="G67" s="105">
        <v>131420.76999999999</v>
      </c>
      <c r="H67" s="106">
        <f t="shared" si="8"/>
        <v>-64595.749999999985</v>
      </c>
      <c r="I67" s="300">
        <f t="shared" si="9"/>
        <v>-0.49151857807559635</v>
      </c>
      <c r="J67" s="107"/>
      <c r="K67" s="105">
        <v>212567.36000000002</v>
      </c>
      <c r="L67" s="105">
        <v>329979.2</v>
      </c>
      <c r="M67" s="106">
        <f t="shared" si="10"/>
        <v>-117411.84</v>
      </c>
      <c r="N67" s="300">
        <f t="shared" si="11"/>
        <v>-0.35581588172830286</v>
      </c>
      <c r="O67" s="301"/>
      <c r="P67" s="107"/>
      <c r="Q67" s="105">
        <v>212567.36000000002</v>
      </c>
      <c r="R67" s="105">
        <v>329979.2</v>
      </c>
      <c r="S67" s="106">
        <f t="shared" si="12"/>
        <v>-117411.84</v>
      </c>
      <c r="T67" s="300">
        <f t="shared" si="13"/>
        <v>-0.35581588172830286</v>
      </c>
      <c r="U67" s="107"/>
      <c r="V67" s="105">
        <v>931621.05</v>
      </c>
      <c r="W67" s="105">
        <v>1029658.46</v>
      </c>
      <c r="X67" s="106">
        <f t="shared" si="14"/>
        <v>-98037.409999999916</v>
      </c>
      <c r="Y67" s="300">
        <f t="shared" si="15"/>
        <v>-9.5213523521187712E-2</v>
      </c>
      <c r="Z67" s="302"/>
      <c r="AA67" s="108">
        <v>84537.430000000008</v>
      </c>
      <c r="AB67" s="109"/>
      <c r="AC67" s="110">
        <v>59606.32</v>
      </c>
      <c r="AD67" s="110">
        <v>138952.11000000002</v>
      </c>
      <c r="AE67" s="110">
        <v>131420.76999999999</v>
      </c>
      <c r="AF67" s="110">
        <v>14016.85</v>
      </c>
      <c r="AG67" s="110">
        <v>42686.090000000004</v>
      </c>
      <c r="AH67" s="110">
        <v>43636.67</v>
      </c>
      <c r="AI67" s="110">
        <v>45648.3</v>
      </c>
      <c r="AJ67" s="110">
        <v>55495.68</v>
      </c>
      <c r="AK67" s="110">
        <v>103330.51000000001</v>
      </c>
      <c r="AL67" s="110">
        <v>135860.36000000002</v>
      </c>
      <c r="AM67" s="110">
        <v>143003.49</v>
      </c>
      <c r="AN67" s="110">
        <v>135375.74</v>
      </c>
      <c r="AO67" s="109"/>
      <c r="AP67" s="110">
        <v>86183.76</v>
      </c>
      <c r="AQ67" s="110">
        <v>59558.58</v>
      </c>
      <c r="AR67" s="110">
        <v>66825.02</v>
      </c>
      <c r="AS67" s="110">
        <v>-200</v>
      </c>
      <c r="AT67" s="110">
        <v>0</v>
      </c>
      <c r="AU67" s="110">
        <v>0</v>
      </c>
      <c r="AV67" s="110">
        <v>0</v>
      </c>
      <c r="AW67" s="110">
        <v>0</v>
      </c>
      <c r="AX67" s="110">
        <v>0</v>
      </c>
      <c r="AY67" s="110">
        <v>0</v>
      </c>
      <c r="AZ67" s="110">
        <v>0</v>
      </c>
      <c r="BA67" s="110">
        <v>0</v>
      </c>
    </row>
    <row r="68" spans="1:53" s="102" customFormat="1" outlineLevel="2">
      <c r="A68" s="102" t="s">
        <v>313</v>
      </c>
      <c r="B68" s="103" t="s">
        <v>314</v>
      </c>
      <c r="C68" s="104" t="s">
        <v>315</v>
      </c>
      <c r="D68" s="298"/>
      <c r="E68" s="299"/>
      <c r="F68" s="105">
        <v>15203.49</v>
      </c>
      <c r="G68" s="105">
        <v>21992.240000000002</v>
      </c>
      <c r="H68" s="106">
        <f t="shared" si="8"/>
        <v>-6788.7500000000018</v>
      </c>
      <c r="I68" s="300">
        <f t="shared" si="9"/>
        <v>-0.3086884282819759</v>
      </c>
      <c r="J68" s="107"/>
      <c r="K68" s="105">
        <v>31141.22</v>
      </c>
      <c r="L68" s="105">
        <v>31735.420000000002</v>
      </c>
      <c r="M68" s="106">
        <f t="shared" si="10"/>
        <v>-594.20000000000073</v>
      </c>
      <c r="N68" s="300">
        <f t="shared" si="11"/>
        <v>-1.8723558723974684E-2</v>
      </c>
      <c r="O68" s="301"/>
      <c r="P68" s="107"/>
      <c r="Q68" s="105">
        <v>31141.22</v>
      </c>
      <c r="R68" s="105">
        <v>31735.420000000002</v>
      </c>
      <c r="S68" s="106">
        <f t="shared" si="12"/>
        <v>-594.20000000000073</v>
      </c>
      <c r="T68" s="300">
        <f t="shared" si="13"/>
        <v>-1.8723558723974684E-2</v>
      </c>
      <c r="U68" s="107"/>
      <c r="V68" s="105">
        <v>136463.85999999999</v>
      </c>
      <c r="W68" s="105">
        <v>147903.54</v>
      </c>
      <c r="X68" s="106">
        <f t="shared" si="14"/>
        <v>-11439.680000000022</v>
      </c>
      <c r="Y68" s="300">
        <f t="shared" si="15"/>
        <v>-7.7345545617096265E-2</v>
      </c>
      <c r="Z68" s="302"/>
      <c r="AA68" s="108">
        <v>29076.52</v>
      </c>
      <c r="AB68" s="109"/>
      <c r="AC68" s="110">
        <v>3245.17</v>
      </c>
      <c r="AD68" s="110">
        <v>6498.01</v>
      </c>
      <c r="AE68" s="110">
        <v>21992.240000000002</v>
      </c>
      <c r="AF68" s="110">
        <v>3498.01</v>
      </c>
      <c r="AG68" s="110">
        <v>3498.01</v>
      </c>
      <c r="AH68" s="110">
        <v>23645.18</v>
      </c>
      <c r="AI68" s="110">
        <v>3498.01</v>
      </c>
      <c r="AJ68" s="110">
        <v>3498.01</v>
      </c>
      <c r="AK68" s="110">
        <v>22645.200000000001</v>
      </c>
      <c r="AL68" s="110">
        <v>18897.010000000002</v>
      </c>
      <c r="AM68" s="110">
        <v>3498.01</v>
      </c>
      <c r="AN68" s="110">
        <v>22645.200000000001</v>
      </c>
      <c r="AO68" s="109"/>
      <c r="AP68" s="110">
        <v>12439.720000000001</v>
      </c>
      <c r="AQ68" s="110">
        <v>3498.01</v>
      </c>
      <c r="AR68" s="110">
        <v>15203.49</v>
      </c>
      <c r="AS68" s="110">
        <v>0</v>
      </c>
      <c r="AT68" s="110">
        <v>0</v>
      </c>
      <c r="AU68" s="110">
        <v>0</v>
      </c>
      <c r="AV68" s="110">
        <v>0</v>
      </c>
      <c r="AW68" s="110">
        <v>0</v>
      </c>
      <c r="AX68" s="110">
        <v>0</v>
      </c>
      <c r="AY68" s="110">
        <v>0</v>
      </c>
      <c r="AZ68" s="110">
        <v>0</v>
      </c>
      <c r="BA68" s="110">
        <v>0</v>
      </c>
    </row>
    <row r="69" spans="1:53" s="102" customFormat="1" outlineLevel="2">
      <c r="A69" s="102" t="s">
        <v>316</v>
      </c>
      <c r="B69" s="103" t="s">
        <v>317</v>
      </c>
      <c r="C69" s="104" t="s">
        <v>318</v>
      </c>
      <c r="D69" s="298"/>
      <c r="E69" s="299"/>
      <c r="F69" s="105">
        <v>372586.74</v>
      </c>
      <c r="G69" s="105">
        <v>366551.8</v>
      </c>
      <c r="H69" s="106">
        <f t="shared" si="8"/>
        <v>6034.9400000000023</v>
      </c>
      <c r="I69" s="300">
        <f t="shared" si="9"/>
        <v>1.646408502154403E-2</v>
      </c>
      <c r="J69" s="107"/>
      <c r="K69" s="105">
        <v>1118262.31</v>
      </c>
      <c r="L69" s="105">
        <v>1079654.25</v>
      </c>
      <c r="M69" s="106">
        <f t="shared" si="10"/>
        <v>38608.060000000056</v>
      </c>
      <c r="N69" s="300">
        <f t="shared" si="11"/>
        <v>3.5759651758884896E-2</v>
      </c>
      <c r="O69" s="301"/>
      <c r="P69" s="107"/>
      <c r="Q69" s="105">
        <v>1118262.31</v>
      </c>
      <c r="R69" s="105">
        <v>1079654.25</v>
      </c>
      <c r="S69" s="106">
        <f t="shared" si="12"/>
        <v>38608.060000000056</v>
      </c>
      <c r="T69" s="300">
        <f t="shared" si="13"/>
        <v>3.5759651758884896E-2</v>
      </c>
      <c r="U69" s="107"/>
      <c r="V69" s="105">
        <v>4396303.5199999996</v>
      </c>
      <c r="W69" s="105">
        <v>2905522.31</v>
      </c>
      <c r="X69" s="106">
        <f t="shared" si="14"/>
        <v>1490781.2099999995</v>
      </c>
      <c r="Y69" s="300">
        <f t="shared" si="15"/>
        <v>0.5130854459004307</v>
      </c>
      <c r="Z69" s="302"/>
      <c r="AA69" s="108">
        <v>290146.73</v>
      </c>
      <c r="AB69" s="109"/>
      <c r="AC69" s="110">
        <v>354539.29</v>
      </c>
      <c r="AD69" s="110">
        <v>358563.16000000003</v>
      </c>
      <c r="AE69" s="110">
        <v>366551.8</v>
      </c>
      <c r="AF69" s="110">
        <v>366551.8</v>
      </c>
      <c r="AG69" s="110">
        <v>366551.8</v>
      </c>
      <c r="AH69" s="110">
        <v>362280.91000000003</v>
      </c>
      <c r="AI69" s="110">
        <v>377101.54</v>
      </c>
      <c r="AJ69" s="110">
        <v>349033.44</v>
      </c>
      <c r="AK69" s="110">
        <v>366040.03</v>
      </c>
      <c r="AL69" s="110">
        <v>363493.99</v>
      </c>
      <c r="AM69" s="110">
        <v>363493.99</v>
      </c>
      <c r="AN69" s="110">
        <v>363493.71</v>
      </c>
      <c r="AO69" s="109"/>
      <c r="AP69" s="110">
        <v>372187.86</v>
      </c>
      <c r="AQ69" s="110">
        <v>373487.71</v>
      </c>
      <c r="AR69" s="110">
        <v>372586.74</v>
      </c>
      <c r="AS69" s="110">
        <v>0</v>
      </c>
      <c r="AT69" s="110">
        <v>0</v>
      </c>
      <c r="AU69" s="110">
        <v>0</v>
      </c>
      <c r="AV69" s="110">
        <v>0</v>
      </c>
      <c r="AW69" s="110">
        <v>0</v>
      </c>
      <c r="AX69" s="110">
        <v>0</v>
      </c>
      <c r="AY69" s="110">
        <v>0</v>
      </c>
      <c r="AZ69" s="110">
        <v>0</v>
      </c>
      <c r="BA69" s="110">
        <v>0</v>
      </c>
    </row>
    <row r="70" spans="1:53" s="102" customFormat="1" outlineLevel="2">
      <c r="A70" s="102" t="s">
        <v>319</v>
      </c>
      <c r="B70" s="103" t="s">
        <v>320</v>
      </c>
      <c r="C70" s="104" t="s">
        <v>321</v>
      </c>
      <c r="D70" s="298"/>
      <c r="E70" s="299"/>
      <c r="F70" s="105">
        <v>37383.050000000003</v>
      </c>
      <c r="G70" s="105">
        <v>25228.420000000002</v>
      </c>
      <c r="H70" s="106">
        <f t="shared" si="8"/>
        <v>12154.630000000001</v>
      </c>
      <c r="I70" s="300">
        <f t="shared" si="9"/>
        <v>0.48178324286657664</v>
      </c>
      <c r="J70" s="107"/>
      <c r="K70" s="105">
        <v>126262.52</v>
      </c>
      <c r="L70" s="105">
        <v>88634.02</v>
      </c>
      <c r="M70" s="106">
        <f t="shared" si="10"/>
        <v>37628.5</v>
      </c>
      <c r="N70" s="300">
        <f t="shared" si="11"/>
        <v>0.42453789188395152</v>
      </c>
      <c r="O70" s="301"/>
      <c r="P70" s="107"/>
      <c r="Q70" s="105">
        <v>126262.52</v>
      </c>
      <c r="R70" s="105">
        <v>88634.02</v>
      </c>
      <c r="S70" s="106">
        <f t="shared" si="12"/>
        <v>37628.5</v>
      </c>
      <c r="T70" s="300">
        <f t="shared" si="13"/>
        <v>0.42453789188395152</v>
      </c>
      <c r="U70" s="107"/>
      <c r="V70" s="105">
        <v>307779.57</v>
      </c>
      <c r="W70" s="105">
        <v>267511.44</v>
      </c>
      <c r="X70" s="106">
        <f t="shared" si="14"/>
        <v>40268.130000000005</v>
      </c>
      <c r="Y70" s="300">
        <f t="shared" si="15"/>
        <v>0.15052862785980295</v>
      </c>
      <c r="Z70" s="302"/>
      <c r="AA70" s="108">
        <v>34553.300000000003</v>
      </c>
      <c r="AB70" s="109"/>
      <c r="AC70" s="110">
        <v>29187.9</v>
      </c>
      <c r="AD70" s="110">
        <v>34217.699999999997</v>
      </c>
      <c r="AE70" s="110">
        <v>25228.420000000002</v>
      </c>
      <c r="AF70" s="110">
        <v>20411.45</v>
      </c>
      <c r="AG70" s="110">
        <v>16489.27</v>
      </c>
      <c r="AH70" s="110">
        <v>18709.61</v>
      </c>
      <c r="AI70" s="110">
        <v>22172.54</v>
      </c>
      <c r="AJ70" s="110">
        <v>22275.77</v>
      </c>
      <c r="AK70" s="110">
        <v>19977.62</v>
      </c>
      <c r="AL70" s="110">
        <v>16385.939999999999</v>
      </c>
      <c r="AM70" s="110">
        <v>18416.560000000001</v>
      </c>
      <c r="AN70" s="110">
        <v>26678.29</v>
      </c>
      <c r="AO70" s="109"/>
      <c r="AP70" s="110">
        <v>43231.03</v>
      </c>
      <c r="AQ70" s="110">
        <v>45648.44</v>
      </c>
      <c r="AR70" s="110">
        <v>37383.050000000003</v>
      </c>
      <c r="AS70" s="110">
        <v>0</v>
      </c>
      <c r="AT70" s="110">
        <v>0</v>
      </c>
      <c r="AU70" s="110">
        <v>0</v>
      </c>
      <c r="AV70" s="110">
        <v>0</v>
      </c>
      <c r="AW70" s="110">
        <v>0</v>
      </c>
      <c r="AX70" s="110">
        <v>0</v>
      </c>
      <c r="AY70" s="110">
        <v>0</v>
      </c>
      <c r="AZ70" s="110">
        <v>0</v>
      </c>
      <c r="BA70" s="110">
        <v>0</v>
      </c>
    </row>
    <row r="71" spans="1:53" s="102" customFormat="1" outlineLevel="2">
      <c r="A71" s="102" t="s">
        <v>322</v>
      </c>
      <c r="B71" s="103" t="s">
        <v>323</v>
      </c>
      <c r="C71" s="104" t="s">
        <v>324</v>
      </c>
      <c r="D71" s="298"/>
      <c r="E71" s="299"/>
      <c r="F71" s="105">
        <v>0</v>
      </c>
      <c r="G71" s="105">
        <v>0</v>
      </c>
      <c r="H71" s="106">
        <f t="shared" si="8"/>
        <v>0</v>
      </c>
      <c r="I71" s="300">
        <f t="shared" si="9"/>
        <v>0</v>
      </c>
      <c r="J71" s="107"/>
      <c r="K71" s="105">
        <v>0</v>
      </c>
      <c r="L71" s="105">
        <v>7500</v>
      </c>
      <c r="M71" s="106">
        <f t="shared" si="10"/>
        <v>-7500</v>
      </c>
      <c r="N71" s="300" t="str">
        <f t="shared" si="11"/>
        <v>N.M.</v>
      </c>
      <c r="O71" s="301"/>
      <c r="P71" s="107"/>
      <c r="Q71" s="105">
        <v>0</v>
      </c>
      <c r="R71" s="105">
        <v>7500</v>
      </c>
      <c r="S71" s="106">
        <f t="shared" si="12"/>
        <v>-7500</v>
      </c>
      <c r="T71" s="300" t="str">
        <f t="shared" si="13"/>
        <v>N.M.</v>
      </c>
      <c r="U71" s="107"/>
      <c r="V71" s="105">
        <v>0</v>
      </c>
      <c r="W71" s="105">
        <v>7500</v>
      </c>
      <c r="X71" s="106">
        <f t="shared" si="14"/>
        <v>-7500</v>
      </c>
      <c r="Y71" s="300" t="str">
        <f t="shared" si="15"/>
        <v>N.M.</v>
      </c>
      <c r="Z71" s="302"/>
      <c r="AA71" s="108">
        <v>0</v>
      </c>
      <c r="AB71" s="109"/>
      <c r="AC71" s="110">
        <v>7500</v>
      </c>
      <c r="AD71" s="110">
        <v>0</v>
      </c>
      <c r="AE71" s="110">
        <v>0</v>
      </c>
      <c r="AF71" s="110">
        <v>0</v>
      </c>
      <c r="AG71" s="110">
        <v>0</v>
      </c>
      <c r="AH71" s="110">
        <v>0</v>
      </c>
      <c r="AI71" s="110">
        <v>0</v>
      </c>
      <c r="AJ71" s="110">
        <v>0</v>
      </c>
      <c r="AK71" s="110">
        <v>0</v>
      </c>
      <c r="AL71" s="110">
        <v>0</v>
      </c>
      <c r="AM71" s="110">
        <v>0</v>
      </c>
      <c r="AN71" s="110">
        <v>0</v>
      </c>
      <c r="AO71" s="109"/>
      <c r="AP71" s="110">
        <v>0</v>
      </c>
      <c r="AQ71" s="110">
        <v>0</v>
      </c>
      <c r="AR71" s="110">
        <v>0</v>
      </c>
      <c r="AS71" s="110">
        <v>0</v>
      </c>
      <c r="AT71" s="110">
        <v>0</v>
      </c>
      <c r="AU71" s="110">
        <v>0</v>
      </c>
      <c r="AV71" s="110">
        <v>0</v>
      </c>
      <c r="AW71" s="110">
        <v>0</v>
      </c>
      <c r="AX71" s="110">
        <v>0</v>
      </c>
      <c r="AY71" s="110">
        <v>0</v>
      </c>
      <c r="AZ71" s="110">
        <v>0</v>
      </c>
      <c r="BA71" s="110">
        <v>0</v>
      </c>
    </row>
    <row r="72" spans="1:53" s="102" customFormat="1" outlineLevel="2">
      <c r="A72" s="102" t="s">
        <v>325</v>
      </c>
      <c r="B72" s="103" t="s">
        <v>326</v>
      </c>
      <c r="C72" s="104" t="s">
        <v>327</v>
      </c>
      <c r="D72" s="298"/>
      <c r="E72" s="299"/>
      <c r="F72" s="105">
        <v>8721.16</v>
      </c>
      <c r="G72" s="105">
        <v>580168.89</v>
      </c>
      <c r="H72" s="106">
        <f t="shared" si="8"/>
        <v>-571447.73</v>
      </c>
      <c r="I72" s="300">
        <f t="shared" si="9"/>
        <v>-0.9849678944350152</v>
      </c>
      <c r="J72" s="107"/>
      <c r="K72" s="105">
        <v>75627.259999999995</v>
      </c>
      <c r="L72" s="105">
        <v>701859.29</v>
      </c>
      <c r="M72" s="106">
        <f t="shared" si="10"/>
        <v>-626232.03</v>
      </c>
      <c r="N72" s="300">
        <f t="shared" si="11"/>
        <v>-0.89224726226819628</v>
      </c>
      <c r="O72" s="301"/>
      <c r="P72" s="107"/>
      <c r="Q72" s="105">
        <v>75627.259999999995</v>
      </c>
      <c r="R72" s="105">
        <v>701859.29</v>
      </c>
      <c r="S72" s="106">
        <f t="shared" si="12"/>
        <v>-626232.03</v>
      </c>
      <c r="T72" s="300">
        <f t="shared" si="13"/>
        <v>-0.89224726226819628</v>
      </c>
      <c r="U72" s="107"/>
      <c r="V72" s="105">
        <v>490396.54000000004</v>
      </c>
      <c r="W72" s="105">
        <v>1165709.4300000002</v>
      </c>
      <c r="X72" s="106">
        <f t="shared" si="14"/>
        <v>-675312.89000000013</v>
      </c>
      <c r="Y72" s="300">
        <f t="shared" si="15"/>
        <v>-0.57931494128858507</v>
      </c>
      <c r="Z72" s="302"/>
      <c r="AA72" s="108">
        <v>89035.21</v>
      </c>
      <c r="AB72" s="109"/>
      <c r="AC72" s="110">
        <v>10329.800000000001</v>
      </c>
      <c r="AD72" s="110">
        <v>111360.6</v>
      </c>
      <c r="AE72" s="110">
        <v>580168.89</v>
      </c>
      <c r="AF72" s="110">
        <v>13196.89</v>
      </c>
      <c r="AG72" s="110">
        <v>12605.550000000001</v>
      </c>
      <c r="AH72" s="110">
        <v>51330.26</v>
      </c>
      <c r="AI72" s="110">
        <v>50877.760000000002</v>
      </c>
      <c r="AJ72" s="110">
        <v>35145.01</v>
      </c>
      <c r="AK72" s="110">
        <v>107264.73</v>
      </c>
      <c r="AL72" s="110">
        <v>83027.87</v>
      </c>
      <c r="AM72" s="110">
        <v>10700.19</v>
      </c>
      <c r="AN72" s="110">
        <v>50621.020000000004</v>
      </c>
      <c r="AO72" s="109"/>
      <c r="AP72" s="110">
        <v>12194.28</v>
      </c>
      <c r="AQ72" s="110">
        <v>54711.82</v>
      </c>
      <c r="AR72" s="110">
        <v>8721.16</v>
      </c>
      <c r="AS72" s="110">
        <v>0</v>
      </c>
      <c r="AT72" s="110">
        <v>0</v>
      </c>
      <c r="AU72" s="110">
        <v>0</v>
      </c>
      <c r="AV72" s="110">
        <v>0</v>
      </c>
      <c r="AW72" s="110">
        <v>0</v>
      </c>
      <c r="AX72" s="110">
        <v>0</v>
      </c>
      <c r="AY72" s="110">
        <v>0</v>
      </c>
      <c r="AZ72" s="110">
        <v>0</v>
      </c>
      <c r="BA72" s="110">
        <v>0</v>
      </c>
    </row>
    <row r="73" spans="1:53" s="102" customFormat="1" outlineLevel="2">
      <c r="A73" s="102" t="s">
        <v>328</v>
      </c>
      <c r="B73" s="103" t="s">
        <v>329</v>
      </c>
      <c r="C73" s="104" t="s">
        <v>330</v>
      </c>
      <c r="D73" s="298"/>
      <c r="E73" s="299"/>
      <c r="F73" s="105">
        <v>0</v>
      </c>
      <c r="G73" s="105">
        <v>0</v>
      </c>
      <c r="H73" s="106">
        <f t="shared" si="8"/>
        <v>0</v>
      </c>
      <c r="I73" s="300">
        <f t="shared" si="9"/>
        <v>0</v>
      </c>
      <c r="J73" s="107"/>
      <c r="K73" s="105">
        <v>0</v>
      </c>
      <c r="L73" s="105">
        <v>0</v>
      </c>
      <c r="M73" s="106">
        <f t="shared" si="10"/>
        <v>0</v>
      </c>
      <c r="N73" s="300">
        <f t="shared" si="11"/>
        <v>0</v>
      </c>
      <c r="O73" s="301"/>
      <c r="P73" s="107"/>
      <c r="Q73" s="105">
        <v>0</v>
      </c>
      <c r="R73" s="105">
        <v>0</v>
      </c>
      <c r="S73" s="106">
        <f t="shared" si="12"/>
        <v>0</v>
      </c>
      <c r="T73" s="300">
        <f t="shared" si="13"/>
        <v>0</v>
      </c>
      <c r="U73" s="107"/>
      <c r="V73" s="105">
        <v>0</v>
      </c>
      <c r="W73" s="105">
        <v>0</v>
      </c>
      <c r="X73" s="106">
        <f t="shared" si="14"/>
        <v>0</v>
      </c>
      <c r="Y73" s="300">
        <f t="shared" si="15"/>
        <v>0</v>
      </c>
      <c r="Z73" s="302"/>
      <c r="AA73" s="108">
        <v>0</v>
      </c>
      <c r="AB73" s="109"/>
      <c r="AC73" s="110">
        <v>0</v>
      </c>
      <c r="AD73" s="110">
        <v>0</v>
      </c>
      <c r="AE73" s="110">
        <v>0</v>
      </c>
      <c r="AF73" s="110">
        <v>0</v>
      </c>
      <c r="AG73" s="110">
        <v>0</v>
      </c>
      <c r="AH73" s="110">
        <v>0</v>
      </c>
      <c r="AI73" s="110">
        <v>0</v>
      </c>
      <c r="AJ73" s="110">
        <v>0</v>
      </c>
      <c r="AK73" s="110">
        <v>0</v>
      </c>
      <c r="AL73" s="110">
        <v>0</v>
      </c>
      <c r="AM73" s="110">
        <v>0</v>
      </c>
      <c r="AN73" s="110">
        <v>0</v>
      </c>
      <c r="AO73" s="109"/>
      <c r="AP73" s="110">
        <v>0</v>
      </c>
      <c r="AQ73" s="110">
        <v>0</v>
      </c>
      <c r="AR73" s="110">
        <v>0</v>
      </c>
      <c r="AS73" s="110">
        <v>15812703.73</v>
      </c>
      <c r="AT73" s="110">
        <v>0</v>
      </c>
      <c r="AU73" s="110">
        <v>0</v>
      </c>
      <c r="AV73" s="110">
        <v>0</v>
      </c>
      <c r="AW73" s="110">
        <v>0</v>
      </c>
      <c r="AX73" s="110">
        <v>0</v>
      </c>
      <c r="AY73" s="110">
        <v>0</v>
      </c>
      <c r="AZ73" s="110">
        <v>0</v>
      </c>
      <c r="BA73" s="110">
        <v>0</v>
      </c>
    </row>
    <row r="74" spans="1:53" s="102" customFormat="1" outlineLevel="2">
      <c r="A74" s="102" t="s">
        <v>331</v>
      </c>
      <c r="B74" s="103" t="s">
        <v>332</v>
      </c>
      <c r="C74" s="104" t="s">
        <v>333</v>
      </c>
      <c r="D74" s="298"/>
      <c r="E74" s="299"/>
      <c r="F74" s="105">
        <v>-108279.69</v>
      </c>
      <c r="G74" s="105">
        <v>144824.47</v>
      </c>
      <c r="H74" s="106">
        <f t="shared" si="8"/>
        <v>-253104.16</v>
      </c>
      <c r="I74" s="300">
        <f t="shared" si="9"/>
        <v>-1.7476615657561185</v>
      </c>
      <c r="J74" s="107"/>
      <c r="K74" s="105">
        <v>-20616.260000000002</v>
      </c>
      <c r="L74" s="105">
        <v>500548.41000000003</v>
      </c>
      <c r="M74" s="106">
        <f t="shared" si="10"/>
        <v>-521164.67000000004</v>
      </c>
      <c r="N74" s="300">
        <f t="shared" si="11"/>
        <v>-1.0411873448963709</v>
      </c>
      <c r="O74" s="301"/>
      <c r="P74" s="107"/>
      <c r="Q74" s="105">
        <v>-20616.260000000002</v>
      </c>
      <c r="R74" s="105">
        <v>500548.41000000003</v>
      </c>
      <c r="S74" s="106">
        <f t="shared" si="12"/>
        <v>-521164.67000000004</v>
      </c>
      <c r="T74" s="300">
        <f t="shared" si="13"/>
        <v>-1.0411873448963709</v>
      </c>
      <c r="U74" s="107"/>
      <c r="V74" s="105">
        <v>1274199.43</v>
      </c>
      <c r="W74" s="105">
        <v>1375009.6400000001</v>
      </c>
      <c r="X74" s="106">
        <f t="shared" si="14"/>
        <v>-100810.2100000002</v>
      </c>
      <c r="Y74" s="300">
        <f t="shared" si="15"/>
        <v>-7.3316002351809101E-2</v>
      </c>
      <c r="Z74" s="302"/>
      <c r="AA74" s="108">
        <v>143452.96</v>
      </c>
      <c r="AB74" s="109"/>
      <c r="AC74" s="110">
        <v>180836.51</v>
      </c>
      <c r="AD74" s="110">
        <v>174887.43</v>
      </c>
      <c r="AE74" s="110">
        <v>144824.47</v>
      </c>
      <c r="AF74" s="110">
        <v>111775.2</v>
      </c>
      <c r="AG74" s="110">
        <v>142778.95000000001</v>
      </c>
      <c r="AH74" s="110">
        <v>146668.55000000002</v>
      </c>
      <c r="AI74" s="110">
        <v>129430.99</v>
      </c>
      <c r="AJ74" s="110">
        <v>174479.77</v>
      </c>
      <c r="AK74" s="110">
        <v>115083.12</v>
      </c>
      <c r="AL74" s="110">
        <v>147612.88</v>
      </c>
      <c r="AM74" s="110">
        <v>173200.35</v>
      </c>
      <c r="AN74" s="110">
        <v>153785.88</v>
      </c>
      <c r="AO74" s="109"/>
      <c r="AP74" s="110">
        <v>-360570.89</v>
      </c>
      <c r="AQ74" s="110">
        <v>448234.32</v>
      </c>
      <c r="AR74" s="110">
        <v>-108279.69</v>
      </c>
      <c r="AS74" s="110">
        <v>116328.98</v>
      </c>
      <c r="AT74" s="110">
        <v>0</v>
      </c>
      <c r="AU74" s="110">
        <v>0</v>
      </c>
      <c r="AV74" s="110">
        <v>0</v>
      </c>
      <c r="AW74" s="110">
        <v>0</v>
      </c>
      <c r="AX74" s="110">
        <v>0</v>
      </c>
      <c r="AY74" s="110">
        <v>0</v>
      </c>
      <c r="AZ74" s="110">
        <v>0</v>
      </c>
      <c r="BA74" s="110">
        <v>0</v>
      </c>
    </row>
    <row r="75" spans="1:53" s="102" customFormat="1" outlineLevel="2">
      <c r="A75" s="102" t="s">
        <v>334</v>
      </c>
      <c r="B75" s="103" t="s">
        <v>335</v>
      </c>
      <c r="C75" s="104" t="s">
        <v>336</v>
      </c>
      <c r="D75" s="298"/>
      <c r="E75" s="299"/>
      <c r="F75" s="105">
        <v>8745.24</v>
      </c>
      <c r="G75" s="105">
        <v>-1186.0899999999999</v>
      </c>
      <c r="H75" s="106">
        <f t="shared" si="8"/>
        <v>9931.33</v>
      </c>
      <c r="I75" s="300">
        <f t="shared" si="9"/>
        <v>8.3731672975912463</v>
      </c>
      <c r="J75" s="107"/>
      <c r="K75" s="105">
        <v>25892.65</v>
      </c>
      <c r="L75" s="105">
        <v>-3816.13</v>
      </c>
      <c r="M75" s="106">
        <f t="shared" si="10"/>
        <v>29708.780000000002</v>
      </c>
      <c r="N75" s="300">
        <f t="shared" si="11"/>
        <v>7.7850544923784044</v>
      </c>
      <c r="O75" s="301"/>
      <c r="P75" s="107"/>
      <c r="Q75" s="105">
        <v>25892.65</v>
      </c>
      <c r="R75" s="105">
        <v>-3816.13</v>
      </c>
      <c r="S75" s="106">
        <f t="shared" si="12"/>
        <v>29708.780000000002</v>
      </c>
      <c r="T75" s="300">
        <f t="shared" si="13"/>
        <v>7.7850544923784044</v>
      </c>
      <c r="U75" s="107"/>
      <c r="V75" s="105">
        <v>12736.500000000002</v>
      </c>
      <c r="W75" s="105">
        <v>-3772.7000000000003</v>
      </c>
      <c r="X75" s="106">
        <f t="shared" si="14"/>
        <v>16509.2</v>
      </c>
      <c r="Y75" s="300">
        <f t="shared" si="15"/>
        <v>4.3759641635963629</v>
      </c>
      <c r="Z75" s="302"/>
      <c r="AA75" s="108">
        <v>-42.47</v>
      </c>
      <c r="AB75" s="109"/>
      <c r="AC75" s="110">
        <v>-1535.88</v>
      </c>
      <c r="AD75" s="110">
        <v>-1094.1600000000001</v>
      </c>
      <c r="AE75" s="110">
        <v>-1186.0899999999999</v>
      </c>
      <c r="AF75" s="110">
        <v>-1903.53</v>
      </c>
      <c r="AG75" s="110">
        <v>-1470.51</v>
      </c>
      <c r="AH75" s="110">
        <v>-1497.47</v>
      </c>
      <c r="AI75" s="110">
        <v>-1793.26</v>
      </c>
      <c r="AJ75" s="110">
        <v>-1354.31</v>
      </c>
      <c r="AK75" s="110">
        <v>-623.56000000000006</v>
      </c>
      <c r="AL75" s="110">
        <v>-1462.51</v>
      </c>
      <c r="AM75" s="110">
        <v>-1637.75</v>
      </c>
      <c r="AN75" s="110">
        <v>-1413.25</v>
      </c>
      <c r="AO75" s="109"/>
      <c r="AP75" s="110">
        <v>8795.7800000000007</v>
      </c>
      <c r="AQ75" s="110">
        <v>8351.630000000001</v>
      </c>
      <c r="AR75" s="110">
        <v>8745.24</v>
      </c>
      <c r="AS75" s="110">
        <v>-8620.0499999999993</v>
      </c>
      <c r="AT75" s="110">
        <v>0</v>
      </c>
      <c r="AU75" s="110">
        <v>0</v>
      </c>
      <c r="AV75" s="110">
        <v>0</v>
      </c>
      <c r="AW75" s="110">
        <v>0</v>
      </c>
      <c r="AX75" s="110">
        <v>0</v>
      </c>
      <c r="AY75" s="110">
        <v>0</v>
      </c>
      <c r="AZ75" s="110">
        <v>0</v>
      </c>
      <c r="BA75" s="110">
        <v>0</v>
      </c>
    </row>
    <row r="76" spans="1:53" s="102" customFormat="1" outlineLevel="2">
      <c r="A76" s="102" t="s">
        <v>337</v>
      </c>
      <c r="B76" s="103" t="s">
        <v>338</v>
      </c>
      <c r="C76" s="104" t="s">
        <v>339</v>
      </c>
      <c r="D76" s="298"/>
      <c r="E76" s="299"/>
      <c r="F76" s="105">
        <v>880602.41</v>
      </c>
      <c r="G76" s="105">
        <v>878594.75</v>
      </c>
      <c r="H76" s="106">
        <f t="shared" si="8"/>
        <v>2007.6600000000326</v>
      </c>
      <c r="I76" s="300">
        <f t="shared" si="9"/>
        <v>2.2850808065948865E-3</v>
      </c>
      <c r="J76" s="107"/>
      <c r="K76" s="105">
        <v>2555187.52</v>
      </c>
      <c r="L76" s="105">
        <v>2550306.52</v>
      </c>
      <c r="M76" s="106">
        <f t="shared" si="10"/>
        <v>4881</v>
      </c>
      <c r="N76" s="300">
        <f t="shared" si="11"/>
        <v>1.9138875902650321E-3</v>
      </c>
      <c r="O76" s="301"/>
      <c r="P76" s="107"/>
      <c r="Q76" s="105">
        <v>2555187.52</v>
      </c>
      <c r="R76" s="105">
        <v>2550306.52</v>
      </c>
      <c r="S76" s="106">
        <f t="shared" si="12"/>
        <v>4881</v>
      </c>
      <c r="T76" s="300">
        <f t="shared" si="13"/>
        <v>1.9138875902650321E-3</v>
      </c>
      <c r="U76" s="107"/>
      <c r="V76" s="105">
        <v>10334744.93</v>
      </c>
      <c r="W76" s="105">
        <v>8747653.0299999993</v>
      </c>
      <c r="X76" s="106">
        <f t="shared" si="14"/>
        <v>1587091.9000000004</v>
      </c>
      <c r="Y76" s="300">
        <f t="shared" si="15"/>
        <v>0.18143059567601533</v>
      </c>
      <c r="Z76" s="302"/>
      <c r="AA76" s="108">
        <v>698654.02</v>
      </c>
      <c r="AB76" s="109"/>
      <c r="AC76" s="110">
        <v>878594.73</v>
      </c>
      <c r="AD76" s="110">
        <v>793117.04</v>
      </c>
      <c r="AE76" s="110">
        <v>878594.75</v>
      </c>
      <c r="AF76" s="110">
        <v>845479.45000000007</v>
      </c>
      <c r="AG76" s="110">
        <v>877695.74</v>
      </c>
      <c r="AH76" s="110">
        <v>848978.81</v>
      </c>
      <c r="AI76" s="110">
        <v>877060.09</v>
      </c>
      <c r="AJ76" s="110">
        <v>877472.43</v>
      </c>
      <c r="AK76" s="110">
        <v>848978.83000000007</v>
      </c>
      <c r="AL76" s="110">
        <v>877472.44000000006</v>
      </c>
      <c r="AM76" s="110">
        <v>848978.86</v>
      </c>
      <c r="AN76" s="110">
        <v>877440.76</v>
      </c>
      <c r="AO76" s="109"/>
      <c r="AP76" s="110">
        <v>879665.03</v>
      </c>
      <c r="AQ76" s="110">
        <v>794920.08000000007</v>
      </c>
      <c r="AR76" s="110">
        <v>880602.41</v>
      </c>
      <c r="AS76" s="110">
        <v>-880708.86</v>
      </c>
      <c r="AT76" s="110">
        <v>0</v>
      </c>
      <c r="AU76" s="110">
        <v>0</v>
      </c>
      <c r="AV76" s="110">
        <v>0</v>
      </c>
      <c r="AW76" s="110">
        <v>0</v>
      </c>
      <c r="AX76" s="110">
        <v>0</v>
      </c>
      <c r="AY76" s="110">
        <v>0</v>
      </c>
      <c r="AZ76" s="110">
        <v>0</v>
      </c>
      <c r="BA76" s="110">
        <v>0</v>
      </c>
    </row>
    <row r="77" spans="1:53" s="102" customFormat="1" outlineLevel="2">
      <c r="A77" s="102" t="s">
        <v>340</v>
      </c>
      <c r="B77" s="103" t="s">
        <v>341</v>
      </c>
      <c r="C77" s="104" t="s">
        <v>342</v>
      </c>
      <c r="D77" s="298"/>
      <c r="E77" s="299"/>
      <c r="F77" s="105">
        <v>4420.5</v>
      </c>
      <c r="G77" s="105">
        <v>4324.5</v>
      </c>
      <c r="H77" s="106">
        <f t="shared" si="8"/>
        <v>96</v>
      </c>
      <c r="I77" s="300">
        <f t="shared" si="9"/>
        <v>2.2199098161637183E-2</v>
      </c>
      <c r="J77" s="107"/>
      <c r="K77" s="105">
        <v>13572</v>
      </c>
      <c r="L77" s="105">
        <v>15999</v>
      </c>
      <c r="M77" s="106">
        <f t="shared" si="10"/>
        <v>-2427</v>
      </c>
      <c r="N77" s="300">
        <f t="shared" si="11"/>
        <v>-0.15169698106131632</v>
      </c>
      <c r="O77" s="301"/>
      <c r="P77" s="107"/>
      <c r="Q77" s="105">
        <v>13572</v>
      </c>
      <c r="R77" s="105">
        <v>15999</v>
      </c>
      <c r="S77" s="106">
        <f t="shared" si="12"/>
        <v>-2427</v>
      </c>
      <c r="T77" s="300">
        <f t="shared" si="13"/>
        <v>-0.15169698106131632</v>
      </c>
      <c r="U77" s="107"/>
      <c r="V77" s="105">
        <v>52474.5</v>
      </c>
      <c r="W77" s="105">
        <v>54208.5</v>
      </c>
      <c r="X77" s="106">
        <f t="shared" si="14"/>
        <v>-1734</v>
      </c>
      <c r="Y77" s="300">
        <f t="shared" si="15"/>
        <v>-3.1987603420127839E-2</v>
      </c>
      <c r="Z77" s="302"/>
      <c r="AA77" s="108">
        <v>4785</v>
      </c>
      <c r="AB77" s="109"/>
      <c r="AC77" s="110">
        <v>6583.5</v>
      </c>
      <c r="AD77" s="110">
        <v>5091</v>
      </c>
      <c r="AE77" s="110">
        <v>4324.5</v>
      </c>
      <c r="AF77" s="110">
        <v>3769.5</v>
      </c>
      <c r="AG77" s="110">
        <v>3712.5</v>
      </c>
      <c r="AH77" s="110">
        <v>4294.5</v>
      </c>
      <c r="AI77" s="110">
        <v>4846.5</v>
      </c>
      <c r="AJ77" s="110">
        <v>4783.5</v>
      </c>
      <c r="AK77" s="110">
        <v>3819</v>
      </c>
      <c r="AL77" s="110">
        <v>3636</v>
      </c>
      <c r="AM77" s="110">
        <v>4387.5</v>
      </c>
      <c r="AN77" s="110">
        <v>5653.5</v>
      </c>
      <c r="AO77" s="109"/>
      <c r="AP77" s="110">
        <v>5074.5</v>
      </c>
      <c r="AQ77" s="110">
        <v>4077</v>
      </c>
      <c r="AR77" s="110">
        <v>4420.5</v>
      </c>
      <c r="AS77" s="110">
        <v>0</v>
      </c>
      <c r="AT77" s="110">
        <v>0</v>
      </c>
      <c r="AU77" s="110">
        <v>0</v>
      </c>
      <c r="AV77" s="110">
        <v>0</v>
      </c>
      <c r="AW77" s="110">
        <v>0</v>
      </c>
      <c r="AX77" s="110">
        <v>0</v>
      </c>
      <c r="AY77" s="110">
        <v>0</v>
      </c>
      <c r="AZ77" s="110">
        <v>0</v>
      </c>
      <c r="BA77" s="110">
        <v>0</v>
      </c>
    </row>
    <row r="78" spans="1:53" s="102" customFormat="1" outlineLevel="2">
      <c r="A78" s="102" t="s">
        <v>343</v>
      </c>
      <c r="B78" s="103" t="s">
        <v>344</v>
      </c>
      <c r="C78" s="104" t="s">
        <v>345</v>
      </c>
      <c r="D78" s="298"/>
      <c r="E78" s="299"/>
      <c r="F78" s="105">
        <v>139.41</v>
      </c>
      <c r="G78" s="105">
        <v>100.03</v>
      </c>
      <c r="H78" s="106">
        <f t="shared" si="8"/>
        <v>39.379999999999995</v>
      </c>
      <c r="I78" s="300">
        <f t="shared" si="9"/>
        <v>0.39368189543137055</v>
      </c>
      <c r="J78" s="107"/>
      <c r="K78" s="105">
        <v>-59.95</v>
      </c>
      <c r="L78" s="105">
        <v>792.02</v>
      </c>
      <c r="M78" s="106">
        <f t="shared" si="10"/>
        <v>-851.97</v>
      </c>
      <c r="N78" s="300">
        <f t="shared" si="11"/>
        <v>-1.075692533016843</v>
      </c>
      <c r="O78" s="301"/>
      <c r="P78" s="107"/>
      <c r="Q78" s="105">
        <v>-59.95</v>
      </c>
      <c r="R78" s="105">
        <v>792.02</v>
      </c>
      <c r="S78" s="106">
        <f t="shared" si="12"/>
        <v>-851.97</v>
      </c>
      <c r="T78" s="300">
        <f t="shared" si="13"/>
        <v>-1.075692533016843</v>
      </c>
      <c r="U78" s="107"/>
      <c r="V78" s="105">
        <v>6799.18</v>
      </c>
      <c r="W78" s="105">
        <v>6516.35</v>
      </c>
      <c r="X78" s="106">
        <f t="shared" si="14"/>
        <v>282.82999999999993</v>
      </c>
      <c r="Y78" s="300">
        <f t="shared" si="15"/>
        <v>4.340313212150973E-2</v>
      </c>
      <c r="Z78" s="302"/>
      <c r="AA78" s="108">
        <v>172.48</v>
      </c>
      <c r="AB78" s="109"/>
      <c r="AC78" s="110">
        <v>314.45</v>
      </c>
      <c r="AD78" s="110">
        <v>377.54</v>
      </c>
      <c r="AE78" s="110">
        <v>100.03</v>
      </c>
      <c r="AF78" s="110">
        <v>470.55</v>
      </c>
      <c r="AG78" s="110">
        <v>-46.36</v>
      </c>
      <c r="AH78" s="110">
        <v>2387.73</v>
      </c>
      <c r="AI78" s="110">
        <v>1101.94</v>
      </c>
      <c r="AJ78" s="110">
        <v>200.66</v>
      </c>
      <c r="AK78" s="110">
        <v>632.03</v>
      </c>
      <c r="AL78" s="110">
        <v>973.96</v>
      </c>
      <c r="AM78" s="110">
        <v>511.73</v>
      </c>
      <c r="AN78" s="110">
        <v>626.89</v>
      </c>
      <c r="AO78" s="109"/>
      <c r="AP78" s="110">
        <v>-428.39</v>
      </c>
      <c r="AQ78" s="110">
        <v>229.03</v>
      </c>
      <c r="AR78" s="110">
        <v>139.41</v>
      </c>
      <c r="AS78" s="110">
        <v>-152.94</v>
      </c>
      <c r="AT78" s="110">
        <v>0</v>
      </c>
      <c r="AU78" s="110">
        <v>0</v>
      </c>
      <c r="AV78" s="110">
        <v>0</v>
      </c>
      <c r="AW78" s="110">
        <v>0</v>
      </c>
      <c r="AX78" s="110">
        <v>0</v>
      </c>
      <c r="AY78" s="110">
        <v>0</v>
      </c>
      <c r="AZ78" s="110">
        <v>0</v>
      </c>
      <c r="BA78" s="110">
        <v>0</v>
      </c>
    </row>
    <row r="79" spans="1:53" s="102" customFormat="1" outlineLevel="2">
      <c r="A79" s="102" t="s">
        <v>346</v>
      </c>
      <c r="B79" s="103" t="s">
        <v>347</v>
      </c>
      <c r="C79" s="104" t="s">
        <v>348</v>
      </c>
      <c r="D79" s="298"/>
      <c r="E79" s="299"/>
      <c r="F79" s="105">
        <v>217362.47</v>
      </c>
      <c r="G79" s="105">
        <v>216644.93</v>
      </c>
      <c r="H79" s="106">
        <f t="shared" si="8"/>
        <v>717.54000000000815</v>
      </c>
      <c r="I79" s="300">
        <f t="shared" si="9"/>
        <v>3.3120553525070179E-3</v>
      </c>
      <c r="J79" s="107"/>
      <c r="K79" s="105">
        <v>630705.85</v>
      </c>
      <c r="L79" s="105">
        <v>628855.81000000006</v>
      </c>
      <c r="M79" s="106">
        <f t="shared" si="10"/>
        <v>1850.0399999999208</v>
      </c>
      <c r="N79" s="300">
        <f t="shared" si="11"/>
        <v>2.941914458896262E-3</v>
      </c>
      <c r="O79" s="301"/>
      <c r="P79" s="107"/>
      <c r="Q79" s="105">
        <v>630705.85</v>
      </c>
      <c r="R79" s="105">
        <v>628855.81000000006</v>
      </c>
      <c r="S79" s="106">
        <f t="shared" si="12"/>
        <v>1850.0399999999208</v>
      </c>
      <c r="T79" s="300">
        <f t="shared" si="13"/>
        <v>2.941914458896262E-3</v>
      </c>
      <c r="U79" s="107"/>
      <c r="V79" s="105">
        <v>2549035.83</v>
      </c>
      <c r="W79" s="105">
        <v>2079132.92</v>
      </c>
      <c r="X79" s="106">
        <f t="shared" si="14"/>
        <v>469902.91000000015</v>
      </c>
      <c r="Y79" s="300">
        <f t="shared" si="15"/>
        <v>0.22600907593729033</v>
      </c>
      <c r="Z79" s="302"/>
      <c r="AA79" s="108">
        <v>163500.26</v>
      </c>
      <c r="AB79" s="109"/>
      <c r="AC79" s="110">
        <v>216644.93</v>
      </c>
      <c r="AD79" s="110">
        <v>195565.95</v>
      </c>
      <c r="AE79" s="110">
        <v>216644.93</v>
      </c>
      <c r="AF79" s="110">
        <v>208471.07</v>
      </c>
      <c r="AG79" s="110">
        <v>216415.42</v>
      </c>
      <c r="AH79" s="110">
        <v>209334.03</v>
      </c>
      <c r="AI79" s="110">
        <v>216360.35</v>
      </c>
      <c r="AJ79" s="110">
        <v>216360.35</v>
      </c>
      <c r="AK79" s="110">
        <v>209334.03</v>
      </c>
      <c r="AL79" s="110">
        <v>216360.35</v>
      </c>
      <c r="AM79" s="110">
        <v>209334.03</v>
      </c>
      <c r="AN79" s="110">
        <v>216360.35</v>
      </c>
      <c r="AO79" s="109"/>
      <c r="AP79" s="110">
        <v>217131.74</v>
      </c>
      <c r="AQ79" s="110">
        <v>196211.64</v>
      </c>
      <c r="AR79" s="110">
        <v>217362.47</v>
      </c>
      <c r="AS79" s="110">
        <v>-217388.94</v>
      </c>
      <c r="AT79" s="110">
        <v>0</v>
      </c>
      <c r="AU79" s="110">
        <v>0</v>
      </c>
      <c r="AV79" s="110">
        <v>0</v>
      </c>
      <c r="AW79" s="110">
        <v>0</v>
      </c>
      <c r="AX79" s="110">
        <v>0</v>
      </c>
      <c r="AY79" s="110">
        <v>0</v>
      </c>
      <c r="AZ79" s="110">
        <v>0</v>
      </c>
      <c r="BA79" s="110">
        <v>0</v>
      </c>
    </row>
    <row r="80" spans="1:53" s="102" customFormat="1" outlineLevel="2">
      <c r="A80" s="102" t="s">
        <v>349</v>
      </c>
      <c r="B80" s="103" t="s">
        <v>350</v>
      </c>
      <c r="C80" s="104" t="s">
        <v>351</v>
      </c>
      <c r="D80" s="298"/>
      <c r="E80" s="299"/>
      <c r="F80" s="105">
        <v>569.12</v>
      </c>
      <c r="G80" s="105">
        <v>-858.79</v>
      </c>
      <c r="H80" s="106">
        <f t="shared" si="8"/>
        <v>1427.9099999999999</v>
      </c>
      <c r="I80" s="300">
        <f t="shared" si="9"/>
        <v>1.66269984513094</v>
      </c>
      <c r="J80" s="107"/>
      <c r="K80" s="105">
        <v>1692.99</v>
      </c>
      <c r="L80" s="105">
        <v>-2718.87</v>
      </c>
      <c r="M80" s="106">
        <f t="shared" si="10"/>
        <v>4411.8599999999997</v>
      </c>
      <c r="N80" s="300">
        <f t="shared" si="11"/>
        <v>1.622681481644948</v>
      </c>
      <c r="O80" s="301"/>
      <c r="P80" s="107"/>
      <c r="Q80" s="105">
        <v>1692.99</v>
      </c>
      <c r="R80" s="105">
        <v>-2718.87</v>
      </c>
      <c r="S80" s="106">
        <f t="shared" si="12"/>
        <v>4411.8599999999997</v>
      </c>
      <c r="T80" s="300">
        <f t="shared" si="13"/>
        <v>1.622681481644948</v>
      </c>
      <c r="U80" s="107"/>
      <c r="V80" s="105">
        <v>-6077.83</v>
      </c>
      <c r="W80" s="105">
        <v>-2426.69</v>
      </c>
      <c r="X80" s="106">
        <f t="shared" si="14"/>
        <v>-3651.14</v>
      </c>
      <c r="Y80" s="300">
        <f t="shared" si="15"/>
        <v>-1.5045761922618874</v>
      </c>
      <c r="Z80" s="302"/>
      <c r="AA80" s="108">
        <v>33.880000000000003</v>
      </c>
      <c r="AB80" s="109"/>
      <c r="AC80" s="110">
        <v>-1006.0500000000001</v>
      </c>
      <c r="AD80" s="110">
        <v>-854.03</v>
      </c>
      <c r="AE80" s="110">
        <v>-858.79</v>
      </c>
      <c r="AF80" s="110">
        <v>-816.57</v>
      </c>
      <c r="AG80" s="110">
        <v>-821.66</v>
      </c>
      <c r="AH80" s="110">
        <v>-872.02</v>
      </c>
      <c r="AI80" s="110">
        <v>-926.39</v>
      </c>
      <c r="AJ80" s="110">
        <v>-934.25</v>
      </c>
      <c r="AK80" s="110">
        <v>-849.56000000000006</v>
      </c>
      <c r="AL80" s="110">
        <v>-799.33</v>
      </c>
      <c r="AM80" s="110">
        <v>-821.48</v>
      </c>
      <c r="AN80" s="110">
        <v>-929.56000000000006</v>
      </c>
      <c r="AO80" s="109"/>
      <c r="AP80" s="110">
        <v>602.44000000000005</v>
      </c>
      <c r="AQ80" s="110">
        <v>521.43000000000006</v>
      </c>
      <c r="AR80" s="110">
        <v>569.12</v>
      </c>
      <c r="AS80" s="110">
        <v>-570.06000000000006</v>
      </c>
      <c r="AT80" s="110">
        <v>0</v>
      </c>
      <c r="AU80" s="110">
        <v>0</v>
      </c>
      <c r="AV80" s="110">
        <v>0</v>
      </c>
      <c r="AW80" s="110">
        <v>0</v>
      </c>
      <c r="AX80" s="110">
        <v>0</v>
      </c>
      <c r="AY80" s="110">
        <v>0</v>
      </c>
      <c r="AZ80" s="110">
        <v>0</v>
      </c>
      <c r="BA80" s="110">
        <v>0</v>
      </c>
    </row>
    <row r="81" spans="1:53" s="102" customFormat="1" outlineLevel="2">
      <c r="A81" s="102" t="s">
        <v>352</v>
      </c>
      <c r="B81" s="103" t="s">
        <v>353</v>
      </c>
      <c r="C81" s="104" t="s">
        <v>354</v>
      </c>
      <c r="D81" s="298"/>
      <c r="E81" s="299"/>
      <c r="F81" s="105">
        <v>6238883.7699999996</v>
      </c>
      <c r="G81" s="105">
        <v>5867609.7300000004</v>
      </c>
      <c r="H81" s="106">
        <f t="shared" si="8"/>
        <v>371274.03999999911</v>
      </c>
      <c r="I81" s="300">
        <f t="shared" si="9"/>
        <v>6.3275176278637588E-2</v>
      </c>
      <c r="J81" s="107"/>
      <c r="K81" s="105">
        <v>18103402.82</v>
      </c>
      <c r="L81" s="105">
        <v>17031926.670000002</v>
      </c>
      <c r="M81" s="106">
        <f t="shared" si="10"/>
        <v>1071476.1499999985</v>
      </c>
      <c r="N81" s="300">
        <f t="shared" si="11"/>
        <v>6.2909861624010757E-2</v>
      </c>
      <c r="O81" s="301"/>
      <c r="P81" s="107"/>
      <c r="Q81" s="105">
        <v>18103402.82</v>
      </c>
      <c r="R81" s="105">
        <v>17031926.670000002</v>
      </c>
      <c r="S81" s="106">
        <f t="shared" si="12"/>
        <v>1071476.1499999985</v>
      </c>
      <c r="T81" s="300">
        <f t="shared" si="13"/>
        <v>6.2909861624010757E-2</v>
      </c>
      <c r="U81" s="107"/>
      <c r="V81" s="105">
        <v>70059601.49000001</v>
      </c>
      <c r="W81" s="105">
        <v>58419145.260000005</v>
      </c>
      <c r="X81" s="106">
        <f t="shared" si="14"/>
        <v>11640456.230000004</v>
      </c>
      <c r="Y81" s="300">
        <f t="shared" si="15"/>
        <v>0.19925755808636086</v>
      </c>
      <c r="Z81" s="302"/>
      <c r="AA81" s="108">
        <v>4665898.28</v>
      </c>
      <c r="AB81" s="109"/>
      <c r="AC81" s="110">
        <v>5867609.7300000004</v>
      </c>
      <c r="AD81" s="110">
        <v>5296707.21</v>
      </c>
      <c r="AE81" s="110">
        <v>5867609.7300000004</v>
      </c>
      <c r="AF81" s="110">
        <v>5646198.2300000004</v>
      </c>
      <c r="AG81" s="110">
        <v>5861362.0199999996</v>
      </c>
      <c r="AH81" s="110">
        <v>5669570.7400000002</v>
      </c>
      <c r="AI81" s="110">
        <v>5860282.8399999999</v>
      </c>
      <c r="AJ81" s="110">
        <v>5859870.5499999998</v>
      </c>
      <c r="AK81" s="110">
        <v>5669570.7400000002</v>
      </c>
      <c r="AL81" s="110">
        <v>5859870.5499999998</v>
      </c>
      <c r="AM81" s="110">
        <v>5669570.7400000002</v>
      </c>
      <c r="AN81" s="110">
        <v>5859902.2599999998</v>
      </c>
      <c r="AO81" s="109"/>
      <c r="AP81" s="110">
        <v>6232720.5599999996</v>
      </c>
      <c r="AQ81" s="110">
        <v>5631798.4900000002</v>
      </c>
      <c r="AR81" s="110">
        <v>6238883.7699999996</v>
      </c>
      <c r="AS81" s="110">
        <v>-6239643.6200000001</v>
      </c>
      <c r="AT81" s="110">
        <v>0</v>
      </c>
      <c r="AU81" s="110">
        <v>0</v>
      </c>
      <c r="AV81" s="110">
        <v>0</v>
      </c>
      <c r="AW81" s="110">
        <v>0</v>
      </c>
      <c r="AX81" s="110">
        <v>0</v>
      </c>
      <c r="AY81" s="110">
        <v>0</v>
      </c>
      <c r="AZ81" s="110">
        <v>0</v>
      </c>
      <c r="BA81" s="110">
        <v>0</v>
      </c>
    </row>
    <row r="82" spans="1:53" s="102" customFormat="1" outlineLevel="2">
      <c r="A82" s="102" t="s">
        <v>355</v>
      </c>
      <c r="B82" s="103" t="s">
        <v>356</v>
      </c>
      <c r="C82" s="104" t="s">
        <v>357</v>
      </c>
      <c r="D82" s="298"/>
      <c r="E82" s="299"/>
      <c r="F82" s="105">
        <v>14372.51</v>
      </c>
      <c r="G82" s="105">
        <v>-21616.94</v>
      </c>
      <c r="H82" s="106">
        <f t="shared" si="8"/>
        <v>35989.449999999997</v>
      </c>
      <c r="I82" s="300">
        <f t="shared" si="9"/>
        <v>1.6648725490286784</v>
      </c>
      <c r="J82" s="107"/>
      <c r="K82" s="105">
        <v>43456.020000000004</v>
      </c>
      <c r="L82" s="105">
        <v>-69673.490000000005</v>
      </c>
      <c r="M82" s="106">
        <f t="shared" si="10"/>
        <v>113129.51000000001</v>
      </c>
      <c r="N82" s="300">
        <f t="shared" si="11"/>
        <v>1.6237095342862831</v>
      </c>
      <c r="O82" s="301"/>
      <c r="P82" s="107"/>
      <c r="Q82" s="105">
        <v>43456.020000000004</v>
      </c>
      <c r="R82" s="105">
        <v>-69673.490000000005</v>
      </c>
      <c r="S82" s="106">
        <f t="shared" si="12"/>
        <v>113129.51000000001</v>
      </c>
      <c r="T82" s="300">
        <f t="shared" si="13"/>
        <v>1.6237095342862831</v>
      </c>
      <c r="U82" s="107"/>
      <c r="V82" s="105">
        <v>-152366.69</v>
      </c>
      <c r="W82" s="105">
        <v>-62488.350000000006</v>
      </c>
      <c r="X82" s="106">
        <f t="shared" si="14"/>
        <v>-89878.34</v>
      </c>
      <c r="Y82" s="300">
        <f t="shared" si="15"/>
        <v>-1.4383215431356402</v>
      </c>
      <c r="Z82" s="302"/>
      <c r="AA82" s="108">
        <v>813.91</v>
      </c>
      <c r="AB82" s="109"/>
      <c r="AC82" s="110">
        <v>-26005.53</v>
      </c>
      <c r="AD82" s="110">
        <v>-22051.02</v>
      </c>
      <c r="AE82" s="110">
        <v>-21616.94</v>
      </c>
      <c r="AF82" s="110">
        <v>-19496.16</v>
      </c>
      <c r="AG82" s="110">
        <v>-20508.13</v>
      </c>
      <c r="AH82" s="110">
        <v>-22560.560000000001</v>
      </c>
      <c r="AI82" s="110">
        <v>-24375.54</v>
      </c>
      <c r="AJ82" s="110">
        <v>-23737.43</v>
      </c>
      <c r="AK82" s="110">
        <v>-20442.98</v>
      </c>
      <c r="AL82" s="110">
        <v>-19562.580000000002</v>
      </c>
      <c r="AM82" s="110">
        <v>-20812.05</v>
      </c>
      <c r="AN82" s="110">
        <v>-24327.279999999999</v>
      </c>
      <c r="AO82" s="109"/>
      <c r="AP82" s="110">
        <v>15617.73</v>
      </c>
      <c r="AQ82" s="110">
        <v>13465.78</v>
      </c>
      <c r="AR82" s="110">
        <v>14372.51</v>
      </c>
      <c r="AS82" s="110">
        <v>-14397.87</v>
      </c>
      <c r="AT82" s="110">
        <v>0</v>
      </c>
      <c r="AU82" s="110">
        <v>0</v>
      </c>
      <c r="AV82" s="110">
        <v>0</v>
      </c>
      <c r="AW82" s="110">
        <v>0</v>
      </c>
      <c r="AX82" s="110">
        <v>0</v>
      </c>
      <c r="AY82" s="110">
        <v>0</v>
      </c>
      <c r="AZ82" s="110">
        <v>0</v>
      </c>
      <c r="BA82" s="110">
        <v>0</v>
      </c>
    </row>
    <row r="83" spans="1:53" s="102" customFormat="1" outlineLevel="2">
      <c r="A83" s="102" t="s">
        <v>358</v>
      </c>
      <c r="B83" s="103" t="s">
        <v>359</v>
      </c>
      <c r="C83" s="104" t="s">
        <v>360</v>
      </c>
      <c r="D83" s="298"/>
      <c r="E83" s="299"/>
      <c r="F83" s="105">
        <v>-4922291.51</v>
      </c>
      <c r="G83" s="105">
        <v>-4280809.01</v>
      </c>
      <c r="H83" s="106">
        <f t="shared" si="8"/>
        <v>-641482.5</v>
      </c>
      <c r="I83" s="300">
        <f t="shared" si="9"/>
        <v>-0.1498507638396136</v>
      </c>
      <c r="J83" s="107"/>
      <c r="K83" s="105">
        <v>-14413545.68</v>
      </c>
      <c r="L83" s="105">
        <v>-12425915.92</v>
      </c>
      <c r="M83" s="106">
        <f t="shared" si="10"/>
        <v>-1987629.7599999998</v>
      </c>
      <c r="N83" s="300">
        <f t="shared" si="11"/>
        <v>-0.15995841053461754</v>
      </c>
      <c r="O83" s="301"/>
      <c r="P83" s="107"/>
      <c r="Q83" s="105">
        <v>-14413545.68</v>
      </c>
      <c r="R83" s="105">
        <v>-12425915.92</v>
      </c>
      <c r="S83" s="106">
        <f t="shared" si="12"/>
        <v>-1987629.7599999998</v>
      </c>
      <c r="T83" s="300">
        <f t="shared" si="13"/>
        <v>-0.15995841053461754</v>
      </c>
      <c r="U83" s="107"/>
      <c r="V83" s="105">
        <v>-52318906.969999999</v>
      </c>
      <c r="W83" s="105">
        <v>-47339863.340000004</v>
      </c>
      <c r="X83" s="106">
        <f t="shared" si="14"/>
        <v>-4979043.6299999952</v>
      </c>
      <c r="Y83" s="300">
        <f t="shared" si="15"/>
        <v>-0.10517655267063124</v>
      </c>
      <c r="Z83" s="302"/>
      <c r="AA83" s="108">
        <v>-3936102.62</v>
      </c>
      <c r="AB83" s="109"/>
      <c r="AC83" s="110">
        <v>-4280809.01</v>
      </c>
      <c r="AD83" s="110">
        <v>-3864297.9</v>
      </c>
      <c r="AE83" s="110">
        <v>-4280809.01</v>
      </c>
      <c r="AF83" s="110">
        <v>-4119297.08</v>
      </c>
      <c r="AG83" s="110">
        <v>-4276274.03</v>
      </c>
      <c r="AH83" s="110">
        <v>-4136348.86</v>
      </c>
      <c r="AI83" s="110">
        <v>-4275185.9000000004</v>
      </c>
      <c r="AJ83" s="110">
        <v>-4275185.9000000004</v>
      </c>
      <c r="AK83" s="110">
        <v>-4136348.86</v>
      </c>
      <c r="AL83" s="110">
        <v>-4275185.9000000004</v>
      </c>
      <c r="AM83" s="110">
        <v>-4136348.86</v>
      </c>
      <c r="AN83" s="110">
        <v>-4275185.9000000004</v>
      </c>
      <c r="AO83" s="109"/>
      <c r="AP83" s="110">
        <v>-5007494.7</v>
      </c>
      <c r="AQ83" s="110">
        <v>-4483759.47</v>
      </c>
      <c r="AR83" s="110">
        <v>-4922291.51</v>
      </c>
      <c r="AS83" s="110">
        <v>4967695.7</v>
      </c>
      <c r="AT83" s="110">
        <v>0</v>
      </c>
      <c r="AU83" s="110">
        <v>0</v>
      </c>
      <c r="AV83" s="110">
        <v>0</v>
      </c>
      <c r="AW83" s="110">
        <v>0</v>
      </c>
      <c r="AX83" s="110">
        <v>0</v>
      </c>
      <c r="AY83" s="110">
        <v>0</v>
      </c>
      <c r="AZ83" s="110">
        <v>0</v>
      </c>
      <c r="BA83" s="110">
        <v>0</v>
      </c>
    </row>
    <row r="84" spans="1:53" s="102" customFormat="1" outlineLevel="2">
      <c r="A84" s="102" t="s">
        <v>361</v>
      </c>
      <c r="B84" s="103" t="s">
        <v>362</v>
      </c>
      <c r="C84" s="104" t="s">
        <v>363</v>
      </c>
      <c r="D84" s="298"/>
      <c r="E84" s="299"/>
      <c r="F84" s="105">
        <v>-6371.58</v>
      </c>
      <c r="G84" s="105">
        <v>26618.61</v>
      </c>
      <c r="H84" s="106">
        <f t="shared" si="8"/>
        <v>-32990.19</v>
      </c>
      <c r="I84" s="300">
        <f t="shared" si="9"/>
        <v>-1.2393656167621074</v>
      </c>
      <c r="J84" s="107"/>
      <c r="K84" s="105">
        <v>-19708.71</v>
      </c>
      <c r="L84" s="105">
        <v>89451.01</v>
      </c>
      <c r="M84" s="106">
        <f t="shared" si="10"/>
        <v>-109159.72</v>
      </c>
      <c r="N84" s="300">
        <f t="shared" si="11"/>
        <v>-1.2203296530693171</v>
      </c>
      <c r="O84" s="301"/>
      <c r="P84" s="107"/>
      <c r="Q84" s="105">
        <v>-19708.71</v>
      </c>
      <c r="R84" s="105">
        <v>89451.01</v>
      </c>
      <c r="S84" s="106">
        <f t="shared" si="12"/>
        <v>-109159.72</v>
      </c>
      <c r="T84" s="300">
        <f t="shared" si="13"/>
        <v>-1.2203296530693171</v>
      </c>
      <c r="U84" s="107"/>
      <c r="V84" s="105">
        <v>218761.7</v>
      </c>
      <c r="W84" s="105">
        <v>215735.41</v>
      </c>
      <c r="X84" s="106">
        <f t="shared" si="14"/>
        <v>3026.2900000000081</v>
      </c>
      <c r="Y84" s="300">
        <f t="shared" si="15"/>
        <v>1.4027785239335573E-2</v>
      </c>
      <c r="Z84" s="302"/>
      <c r="AA84" s="108">
        <v>15520.92</v>
      </c>
      <c r="AB84" s="109"/>
      <c r="AC84" s="110">
        <v>34824.67</v>
      </c>
      <c r="AD84" s="110">
        <v>28007.73</v>
      </c>
      <c r="AE84" s="110">
        <v>26618.61</v>
      </c>
      <c r="AF84" s="110">
        <v>23181.29</v>
      </c>
      <c r="AG84" s="110">
        <v>24632.63</v>
      </c>
      <c r="AH84" s="110">
        <v>26891.850000000002</v>
      </c>
      <c r="AI84" s="110">
        <v>28765.190000000002</v>
      </c>
      <c r="AJ84" s="110">
        <v>28122.32</v>
      </c>
      <c r="AK84" s="110">
        <v>24155.670000000002</v>
      </c>
      <c r="AL84" s="110">
        <v>24196.47</v>
      </c>
      <c r="AM84" s="110">
        <v>26381.7</v>
      </c>
      <c r="AN84" s="110">
        <v>32143.29</v>
      </c>
      <c r="AO84" s="109"/>
      <c r="AP84" s="110">
        <v>-7351.13</v>
      </c>
      <c r="AQ84" s="110">
        <v>-5986</v>
      </c>
      <c r="AR84" s="110">
        <v>-6371.58</v>
      </c>
      <c r="AS84" s="110">
        <v>6380.1500000000005</v>
      </c>
      <c r="AT84" s="110">
        <v>0</v>
      </c>
      <c r="AU84" s="110">
        <v>0</v>
      </c>
      <c r="AV84" s="110">
        <v>0</v>
      </c>
      <c r="AW84" s="110">
        <v>0</v>
      </c>
      <c r="AX84" s="110">
        <v>0</v>
      </c>
      <c r="AY84" s="110">
        <v>0</v>
      </c>
      <c r="AZ84" s="110">
        <v>0</v>
      </c>
      <c r="BA84" s="110">
        <v>0</v>
      </c>
    </row>
    <row r="85" spans="1:53" s="102" customFormat="1" outlineLevel="2">
      <c r="A85" s="102" t="s">
        <v>364</v>
      </c>
      <c r="B85" s="103" t="s">
        <v>365</v>
      </c>
      <c r="C85" s="104" t="s">
        <v>366</v>
      </c>
      <c r="D85" s="298"/>
      <c r="E85" s="299"/>
      <c r="F85" s="105">
        <v>151648.61000000002</v>
      </c>
      <c r="G85" s="105">
        <v>155608.14000000001</v>
      </c>
      <c r="H85" s="106">
        <f t="shared" si="8"/>
        <v>-3959.5299999999988</v>
      </c>
      <c r="I85" s="300">
        <f t="shared" si="9"/>
        <v>-2.5445519752372841E-2</v>
      </c>
      <c r="J85" s="107"/>
      <c r="K85" s="105">
        <v>452546.74</v>
      </c>
      <c r="L85" s="105">
        <v>466824.49</v>
      </c>
      <c r="M85" s="106">
        <f t="shared" si="10"/>
        <v>-14277.75</v>
      </c>
      <c r="N85" s="300">
        <f t="shared" si="11"/>
        <v>-3.0584834998695121E-2</v>
      </c>
      <c r="O85" s="301"/>
      <c r="P85" s="107"/>
      <c r="Q85" s="105">
        <v>452546.74</v>
      </c>
      <c r="R85" s="105">
        <v>466824.49</v>
      </c>
      <c r="S85" s="106">
        <f t="shared" si="12"/>
        <v>-14277.75</v>
      </c>
      <c r="T85" s="300">
        <f t="shared" si="13"/>
        <v>-3.0584834998695121E-2</v>
      </c>
      <c r="U85" s="107"/>
      <c r="V85" s="105">
        <v>1853016.34</v>
      </c>
      <c r="W85" s="105">
        <v>1629774.25</v>
      </c>
      <c r="X85" s="106">
        <f t="shared" si="14"/>
        <v>223242.09000000008</v>
      </c>
      <c r="Y85" s="300">
        <f t="shared" si="15"/>
        <v>0.13697730836034505</v>
      </c>
      <c r="Z85" s="302"/>
      <c r="AA85" s="108">
        <v>129216.23</v>
      </c>
      <c r="AB85" s="109"/>
      <c r="AC85" s="110">
        <v>155608.21</v>
      </c>
      <c r="AD85" s="110">
        <v>155608.14000000001</v>
      </c>
      <c r="AE85" s="110">
        <v>155608.14000000001</v>
      </c>
      <c r="AF85" s="110">
        <v>155608.87</v>
      </c>
      <c r="AG85" s="110">
        <v>155608.87</v>
      </c>
      <c r="AH85" s="110">
        <v>155608.87</v>
      </c>
      <c r="AI85" s="110">
        <v>155599.37</v>
      </c>
      <c r="AJ85" s="110">
        <v>155608.87</v>
      </c>
      <c r="AK85" s="110">
        <v>155608.87</v>
      </c>
      <c r="AL85" s="110">
        <v>155608.87</v>
      </c>
      <c r="AM85" s="110">
        <v>155608.87</v>
      </c>
      <c r="AN85" s="110">
        <v>155608.14000000001</v>
      </c>
      <c r="AO85" s="109"/>
      <c r="AP85" s="110">
        <v>150049.23000000001</v>
      </c>
      <c r="AQ85" s="110">
        <v>150848.9</v>
      </c>
      <c r="AR85" s="110">
        <v>151648.61000000002</v>
      </c>
      <c r="AS85" s="110">
        <v>-150848.86000000002</v>
      </c>
      <c r="AT85" s="110">
        <v>0</v>
      </c>
      <c r="AU85" s="110">
        <v>0</v>
      </c>
      <c r="AV85" s="110">
        <v>0</v>
      </c>
      <c r="AW85" s="110">
        <v>0</v>
      </c>
      <c r="AX85" s="110">
        <v>0</v>
      </c>
      <c r="AY85" s="110">
        <v>0</v>
      </c>
      <c r="AZ85" s="110">
        <v>0</v>
      </c>
      <c r="BA85" s="110">
        <v>0</v>
      </c>
    </row>
    <row r="86" spans="1:53" s="102" customFormat="1" outlineLevel="2">
      <c r="A86" s="102" t="s">
        <v>367</v>
      </c>
      <c r="B86" s="103" t="s">
        <v>368</v>
      </c>
      <c r="C86" s="104" t="s">
        <v>369</v>
      </c>
      <c r="D86" s="298"/>
      <c r="E86" s="299"/>
      <c r="F86" s="105">
        <v>121495.98</v>
      </c>
      <c r="G86" s="105">
        <v>135263.06</v>
      </c>
      <c r="H86" s="106">
        <f t="shared" si="8"/>
        <v>-13767.080000000002</v>
      </c>
      <c r="I86" s="300">
        <f t="shared" si="9"/>
        <v>-0.10178004253341601</v>
      </c>
      <c r="J86" s="107"/>
      <c r="K86" s="105">
        <v>364248.62</v>
      </c>
      <c r="L86" s="105">
        <v>405789.18</v>
      </c>
      <c r="M86" s="106">
        <f t="shared" si="10"/>
        <v>-41540.559999999998</v>
      </c>
      <c r="N86" s="300">
        <f t="shared" si="11"/>
        <v>-0.10236980690318061</v>
      </c>
      <c r="O86" s="301"/>
      <c r="P86" s="107"/>
      <c r="Q86" s="105">
        <v>364248.62</v>
      </c>
      <c r="R86" s="105">
        <v>405789.18</v>
      </c>
      <c r="S86" s="106">
        <f t="shared" si="12"/>
        <v>-41540.559999999998</v>
      </c>
      <c r="T86" s="300">
        <f t="shared" si="13"/>
        <v>-0.10236980690318061</v>
      </c>
      <c r="U86" s="107"/>
      <c r="V86" s="105">
        <v>1581619.8399999999</v>
      </c>
      <c r="W86" s="105">
        <v>1425795.82</v>
      </c>
      <c r="X86" s="106">
        <f t="shared" si="14"/>
        <v>155824.01999999979</v>
      </c>
      <c r="Y86" s="300">
        <f t="shared" si="15"/>
        <v>0.10928915474026273</v>
      </c>
      <c r="Z86" s="302"/>
      <c r="AA86" s="108">
        <v>113334.48</v>
      </c>
      <c r="AB86" s="109"/>
      <c r="AC86" s="110">
        <v>135263.06</v>
      </c>
      <c r="AD86" s="110">
        <v>135263.06</v>
      </c>
      <c r="AE86" s="110">
        <v>135263.06</v>
      </c>
      <c r="AF86" s="110">
        <v>135262.33000000002</v>
      </c>
      <c r="AG86" s="110">
        <v>135262.33000000002</v>
      </c>
      <c r="AH86" s="110">
        <v>135262.33000000002</v>
      </c>
      <c r="AI86" s="110">
        <v>135271.85</v>
      </c>
      <c r="AJ86" s="110">
        <v>135262.33000000002</v>
      </c>
      <c r="AK86" s="110">
        <v>135262.33000000002</v>
      </c>
      <c r="AL86" s="110">
        <v>135262.33000000002</v>
      </c>
      <c r="AM86" s="110">
        <v>135262.33000000002</v>
      </c>
      <c r="AN86" s="110">
        <v>135263.06</v>
      </c>
      <c r="AO86" s="109"/>
      <c r="AP86" s="110">
        <v>121336.43000000001</v>
      </c>
      <c r="AQ86" s="110">
        <v>121416.21</v>
      </c>
      <c r="AR86" s="110">
        <v>121495.98</v>
      </c>
      <c r="AS86" s="110">
        <v>-121416.21</v>
      </c>
      <c r="AT86" s="110">
        <v>0</v>
      </c>
      <c r="AU86" s="110">
        <v>0</v>
      </c>
      <c r="AV86" s="110">
        <v>0</v>
      </c>
      <c r="AW86" s="110">
        <v>0</v>
      </c>
      <c r="AX86" s="110">
        <v>0</v>
      </c>
      <c r="AY86" s="110">
        <v>0</v>
      </c>
      <c r="AZ86" s="110">
        <v>0</v>
      </c>
      <c r="BA86" s="110">
        <v>0</v>
      </c>
    </row>
    <row r="87" spans="1:53" s="102" customFormat="1" outlineLevel="2">
      <c r="A87" s="102" t="s">
        <v>370</v>
      </c>
      <c r="B87" s="103" t="s">
        <v>371</v>
      </c>
      <c r="C87" s="104" t="s">
        <v>372</v>
      </c>
      <c r="D87" s="298"/>
      <c r="E87" s="299"/>
      <c r="F87" s="105">
        <v>-95858.03</v>
      </c>
      <c r="G87" s="105">
        <v>-98683.34</v>
      </c>
      <c r="H87" s="106">
        <f t="shared" si="8"/>
        <v>2825.3099999999977</v>
      </c>
      <c r="I87" s="300">
        <f t="shared" si="9"/>
        <v>2.863006055530749E-2</v>
      </c>
      <c r="J87" s="107"/>
      <c r="K87" s="105">
        <v>-289996.74</v>
      </c>
      <c r="L87" s="105">
        <v>-296050.02</v>
      </c>
      <c r="M87" s="106">
        <f t="shared" si="10"/>
        <v>6053.2800000000279</v>
      </c>
      <c r="N87" s="300">
        <f t="shared" si="11"/>
        <v>2.0446815034837786E-2</v>
      </c>
      <c r="O87" s="301"/>
      <c r="P87" s="107"/>
      <c r="Q87" s="105">
        <v>-289996.74</v>
      </c>
      <c r="R87" s="105">
        <v>-296050.02</v>
      </c>
      <c r="S87" s="106">
        <f t="shared" si="12"/>
        <v>6053.2800000000279</v>
      </c>
      <c r="T87" s="300">
        <f t="shared" si="13"/>
        <v>2.0446815034837786E-2</v>
      </c>
      <c r="U87" s="107"/>
      <c r="V87" s="105">
        <v>-1178146.8</v>
      </c>
      <c r="W87" s="105">
        <v>-1156519.9500000002</v>
      </c>
      <c r="X87" s="106">
        <f t="shared" si="14"/>
        <v>-21626.84999999986</v>
      </c>
      <c r="Y87" s="300">
        <f t="shared" si="15"/>
        <v>-1.8699936823398385E-2</v>
      </c>
      <c r="Z87" s="302"/>
      <c r="AA87" s="108">
        <v>-95607.77</v>
      </c>
      <c r="AB87" s="109"/>
      <c r="AC87" s="110">
        <v>-98683.34</v>
      </c>
      <c r="AD87" s="110">
        <v>-98683.34</v>
      </c>
      <c r="AE87" s="110">
        <v>-98683.34</v>
      </c>
      <c r="AF87" s="110">
        <v>-98683.34</v>
      </c>
      <c r="AG87" s="110">
        <v>-98683.34</v>
      </c>
      <c r="AH87" s="110">
        <v>-98683.34</v>
      </c>
      <c r="AI87" s="110">
        <v>-98683.34</v>
      </c>
      <c r="AJ87" s="110">
        <v>-98683.34</v>
      </c>
      <c r="AK87" s="110">
        <v>-98683.34</v>
      </c>
      <c r="AL87" s="110">
        <v>-98683.34</v>
      </c>
      <c r="AM87" s="110">
        <v>-98683.34</v>
      </c>
      <c r="AN87" s="110">
        <v>-98683.34</v>
      </c>
      <c r="AO87" s="109"/>
      <c r="AP87" s="110">
        <v>-97473.13</v>
      </c>
      <c r="AQ87" s="110">
        <v>-96665.58</v>
      </c>
      <c r="AR87" s="110">
        <v>-95858.03</v>
      </c>
      <c r="AS87" s="110">
        <v>96665.58</v>
      </c>
      <c r="AT87" s="110">
        <v>0</v>
      </c>
      <c r="AU87" s="110">
        <v>0</v>
      </c>
      <c r="AV87" s="110">
        <v>0</v>
      </c>
      <c r="AW87" s="110">
        <v>0</v>
      </c>
      <c r="AX87" s="110">
        <v>0</v>
      </c>
      <c r="AY87" s="110">
        <v>0</v>
      </c>
      <c r="AZ87" s="110">
        <v>0</v>
      </c>
      <c r="BA87" s="110">
        <v>0</v>
      </c>
    </row>
    <row r="88" spans="1:53" s="102" customFormat="1" outlineLevel="2">
      <c r="A88" s="102" t="s">
        <v>373</v>
      </c>
      <c r="B88" s="103" t="s">
        <v>374</v>
      </c>
      <c r="C88" s="104" t="s">
        <v>375</v>
      </c>
      <c r="D88" s="298"/>
      <c r="E88" s="299"/>
      <c r="F88" s="105">
        <v>4232.91</v>
      </c>
      <c r="G88" s="105">
        <v>4994.21</v>
      </c>
      <c r="H88" s="106">
        <f t="shared" si="8"/>
        <v>-761.30000000000018</v>
      </c>
      <c r="I88" s="300">
        <f t="shared" si="9"/>
        <v>-0.15243652149188763</v>
      </c>
      <c r="J88" s="107"/>
      <c r="K88" s="105">
        <v>12690.4</v>
      </c>
      <c r="L88" s="105">
        <v>14982.64</v>
      </c>
      <c r="M88" s="106">
        <f t="shared" si="10"/>
        <v>-2292.2399999999998</v>
      </c>
      <c r="N88" s="300">
        <f t="shared" si="11"/>
        <v>-0.1529930639727044</v>
      </c>
      <c r="O88" s="301"/>
      <c r="P88" s="107"/>
      <c r="Q88" s="105">
        <v>12690.4</v>
      </c>
      <c r="R88" s="105">
        <v>14982.64</v>
      </c>
      <c r="S88" s="106">
        <f t="shared" si="12"/>
        <v>-2292.2399999999998</v>
      </c>
      <c r="T88" s="300">
        <f t="shared" si="13"/>
        <v>-0.1529930639727044</v>
      </c>
      <c r="U88" s="107"/>
      <c r="V88" s="105">
        <v>57638.29</v>
      </c>
      <c r="W88" s="105">
        <v>50725.38</v>
      </c>
      <c r="X88" s="106">
        <f t="shared" si="14"/>
        <v>6912.9100000000035</v>
      </c>
      <c r="Y88" s="300">
        <f t="shared" si="15"/>
        <v>0.13628108848075665</v>
      </c>
      <c r="Z88" s="302"/>
      <c r="AA88" s="108">
        <v>3971.42</v>
      </c>
      <c r="AB88" s="109"/>
      <c r="AC88" s="110">
        <v>4994.21</v>
      </c>
      <c r="AD88" s="110">
        <v>4994.22</v>
      </c>
      <c r="AE88" s="110">
        <v>4994.21</v>
      </c>
      <c r="AF88" s="110">
        <v>4994.21</v>
      </c>
      <c r="AG88" s="110">
        <v>4994.21</v>
      </c>
      <c r="AH88" s="110">
        <v>4994.22</v>
      </c>
      <c r="AI88" s="110">
        <v>4994.21</v>
      </c>
      <c r="AJ88" s="110">
        <v>4994.2</v>
      </c>
      <c r="AK88" s="110">
        <v>4994.21</v>
      </c>
      <c r="AL88" s="110">
        <v>4994.21</v>
      </c>
      <c r="AM88" s="110">
        <v>4994.22</v>
      </c>
      <c r="AN88" s="110">
        <v>4994.2</v>
      </c>
      <c r="AO88" s="109"/>
      <c r="AP88" s="110">
        <v>4227.3599999999997</v>
      </c>
      <c r="AQ88" s="110">
        <v>4230.13</v>
      </c>
      <c r="AR88" s="110">
        <v>4232.91</v>
      </c>
      <c r="AS88" s="110">
        <v>-4230.1400000000003</v>
      </c>
      <c r="AT88" s="110">
        <v>0</v>
      </c>
      <c r="AU88" s="110">
        <v>0</v>
      </c>
      <c r="AV88" s="110">
        <v>0</v>
      </c>
      <c r="AW88" s="110">
        <v>0</v>
      </c>
      <c r="AX88" s="110">
        <v>0</v>
      </c>
      <c r="AY88" s="110">
        <v>0</v>
      </c>
      <c r="AZ88" s="110">
        <v>0</v>
      </c>
      <c r="BA88" s="110">
        <v>0</v>
      </c>
    </row>
    <row r="89" spans="1:53" s="102" customFormat="1" outlineLevel="2">
      <c r="A89" s="102" t="s">
        <v>376</v>
      </c>
      <c r="B89" s="103" t="s">
        <v>377</v>
      </c>
      <c r="C89" s="104" t="s">
        <v>378</v>
      </c>
      <c r="D89" s="298"/>
      <c r="E89" s="299"/>
      <c r="F89" s="105">
        <v>144819</v>
      </c>
      <c r="G89" s="105">
        <v>149853</v>
      </c>
      <c r="H89" s="106">
        <f t="shared" si="8"/>
        <v>-5034</v>
      </c>
      <c r="I89" s="300">
        <f t="shared" si="9"/>
        <v>-3.359292106264139E-2</v>
      </c>
      <c r="J89" s="107"/>
      <c r="K89" s="105">
        <v>434457</v>
      </c>
      <c r="L89" s="105">
        <v>449559</v>
      </c>
      <c r="M89" s="106">
        <f t="shared" si="10"/>
        <v>-15102</v>
      </c>
      <c r="N89" s="300">
        <f t="shared" si="11"/>
        <v>-3.359292106264139E-2</v>
      </c>
      <c r="O89" s="301"/>
      <c r="P89" s="107"/>
      <c r="Q89" s="105">
        <v>434457</v>
      </c>
      <c r="R89" s="105">
        <v>449559</v>
      </c>
      <c r="S89" s="106">
        <f t="shared" si="12"/>
        <v>-15102</v>
      </c>
      <c r="T89" s="300">
        <f t="shared" si="13"/>
        <v>-3.359292106264139E-2</v>
      </c>
      <c r="U89" s="107"/>
      <c r="V89" s="105">
        <v>-553514</v>
      </c>
      <c r="W89" s="105">
        <v>-1169488.6600000001</v>
      </c>
      <c r="X89" s="106">
        <f t="shared" si="14"/>
        <v>615974.66000000015</v>
      </c>
      <c r="Y89" s="300">
        <f t="shared" si="15"/>
        <v>0.52670426064670017</v>
      </c>
      <c r="Z89" s="302"/>
      <c r="AA89" s="108">
        <v>19909.260000000002</v>
      </c>
      <c r="AB89" s="109"/>
      <c r="AC89" s="110">
        <v>149853</v>
      </c>
      <c r="AD89" s="110">
        <v>149853</v>
      </c>
      <c r="AE89" s="110">
        <v>149853</v>
      </c>
      <c r="AF89" s="110">
        <v>149853</v>
      </c>
      <c r="AG89" s="110">
        <v>149853</v>
      </c>
      <c r="AH89" s="110">
        <v>-1446955</v>
      </c>
      <c r="AI89" s="110">
        <v>149853</v>
      </c>
      <c r="AJ89" s="110">
        <v>149853</v>
      </c>
      <c r="AK89" s="110">
        <v>149853</v>
      </c>
      <c r="AL89" s="110">
        <v>149853</v>
      </c>
      <c r="AM89" s="110">
        <v>149853</v>
      </c>
      <c r="AN89" s="110">
        <v>-589987</v>
      </c>
      <c r="AO89" s="109"/>
      <c r="AP89" s="110">
        <v>144819</v>
      </c>
      <c r="AQ89" s="110">
        <v>144819</v>
      </c>
      <c r="AR89" s="110">
        <v>144819</v>
      </c>
      <c r="AS89" s="110">
        <v>0</v>
      </c>
      <c r="AT89" s="110">
        <v>0</v>
      </c>
      <c r="AU89" s="110">
        <v>0</v>
      </c>
      <c r="AV89" s="110">
        <v>0</v>
      </c>
      <c r="AW89" s="110">
        <v>0</v>
      </c>
      <c r="AX89" s="110">
        <v>0</v>
      </c>
      <c r="AY89" s="110">
        <v>0</v>
      </c>
      <c r="AZ89" s="110">
        <v>0</v>
      </c>
      <c r="BA89" s="110">
        <v>0</v>
      </c>
    </row>
    <row r="90" spans="1:53" s="102" customFormat="1" outlineLevel="2">
      <c r="A90" s="102" t="s">
        <v>379</v>
      </c>
      <c r="B90" s="103" t="s">
        <v>380</v>
      </c>
      <c r="C90" s="104" t="s">
        <v>381</v>
      </c>
      <c r="D90" s="298"/>
      <c r="E90" s="299"/>
      <c r="F90" s="105">
        <v>-470080</v>
      </c>
      <c r="G90" s="105">
        <v>-149853</v>
      </c>
      <c r="H90" s="106">
        <f t="shared" si="8"/>
        <v>-320227</v>
      </c>
      <c r="I90" s="300">
        <f t="shared" si="9"/>
        <v>-2.1369408687180105</v>
      </c>
      <c r="J90" s="107"/>
      <c r="K90" s="105">
        <v>-1410240</v>
      </c>
      <c r="L90" s="105">
        <v>-449559</v>
      </c>
      <c r="M90" s="106">
        <f t="shared" si="10"/>
        <v>-960681</v>
      </c>
      <c r="N90" s="300">
        <f t="shared" si="11"/>
        <v>-2.1369408687180105</v>
      </c>
      <c r="O90" s="301"/>
      <c r="P90" s="107"/>
      <c r="Q90" s="105">
        <v>-1410240</v>
      </c>
      <c r="R90" s="105">
        <v>-449559</v>
      </c>
      <c r="S90" s="106">
        <f t="shared" si="12"/>
        <v>-960681</v>
      </c>
      <c r="T90" s="300">
        <f t="shared" si="13"/>
        <v>-2.1369408687180105</v>
      </c>
      <c r="U90" s="107"/>
      <c r="V90" s="105">
        <v>2882044</v>
      </c>
      <c r="W90" s="105">
        <v>1169488.8399999999</v>
      </c>
      <c r="X90" s="106">
        <f t="shared" si="14"/>
        <v>1712555.1600000001</v>
      </c>
      <c r="Y90" s="300">
        <f t="shared" si="15"/>
        <v>1.4643621225149959</v>
      </c>
      <c r="Z90" s="302"/>
      <c r="AA90" s="108">
        <v>-19909.240000000002</v>
      </c>
      <c r="AB90" s="109"/>
      <c r="AC90" s="110">
        <v>-149853</v>
      </c>
      <c r="AD90" s="110">
        <v>-149853</v>
      </c>
      <c r="AE90" s="110">
        <v>-149853</v>
      </c>
      <c r="AF90" s="110">
        <v>-149853</v>
      </c>
      <c r="AG90" s="110">
        <v>-149853</v>
      </c>
      <c r="AH90" s="110">
        <v>4269177</v>
      </c>
      <c r="AI90" s="110">
        <v>-149853</v>
      </c>
      <c r="AJ90" s="110">
        <v>-149853</v>
      </c>
      <c r="AK90" s="110">
        <v>-149853</v>
      </c>
      <c r="AL90" s="110">
        <v>-149853</v>
      </c>
      <c r="AM90" s="110">
        <v>-149853</v>
      </c>
      <c r="AN90" s="110">
        <v>1072078</v>
      </c>
      <c r="AO90" s="109"/>
      <c r="AP90" s="110">
        <v>-470080</v>
      </c>
      <c r="AQ90" s="110">
        <v>-470080</v>
      </c>
      <c r="AR90" s="110">
        <v>-470080</v>
      </c>
      <c r="AS90" s="110">
        <v>0</v>
      </c>
      <c r="AT90" s="110">
        <v>0</v>
      </c>
      <c r="AU90" s="110">
        <v>0</v>
      </c>
      <c r="AV90" s="110">
        <v>0</v>
      </c>
      <c r="AW90" s="110">
        <v>0</v>
      </c>
      <c r="AX90" s="110">
        <v>0</v>
      </c>
      <c r="AY90" s="110">
        <v>0</v>
      </c>
      <c r="AZ90" s="110">
        <v>0</v>
      </c>
      <c r="BA90" s="110">
        <v>0</v>
      </c>
    </row>
    <row r="91" spans="1:53" s="102" customFormat="1" outlineLevel="2">
      <c r="A91" s="102" t="s">
        <v>382</v>
      </c>
      <c r="B91" s="103" t="s">
        <v>383</v>
      </c>
      <c r="C91" s="104" t="s">
        <v>384</v>
      </c>
      <c r="D91" s="298"/>
      <c r="E91" s="299"/>
      <c r="F91" s="105">
        <v>-17356</v>
      </c>
      <c r="G91" s="105">
        <v>-5231</v>
      </c>
      <c r="H91" s="106">
        <f t="shared" si="8"/>
        <v>-12125</v>
      </c>
      <c r="I91" s="300">
        <f t="shared" si="9"/>
        <v>-2.3179124450391893</v>
      </c>
      <c r="J91" s="107"/>
      <c r="K91" s="105">
        <v>-52068</v>
      </c>
      <c r="L91" s="105">
        <v>-15693</v>
      </c>
      <c r="M91" s="106">
        <f t="shared" si="10"/>
        <v>-36375</v>
      </c>
      <c r="N91" s="300">
        <f t="shared" si="11"/>
        <v>-2.3179124450391893</v>
      </c>
      <c r="O91" s="301"/>
      <c r="P91" s="107"/>
      <c r="Q91" s="105">
        <v>-52068</v>
      </c>
      <c r="R91" s="105">
        <v>-15693</v>
      </c>
      <c r="S91" s="106">
        <f t="shared" si="12"/>
        <v>-36375</v>
      </c>
      <c r="T91" s="300">
        <f t="shared" si="13"/>
        <v>-2.3179124450391893</v>
      </c>
      <c r="U91" s="107"/>
      <c r="V91" s="105">
        <v>109129</v>
      </c>
      <c r="W91" s="105">
        <v>40618.53</v>
      </c>
      <c r="X91" s="106">
        <f t="shared" si="14"/>
        <v>68510.47</v>
      </c>
      <c r="Y91" s="300">
        <f t="shared" si="15"/>
        <v>1.6866801925131216</v>
      </c>
      <c r="Z91" s="302"/>
      <c r="AA91" s="108">
        <v>-717.83</v>
      </c>
      <c r="AB91" s="109"/>
      <c r="AC91" s="110">
        <v>-5231</v>
      </c>
      <c r="AD91" s="110">
        <v>-5231</v>
      </c>
      <c r="AE91" s="110">
        <v>-5231</v>
      </c>
      <c r="AF91" s="110">
        <v>-5231</v>
      </c>
      <c r="AG91" s="110">
        <v>-5231</v>
      </c>
      <c r="AH91" s="110">
        <v>157929</v>
      </c>
      <c r="AI91" s="110">
        <v>-5231</v>
      </c>
      <c r="AJ91" s="110">
        <v>-5231</v>
      </c>
      <c r="AK91" s="110">
        <v>-5231</v>
      </c>
      <c r="AL91" s="110">
        <v>-5231</v>
      </c>
      <c r="AM91" s="110">
        <v>-5231</v>
      </c>
      <c r="AN91" s="110">
        <v>39885</v>
      </c>
      <c r="AO91" s="109"/>
      <c r="AP91" s="110">
        <v>-17356</v>
      </c>
      <c r="AQ91" s="110">
        <v>-17356</v>
      </c>
      <c r="AR91" s="110">
        <v>-17356</v>
      </c>
      <c r="AS91" s="110">
        <v>0</v>
      </c>
      <c r="AT91" s="110">
        <v>0</v>
      </c>
      <c r="AU91" s="110">
        <v>0</v>
      </c>
      <c r="AV91" s="110">
        <v>0</v>
      </c>
      <c r="AW91" s="110">
        <v>0</v>
      </c>
      <c r="AX91" s="110">
        <v>0</v>
      </c>
      <c r="AY91" s="110">
        <v>0</v>
      </c>
      <c r="AZ91" s="110">
        <v>0</v>
      </c>
      <c r="BA91" s="110">
        <v>0</v>
      </c>
    </row>
    <row r="92" spans="1:53" s="102" customFormat="1" outlineLevel="2">
      <c r="A92" s="102" t="s">
        <v>385</v>
      </c>
      <c r="B92" s="103" t="s">
        <v>386</v>
      </c>
      <c r="C92" s="104" t="s">
        <v>387</v>
      </c>
      <c r="D92" s="298"/>
      <c r="E92" s="299"/>
      <c r="F92" s="105">
        <v>-70382</v>
      </c>
      <c r="G92" s="105">
        <v>-21782</v>
      </c>
      <c r="H92" s="106">
        <f t="shared" si="8"/>
        <v>-48600</v>
      </c>
      <c r="I92" s="300">
        <f t="shared" si="9"/>
        <v>-2.2312000734551463</v>
      </c>
      <c r="J92" s="107"/>
      <c r="K92" s="105">
        <v>-211146</v>
      </c>
      <c r="L92" s="105">
        <v>-65346</v>
      </c>
      <c r="M92" s="106">
        <f t="shared" si="10"/>
        <v>-145800</v>
      </c>
      <c r="N92" s="300">
        <f t="shared" si="11"/>
        <v>-2.2312000734551463</v>
      </c>
      <c r="O92" s="301"/>
      <c r="P92" s="107"/>
      <c r="Q92" s="105">
        <v>-211146</v>
      </c>
      <c r="R92" s="105">
        <v>-65346</v>
      </c>
      <c r="S92" s="106">
        <f t="shared" si="12"/>
        <v>-145800</v>
      </c>
      <c r="T92" s="300">
        <f t="shared" si="13"/>
        <v>-2.2312000734551463</v>
      </c>
      <c r="U92" s="107"/>
      <c r="V92" s="105">
        <v>437399</v>
      </c>
      <c r="W92" s="105">
        <v>169857.19</v>
      </c>
      <c r="X92" s="106">
        <f t="shared" si="14"/>
        <v>267541.81</v>
      </c>
      <c r="Y92" s="300">
        <f t="shared" si="15"/>
        <v>1.5750985283578516</v>
      </c>
      <c r="Z92" s="302"/>
      <c r="AA92" s="108">
        <v>-2909.09</v>
      </c>
      <c r="AB92" s="109"/>
      <c r="AC92" s="110">
        <v>-21782</v>
      </c>
      <c r="AD92" s="110">
        <v>-21782</v>
      </c>
      <c r="AE92" s="110">
        <v>-21782</v>
      </c>
      <c r="AF92" s="110">
        <v>-21782</v>
      </c>
      <c r="AG92" s="110">
        <v>-21782</v>
      </c>
      <c r="AH92" s="110">
        <v>639852</v>
      </c>
      <c r="AI92" s="110">
        <v>-21782</v>
      </c>
      <c r="AJ92" s="110">
        <v>-21782</v>
      </c>
      <c r="AK92" s="110">
        <v>-21782</v>
      </c>
      <c r="AL92" s="110">
        <v>-21782</v>
      </c>
      <c r="AM92" s="110">
        <v>-21782</v>
      </c>
      <c r="AN92" s="110">
        <v>161167</v>
      </c>
      <c r="AO92" s="109"/>
      <c r="AP92" s="110">
        <v>-70382</v>
      </c>
      <c r="AQ92" s="110">
        <v>-70382</v>
      </c>
      <c r="AR92" s="110">
        <v>-70382</v>
      </c>
      <c r="AS92" s="110">
        <v>0</v>
      </c>
      <c r="AT92" s="110">
        <v>0</v>
      </c>
      <c r="AU92" s="110">
        <v>0</v>
      </c>
      <c r="AV92" s="110">
        <v>0</v>
      </c>
      <c r="AW92" s="110">
        <v>0</v>
      </c>
      <c r="AX92" s="110">
        <v>0</v>
      </c>
      <c r="AY92" s="110">
        <v>0</v>
      </c>
      <c r="AZ92" s="110">
        <v>0</v>
      </c>
      <c r="BA92" s="110">
        <v>0</v>
      </c>
    </row>
    <row r="93" spans="1:53" outlineLevel="1">
      <c r="A93" s="111" t="s">
        <v>388</v>
      </c>
      <c r="B93" s="331"/>
      <c r="C93" s="347" t="s">
        <v>389</v>
      </c>
      <c r="D93" s="342"/>
      <c r="E93" s="342"/>
      <c r="F93" s="333">
        <v>2850474.6300000004</v>
      </c>
      <c r="G93" s="333">
        <v>4387663.5</v>
      </c>
      <c r="H93" s="133">
        <f t="shared" si="8"/>
        <v>-1537188.8699999996</v>
      </c>
      <c r="I93" s="138">
        <f t="shared" si="9"/>
        <v>-0.35034338207567639</v>
      </c>
      <c r="J93" s="157"/>
      <c r="K93" s="333">
        <v>8571425.9899999984</v>
      </c>
      <c r="L93" s="333">
        <v>11983055.870000003</v>
      </c>
      <c r="M93" s="133">
        <f t="shared" si="10"/>
        <v>-3411629.8800000045</v>
      </c>
      <c r="N93" s="137">
        <f t="shared" si="11"/>
        <v>-0.28470449583241436</v>
      </c>
      <c r="O93" s="344"/>
      <c r="P93" s="344"/>
      <c r="Q93" s="333">
        <v>8571425.9899999984</v>
      </c>
      <c r="R93" s="333">
        <v>11983055.870000003</v>
      </c>
      <c r="S93" s="133">
        <f t="shared" si="12"/>
        <v>-3411629.8800000045</v>
      </c>
      <c r="T93" s="138">
        <f t="shared" si="13"/>
        <v>-0.28470449583241436</v>
      </c>
      <c r="U93" s="344"/>
      <c r="V93" s="333">
        <v>46897878.860000007</v>
      </c>
      <c r="W93" s="333">
        <v>34373368.946999997</v>
      </c>
      <c r="X93" s="133">
        <f t="shared" si="14"/>
        <v>12524509.91300001</v>
      </c>
      <c r="Y93" s="137">
        <f t="shared" si="15"/>
        <v>0.36436666805373208</v>
      </c>
      <c r="Z93" s="111"/>
      <c r="AA93" s="139">
        <v>2757739.4329999997</v>
      </c>
      <c r="AB93" s="346"/>
      <c r="AC93" s="333">
        <v>3810201.2500000005</v>
      </c>
      <c r="AD93" s="333">
        <v>3785191.1200000015</v>
      </c>
      <c r="AE93" s="333">
        <v>4387663.5</v>
      </c>
      <c r="AF93" s="333">
        <v>3567538.87</v>
      </c>
      <c r="AG93" s="333">
        <v>3648690.88</v>
      </c>
      <c r="AH93" s="333">
        <v>7409939.540000001</v>
      </c>
      <c r="AI93" s="333">
        <v>3822826.9299999997</v>
      </c>
      <c r="AJ93" s="333">
        <v>3822922.43</v>
      </c>
      <c r="AK93" s="333">
        <v>3870271.4899999998</v>
      </c>
      <c r="AL93" s="333">
        <v>3839762.4</v>
      </c>
      <c r="AM93" s="333">
        <v>3731028.7100000009</v>
      </c>
      <c r="AN93" s="333">
        <v>4613471.6199999992</v>
      </c>
      <c r="AO93" s="346"/>
      <c r="AP93" s="333">
        <v>2623991.4</v>
      </c>
      <c r="AQ93" s="333">
        <v>3096959.9600000004</v>
      </c>
      <c r="AR93" s="333">
        <v>2850474.6300000004</v>
      </c>
      <c r="AS93" s="333">
        <v>13434582.450000003</v>
      </c>
      <c r="AT93" s="333">
        <v>0</v>
      </c>
      <c r="AU93" s="333">
        <v>0</v>
      </c>
      <c r="AV93" s="333">
        <v>0</v>
      </c>
      <c r="AW93" s="333">
        <v>0</v>
      </c>
      <c r="AX93" s="333">
        <v>0</v>
      </c>
      <c r="AY93" s="333">
        <v>0</v>
      </c>
      <c r="AZ93" s="333">
        <v>0</v>
      </c>
      <c r="BA93" s="333">
        <v>0</v>
      </c>
    </row>
    <row r="94" spans="1:53" s="131" customFormat="1">
      <c r="A94" s="111"/>
      <c r="B94" s="331" t="s">
        <v>390</v>
      </c>
      <c r="C94" s="348" t="s">
        <v>391</v>
      </c>
      <c r="D94" s="349"/>
      <c r="E94" s="349"/>
      <c r="F94" s="333">
        <f>+F14+F23+F27+F57+F62+F93</f>
        <v>43628257.660000004</v>
      </c>
      <c r="G94" s="333">
        <f>+G14+G23+G27+G57+G62+G93</f>
        <v>52650303.38000001</v>
      </c>
      <c r="H94" s="133">
        <f t="shared" si="8"/>
        <v>-9022045.7200000063</v>
      </c>
      <c r="I94" s="138">
        <f t="shared" si="9"/>
        <v>-0.17135790566834916</v>
      </c>
      <c r="J94" s="158"/>
      <c r="K94" s="333">
        <f>+K14+K23+K27+K57+K62+K93</f>
        <v>173115759.75000006</v>
      </c>
      <c r="L94" s="333">
        <f>+L14+L23+L27+L57+L62+L93</f>
        <v>188226516.32999998</v>
      </c>
      <c r="M94" s="133">
        <f t="shared" si="10"/>
        <v>-15110756.579999924</v>
      </c>
      <c r="N94" s="137">
        <f t="shared" si="11"/>
        <v>-8.0279637931074732E-2</v>
      </c>
      <c r="O94" s="350"/>
      <c r="P94" s="350"/>
      <c r="Q94" s="333">
        <f>+Q14+Q23+Q27+Q57+Q62+Q93</f>
        <v>173115759.75000006</v>
      </c>
      <c r="R94" s="333">
        <f>+R14+R23+R27+R57+R62+R93</f>
        <v>188226516.32999998</v>
      </c>
      <c r="S94" s="133">
        <f t="shared" si="12"/>
        <v>-15110756.579999924</v>
      </c>
      <c r="T94" s="138">
        <f t="shared" si="13"/>
        <v>-8.0279637931074732E-2</v>
      </c>
      <c r="U94" s="350"/>
      <c r="V94" s="333">
        <f>+V14+V23+V27+V57+V62+V93</f>
        <v>787013454.57000017</v>
      </c>
      <c r="W94" s="333">
        <f>+W14+W23+W27+W57+W62+W93</f>
        <v>683510897.97599983</v>
      </c>
      <c r="X94" s="133">
        <f t="shared" si="14"/>
        <v>103502556.59400034</v>
      </c>
      <c r="Y94" s="137">
        <f t="shared" si="15"/>
        <v>0.15142780736999256</v>
      </c>
      <c r="AA94" s="139">
        <f>+AA14+AA23+AA27+AA57+AA62+AA93</f>
        <v>59766783.752999991</v>
      </c>
      <c r="AB94" s="351"/>
      <c r="AC94" s="333">
        <f t="shared" ref="AC94:AN94" si="16">+AC14+AC23+AC27+AC57+AC62+AC93</f>
        <v>81720401.420000002</v>
      </c>
      <c r="AD94" s="333">
        <f t="shared" si="16"/>
        <v>53855811.530000001</v>
      </c>
      <c r="AE94" s="333">
        <f t="shared" si="16"/>
        <v>52650303.38000001</v>
      </c>
      <c r="AF94" s="333">
        <f t="shared" si="16"/>
        <v>57085872.669999994</v>
      </c>
      <c r="AG94" s="333">
        <f t="shared" si="16"/>
        <v>62074380.409999996</v>
      </c>
      <c r="AH94" s="333">
        <f t="shared" si="16"/>
        <v>73011986.550000012</v>
      </c>
      <c r="AI94" s="333">
        <f t="shared" si="16"/>
        <v>79131521.030000001</v>
      </c>
      <c r="AJ94" s="333">
        <f t="shared" si="16"/>
        <v>75209685.460000008</v>
      </c>
      <c r="AK94" s="333">
        <f t="shared" si="16"/>
        <v>55206305.82</v>
      </c>
      <c r="AL94" s="333">
        <f t="shared" si="16"/>
        <v>62946399.910000004</v>
      </c>
      <c r="AM94" s="333">
        <f t="shared" si="16"/>
        <v>72962880.460000008</v>
      </c>
      <c r="AN94" s="333">
        <f t="shared" si="16"/>
        <v>76268662.50999999</v>
      </c>
      <c r="AO94" s="351"/>
      <c r="AP94" s="333">
        <f t="shared" ref="AP94:BA94" si="17">+AP14+AP23+AP27+AP57+AP62+AP93</f>
        <v>72632893.300000012</v>
      </c>
      <c r="AQ94" s="333">
        <f t="shared" si="17"/>
        <v>56854608.790000007</v>
      </c>
      <c r="AR94" s="333">
        <f t="shared" si="17"/>
        <v>43628257.660000004</v>
      </c>
      <c r="AS94" s="333">
        <f t="shared" si="17"/>
        <v>87645608.75999999</v>
      </c>
      <c r="AT94" s="333">
        <f t="shared" si="17"/>
        <v>0</v>
      </c>
      <c r="AU94" s="333">
        <f t="shared" si="17"/>
        <v>0</v>
      </c>
      <c r="AV94" s="333">
        <f t="shared" si="17"/>
        <v>0</v>
      </c>
      <c r="AW94" s="333">
        <f t="shared" si="17"/>
        <v>0</v>
      </c>
      <c r="AX94" s="333">
        <f t="shared" si="17"/>
        <v>0</v>
      </c>
      <c r="AY94" s="333">
        <f t="shared" si="17"/>
        <v>0</v>
      </c>
      <c r="AZ94" s="333">
        <f t="shared" si="17"/>
        <v>0</v>
      </c>
      <c r="BA94" s="333">
        <f t="shared" si="17"/>
        <v>0</v>
      </c>
    </row>
    <row r="95" spans="1:53">
      <c r="B95" s="331" t="s">
        <v>392</v>
      </c>
      <c r="C95" s="337" t="s">
        <v>393</v>
      </c>
      <c r="D95" s="338"/>
      <c r="E95" s="338"/>
      <c r="F95" s="334"/>
      <c r="G95" s="334"/>
      <c r="H95" s="334"/>
      <c r="I95" s="334"/>
      <c r="J95" s="135"/>
      <c r="K95" s="339"/>
      <c r="L95" s="339"/>
      <c r="M95" s="339"/>
      <c r="N95" s="340"/>
      <c r="O95" s="334"/>
      <c r="P95" s="135"/>
      <c r="Q95" s="334"/>
      <c r="R95" s="334"/>
      <c r="S95" s="334"/>
      <c r="T95" s="334"/>
      <c r="U95" s="135"/>
      <c r="V95" s="334"/>
      <c r="W95" s="334"/>
      <c r="X95" s="334"/>
      <c r="Y95" s="334"/>
      <c r="Z95" s="334"/>
      <c r="AA95" s="136"/>
      <c r="AB95" s="341"/>
      <c r="AC95" s="339"/>
      <c r="AD95" s="339"/>
      <c r="AE95" s="339"/>
      <c r="AF95" s="339"/>
      <c r="AG95" s="339"/>
      <c r="AH95" s="339"/>
      <c r="AI95" s="339"/>
      <c r="AJ95" s="339"/>
      <c r="AK95" s="339"/>
      <c r="AL95" s="339"/>
      <c r="AM95" s="339"/>
      <c r="AN95" s="339"/>
      <c r="AO95" s="341"/>
      <c r="AP95" s="339"/>
      <c r="AQ95" s="339"/>
      <c r="AR95" s="339"/>
      <c r="AS95" s="339"/>
      <c r="AT95" s="339"/>
      <c r="AU95" s="339"/>
      <c r="AV95" s="339"/>
      <c r="AW95" s="339"/>
      <c r="AX95" s="339"/>
      <c r="AY95" s="339"/>
      <c r="AZ95" s="339"/>
      <c r="BA95" s="339"/>
    </row>
    <row r="96" spans="1:53" ht="0.75" customHeight="1" outlineLevel="2">
      <c r="B96" s="331"/>
      <c r="C96" s="348"/>
      <c r="D96" s="342"/>
      <c r="E96" s="342"/>
      <c r="F96" s="333"/>
      <c r="G96" s="333"/>
      <c r="H96" s="333"/>
      <c r="I96" s="343"/>
      <c r="J96" s="157"/>
      <c r="K96" s="333"/>
      <c r="L96" s="333"/>
      <c r="M96" s="333"/>
      <c r="N96" s="345"/>
      <c r="O96" s="344"/>
      <c r="P96" s="344"/>
      <c r="Q96" s="333"/>
      <c r="R96" s="333"/>
      <c r="S96" s="333"/>
      <c r="T96" s="343"/>
      <c r="U96" s="344"/>
      <c r="V96" s="333"/>
      <c r="W96" s="333"/>
      <c r="X96" s="333"/>
      <c r="Y96" s="345"/>
      <c r="Z96" s="111"/>
      <c r="AA96" s="139"/>
      <c r="AB96" s="346"/>
      <c r="AC96" s="333"/>
      <c r="AD96" s="333"/>
      <c r="AE96" s="333"/>
      <c r="AF96" s="333"/>
      <c r="AG96" s="333"/>
      <c r="AH96" s="333"/>
      <c r="AI96" s="333"/>
      <c r="AJ96" s="333"/>
      <c r="AK96" s="333"/>
      <c r="AL96" s="333"/>
      <c r="AM96" s="333"/>
      <c r="AN96" s="333"/>
      <c r="AO96" s="346"/>
      <c r="AP96" s="333"/>
      <c r="AQ96" s="333"/>
      <c r="AR96" s="333"/>
      <c r="AS96" s="333"/>
      <c r="AT96" s="333"/>
      <c r="AU96" s="333"/>
      <c r="AV96" s="333"/>
      <c r="AW96" s="333"/>
      <c r="AX96" s="333"/>
      <c r="AY96" s="333"/>
      <c r="AZ96" s="333"/>
      <c r="BA96" s="333"/>
    </row>
    <row r="97" spans="1:53" s="102" customFormat="1" outlineLevel="2">
      <c r="A97" s="102" t="s">
        <v>394</v>
      </c>
      <c r="B97" s="103" t="s">
        <v>395</v>
      </c>
      <c r="C97" s="104" t="s">
        <v>396</v>
      </c>
      <c r="D97" s="298"/>
      <c r="E97" s="299"/>
      <c r="F97" s="105">
        <v>557819.46</v>
      </c>
      <c r="G97" s="105">
        <v>531008.28</v>
      </c>
      <c r="H97" s="106">
        <f t="shared" ref="H97:H111" si="18">+F97-G97</f>
        <v>26811.179999999935</v>
      </c>
      <c r="I97" s="300">
        <f t="shared" ref="I97:I111" si="19">IF(G97&lt;0,IF(H97=0,0,IF(OR(G97=0,F97=0),"N.M.",IF(ABS(H97/G97)&gt;=10,"N.M.",H97/(-G97)))),IF(H97=0,0,IF(OR(G97=0,F97=0),"N.M.",IF(ABS(H97/G97)&gt;=10,"N.M.",H97/G97))))</f>
        <v>5.0491077088289343E-2</v>
      </c>
      <c r="J97" s="107"/>
      <c r="K97" s="105">
        <v>792109.49</v>
      </c>
      <c r="L97" s="105">
        <v>1498332.12</v>
      </c>
      <c r="M97" s="106">
        <f t="shared" ref="M97:M111" si="20">+K97-L97</f>
        <v>-706222.63000000012</v>
      </c>
      <c r="N97" s="300">
        <f t="shared" ref="N97:N111" si="21">IF(L97&lt;0,IF(M97=0,0,IF(OR(L97=0,K97=0),"N.M.",IF(ABS(M97/L97)&gt;=10,"N.M.",M97/(-L97)))),IF(M97=0,0,IF(OR(L97=0,K97=0),"N.M.",IF(ABS(M97/L97)&gt;=10,"N.M.",M97/L97))))</f>
        <v>-0.47133917812560816</v>
      </c>
      <c r="O97" s="301"/>
      <c r="P97" s="107"/>
      <c r="Q97" s="105">
        <v>792109.49</v>
      </c>
      <c r="R97" s="105">
        <v>1498332.12</v>
      </c>
      <c r="S97" s="106">
        <f t="shared" ref="S97:S111" si="22">+Q97-R97</f>
        <v>-706222.63000000012</v>
      </c>
      <c r="T97" s="300">
        <f t="shared" ref="T97:T111" si="23">IF(R97&lt;0,IF(S97=0,0,IF(OR(R97=0,Q97=0),"N.M.",IF(ABS(S97/R97)&gt;=10,"N.M.",S97/(-R97)))),IF(S97=0,0,IF(OR(R97=0,Q97=0),"N.M.",IF(ABS(S97/R97)&gt;=10,"N.M.",S97/R97))))</f>
        <v>-0.47133917812560816</v>
      </c>
      <c r="U97" s="107"/>
      <c r="V97" s="105">
        <v>6765493.7089999998</v>
      </c>
      <c r="W97" s="105">
        <v>5724010.0959999999</v>
      </c>
      <c r="X97" s="106">
        <f t="shared" ref="X97:X111" si="24">+V97-W97</f>
        <v>1041483.6129999999</v>
      </c>
      <c r="Y97" s="300">
        <f t="shared" ref="Y97:Y111" si="25">IF(W97&lt;0,IF(X97=0,0,IF(OR(W97=0,V97=0),"N.M.",IF(ABS(X97/W97)&gt;=10,"N.M.",X97/(-W97)))),IF(X97=0,0,IF(OR(W97=0,V97=0),"N.M.",IF(ABS(X97/W97)&gt;=10,"N.M.",X97/W97))))</f>
        <v>0.1819499958128655</v>
      </c>
      <c r="Z97" s="302"/>
      <c r="AA97" s="108">
        <v>505318.87</v>
      </c>
      <c r="AB97" s="109"/>
      <c r="AC97" s="110">
        <v>613370.16</v>
      </c>
      <c r="AD97" s="110">
        <v>353953.68</v>
      </c>
      <c r="AE97" s="110">
        <v>531008.28</v>
      </c>
      <c r="AF97" s="110">
        <v>307781.02</v>
      </c>
      <c r="AG97" s="110">
        <v>2251908.73</v>
      </c>
      <c r="AH97" s="110">
        <v>-1036978.35</v>
      </c>
      <c r="AI97" s="110">
        <v>393288.04000000004</v>
      </c>
      <c r="AJ97" s="110">
        <v>736175.65899999999</v>
      </c>
      <c r="AK97" s="110">
        <v>1015458</v>
      </c>
      <c r="AL97" s="110">
        <v>838096.01</v>
      </c>
      <c r="AM97" s="110">
        <v>681019.03</v>
      </c>
      <c r="AN97" s="110">
        <v>786636.08000000007</v>
      </c>
      <c r="AO97" s="109"/>
      <c r="AP97" s="110">
        <v>73411.62</v>
      </c>
      <c r="AQ97" s="110">
        <v>160878.41</v>
      </c>
      <c r="AR97" s="110">
        <v>557819.46</v>
      </c>
      <c r="AS97" s="110">
        <v>0</v>
      </c>
      <c r="AT97" s="110">
        <v>0</v>
      </c>
      <c r="AU97" s="110">
        <v>0</v>
      </c>
      <c r="AV97" s="110">
        <v>0</v>
      </c>
      <c r="AW97" s="110">
        <v>0</v>
      </c>
      <c r="AX97" s="110">
        <v>0</v>
      </c>
      <c r="AY97" s="110">
        <v>0</v>
      </c>
      <c r="AZ97" s="110">
        <v>0</v>
      </c>
      <c r="BA97" s="110">
        <v>0</v>
      </c>
    </row>
    <row r="98" spans="1:53" s="102" customFormat="1" outlineLevel="2">
      <c r="A98" s="102" t="s">
        <v>397</v>
      </c>
      <c r="B98" s="103" t="s">
        <v>398</v>
      </c>
      <c r="C98" s="104" t="s">
        <v>399</v>
      </c>
      <c r="D98" s="298"/>
      <c r="E98" s="299"/>
      <c r="F98" s="105">
        <v>6740326.6299999999</v>
      </c>
      <c r="G98" s="105">
        <v>13308.17</v>
      </c>
      <c r="H98" s="106">
        <f t="shared" si="18"/>
        <v>6727018.46</v>
      </c>
      <c r="I98" s="300" t="str">
        <f t="shared" si="19"/>
        <v>N.M.</v>
      </c>
      <c r="J98" s="107"/>
      <c r="K98" s="105">
        <v>13846030.32</v>
      </c>
      <c r="L98" s="105">
        <v>8269776.9100000001</v>
      </c>
      <c r="M98" s="106">
        <f t="shared" si="20"/>
        <v>5576253.4100000001</v>
      </c>
      <c r="N98" s="300">
        <f t="shared" si="21"/>
        <v>0.67429308803446308</v>
      </c>
      <c r="O98" s="301"/>
      <c r="P98" s="107"/>
      <c r="Q98" s="105">
        <v>13846030.32</v>
      </c>
      <c r="R98" s="105">
        <v>8269776.9100000001</v>
      </c>
      <c r="S98" s="106">
        <f t="shared" si="22"/>
        <v>5576253.4100000001</v>
      </c>
      <c r="T98" s="300">
        <f t="shared" si="23"/>
        <v>0.67429308803446308</v>
      </c>
      <c r="U98" s="107"/>
      <c r="V98" s="105">
        <v>48218495.590000004</v>
      </c>
      <c r="W98" s="105">
        <v>51442022.450000003</v>
      </c>
      <c r="X98" s="106">
        <f t="shared" si="24"/>
        <v>-3223526.8599999994</v>
      </c>
      <c r="Y98" s="300">
        <f t="shared" si="25"/>
        <v>-6.2663299506413542E-2</v>
      </c>
      <c r="Z98" s="302"/>
      <c r="AA98" s="108">
        <v>3909132.21</v>
      </c>
      <c r="AB98" s="109"/>
      <c r="AC98" s="110">
        <v>5947314.9900000002</v>
      </c>
      <c r="AD98" s="110">
        <v>2309153.75</v>
      </c>
      <c r="AE98" s="110">
        <v>13308.17</v>
      </c>
      <c r="AF98" s="110">
        <v>2916223.48</v>
      </c>
      <c r="AG98" s="110">
        <v>3760754.8200000003</v>
      </c>
      <c r="AH98" s="110">
        <v>4813015.57</v>
      </c>
      <c r="AI98" s="110">
        <v>6222777.21</v>
      </c>
      <c r="AJ98" s="110">
        <v>6447737.29</v>
      </c>
      <c r="AK98" s="110">
        <v>2857098.77</v>
      </c>
      <c r="AL98" s="110">
        <v>0</v>
      </c>
      <c r="AM98" s="110">
        <v>308108</v>
      </c>
      <c r="AN98" s="110">
        <v>7046750.1299999999</v>
      </c>
      <c r="AO98" s="109"/>
      <c r="AP98" s="110">
        <v>518411.2</v>
      </c>
      <c r="AQ98" s="110">
        <v>6587292.4900000002</v>
      </c>
      <c r="AR98" s="110">
        <v>6740326.6299999999</v>
      </c>
      <c r="AS98" s="110">
        <v>0</v>
      </c>
      <c r="AT98" s="110">
        <v>0</v>
      </c>
      <c r="AU98" s="110">
        <v>0</v>
      </c>
      <c r="AV98" s="110">
        <v>0</v>
      </c>
      <c r="AW98" s="110">
        <v>0</v>
      </c>
      <c r="AX98" s="110">
        <v>0</v>
      </c>
      <c r="AY98" s="110">
        <v>0</v>
      </c>
      <c r="AZ98" s="110">
        <v>0</v>
      </c>
      <c r="BA98" s="110">
        <v>0</v>
      </c>
    </row>
    <row r="99" spans="1:53" s="102" customFormat="1" outlineLevel="2">
      <c r="A99" s="102" t="s">
        <v>400</v>
      </c>
      <c r="B99" s="103" t="s">
        <v>401</v>
      </c>
      <c r="C99" s="104" t="s">
        <v>402</v>
      </c>
      <c r="D99" s="298"/>
      <c r="E99" s="299"/>
      <c r="F99" s="105">
        <v>236080.75</v>
      </c>
      <c r="G99" s="105">
        <v>162946.55000000002</v>
      </c>
      <c r="H99" s="106">
        <f t="shared" si="18"/>
        <v>73134.199999999983</v>
      </c>
      <c r="I99" s="300">
        <f t="shared" si="19"/>
        <v>0.44882324909609916</v>
      </c>
      <c r="J99" s="107"/>
      <c r="K99" s="105">
        <v>523173.34</v>
      </c>
      <c r="L99" s="105">
        <v>770370.87</v>
      </c>
      <c r="M99" s="106">
        <f t="shared" si="20"/>
        <v>-247197.52999999997</v>
      </c>
      <c r="N99" s="300">
        <f t="shared" si="21"/>
        <v>-0.32088120102464412</v>
      </c>
      <c r="O99" s="301"/>
      <c r="P99" s="107"/>
      <c r="Q99" s="105">
        <v>523173.34</v>
      </c>
      <c r="R99" s="105">
        <v>770370.87</v>
      </c>
      <c r="S99" s="106">
        <f t="shared" si="22"/>
        <v>-247197.52999999997</v>
      </c>
      <c r="T99" s="300">
        <f t="shared" si="23"/>
        <v>-0.32088120102464412</v>
      </c>
      <c r="U99" s="107"/>
      <c r="V99" s="105">
        <v>2321885.6999999997</v>
      </c>
      <c r="W99" s="105">
        <v>3774924.64</v>
      </c>
      <c r="X99" s="106">
        <f t="shared" si="24"/>
        <v>-1453038.9400000004</v>
      </c>
      <c r="Y99" s="300">
        <f t="shared" si="25"/>
        <v>-0.38491866158154625</v>
      </c>
      <c r="Z99" s="302"/>
      <c r="AA99" s="108">
        <v>288694</v>
      </c>
      <c r="AB99" s="109"/>
      <c r="AC99" s="110">
        <v>432188.42</v>
      </c>
      <c r="AD99" s="110">
        <v>175235.9</v>
      </c>
      <c r="AE99" s="110">
        <v>162946.55000000002</v>
      </c>
      <c r="AF99" s="110">
        <v>157151.5</v>
      </c>
      <c r="AG99" s="110">
        <v>202089.85</v>
      </c>
      <c r="AH99" s="110">
        <v>245323.68</v>
      </c>
      <c r="AI99" s="110">
        <v>349191.5</v>
      </c>
      <c r="AJ99" s="110">
        <v>365162.64</v>
      </c>
      <c r="AK99" s="110">
        <v>161672.84</v>
      </c>
      <c r="AL99" s="110">
        <v>0</v>
      </c>
      <c r="AM99" s="110">
        <v>40759.980000000003</v>
      </c>
      <c r="AN99" s="110">
        <v>277360.37</v>
      </c>
      <c r="AO99" s="109"/>
      <c r="AP99" s="110">
        <v>22942.39</v>
      </c>
      <c r="AQ99" s="110">
        <v>264150.2</v>
      </c>
      <c r="AR99" s="110">
        <v>236080.75</v>
      </c>
      <c r="AS99" s="110">
        <v>0</v>
      </c>
      <c r="AT99" s="110">
        <v>0</v>
      </c>
      <c r="AU99" s="110">
        <v>0</v>
      </c>
      <c r="AV99" s="110">
        <v>0</v>
      </c>
      <c r="AW99" s="110">
        <v>0</v>
      </c>
      <c r="AX99" s="110">
        <v>0</v>
      </c>
      <c r="AY99" s="110">
        <v>0</v>
      </c>
      <c r="AZ99" s="110">
        <v>0</v>
      </c>
      <c r="BA99" s="110">
        <v>0</v>
      </c>
    </row>
    <row r="100" spans="1:53" s="102" customFormat="1" outlineLevel="2">
      <c r="A100" s="102" t="s">
        <v>403</v>
      </c>
      <c r="B100" s="103" t="s">
        <v>404</v>
      </c>
      <c r="C100" s="104" t="s">
        <v>405</v>
      </c>
      <c r="D100" s="298"/>
      <c r="E100" s="299"/>
      <c r="F100" s="105">
        <v>-5232792.21</v>
      </c>
      <c r="G100" s="105">
        <v>-7067631</v>
      </c>
      <c r="H100" s="106">
        <f t="shared" si="18"/>
        <v>1834838.79</v>
      </c>
      <c r="I100" s="300">
        <f t="shared" si="19"/>
        <v>0.25961157140207236</v>
      </c>
      <c r="J100" s="107"/>
      <c r="K100" s="105">
        <v>17775329.550000001</v>
      </c>
      <c r="L100" s="105">
        <v>-7335973.9800000004</v>
      </c>
      <c r="M100" s="106">
        <f t="shared" si="20"/>
        <v>25111303.530000001</v>
      </c>
      <c r="N100" s="300">
        <f t="shared" si="21"/>
        <v>3.4230360683476686</v>
      </c>
      <c r="O100" s="301"/>
      <c r="P100" s="107"/>
      <c r="Q100" s="105">
        <v>17775329.550000001</v>
      </c>
      <c r="R100" s="105">
        <v>-7335973.9800000004</v>
      </c>
      <c r="S100" s="106">
        <f t="shared" si="22"/>
        <v>25111303.530000001</v>
      </c>
      <c r="T100" s="300">
        <f t="shared" si="23"/>
        <v>3.4230360683476686</v>
      </c>
      <c r="U100" s="107"/>
      <c r="V100" s="105">
        <v>10086011.790000001</v>
      </c>
      <c r="W100" s="105">
        <v>-13085993.030000001</v>
      </c>
      <c r="X100" s="106">
        <f t="shared" si="24"/>
        <v>23172004.82</v>
      </c>
      <c r="Y100" s="300">
        <f t="shared" si="25"/>
        <v>1.7707486750816341</v>
      </c>
      <c r="Z100" s="302"/>
      <c r="AA100" s="108">
        <v>9420335.9800000004</v>
      </c>
      <c r="AB100" s="109"/>
      <c r="AC100" s="110">
        <v>6871602.0199999996</v>
      </c>
      <c r="AD100" s="110">
        <v>-7139945</v>
      </c>
      <c r="AE100" s="110">
        <v>-7067631</v>
      </c>
      <c r="AF100" s="110">
        <v>-1103257</v>
      </c>
      <c r="AG100" s="110">
        <v>303957</v>
      </c>
      <c r="AH100" s="110">
        <v>-2409076.06</v>
      </c>
      <c r="AI100" s="110">
        <v>4003360.06</v>
      </c>
      <c r="AJ100" s="110">
        <v>-2314404</v>
      </c>
      <c r="AK100" s="110">
        <v>-7353817.1399999997</v>
      </c>
      <c r="AL100" s="110">
        <v>-2399510.86</v>
      </c>
      <c r="AM100" s="110">
        <v>1893726</v>
      </c>
      <c r="AN100" s="110">
        <v>1689704.24</v>
      </c>
      <c r="AO100" s="109"/>
      <c r="AP100" s="110">
        <v>14640713.76</v>
      </c>
      <c r="AQ100" s="110">
        <v>8367408</v>
      </c>
      <c r="AR100" s="110">
        <v>-5232792.21</v>
      </c>
      <c r="AS100" s="110">
        <v>4445969.21</v>
      </c>
      <c r="AT100" s="110">
        <v>1020163</v>
      </c>
      <c r="AU100" s="110">
        <v>0</v>
      </c>
      <c r="AV100" s="110">
        <v>0</v>
      </c>
      <c r="AW100" s="110">
        <v>0</v>
      </c>
      <c r="AX100" s="110">
        <v>0</v>
      </c>
      <c r="AY100" s="110">
        <v>0</v>
      </c>
      <c r="AZ100" s="110">
        <v>0</v>
      </c>
      <c r="BA100" s="110">
        <v>0</v>
      </c>
    </row>
    <row r="101" spans="1:53" s="102" customFormat="1" outlineLevel="2">
      <c r="A101" s="102" t="s">
        <v>406</v>
      </c>
      <c r="B101" s="103" t="s">
        <v>407</v>
      </c>
      <c r="C101" s="104" t="s">
        <v>408</v>
      </c>
      <c r="D101" s="298"/>
      <c r="E101" s="299"/>
      <c r="F101" s="105">
        <v>0</v>
      </c>
      <c r="G101" s="105">
        <v>0</v>
      </c>
      <c r="H101" s="106">
        <f t="shared" si="18"/>
        <v>0</v>
      </c>
      <c r="I101" s="300">
        <f t="shared" si="19"/>
        <v>0</v>
      </c>
      <c r="J101" s="107"/>
      <c r="K101" s="105">
        <v>0</v>
      </c>
      <c r="L101" s="105">
        <v>0</v>
      </c>
      <c r="M101" s="106">
        <f t="shared" si="20"/>
        <v>0</v>
      </c>
      <c r="N101" s="300">
        <f t="shared" si="21"/>
        <v>0</v>
      </c>
      <c r="O101" s="301"/>
      <c r="P101" s="107"/>
      <c r="Q101" s="105">
        <v>0</v>
      </c>
      <c r="R101" s="105">
        <v>0</v>
      </c>
      <c r="S101" s="106">
        <f t="shared" si="22"/>
        <v>0</v>
      </c>
      <c r="T101" s="300">
        <f t="shared" si="23"/>
        <v>0</v>
      </c>
      <c r="U101" s="107"/>
      <c r="V101" s="105">
        <v>0</v>
      </c>
      <c r="W101" s="105">
        <v>1500</v>
      </c>
      <c r="X101" s="106">
        <f t="shared" si="24"/>
        <v>-1500</v>
      </c>
      <c r="Y101" s="300" t="str">
        <f t="shared" si="25"/>
        <v>N.M.</v>
      </c>
      <c r="Z101" s="302"/>
      <c r="AA101" s="108">
        <v>0</v>
      </c>
      <c r="AB101" s="109"/>
      <c r="AC101" s="110">
        <v>0</v>
      </c>
      <c r="AD101" s="110">
        <v>0</v>
      </c>
      <c r="AE101" s="110">
        <v>0</v>
      </c>
      <c r="AF101" s="110">
        <v>0</v>
      </c>
      <c r="AG101" s="110">
        <v>0</v>
      </c>
      <c r="AH101" s="110">
        <v>0</v>
      </c>
      <c r="AI101" s="110">
        <v>0</v>
      </c>
      <c r="AJ101" s="110">
        <v>0</v>
      </c>
      <c r="AK101" s="110">
        <v>0</v>
      </c>
      <c r="AL101" s="110">
        <v>0</v>
      </c>
      <c r="AM101" s="110">
        <v>0</v>
      </c>
      <c r="AN101" s="110">
        <v>0</v>
      </c>
      <c r="AO101" s="109"/>
      <c r="AP101" s="110">
        <v>0</v>
      </c>
      <c r="AQ101" s="110">
        <v>0</v>
      </c>
      <c r="AR101" s="110">
        <v>0</v>
      </c>
      <c r="AS101" s="110">
        <v>0</v>
      </c>
      <c r="AT101" s="110">
        <v>0</v>
      </c>
      <c r="AU101" s="110">
        <v>0</v>
      </c>
      <c r="AV101" s="110">
        <v>0</v>
      </c>
      <c r="AW101" s="110">
        <v>0</v>
      </c>
      <c r="AX101" s="110">
        <v>0</v>
      </c>
      <c r="AY101" s="110">
        <v>0</v>
      </c>
      <c r="AZ101" s="110">
        <v>0</v>
      </c>
      <c r="BA101" s="110">
        <v>0</v>
      </c>
    </row>
    <row r="102" spans="1:53" s="102" customFormat="1" outlineLevel="2">
      <c r="A102" s="102" t="s">
        <v>409</v>
      </c>
      <c r="B102" s="103" t="s">
        <v>410</v>
      </c>
      <c r="C102" s="104" t="s">
        <v>411</v>
      </c>
      <c r="D102" s="298"/>
      <c r="E102" s="299"/>
      <c r="F102" s="105">
        <v>0</v>
      </c>
      <c r="G102" s="105">
        <v>0</v>
      </c>
      <c r="H102" s="106">
        <f t="shared" si="18"/>
        <v>0</v>
      </c>
      <c r="I102" s="300">
        <f t="shared" si="19"/>
        <v>0</v>
      </c>
      <c r="J102" s="107"/>
      <c r="K102" s="105">
        <v>0</v>
      </c>
      <c r="L102" s="105">
        <v>0</v>
      </c>
      <c r="M102" s="106">
        <f t="shared" si="20"/>
        <v>0</v>
      </c>
      <c r="N102" s="300">
        <f t="shared" si="21"/>
        <v>0</v>
      </c>
      <c r="O102" s="301"/>
      <c r="P102" s="107"/>
      <c r="Q102" s="105">
        <v>0</v>
      </c>
      <c r="R102" s="105">
        <v>0</v>
      </c>
      <c r="S102" s="106">
        <f t="shared" si="22"/>
        <v>0</v>
      </c>
      <c r="T102" s="300">
        <f t="shared" si="23"/>
        <v>0</v>
      </c>
      <c r="U102" s="107"/>
      <c r="V102" s="105">
        <v>221526.38</v>
      </c>
      <c r="W102" s="105">
        <v>22922.93</v>
      </c>
      <c r="X102" s="106">
        <f t="shared" si="24"/>
        <v>198603.45</v>
      </c>
      <c r="Y102" s="300">
        <f t="shared" si="25"/>
        <v>8.6639644233961377</v>
      </c>
      <c r="Z102" s="302"/>
      <c r="AA102" s="108">
        <v>0</v>
      </c>
      <c r="AB102" s="109"/>
      <c r="AC102" s="110">
        <v>0</v>
      </c>
      <c r="AD102" s="110">
        <v>0</v>
      </c>
      <c r="AE102" s="110">
        <v>0</v>
      </c>
      <c r="AF102" s="110">
        <v>-592948.13</v>
      </c>
      <c r="AG102" s="110">
        <v>0</v>
      </c>
      <c r="AH102" s="110">
        <v>0</v>
      </c>
      <c r="AI102" s="110">
        <v>0</v>
      </c>
      <c r="AJ102" s="110">
        <v>0</v>
      </c>
      <c r="AK102" s="110">
        <v>0</v>
      </c>
      <c r="AL102" s="110">
        <v>0</v>
      </c>
      <c r="AM102" s="110">
        <v>814474.51</v>
      </c>
      <c r="AN102" s="110">
        <v>0</v>
      </c>
      <c r="AO102" s="109"/>
      <c r="AP102" s="110">
        <v>0</v>
      </c>
      <c r="AQ102" s="110">
        <v>0</v>
      </c>
      <c r="AR102" s="110">
        <v>0</v>
      </c>
      <c r="AS102" s="110">
        <v>0</v>
      </c>
      <c r="AT102" s="110">
        <v>0</v>
      </c>
      <c r="AU102" s="110">
        <v>0</v>
      </c>
      <c r="AV102" s="110">
        <v>0</v>
      </c>
      <c r="AW102" s="110">
        <v>0</v>
      </c>
      <c r="AX102" s="110">
        <v>0</v>
      </c>
      <c r="AY102" s="110">
        <v>0</v>
      </c>
      <c r="AZ102" s="110">
        <v>0</v>
      </c>
      <c r="BA102" s="110">
        <v>0</v>
      </c>
    </row>
    <row r="103" spans="1:53" s="102" customFormat="1" outlineLevel="2">
      <c r="A103" s="102" t="s">
        <v>412</v>
      </c>
      <c r="B103" s="103" t="s">
        <v>413</v>
      </c>
      <c r="C103" s="104" t="s">
        <v>414</v>
      </c>
      <c r="D103" s="298"/>
      <c r="E103" s="299"/>
      <c r="F103" s="105">
        <v>160547.45000000001</v>
      </c>
      <c r="G103" s="105">
        <v>237737.59</v>
      </c>
      <c r="H103" s="106">
        <f t="shared" si="18"/>
        <v>-77190.139999999985</v>
      </c>
      <c r="I103" s="300">
        <f t="shared" si="19"/>
        <v>-0.32468630644400825</v>
      </c>
      <c r="J103" s="107"/>
      <c r="K103" s="105">
        <v>952830.34</v>
      </c>
      <c r="L103" s="105">
        <v>668356.57000000007</v>
      </c>
      <c r="M103" s="106">
        <f t="shared" si="20"/>
        <v>284473.7699999999</v>
      </c>
      <c r="N103" s="300">
        <f t="shared" si="21"/>
        <v>0.42563174025505557</v>
      </c>
      <c r="O103" s="301"/>
      <c r="P103" s="107"/>
      <c r="Q103" s="105">
        <v>952830.34</v>
      </c>
      <c r="R103" s="105">
        <v>668356.57000000007</v>
      </c>
      <c r="S103" s="106">
        <f t="shared" si="22"/>
        <v>284473.7699999999</v>
      </c>
      <c r="T103" s="300">
        <f t="shared" si="23"/>
        <v>0.42563174025505557</v>
      </c>
      <c r="U103" s="107"/>
      <c r="V103" s="105">
        <v>4710090.41</v>
      </c>
      <c r="W103" s="105">
        <v>2858338.71</v>
      </c>
      <c r="X103" s="106">
        <f t="shared" si="24"/>
        <v>1851751.7000000002</v>
      </c>
      <c r="Y103" s="300">
        <f t="shared" si="25"/>
        <v>0.64784194172705312</v>
      </c>
      <c r="Z103" s="302"/>
      <c r="AA103" s="108">
        <v>383958.3</v>
      </c>
      <c r="AB103" s="109"/>
      <c r="AC103" s="110">
        <v>231661.13</v>
      </c>
      <c r="AD103" s="110">
        <v>198957.85</v>
      </c>
      <c r="AE103" s="110">
        <v>237737.59</v>
      </c>
      <c r="AF103" s="110">
        <v>803993.41</v>
      </c>
      <c r="AG103" s="110">
        <v>286342.75</v>
      </c>
      <c r="AH103" s="110">
        <v>282674.35000000003</v>
      </c>
      <c r="AI103" s="110">
        <v>761314.6</v>
      </c>
      <c r="AJ103" s="110">
        <v>180639.48</v>
      </c>
      <c r="AK103" s="110">
        <v>21793.8</v>
      </c>
      <c r="AL103" s="110">
        <v>0</v>
      </c>
      <c r="AM103" s="110">
        <v>343157.88</v>
      </c>
      <c r="AN103" s="110">
        <v>1077343.8</v>
      </c>
      <c r="AO103" s="109"/>
      <c r="AP103" s="110">
        <v>828922.64</v>
      </c>
      <c r="AQ103" s="110">
        <v>-36639.75</v>
      </c>
      <c r="AR103" s="110">
        <v>160547.45000000001</v>
      </c>
      <c r="AS103" s="110">
        <v>0</v>
      </c>
      <c r="AT103" s="110">
        <v>0</v>
      </c>
      <c r="AU103" s="110">
        <v>0</v>
      </c>
      <c r="AV103" s="110">
        <v>0</v>
      </c>
      <c r="AW103" s="110">
        <v>0</v>
      </c>
      <c r="AX103" s="110">
        <v>0</v>
      </c>
      <c r="AY103" s="110">
        <v>0</v>
      </c>
      <c r="AZ103" s="110">
        <v>0</v>
      </c>
      <c r="BA103" s="110">
        <v>0</v>
      </c>
    </row>
    <row r="104" spans="1:53" s="102" customFormat="1" outlineLevel="2">
      <c r="A104" s="102" t="s">
        <v>415</v>
      </c>
      <c r="B104" s="103" t="s">
        <v>416</v>
      </c>
      <c r="C104" s="104" t="s">
        <v>417</v>
      </c>
      <c r="D104" s="298"/>
      <c r="E104" s="299"/>
      <c r="F104" s="105">
        <v>2870475.3200000003</v>
      </c>
      <c r="G104" s="105">
        <v>1426400.02</v>
      </c>
      <c r="H104" s="106">
        <f t="shared" si="18"/>
        <v>1444075.3000000003</v>
      </c>
      <c r="I104" s="300">
        <f t="shared" si="19"/>
        <v>1.0123915309535683</v>
      </c>
      <c r="J104" s="107"/>
      <c r="K104" s="105">
        <v>8621819.7300000004</v>
      </c>
      <c r="L104" s="105">
        <v>9646917.0399999991</v>
      </c>
      <c r="M104" s="106">
        <f t="shared" si="20"/>
        <v>-1025097.3099999987</v>
      </c>
      <c r="N104" s="300">
        <f t="shared" si="21"/>
        <v>-0.10626164874742187</v>
      </c>
      <c r="O104" s="301"/>
      <c r="P104" s="107"/>
      <c r="Q104" s="105">
        <v>8621819.7300000004</v>
      </c>
      <c r="R104" s="105">
        <v>9646917.0399999991</v>
      </c>
      <c r="S104" s="106">
        <f t="shared" si="22"/>
        <v>-1025097.3099999987</v>
      </c>
      <c r="T104" s="300">
        <f t="shared" si="23"/>
        <v>-0.10626164874742187</v>
      </c>
      <c r="U104" s="107"/>
      <c r="V104" s="105">
        <v>28179483.449999999</v>
      </c>
      <c r="W104" s="105">
        <v>22179928.489999998</v>
      </c>
      <c r="X104" s="106">
        <f t="shared" si="24"/>
        <v>5999554.9600000009</v>
      </c>
      <c r="Y104" s="300">
        <f t="shared" si="25"/>
        <v>0.27049478372777214</v>
      </c>
      <c r="Z104" s="302"/>
      <c r="AA104" s="108">
        <v>984321.94000000006</v>
      </c>
      <c r="AB104" s="109"/>
      <c r="AC104" s="110">
        <v>6371805.6799999997</v>
      </c>
      <c r="AD104" s="110">
        <v>1848711.3399999999</v>
      </c>
      <c r="AE104" s="110">
        <v>1426400.02</v>
      </c>
      <c r="AF104" s="110">
        <v>3027809.47</v>
      </c>
      <c r="AG104" s="110">
        <v>5347407.63</v>
      </c>
      <c r="AH104" s="110">
        <v>4643314.49</v>
      </c>
      <c r="AI104" s="110">
        <v>3637935.45</v>
      </c>
      <c r="AJ104" s="110">
        <v>3149630.7</v>
      </c>
      <c r="AK104" s="110">
        <v>-248533.84</v>
      </c>
      <c r="AL104" s="110">
        <v>99.820000000000007</v>
      </c>
      <c r="AM104" s="110">
        <v>0</v>
      </c>
      <c r="AN104" s="110">
        <v>0</v>
      </c>
      <c r="AO104" s="109"/>
      <c r="AP104" s="110">
        <v>1849792.23</v>
      </c>
      <c r="AQ104" s="110">
        <v>3901552.18</v>
      </c>
      <c r="AR104" s="110">
        <v>2870475.3200000003</v>
      </c>
      <c r="AS104" s="110">
        <v>-3640075.3200000003</v>
      </c>
      <c r="AT104" s="110">
        <v>0</v>
      </c>
      <c r="AU104" s="110">
        <v>0</v>
      </c>
      <c r="AV104" s="110">
        <v>0</v>
      </c>
      <c r="AW104" s="110">
        <v>0</v>
      </c>
      <c r="AX104" s="110">
        <v>0</v>
      </c>
      <c r="AY104" s="110">
        <v>0</v>
      </c>
      <c r="AZ104" s="110">
        <v>0</v>
      </c>
      <c r="BA104" s="110">
        <v>0</v>
      </c>
    </row>
    <row r="105" spans="1:53" s="102" customFormat="1" outlineLevel="2">
      <c r="A105" s="102" t="s">
        <v>418</v>
      </c>
      <c r="B105" s="103" t="s">
        <v>419</v>
      </c>
      <c r="C105" s="104" t="s">
        <v>420</v>
      </c>
      <c r="D105" s="298"/>
      <c r="E105" s="299"/>
      <c r="F105" s="105">
        <v>17131.91</v>
      </c>
      <c r="G105" s="105">
        <v>-66625.5</v>
      </c>
      <c r="H105" s="106">
        <f t="shared" si="18"/>
        <v>83757.41</v>
      </c>
      <c r="I105" s="300">
        <f t="shared" si="19"/>
        <v>1.2571374323644851</v>
      </c>
      <c r="J105" s="107"/>
      <c r="K105" s="105">
        <v>54933.78</v>
      </c>
      <c r="L105" s="105">
        <v>5878.59</v>
      </c>
      <c r="M105" s="106">
        <f t="shared" si="20"/>
        <v>49055.19</v>
      </c>
      <c r="N105" s="300">
        <f t="shared" si="21"/>
        <v>8.3447204176511711</v>
      </c>
      <c r="O105" s="301"/>
      <c r="P105" s="107"/>
      <c r="Q105" s="105">
        <v>54933.78</v>
      </c>
      <c r="R105" s="105">
        <v>5878.59</v>
      </c>
      <c r="S105" s="106">
        <f t="shared" si="22"/>
        <v>49055.19</v>
      </c>
      <c r="T105" s="300">
        <f t="shared" si="23"/>
        <v>8.3447204176511711</v>
      </c>
      <c r="U105" s="107"/>
      <c r="V105" s="105">
        <v>75598.78</v>
      </c>
      <c r="W105" s="105">
        <v>132649.18</v>
      </c>
      <c r="X105" s="106">
        <f t="shared" si="24"/>
        <v>-57050.399999999994</v>
      </c>
      <c r="Y105" s="300">
        <f t="shared" si="25"/>
        <v>-0.43008482977429635</v>
      </c>
      <c r="Z105" s="302"/>
      <c r="AA105" s="108">
        <v>15821.35</v>
      </c>
      <c r="AB105" s="109"/>
      <c r="AC105" s="110">
        <v>59135.42</v>
      </c>
      <c r="AD105" s="110">
        <v>13368.67</v>
      </c>
      <c r="AE105" s="110">
        <v>-66625.5</v>
      </c>
      <c r="AF105" s="110">
        <v>-2924.91</v>
      </c>
      <c r="AG105" s="110">
        <v>6995.3600000000006</v>
      </c>
      <c r="AH105" s="110">
        <v>6197.52</v>
      </c>
      <c r="AI105" s="110">
        <v>5790.77</v>
      </c>
      <c r="AJ105" s="110">
        <v>31416.06</v>
      </c>
      <c r="AK105" s="110">
        <v>-26812.47</v>
      </c>
      <c r="AL105" s="110">
        <v>2.06</v>
      </c>
      <c r="AM105" s="110">
        <v>0.61</v>
      </c>
      <c r="AN105" s="110">
        <v>0</v>
      </c>
      <c r="AO105" s="109"/>
      <c r="AP105" s="110">
        <v>16964.62</v>
      </c>
      <c r="AQ105" s="110">
        <v>20837.25</v>
      </c>
      <c r="AR105" s="110">
        <v>17131.91</v>
      </c>
      <c r="AS105" s="110">
        <v>-23302.100000000002</v>
      </c>
      <c r="AT105" s="110">
        <v>0</v>
      </c>
      <c r="AU105" s="110">
        <v>0</v>
      </c>
      <c r="AV105" s="110">
        <v>0</v>
      </c>
      <c r="AW105" s="110">
        <v>0</v>
      </c>
      <c r="AX105" s="110">
        <v>0</v>
      </c>
      <c r="AY105" s="110">
        <v>0</v>
      </c>
      <c r="AZ105" s="110">
        <v>0</v>
      </c>
      <c r="BA105" s="110">
        <v>0</v>
      </c>
    </row>
    <row r="106" spans="1:53" s="102" customFormat="1" outlineLevel="2">
      <c r="A106" s="102" t="s">
        <v>421</v>
      </c>
      <c r="B106" s="103" t="s">
        <v>422</v>
      </c>
      <c r="C106" s="104" t="s">
        <v>423</v>
      </c>
      <c r="D106" s="298"/>
      <c r="E106" s="299"/>
      <c r="F106" s="105">
        <v>64183.270000000004</v>
      </c>
      <c r="G106" s="105">
        <v>56648.14</v>
      </c>
      <c r="H106" s="106">
        <f t="shared" si="18"/>
        <v>7535.1300000000047</v>
      </c>
      <c r="I106" s="300">
        <f t="shared" si="19"/>
        <v>0.13301637088172719</v>
      </c>
      <c r="J106" s="107"/>
      <c r="K106" s="105">
        <v>178928.5</v>
      </c>
      <c r="L106" s="105">
        <v>165000.47</v>
      </c>
      <c r="M106" s="106">
        <f t="shared" si="20"/>
        <v>13928.029999999999</v>
      </c>
      <c r="N106" s="300">
        <f t="shared" si="21"/>
        <v>8.4412062583821723E-2</v>
      </c>
      <c r="O106" s="301"/>
      <c r="P106" s="107"/>
      <c r="Q106" s="105">
        <v>178928.5</v>
      </c>
      <c r="R106" s="105">
        <v>165000.47</v>
      </c>
      <c r="S106" s="106">
        <f t="shared" si="22"/>
        <v>13928.029999999999</v>
      </c>
      <c r="T106" s="300">
        <f t="shared" si="23"/>
        <v>8.4412062583821723E-2</v>
      </c>
      <c r="U106" s="107"/>
      <c r="V106" s="105">
        <v>727836.34</v>
      </c>
      <c r="W106" s="105">
        <v>523082.20999999996</v>
      </c>
      <c r="X106" s="106">
        <f t="shared" si="24"/>
        <v>204754.13</v>
      </c>
      <c r="Y106" s="300">
        <f t="shared" si="25"/>
        <v>0.39143776271802477</v>
      </c>
      <c r="Z106" s="302"/>
      <c r="AA106" s="108">
        <v>80142.09</v>
      </c>
      <c r="AB106" s="109"/>
      <c r="AC106" s="110">
        <v>50233.24</v>
      </c>
      <c r="AD106" s="110">
        <v>58119.090000000004</v>
      </c>
      <c r="AE106" s="110">
        <v>56648.14</v>
      </c>
      <c r="AF106" s="110">
        <v>62624.56</v>
      </c>
      <c r="AG106" s="110">
        <v>70440.930000000008</v>
      </c>
      <c r="AH106" s="110">
        <v>70205.78</v>
      </c>
      <c r="AI106" s="110">
        <v>45915.040000000001</v>
      </c>
      <c r="AJ106" s="110">
        <v>56612.450000000004</v>
      </c>
      <c r="AK106" s="110">
        <v>60861.79</v>
      </c>
      <c r="AL106" s="110">
        <v>38519.96</v>
      </c>
      <c r="AM106" s="110">
        <v>55501.760000000002</v>
      </c>
      <c r="AN106" s="110">
        <v>88225.57</v>
      </c>
      <c r="AO106" s="109"/>
      <c r="AP106" s="110">
        <v>49756.1</v>
      </c>
      <c r="AQ106" s="110">
        <v>64989.130000000005</v>
      </c>
      <c r="AR106" s="110">
        <v>64183.270000000004</v>
      </c>
      <c r="AS106" s="110">
        <v>0</v>
      </c>
      <c r="AT106" s="110">
        <v>0</v>
      </c>
      <c r="AU106" s="110">
        <v>0</v>
      </c>
      <c r="AV106" s="110">
        <v>0</v>
      </c>
      <c r="AW106" s="110">
        <v>0</v>
      </c>
      <c r="AX106" s="110">
        <v>0</v>
      </c>
      <c r="AY106" s="110">
        <v>0</v>
      </c>
      <c r="AZ106" s="110">
        <v>0</v>
      </c>
      <c r="BA106" s="110">
        <v>0</v>
      </c>
    </row>
    <row r="107" spans="1:53" s="102" customFormat="1" outlineLevel="2">
      <c r="A107" s="102" t="s">
        <v>424</v>
      </c>
      <c r="B107" s="103" t="s">
        <v>425</v>
      </c>
      <c r="C107" s="104" t="s">
        <v>426</v>
      </c>
      <c r="D107" s="298"/>
      <c r="E107" s="299"/>
      <c r="F107" s="105">
        <v>-94719.11</v>
      </c>
      <c r="G107" s="105">
        <v>-62218.8</v>
      </c>
      <c r="H107" s="106">
        <f t="shared" si="18"/>
        <v>-32500.309999999998</v>
      </c>
      <c r="I107" s="300">
        <f t="shared" si="19"/>
        <v>-0.52235514024699925</v>
      </c>
      <c r="J107" s="107"/>
      <c r="K107" s="105">
        <v>-206985.29</v>
      </c>
      <c r="L107" s="105">
        <v>-264582.13</v>
      </c>
      <c r="M107" s="106">
        <f t="shared" si="20"/>
        <v>57596.84</v>
      </c>
      <c r="N107" s="300">
        <f t="shared" si="21"/>
        <v>0.21768983415471027</v>
      </c>
      <c r="O107" s="301"/>
      <c r="P107" s="107"/>
      <c r="Q107" s="105">
        <v>-206985.29</v>
      </c>
      <c r="R107" s="105">
        <v>-264582.13</v>
      </c>
      <c r="S107" s="106">
        <f t="shared" si="22"/>
        <v>57596.84</v>
      </c>
      <c r="T107" s="300">
        <f t="shared" si="23"/>
        <v>0.21768983415471027</v>
      </c>
      <c r="U107" s="107"/>
      <c r="V107" s="105">
        <v>-540210.82000000007</v>
      </c>
      <c r="W107" s="105">
        <v>-1041490.0700000001</v>
      </c>
      <c r="X107" s="106">
        <f t="shared" si="24"/>
        <v>501279.25</v>
      </c>
      <c r="Y107" s="300">
        <f t="shared" si="25"/>
        <v>0.48130967777734068</v>
      </c>
      <c r="Z107" s="302"/>
      <c r="AA107" s="108">
        <v>-32803.75</v>
      </c>
      <c r="AB107" s="109"/>
      <c r="AC107" s="110">
        <v>-100476.58</v>
      </c>
      <c r="AD107" s="110">
        <v>-101886.75</v>
      </c>
      <c r="AE107" s="110">
        <v>-62218.8</v>
      </c>
      <c r="AF107" s="110">
        <v>0</v>
      </c>
      <c r="AG107" s="110">
        <v>-24260.260000000002</v>
      </c>
      <c r="AH107" s="110">
        <v>-98146.97</v>
      </c>
      <c r="AI107" s="110">
        <v>-55614.66</v>
      </c>
      <c r="AJ107" s="110">
        <v>-84495.95</v>
      </c>
      <c r="AK107" s="110">
        <v>-65880.84</v>
      </c>
      <c r="AL107" s="110">
        <v>-4826.84</v>
      </c>
      <c r="AM107" s="110">
        <v>-0.01</v>
      </c>
      <c r="AN107" s="110">
        <v>0</v>
      </c>
      <c r="AO107" s="109"/>
      <c r="AP107" s="110">
        <v>-43899.8</v>
      </c>
      <c r="AQ107" s="110">
        <v>-68366.38</v>
      </c>
      <c r="AR107" s="110">
        <v>-94719.11</v>
      </c>
      <c r="AS107" s="110">
        <v>0</v>
      </c>
      <c r="AT107" s="110">
        <v>0</v>
      </c>
      <c r="AU107" s="110">
        <v>0</v>
      </c>
      <c r="AV107" s="110">
        <v>0</v>
      </c>
      <c r="AW107" s="110">
        <v>0</v>
      </c>
      <c r="AX107" s="110">
        <v>0</v>
      </c>
      <c r="AY107" s="110">
        <v>0</v>
      </c>
      <c r="AZ107" s="110">
        <v>0</v>
      </c>
      <c r="BA107" s="110">
        <v>0</v>
      </c>
    </row>
    <row r="108" spans="1:53" s="102" customFormat="1" outlineLevel="2">
      <c r="A108" s="102" t="s">
        <v>1667</v>
      </c>
      <c r="B108" s="103" t="s">
        <v>1668</v>
      </c>
      <c r="C108" s="104" t="s">
        <v>1669</v>
      </c>
      <c r="D108" s="298"/>
      <c r="E108" s="299"/>
      <c r="F108" s="105">
        <v>0</v>
      </c>
      <c r="G108" s="105">
        <v>0</v>
      </c>
      <c r="H108" s="106">
        <f t="shared" si="18"/>
        <v>0</v>
      </c>
      <c r="I108" s="300">
        <f t="shared" si="19"/>
        <v>0</v>
      </c>
      <c r="J108" s="107"/>
      <c r="K108" s="105">
        <v>0</v>
      </c>
      <c r="L108" s="105">
        <v>0</v>
      </c>
      <c r="M108" s="106">
        <f t="shared" si="20"/>
        <v>0</v>
      </c>
      <c r="N108" s="300">
        <f t="shared" si="21"/>
        <v>0</v>
      </c>
      <c r="O108" s="301"/>
      <c r="P108" s="107"/>
      <c r="Q108" s="105">
        <v>0</v>
      </c>
      <c r="R108" s="105">
        <v>0</v>
      </c>
      <c r="S108" s="106">
        <f t="shared" si="22"/>
        <v>0</v>
      </c>
      <c r="T108" s="300">
        <f t="shared" si="23"/>
        <v>0</v>
      </c>
      <c r="U108" s="107"/>
      <c r="V108" s="105">
        <v>-680000</v>
      </c>
      <c r="W108" s="105">
        <v>0</v>
      </c>
      <c r="X108" s="106">
        <f t="shared" si="24"/>
        <v>-680000</v>
      </c>
      <c r="Y108" s="300" t="str">
        <f t="shared" si="25"/>
        <v>N.M.</v>
      </c>
      <c r="Z108" s="302"/>
      <c r="AA108" s="108">
        <v>0</v>
      </c>
      <c r="AB108" s="109"/>
      <c r="AC108" s="110">
        <v>0</v>
      </c>
      <c r="AD108" s="110">
        <v>0</v>
      </c>
      <c r="AE108" s="110">
        <v>0</v>
      </c>
      <c r="AF108" s="110">
        <v>0</v>
      </c>
      <c r="AG108" s="110">
        <v>0</v>
      </c>
      <c r="AH108" s="110">
        <v>0</v>
      </c>
      <c r="AI108" s="110">
        <v>-680000</v>
      </c>
      <c r="AJ108" s="110">
        <v>0</v>
      </c>
      <c r="AK108" s="110">
        <v>0</v>
      </c>
      <c r="AL108" s="110">
        <v>0</v>
      </c>
      <c r="AM108" s="110">
        <v>0</v>
      </c>
      <c r="AN108" s="110">
        <v>0</v>
      </c>
      <c r="AO108" s="109"/>
      <c r="AP108" s="110">
        <v>0</v>
      </c>
      <c r="AQ108" s="110">
        <v>0</v>
      </c>
      <c r="AR108" s="110">
        <v>0</v>
      </c>
      <c r="AS108" s="110">
        <v>0</v>
      </c>
      <c r="AT108" s="110">
        <v>0</v>
      </c>
      <c r="AU108" s="110">
        <v>0</v>
      </c>
      <c r="AV108" s="110">
        <v>0</v>
      </c>
      <c r="AW108" s="110">
        <v>0</v>
      </c>
      <c r="AX108" s="110">
        <v>0</v>
      </c>
      <c r="AY108" s="110">
        <v>0</v>
      </c>
      <c r="AZ108" s="110">
        <v>0</v>
      </c>
      <c r="BA108" s="110">
        <v>0</v>
      </c>
    </row>
    <row r="109" spans="1:53" s="102" customFormat="1" outlineLevel="2">
      <c r="A109" s="102" t="s">
        <v>427</v>
      </c>
      <c r="B109" s="103" t="s">
        <v>428</v>
      </c>
      <c r="C109" s="104" t="s">
        <v>429</v>
      </c>
      <c r="D109" s="298"/>
      <c r="E109" s="299"/>
      <c r="F109" s="105">
        <v>504295.2</v>
      </c>
      <c r="G109" s="105">
        <v>485705.52</v>
      </c>
      <c r="H109" s="106">
        <f t="shared" si="18"/>
        <v>18589.679999999993</v>
      </c>
      <c r="I109" s="300">
        <f t="shared" si="19"/>
        <v>3.8273561313447689E-2</v>
      </c>
      <c r="J109" s="107"/>
      <c r="K109" s="105">
        <v>1469489.78</v>
      </c>
      <c r="L109" s="105">
        <v>1417798.08</v>
      </c>
      <c r="M109" s="106">
        <f t="shared" si="20"/>
        <v>51691.699999999953</v>
      </c>
      <c r="N109" s="300">
        <f t="shared" si="21"/>
        <v>3.6459140923649686E-2</v>
      </c>
      <c r="O109" s="301"/>
      <c r="P109" s="107"/>
      <c r="Q109" s="105">
        <v>1469489.78</v>
      </c>
      <c r="R109" s="105">
        <v>1417798.08</v>
      </c>
      <c r="S109" s="106">
        <f t="shared" si="22"/>
        <v>51691.699999999953</v>
      </c>
      <c r="T109" s="300">
        <f t="shared" si="23"/>
        <v>3.6459140923649686E-2</v>
      </c>
      <c r="U109" s="107"/>
      <c r="V109" s="105">
        <v>5948283.6200000001</v>
      </c>
      <c r="W109" s="105">
        <v>5686973.9900000002</v>
      </c>
      <c r="X109" s="106">
        <f t="shared" si="24"/>
        <v>261309.62999999989</v>
      </c>
      <c r="Y109" s="300">
        <f t="shared" si="25"/>
        <v>4.5948799917053931E-2</v>
      </c>
      <c r="Z109" s="302"/>
      <c r="AA109" s="108">
        <v>476791.91000000003</v>
      </c>
      <c r="AB109" s="109"/>
      <c r="AC109" s="110">
        <v>489587.04000000004</v>
      </c>
      <c r="AD109" s="110">
        <v>442505.52</v>
      </c>
      <c r="AE109" s="110">
        <v>485705.52</v>
      </c>
      <c r="AF109" s="110">
        <v>471305.52</v>
      </c>
      <c r="AG109" s="110">
        <v>517124.88</v>
      </c>
      <c r="AH109" s="110">
        <v>493178.4</v>
      </c>
      <c r="AI109" s="110">
        <v>504496.8</v>
      </c>
      <c r="AJ109" s="110">
        <v>504496.8</v>
      </c>
      <c r="AK109" s="110">
        <v>490096.8</v>
      </c>
      <c r="AL109" s="110">
        <v>504499.32</v>
      </c>
      <c r="AM109" s="110">
        <v>490103.42</v>
      </c>
      <c r="AN109" s="110">
        <v>503491.9</v>
      </c>
      <c r="AO109" s="109"/>
      <c r="AP109" s="110">
        <v>504298.08</v>
      </c>
      <c r="AQ109" s="110">
        <v>460896.5</v>
      </c>
      <c r="AR109" s="110">
        <v>504295.2</v>
      </c>
      <c r="AS109" s="110">
        <v>-504295.2</v>
      </c>
      <c r="AT109" s="110">
        <v>0</v>
      </c>
      <c r="AU109" s="110">
        <v>0</v>
      </c>
      <c r="AV109" s="110">
        <v>0</v>
      </c>
      <c r="AW109" s="110">
        <v>0</v>
      </c>
      <c r="AX109" s="110">
        <v>0</v>
      </c>
      <c r="AY109" s="110">
        <v>0</v>
      </c>
      <c r="AZ109" s="110">
        <v>0</v>
      </c>
      <c r="BA109" s="110">
        <v>0</v>
      </c>
    </row>
    <row r="110" spans="1:53" s="102" customFormat="1" outlineLevel="2">
      <c r="A110" s="102" t="s">
        <v>430</v>
      </c>
      <c r="B110" s="103" t="s">
        <v>431</v>
      </c>
      <c r="C110" s="104" t="s">
        <v>432</v>
      </c>
      <c r="D110" s="298"/>
      <c r="E110" s="299"/>
      <c r="F110" s="105">
        <v>0.15</v>
      </c>
      <c r="G110" s="105">
        <v>0</v>
      </c>
      <c r="H110" s="106">
        <f t="shared" si="18"/>
        <v>0.15</v>
      </c>
      <c r="I110" s="300" t="str">
        <f t="shared" si="19"/>
        <v>N.M.</v>
      </c>
      <c r="J110" s="107"/>
      <c r="K110" s="105">
        <v>0.13</v>
      </c>
      <c r="L110" s="105">
        <v>0</v>
      </c>
      <c r="M110" s="106">
        <f t="shared" si="20"/>
        <v>0.13</v>
      </c>
      <c r="N110" s="300" t="str">
        <f t="shared" si="21"/>
        <v>N.M.</v>
      </c>
      <c r="O110" s="301"/>
      <c r="P110" s="107"/>
      <c r="Q110" s="105">
        <v>0.13</v>
      </c>
      <c r="R110" s="105">
        <v>0</v>
      </c>
      <c r="S110" s="106">
        <f t="shared" si="22"/>
        <v>0.13</v>
      </c>
      <c r="T110" s="300" t="str">
        <f t="shared" si="23"/>
        <v>N.M.</v>
      </c>
      <c r="U110" s="107"/>
      <c r="V110" s="105">
        <v>0.13</v>
      </c>
      <c r="W110" s="105">
        <v>-0.33</v>
      </c>
      <c r="X110" s="106">
        <f t="shared" si="24"/>
        <v>0.46</v>
      </c>
      <c r="Y110" s="300">
        <f t="shared" si="25"/>
        <v>1.393939393939394</v>
      </c>
      <c r="Z110" s="302"/>
      <c r="AA110" s="108">
        <v>0</v>
      </c>
      <c r="AB110" s="109"/>
      <c r="AC110" s="110">
        <v>0</v>
      </c>
      <c r="AD110" s="110">
        <v>0</v>
      </c>
      <c r="AE110" s="110">
        <v>0</v>
      </c>
      <c r="AF110" s="110">
        <v>0</v>
      </c>
      <c r="AG110" s="110">
        <v>0</v>
      </c>
      <c r="AH110" s="110">
        <v>-7.0000000000000001E-3</v>
      </c>
      <c r="AI110" s="110">
        <v>-1.3000000000000001E-2</v>
      </c>
      <c r="AJ110" s="110">
        <v>0.01</v>
      </c>
      <c r="AK110" s="110">
        <v>0.01</v>
      </c>
      <c r="AL110" s="110">
        <v>0</v>
      </c>
      <c r="AM110" s="110">
        <v>0</v>
      </c>
      <c r="AN110" s="110">
        <v>0</v>
      </c>
      <c r="AO110" s="109"/>
      <c r="AP110" s="110">
        <v>-0.01</v>
      </c>
      <c r="AQ110" s="110">
        <v>-0.01</v>
      </c>
      <c r="AR110" s="110">
        <v>0.15</v>
      </c>
      <c r="AS110" s="110">
        <v>-0.13</v>
      </c>
      <c r="AT110" s="110">
        <v>0</v>
      </c>
      <c r="AU110" s="110">
        <v>0</v>
      </c>
      <c r="AV110" s="110">
        <v>0</v>
      </c>
      <c r="AW110" s="110">
        <v>0</v>
      </c>
      <c r="AX110" s="110">
        <v>0</v>
      </c>
      <c r="AY110" s="110">
        <v>0</v>
      </c>
      <c r="AZ110" s="110">
        <v>0</v>
      </c>
      <c r="BA110" s="110">
        <v>0</v>
      </c>
    </row>
    <row r="111" spans="1:53" outlineLevel="1">
      <c r="A111" s="111" t="s">
        <v>433</v>
      </c>
      <c r="B111" s="331"/>
      <c r="C111" s="332" t="s">
        <v>434</v>
      </c>
      <c r="D111" s="342"/>
      <c r="E111" s="342"/>
      <c r="F111" s="333">
        <v>5823348.8200000003</v>
      </c>
      <c r="G111" s="333">
        <v>-4282721.0300000012</v>
      </c>
      <c r="H111" s="133">
        <f t="shared" si="18"/>
        <v>10106069.850000001</v>
      </c>
      <c r="I111" s="138">
        <f t="shared" si="19"/>
        <v>2.3597310633142028</v>
      </c>
      <c r="J111" s="157"/>
      <c r="K111" s="333">
        <v>44007659.670000017</v>
      </c>
      <c r="L111" s="333">
        <v>14841874.539999999</v>
      </c>
      <c r="M111" s="133">
        <f t="shared" si="20"/>
        <v>29165785.130000018</v>
      </c>
      <c r="N111" s="137">
        <f t="shared" si="21"/>
        <v>1.9651011771724638</v>
      </c>
      <c r="O111" s="344"/>
      <c r="P111" s="344"/>
      <c r="Q111" s="333">
        <v>44007659.670000017</v>
      </c>
      <c r="R111" s="333">
        <v>14841874.539999999</v>
      </c>
      <c r="S111" s="133">
        <f t="shared" si="22"/>
        <v>29165785.130000018</v>
      </c>
      <c r="T111" s="138">
        <f t="shared" si="23"/>
        <v>1.9651011771724638</v>
      </c>
      <c r="U111" s="344"/>
      <c r="V111" s="333">
        <v>106034495.07900001</v>
      </c>
      <c r="W111" s="333">
        <v>78218869.266000018</v>
      </c>
      <c r="X111" s="133">
        <f t="shared" si="24"/>
        <v>27815625.812999994</v>
      </c>
      <c r="Y111" s="137">
        <f t="shared" si="25"/>
        <v>0.35561273224759871</v>
      </c>
      <c r="Z111" s="111"/>
      <c r="AA111" s="139">
        <v>16031712.9</v>
      </c>
      <c r="AB111" s="346"/>
      <c r="AC111" s="333">
        <v>20966421.52</v>
      </c>
      <c r="AD111" s="333">
        <v>-1841825.9500000002</v>
      </c>
      <c r="AE111" s="333">
        <v>-4282721.0300000012</v>
      </c>
      <c r="AF111" s="333">
        <v>6047758.9199999999</v>
      </c>
      <c r="AG111" s="333">
        <v>12722761.690000001</v>
      </c>
      <c r="AH111" s="333">
        <v>7009708.4030000009</v>
      </c>
      <c r="AI111" s="333">
        <v>15188454.796999998</v>
      </c>
      <c r="AJ111" s="333">
        <v>9072971.1390000023</v>
      </c>
      <c r="AK111" s="333">
        <v>-3088062.2800000003</v>
      </c>
      <c r="AL111" s="333">
        <v>-1023120.5299999998</v>
      </c>
      <c r="AM111" s="333">
        <v>4626851.18</v>
      </c>
      <c r="AN111" s="333">
        <v>11469512.090000002</v>
      </c>
      <c r="AO111" s="346"/>
      <c r="AP111" s="333">
        <v>18461312.829999998</v>
      </c>
      <c r="AQ111" s="333">
        <v>19722998.02</v>
      </c>
      <c r="AR111" s="333">
        <v>5823348.8200000003</v>
      </c>
      <c r="AS111" s="333">
        <v>278296.45999999967</v>
      </c>
      <c r="AT111" s="333">
        <v>1020163</v>
      </c>
      <c r="AU111" s="333">
        <v>0</v>
      </c>
      <c r="AV111" s="333">
        <v>0</v>
      </c>
      <c r="AW111" s="333">
        <v>0</v>
      </c>
      <c r="AX111" s="333">
        <v>0</v>
      </c>
      <c r="AY111" s="333">
        <v>0</v>
      </c>
      <c r="AZ111" s="333">
        <v>0</v>
      </c>
      <c r="BA111" s="333">
        <v>0</v>
      </c>
    </row>
    <row r="112" spans="1:53" ht="0.75" customHeight="1" outlineLevel="2">
      <c r="B112" s="331"/>
      <c r="C112" s="332"/>
      <c r="D112" s="342"/>
      <c r="E112" s="342"/>
      <c r="F112" s="333"/>
      <c r="G112" s="333"/>
      <c r="H112" s="133"/>
      <c r="I112" s="138"/>
      <c r="J112" s="157"/>
      <c r="K112" s="333"/>
      <c r="L112" s="333"/>
      <c r="M112" s="133"/>
      <c r="N112" s="137"/>
      <c r="O112" s="344"/>
      <c r="P112" s="344"/>
      <c r="Q112" s="333"/>
      <c r="R112" s="333"/>
      <c r="S112" s="133"/>
      <c r="T112" s="138"/>
      <c r="U112" s="344"/>
      <c r="V112" s="333"/>
      <c r="W112" s="333"/>
      <c r="X112" s="133"/>
      <c r="Y112" s="137"/>
      <c r="Z112" s="111"/>
      <c r="AA112" s="139"/>
      <c r="AB112" s="346"/>
      <c r="AC112" s="333"/>
      <c r="AD112" s="333"/>
      <c r="AE112" s="333"/>
      <c r="AF112" s="333"/>
      <c r="AG112" s="333"/>
      <c r="AH112" s="333"/>
      <c r="AI112" s="333"/>
      <c r="AJ112" s="333"/>
      <c r="AK112" s="333"/>
      <c r="AL112" s="333"/>
      <c r="AM112" s="333"/>
      <c r="AN112" s="333"/>
      <c r="AO112" s="346"/>
      <c r="AP112" s="333"/>
      <c r="AQ112" s="333"/>
      <c r="AR112" s="333"/>
      <c r="AS112" s="333"/>
      <c r="AT112" s="333"/>
      <c r="AU112" s="333"/>
      <c r="AV112" s="333"/>
      <c r="AW112" s="333"/>
      <c r="AX112" s="333"/>
      <c r="AY112" s="333"/>
      <c r="AZ112" s="333"/>
      <c r="BA112" s="333"/>
    </row>
    <row r="113" spans="1:53" s="102" customFormat="1" outlineLevel="2">
      <c r="A113" s="102" t="s">
        <v>435</v>
      </c>
      <c r="B113" s="103" t="s">
        <v>436</v>
      </c>
      <c r="C113" s="104" t="s">
        <v>437</v>
      </c>
      <c r="D113" s="298"/>
      <c r="E113" s="299"/>
      <c r="F113" s="105">
        <v>429791.92</v>
      </c>
      <c r="G113" s="105">
        <v>448307.20000000001</v>
      </c>
      <c r="H113" s="106">
        <f t="shared" ref="H113:H132" si="26">+F113-G113</f>
        <v>-18515.280000000028</v>
      </c>
      <c r="I113" s="300">
        <f t="shared" ref="I113:I132" si="27">IF(G113&lt;0,IF(H113=0,0,IF(OR(G113=0,F113=0),"N.M.",IF(ABS(H113/G113)&gt;=10,"N.M.",H113/(-G113)))),IF(H113=0,0,IF(OR(G113=0,F113=0),"N.M.",IF(ABS(H113/G113)&gt;=10,"N.M.",H113/G113))))</f>
        <v>-4.130042970534497E-2</v>
      </c>
      <c r="J113" s="107"/>
      <c r="K113" s="105">
        <v>1259501.44</v>
      </c>
      <c r="L113" s="105">
        <v>1267293.3900000001</v>
      </c>
      <c r="M113" s="106">
        <f t="shared" ref="M113:M132" si="28">+K113-L113</f>
        <v>-7791.9500000001863</v>
      </c>
      <c r="N113" s="300">
        <f t="shared" ref="N113:N132" si="29">IF(L113&lt;0,IF(M113=0,0,IF(OR(L113=0,K113=0),"N.M.",IF(ABS(M113/L113)&gt;=10,"N.M.",M113/(-L113)))),IF(M113=0,0,IF(OR(L113=0,K113=0),"N.M.",IF(ABS(M113/L113)&gt;=10,"N.M.",M113/L113))))</f>
        <v>-6.1484973104769256E-3</v>
      </c>
      <c r="O113" s="301"/>
      <c r="P113" s="107"/>
      <c r="Q113" s="105">
        <v>1259501.44</v>
      </c>
      <c r="R113" s="105">
        <v>1267293.3900000001</v>
      </c>
      <c r="S113" s="106">
        <f t="shared" ref="S113:S132" si="30">+Q113-R113</f>
        <v>-7791.9500000001863</v>
      </c>
      <c r="T113" s="300">
        <f t="shared" ref="T113:T132" si="31">IF(R113&lt;0,IF(S113=0,0,IF(OR(R113=0,Q113=0),"N.M.",IF(ABS(S113/R113)&gt;=10,"N.M.",S113/(-R113)))),IF(S113=0,0,IF(OR(R113=0,Q113=0),"N.M.",IF(ABS(S113/R113)&gt;=10,"N.M.",S113/R113))))</f>
        <v>-6.1484973104769256E-3</v>
      </c>
      <c r="U113" s="107"/>
      <c r="V113" s="105">
        <v>5717095.8800000008</v>
      </c>
      <c r="W113" s="105">
        <v>4929984.4000000004</v>
      </c>
      <c r="X113" s="106">
        <f t="shared" ref="X113:X132" si="32">+V113-W113</f>
        <v>787111.48000000045</v>
      </c>
      <c r="Y113" s="300">
        <f t="shared" ref="Y113:Y132" si="33">IF(W113&lt;0,IF(X113=0,0,IF(OR(W113=0,V113=0),"N.M.",IF(ABS(X113/W113)&gt;=10,"N.M.",X113/(-W113)))),IF(X113=0,0,IF(OR(W113=0,V113=0),"N.M.",IF(ABS(X113/W113)&gt;=10,"N.M.",X113/W113))))</f>
        <v>0.15965800622006032</v>
      </c>
      <c r="Z113" s="302"/>
      <c r="AA113" s="108">
        <v>392740.87</v>
      </c>
      <c r="AB113" s="109"/>
      <c r="AC113" s="110">
        <v>434014.2</v>
      </c>
      <c r="AD113" s="110">
        <v>384971.99</v>
      </c>
      <c r="AE113" s="110">
        <v>448307.20000000001</v>
      </c>
      <c r="AF113" s="110">
        <v>476943.82</v>
      </c>
      <c r="AG113" s="110">
        <v>491063.97000000003</v>
      </c>
      <c r="AH113" s="110">
        <v>526384.07000000007</v>
      </c>
      <c r="AI113" s="110">
        <v>414980</v>
      </c>
      <c r="AJ113" s="110">
        <v>489701.63</v>
      </c>
      <c r="AK113" s="110">
        <v>512863.25</v>
      </c>
      <c r="AL113" s="110">
        <v>531927.37</v>
      </c>
      <c r="AM113" s="110">
        <v>425359.97000000003</v>
      </c>
      <c r="AN113" s="110">
        <v>588370.36</v>
      </c>
      <c r="AO113" s="109"/>
      <c r="AP113" s="110">
        <v>420942.45</v>
      </c>
      <c r="AQ113" s="110">
        <v>408767.07</v>
      </c>
      <c r="AR113" s="110">
        <v>429791.92</v>
      </c>
      <c r="AS113" s="110">
        <v>-52244.81</v>
      </c>
      <c r="AT113" s="110">
        <v>0</v>
      </c>
      <c r="AU113" s="110">
        <v>0</v>
      </c>
      <c r="AV113" s="110">
        <v>0</v>
      </c>
      <c r="AW113" s="110">
        <v>0</v>
      </c>
      <c r="AX113" s="110">
        <v>0</v>
      </c>
      <c r="AY113" s="110">
        <v>0</v>
      </c>
      <c r="AZ113" s="110">
        <v>0</v>
      </c>
      <c r="BA113" s="110">
        <v>0</v>
      </c>
    </row>
    <row r="114" spans="1:53" s="102" customFormat="1" outlineLevel="2">
      <c r="A114" s="102" t="s">
        <v>438</v>
      </c>
      <c r="B114" s="103" t="s">
        <v>439</v>
      </c>
      <c r="C114" s="104" t="s">
        <v>440</v>
      </c>
      <c r="D114" s="298"/>
      <c r="E114" s="299"/>
      <c r="F114" s="105">
        <v>0</v>
      </c>
      <c r="G114" s="105">
        <v>0</v>
      </c>
      <c r="H114" s="106">
        <f t="shared" si="26"/>
        <v>0</v>
      </c>
      <c r="I114" s="300">
        <f t="shared" si="27"/>
        <v>0</v>
      </c>
      <c r="J114" s="107"/>
      <c r="K114" s="105">
        <v>0</v>
      </c>
      <c r="L114" s="105">
        <v>0</v>
      </c>
      <c r="M114" s="106">
        <f t="shared" si="28"/>
        <v>0</v>
      </c>
      <c r="N114" s="300">
        <f t="shared" si="29"/>
        <v>0</v>
      </c>
      <c r="O114" s="301"/>
      <c r="P114" s="107"/>
      <c r="Q114" s="105">
        <v>0</v>
      </c>
      <c r="R114" s="105">
        <v>0</v>
      </c>
      <c r="S114" s="106">
        <f t="shared" si="30"/>
        <v>0</v>
      </c>
      <c r="T114" s="300">
        <f t="shared" si="31"/>
        <v>0</v>
      </c>
      <c r="U114" s="107"/>
      <c r="V114" s="105">
        <v>0</v>
      </c>
      <c r="W114" s="105">
        <v>15359.324000000001</v>
      </c>
      <c r="X114" s="106">
        <f t="shared" si="32"/>
        <v>-15359.324000000001</v>
      </c>
      <c r="Y114" s="300" t="str">
        <f t="shared" si="33"/>
        <v>N.M.</v>
      </c>
      <c r="Z114" s="302"/>
      <c r="AA114" s="108">
        <v>913.18000000000006</v>
      </c>
      <c r="AB114" s="109"/>
      <c r="AC114" s="110">
        <v>0</v>
      </c>
      <c r="AD114" s="110">
        <v>0</v>
      </c>
      <c r="AE114" s="110">
        <v>0</v>
      </c>
      <c r="AF114" s="110">
        <v>0</v>
      </c>
      <c r="AG114" s="110">
        <v>0</v>
      </c>
      <c r="AH114" s="110">
        <v>0</v>
      </c>
      <c r="AI114" s="110">
        <v>0</v>
      </c>
      <c r="AJ114" s="110">
        <v>0</v>
      </c>
      <c r="AK114" s="110">
        <v>0</v>
      </c>
      <c r="AL114" s="110">
        <v>0</v>
      </c>
      <c r="AM114" s="110">
        <v>0</v>
      </c>
      <c r="AN114" s="110">
        <v>0</v>
      </c>
      <c r="AO114" s="109"/>
      <c r="AP114" s="110">
        <v>0</v>
      </c>
      <c r="AQ114" s="110">
        <v>0</v>
      </c>
      <c r="AR114" s="110">
        <v>0</v>
      </c>
      <c r="AS114" s="110">
        <v>0</v>
      </c>
      <c r="AT114" s="110">
        <v>0</v>
      </c>
      <c r="AU114" s="110">
        <v>0</v>
      </c>
      <c r="AV114" s="110">
        <v>0</v>
      </c>
      <c r="AW114" s="110">
        <v>0</v>
      </c>
      <c r="AX114" s="110">
        <v>0</v>
      </c>
      <c r="AY114" s="110">
        <v>0</v>
      </c>
      <c r="AZ114" s="110">
        <v>0</v>
      </c>
      <c r="BA114" s="110">
        <v>0</v>
      </c>
    </row>
    <row r="115" spans="1:53" s="102" customFormat="1" outlineLevel="2">
      <c r="A115" s="102" t="s">
        <v>441</v>
      </c>
      <c r="B115" s="103" t="s">
        <v>442</v>
      </c>
      <c r="C115" s="104" t="s">
        <v>443</v>
      </c>
      <c r="D115" s="298"/>
      <c r="E115" s="299"/>
      <c r="F115" s="105">
        <v>109327.69</v>
      </c>
      <c r="G115" s="105">
        <v>143849.24</v>
      </c>
      <c r="H115" s="106">
        <f t="shared" si="26"/>
        <v>-34521.549999999988</v>
      </c>
      <c r="I115" s="300">
        <f t="shared" si="27"/>
        <v>-0.2399842362740324</v>
      </c>
      <c r="J115" s="107"/>
      <c r="K115" s="105">
        <v>376334.36</v>
      </c>
      <c r="L115" s="105">
        <v>503330.15</v>
      </c>
      <c r="M115" s="106">
        <f t="shared" si="28"/>
        <v>-126995.79000000004</v>
      </c>
      <c r="N115" s="300">
        <f t="shared" si="29"/>
        <v>-0.25231111229875663</v>
      </c>
      <c r="O115" s="301"/>
      <c r="P115" s="107"/>
      <c r="Q115" s="105">
        <v>376334.36</v>
      </c>
      <c r="R115" s="105">
        <v>503330.15</v>
      </c>
      <c r="S115" s="106">
        <f t="shared" si="30"/>
        <v>-126995.79000000004</v>
      </c>
      <c r="T115" s="300">
        <f t="shared" si="31"/>
        <v>-0.25231111229875663</v>
      </c>
      <c r="U115" s="107"/>
      <c r="V115" s="105">
        <v>1975739.9100000001</v>
      </c>
      <c r="W115" s="105">
        <v>2119507.37</v>
      </c>
      <c r="X115" s="106">
        <f t="shared" si="32"/>
        <v>-143767.45999999996</v>
      </c>
      <c r="Y115" s="300">
        <f t="shared" si="33"/>
        <v>-6.7830601598710155E-2</v>
      </c>
      <c r="Z115" s="302"/>
      <c r="AA115" s="108">
        <v>199363.66</v>
      </c>
      <c r="AB115" s="109"/>
      <c r="AC115" s="110">
        <v>231424.54</v>
      </c>
      <c r="AD115" s="110">
        <v>128056.37000000001</v>
      </c>
      <c r="AE115" s="110">
        <v>143849.24</v>
      </c>
      <c r="AF115" s="110">
        <v>162282.4</v>
      </c>
      <c r="AG115" s="110">
        <v>159437.89000000001</v>
      </c>
      <c r="AH115" s="110">
        <v>297838.78000000003</v>
      </c>
      <c r="AI115" s="110">
        <v>288981.87</v>
      </c>
      <c r="AJ115" s="110">
        <v>100353.29000000001</v>
      </c>
      <c r="AK115" s="110">
        <v>107625.40000000001</v>
      </c>
      <c r="AL115" s="110">
        <v>101781.86</v>
      </c>
      <c r="AM115" s="110">
        <v>78447.83</v>
      </c>
      <c r="AN115" s="110">
        <v>302656.23</v>
      </c>
      <c r="AO115" s="109"/>
      <c r="AP115" s="110">
        <v>173588.46</v>
      </c>
      <c r="AQ115" s="110">
        <v>93418.21</v>
      </c>
      <c r="AR115" s="110">
        <v>109327.69</v>
      </c>
      <c r="AS115" s="110">
        <v>1607.29</v>
      </c>
      <c r="AT115" s="110">
        <v>0</v>
      </c>
      <c r="AU115" s="110">
        <v>0</v>
      </c>
      <c r="AV115" s="110">
        <v>0</v>
      </c>
      <c r="AW115" s="110">
        <v>0</v>
      </c>
      <c r="AX115" s="110">
        <v>0</v>
      </c>
      <c r="AY115" s="110">
        <v>0</v>
      </c>
      <c r="AZ115" s="110">
        <v>0</v>
      </c>
      <c r="BA115" s="110">
        <v>0</v>
      </c>
    </row>
    <row r="116" spans="1:53" s="102" customFormat="1" outlineLevel="2">
      <c r="A116" s="102" t="s">
        <v>444</v>
      </c>
      <c r="B116" s="103" t="s">
        <v>445</v>
      </c>
      <c r="C116" s="104" t="s">
        <v>446</v>
      </c>
      <c r="D116" s="298"/>
      <c r="E116" s="299"/>
      <c r="F116" s="105">
        <v>263449.16000000003</v>
      </c>
      <c r="G116" s="105">
        <v>930.01</v>
      </c>
      <c r="H116" s="106">
        <f t="shared" si="26"/>
        <v>262519.15000000002</v>
      </c>
      <c r="I116" s="300" t="str">
        <f t="shared" si="27"/>
        <v>N.M.</v>
      </c>
      <c r="J116" s="107"/>
      <c r="K116" s="105">
        <v>424307</v>
      </c>
      <c r="L116" s="105">
        <v>237922.1</v>
      </c>
      <c r="M116" s="106">
        <f t="shared" si="28"/>
        <v>186384.9</v>
      </c>
      <c r="N116" s="300">
        <f t="shared" si="29"/>
        <v>0.78338624280804514</v>
      </c>
      <c r="O116" s="301"/>
      <c r="P116" s="107"/>
      <c r="Q116" s="105">
        <v>424307</v>
      </c>
      <c r="R116" s="105">
        <v>237922.1</v>
      </c>
      <c r="S116" s="106">
        <f t="shared" si="30"/>
        <v>186384.9</v>
      </c>
      <c r="T116" s="300">
        <f t="shared" si="31"/>
        <v>0.78338624280804514</v>
      </c>
      <c r="U116" s="107"/>
      <c r="V116" s="105">
        <v>1278849.78</v>
      </c>
      <c r="W116" s="105">
        <v>951108.13</v>
      </c>
      <c r="X116" s="106">
        <f t="shared" si="32"/>
        <v>327741.65000000002</v>
      </c>
      <c r="Y116" s="300">
        <f t="shared" si="33"/>
        <v>0.34458926347312374</v>
      </c>
      <c r="Z116" s="302"/>
      <c r="AA116" s="108">
        <v>91673.03</v>
      </c>
      <c r="AB116" s="109"/>
      <c r="AC116" s="110">
        <v>164304.9</v>
      </c>
      <c r="AD116" s="110">
        <v>72687.19</v>
      </c>
      <c r="AE116" s="110">
        <v>930.01</v>
      </c>
      <c r="AF116" s="110">
        <v>40834.97</v>
      </c>
      <c r="AG116" s="110">
        <v>122977.33</v>
      </c>
      <c r="AH116" s="110">
        <v>137858.04</v>
      </c>
      <c r="AI116" s="110">
        <v>107643.12</v>
      </c>
      <c r="AJ116" s="110">
        <v>269410.46000000002</v>
      </c>
      <c r="AK116" s="110">
        <v>123385.7</v>
      </c>
      <c r="AL116" s="110">
        <v>-37419</v>
      </c>
      <c r="AM116" s="110">
        <v>785.49</v>
      </c>
      <c r="AN116" s="110">
        <v>89066.67</v>
      </c>
      <c r="AO116" s="109"/>
      <c r="AP116" s="110">
        <v>3261.46</v>
      </c>
      <c r="AQ116" s="110">
        <v>157596.38</v>
      </c>
      <c r="AR116" s="110">
        <v>263449.16000000003</v>
      </c>
      <c r="AS116" s="110">
        <v>0</v>
      </c>
      <c r="AT116" s="110">
        <v>0</v>
      </c>
      <c r="AU116" s="110">
        <v>0</v>
      </c>
      <c r="AV116" s="110">
        <v>0</v>
      </c>
      <c r="AW116" s="110">
        <v>0</v>
      </c>
      <c r="AX116" s="110">
        <v>0</v>
      </c>
      <c r="AY116" s="110">
        <v>0</v>
      </c>
      <c r="AZ116" s="110">
        <v>0</v>
      </c>
      <c r="BA116" s="110">
        <v>0</v>
      </c>
    </row>
    <row r="117" spans="1:53" s="102" customFormat="1" outlineLevel="2">
      <c r="A117" s="102" t="s">
        <v>447</v>
      </c>
      <c r="B117" s="103" t="s">
        <v>448</v>
      </c>
      <c r="C117" s="104" t="s">
        <v>449</v>
      </c>
      <c r="D117" s="298"/>
      <c r="E117" s="299"/>
      <c r="F117" s="105">
        <v>546.03</v>
      </c>
      <c r="G117" s="105">
        <v>794.5</v>
      </c>
      <c r="H117" s="106">
        <f t="shared" si="26"/>
        <v>-248.47000000000003</v>
      </c>
      <c r="I117" s="300">
        <f t="shared" si="27"/>
        <v>-0.31273757079924486</v>
      </c>
      <c r="J117" s="107"/>
      <c r="K117" s="105">
        <v>1668.39</v>
      </c>
      <c r="L117" s="105">
        <v>93049.82</v>
      </c>
      <c r="M117" s="106">
        <f t="shared" si="28"/>
        <v>-91381.430000000008</v>
      </c>
      <c r="N117" s="300">
        <f t="shared" si="29"/>
        <v>-0.98206992770109602</v>
      </c>
      <c r="O117" s="301"/>
      <c r="P117" s="107"/>
      <c r="Q117" s="105">
        <v>1668.39</v>
      </c>
      <c r="R117" s="105">
        <v>93049.82</v>
      </c>
      <c r="S117" s="106">
        <f t="shared" si="30"/>
        <v>-91381.430000000008</v>
      </c>
      <c r="T117" s="300">
        <f t="shared" si="31"/>
        <v>-0.98206992770109602</v>
      </c>
      <c r="U117" s="107"/>
      <c r="V117" s="105">
        <v>296763.01</v>
      </c>
      <c r="W117" s="105">
        <v>353389.51</v>
      </c>
      <c r="X117" s="106">
        <f t="shared" si="32"/>
        <v>-56626.5</v>
      </c>
      <c r="Y117" s="300">
        <f t="shared" si="33"/>
        <v>-0.16023820288270582</v>
      </c>
      <c r="Z117" s="302"/>
      <c r="AA117" s="108">
        <v>14581.42</v>
      </c>
      <c r="AB117" s="109"/>
      <c r="AC117" s="110">
        <v>54803.090000000004</v>
      </c>
      <c r="AD117" s="110">
        <v>37452.230000000003</v>
      </c>
      <c r="AE117" s="110">
        <v>794.5</v>
      </c>
      <c r="AF117" s="110">
        <v>21572.94</v>
      </c>
      <c r="AG117" s="110">
        <v>124591.44</v>
      </c>
      <c r="AH117" s="110">
        <v>77893.240000000005</v>
      </c>
      <c r="AI117" s="110">
        <v>69846.81</v>
      </c>
      <c r="AJ117" s="110">
        <v>50187.81</v>
      </c>
      <c r="AK117" s="110">
        <v>3870.9700000000003</v>
      </c>
      <c r="AL117" s="110">
        <v>-54619.700000000004</v>
      </c>
      <c r="AM117" s="110">
        <v>574.31000000000006</v>
      </c>
      <c r="AN117" s="110">
        <v>1176.8</v>
      </c>
      <c r="AO117" s="109"/>
      <c r="AP117" s="110">
        <v>589.54</v>
      </c>
      <c r="AQ117" s="110">
        <v>532.82000000000005</v>
      </c>
      <c r="AR117" s="110">
        <v>546.03</v>
      </c>
      <c r="AS117" s="110">
        <v>0</v>
      </c>
      <c r="AT117" s="110">
        <v>0</v>
      </c>
      <c r="AU117" s="110">
        <v>0</v>
      </c>
      <c r="AV117" s="110">
        <v>0</v>
      </c>
      <c r="AW117" s="110">
        <v>0</v>
      </c>
      <c r="AX117" s="110">
        <v>0</v>
      </c>
      <c r="AY117" s="110">
        <v>0</v>
      </c>
      <c r="AZ117" s="110">
        <v>0</v>
      </c>
      <c r="BA117" s="110">
        <v>0</v>
      </c>
    </row>
    <row r="118" spans="1:53" s="102" customFormat="1" outlineLevel="2">
      <c r="A118" s="102" t="s">
        <v>450</v>
      </c>
      <c r="B118" s="103" t="s">
        <v>451</v>
      </c>
      <c r="C118" s="104" t="s">
        <v>1670</v>
      </c>
      <c r="D118" s="298"/>
      <c r="E118" s="299"/>
      <c r="F118" s="105">
        <v>229153.21</v>
      </c>
      <c r="G118" s="105">
        <v>6699.45</v>
      </c>
      <c r="H118" s="106">
        <f t="shared" si="26"/>
        <v>222453.75999999998</v>
      </c>
      <c r="I118" s="300" t="str">
        <f t="shared" si="27"/>
        <v>N.M.</v>
      </c>
      <c r="J118" s="107"/>
      <c r="K118" s="105">
        <v>454352.7</v>
      </c>
      <c r="L118" s="105">
        <v>488890.93</v>
      </c>
      <c r="M118" s="106">
        <f t="shared" si="28"/>
        <v>-34538.229999999981</v>
      </c>
      <c r="N118" s="300">
        <f t="shared" si="29"/>
        <v>-7.0646084598051315E-2</v>
      </c>
      <c r="O118" s="301"/>
      <c r="P118" s="107"/>
      <c r="Q118" s="105">
        <v>454352.7</v>
      </c>
      <c r="R118" s="105">
        <v>488890.93</v>
      </c>
      <c r="S118" s="106">
        <f t="shared" si="30"/>
        <v>-34538.229999999981</v>
      </c>
      <c r="T118" s="300">
        <f t="shared" si="31"/>
        <v>-7.0646084598051315E-2</v>
      </c>
      <c r="U118" s="107"/>
      <c r="V118" s="105">
        <v>1969316.73</v>
      </c>
      <c r="W118" s="105">
        <v>3124587.15</v>
      </c>
      <c r="X118" s="106">
        <f t="shared" si="32"/>
        <v>-1155270.42</v>
      </c>
      <c r="Y118" s="300">
        <f t="shared" si="33"/>
        <v>-0.3697353808806389</v>
      </c>
      <c r="Z118" s="302"/>
      <c r="AA118" s="108">
        <v>220702.39</v>
      </c>
      <c r="AB118" s="109"/>
      <c r="AC118" s="110">
        <v>336986.32</v>
      </c>
      <c r="AD118" s="110">
        <v>145205.16</v>
      </c>
      <c r="AE118" s="110">
        <v>6699.45</v>
      </c>
      <c r="AF118" s="110">
        <v>207748.17</v>
      </c>
      <c r="AG118" s="110">
        <v>182597.16</v>
      </c>
      <c r="AH118" s="110">
        <v>222549.85</v>
      </c>
      <c r="AI118" s="110">
        <v>291891.42</v>
      </c>
      <c r="AJ118" s="110">
        <v>223259.34</v>
      </c>
      <c r="AK118" s="110">
        <v>125878.18000000001</v>
      </c>
      <c r="AL118" s="110">
        <v>11469.26</v>
      </c>
      <c r="AM118" s="110">
        <v>589.75</v>
      </c>
      <c r="AN118" s="110">
        <v>248980.9</v>
      </c>
      <c r="AO118" s="109"/>
      <c r="AP118" s="110">
        <v>22636.77</v>
      </c>
      <c r="AQ118" s="110">
        <v>202562.72</v>
      </c>
      <c r="AR118" s="110">
        <v>229153.21</v>
      </c>
      <c r="AS118" s="110">
        <v>0</v>
      </c>
      <c r="AT118" s="110">
        <v>0</v>
      </c>
      <c r="AU118" s="110">
        <v>0</v>
      </c>
      <c r="AV118" s="110">
        <v>0</v>
      </c>
      <c r="AW118" s="110">
        <v>0</v>
      </c>
      <c r="AX118" s="110">
        <v>0</v>
      </c>
      <c r="AY118" s="110">
        <v>0</v>
      </c>
      <c r="AZ118" s="110">
        <v>0</v>
      </c>
      <c r="BA118" s="110">
        <v>0</v>
      </c>
    </row>
    <row r="119" spans="1:53" s="102" customFormat="1" outlineLevel="2">
      <c r="A119" s="102" t="s">
        <v>452</v>
      </c>
      <c r="B119" s="103" t="s">
        <v>453</v>
      </c>
      <c r="C119" s="104" t="s">
        <v>454</v>
      </c>
      <c r="D119" s="298"/>
      <c r="E119" s="299"/>
      <c r="F119" s="105">
        <v>0</v>
      </c>
      <c r="G119" s="105">
        <v>25677.93</v>
      </c>
      <c r="H119" s="106">
        <f t="shared" si="26"/>
        <v>-25677.93</v>
      </c>
      <c r="I119" s="300" t="str">
        <f t="shared" si="27"/>
        <v>N.M.</v>
      </c>
      <c r="J119" s="107"/>
      <c r="K119" s="105">
        <v>78564.759999999995</v>
      </c>
      <c r="L119" s="105">
        <v>45481.18</v>
      </c>
      <c r="M119" s="106">
        <f t="shared" si="28"/>
        <v>33083.579999999994</v>
      </c>
      <c r="N119" s="300">
        <f t="shared" si="29"/>
        <v>0.72741252535664191</v>
      </c>
      <c r="O119" s="301"/>
      <c r="P119" s="107"/>
      <c r="Q119" s="105">
        <v>78564.759999999995</v>
      </c>
      <c r="R119" s="105">
        <v>45481.18</v>
      </c>
      <c r="S119" s="106">
        <f t="shared" si="30"/>
        <v>33083.579999999994</v>
      </c>
      <c r="T119" s="300">
        <f t="shared" si="31"/>
        <v>0.72741252535664191</v>
      </c>
      <c r="U119" s="107"/>
      <c r="V119" s="105">
        <v>142325.69</v>
      </c>
      <c r="W119" s="105">
        <v>188836.87</v>
      </c>
      <c r="X119" s="106">
        <f t="shared" si="32"/>
        <v>-46511.179999999993</v>
      </c>
      <c r="Y119" s="300">
        <f t="shared" si="33"/>
        <v>-0.24630348935565388</v>
      </c>
      <c r="Z119" s="302"/>
      <c r="AA119" s="108">
        <v>43380.04</v>
      </c>
      <c r="AB119" s="109"/>
      <c r="AC119" s="110">
        <v>19803.25</v>
      </c>
      <c r="AD119" s="110">
        <v>0</v>
      </c>
      <c r="AE119" s="110">
        <v>25677.93</v>
      </c>
      <c r="AF119" s="110">
        <v>0</v>
      </c>
      <c r="AG119" s="110">
        <v>37390.629999999997</v>
      </c>
      <c r="AH119" s="110">
        <v>0</v>
      </c>
      <c r="AI119" s="110">
        <v>50343.3</v>
      </c>
      <c r="AJ119" s="110">
        <v>0</v>
      </c>
      <c r="AK119" s="110">
        <v>-22127.08</v>
      </c>
      <c r="AL119" s="110">
        <v>-1845.92</v>
      </c>
      <c r="AM119" s="110">
        <v>0</v>
      </c>
      <c r="AN119" s="110">
        <v>0</v>
      </c>
      <c r="AO119" s="109"/>
      <c r="AP119" s="110">
        <v>0</v>
      </c>
      <c r="AQ119" s="110">
        <v>78564.759999999995</v>
      </c>
      <c r="AR119" s="110">
        <v>0</v>
      </c>
      <c r="AS119" s="110">
        <v>0</v>
      </c>
      <c r="AT119" s="110">
        <v>0</v>
      </c>
      <c r="AU119" s="110">
        <v>0</v>
      </c>
      <c r="AV119" s="110">
        <v>0</v>
      </c>
      <c r="AW119" s="110">
        <v>0</v>
      </c>
      <c r="AX119" s="110">
        <v>0</v>
      </c>
      <c r="AY119" s="110">
        <v>0</v>
      </c>
      <c r="AZ119" s="110">
        <v>0</v>
      </c>
      <c r="BA119" s="110">
        <v>0</v>
      </c>
    </row>
    <row r="120" spans="1:53" s="102" customFormat="1" outlineLevel="2">
      <c r="A120" s="102" t="s">
        <v>455</v>
      </c>
      <c r="B120" s="103" t="s">
        <v>456</v>
      </c>
      <c r="C120" s="104" t="s">
        <v>457</v>
      </c>
      <c r="D120" s="298"/>
      <c r="E120" s="299"/>
      <c r="F120" s="105">
        <v>0</v>
      </c>
      <c r="G120" s="105">
        <v>0</v>
      </c>
      <c r="H120" s="106">
        <f t="shared" si="26"/>
        <v>0</v>
      </c>
      <c r="I120" s="300">
        <f t="shared" si="27"/>
        <v>0</v>
      </c>
      <c r="J120" s="107"/>
      <c r="K120" s="105">
        <v>0</v>
      </c>
      <c r="L120" s="105">
        <v>375.42</v>
      </c>
      <c r="M120" s="106">
        <f t="shared" si="28"/>
        <v>-375.42</v>
      </c>
      <c r="N120" s="300" t="str">
        <f t="shared" si="29"/>
        <v>N.M.</v>
      </c>
      <c r="O120" s="301"/>
      <c r="P120" s="107"/>
      <c r="Q120" s="105">
        <v>0</v>
      </c>
      <c r="R120" s="105">
        <v>375.42</v>
      </c>
      <c r="S120" s="106">
        <f t="shared" si="30"/>
        <v>-375.42</v>
      </c>
      <c r="T120" s="300" t="str">
        <f t="shared" si="31"/>
        <v>N.M.</v>
      </c>
      <c r="U120" s="107"/>
      <c r="V120" s="105">
        <v>0</v>
      </c>
      <c r="W120" s="105">
        <v>271675.76</v>
      </c>
      <c r="X120" s="106">
        <f t="shared" si="32"/>
        <v>-271675.76</v>
      </c>
      <c r="Y120" s="300" t="str">
        <f t="shared" si="33"/>
        <v>N.M.</v>
      </c>
      <c r="Z120" s="302"/>
      <c r="AA120" s="108">
        <v>19354.57</v>
      </c>
      <c r="AB120" s="109"/>
      <c r="AC120" s="110">
        <v>375.42</v>
      </c>
      <c r="AD120" s="110">
        <v>0</v>
      </c>
      <c r="AE120" s="110">
        <v>0</v>
      </c>
      <c r="AF120" s="110">
        <v>0</v>
      </c>
      <c r="AG120" s="110">
        <v>0</v>
      </c>
      <c r="AH120" s="110">
        <v>0</v>
      </c>
      <c r="AI120" s="110">
        <v>0</v>
      </c>
      <c r="AJ120" s="110">
        <v>0</v>
      </c>
      <c r="AK120" s="110">
        <v>0</v>
      </c>
      <c r="AL120" s="110">
        <v>0</v>
      </c>
      <c r="AM120" s="110">
        <v>0</v>
      </c>
      <c r="AN120" s="110">
        <v>0</v>
      </c>
      <c r="AO120" s="109"/>
      <c r="AP120" s="110">
        <v>0</v>
      </c>
      <c r="AQ120" s="110">
        <v>0</v>
      </c>
      <c r="AR120" s="110">
        <v>0</v>
      </c>
      <c r="AS120" s="110">
        <v>0</v>
      </c>
      <c r="AT120" s="110">
        <v>0</v>
      </c>
      <c r="AU120" s="110">
        <v>0</v>
      </c>
      <c r="AV120" s="110">
        <v>0</v>
      </c>
      <c r="AW120" s="110">
        <v>0</v>
      </c>
      <c r="AX120" s="110">
        <v>0</v>
      </c>
      <c r="AY120" s="110">
        <v>0</v>
      </c>
      <c r="AZ120" s="110">
        <v>0</v>
      </c>
      <c r="BA120" s="110">
        <v>0</v>
      </c>
    </row>
    <row r="121" spans="1:53" s="102" customFormat="1" outlineLevel="2">
      <c r="A121" s="102" t="s">
        <v>1671</v>
      </c>
      <c r="B121" s="103" t="s">
        <v>1672</v>
      </c>
      <c r="C121" s="104" t="s">
        <v>1673</v>
      </c>
      <c r="D121" s="298"/>
      <c r="E121" s="299"/>
      <c r="F121" s="105">
        <v>-0.41000000000000003</v>
      </c>
      <c r="G121" s="105">
        <v>3.2800000000000002</v>
      </c>
      <c r="H121" s="106">
        <f t="shared" si="26"/>
        <v>-3.6900000000000004</v>
      </c>
      <c r="I121" s="300">
        <f t="shared" si="27"/>
        <v>-1.125</v>
      </c>
      <c r="J121" s="107"/>
      <c r="K121" s="105">
        <v>4.9400000000000004</v>
      </c>
      <c r="L121" s="105">
        <v>7.55</v>
      </c>
      <c r="M121" s="106">
        <f t="shared" si="28"/>
        <v>-2.6099999999999994</v>
      </c>
      <c r="N121" s="300">
        <f t="shared" si="29"/>
        <v>-0.34569536423841052</v>
      </c>
      <c r="O121" s="301"/>
      <c r="P121" s="107"/>
      <c r="Q121" s="105">
        <v>4.9400000000000004</v>
      </c>
      <c r="R121" s="105">
        <v>7.55</v>
      </c>
      <c r="S121" s="106">
        <f t="shared" si="30"/>
        <v>-2.6099999999999994</v>
      </c>
      <c r="T121" s="300">
        <f t="shared" si="31"/>
        <v>-0.34569536423841052</v>
      </c>
      <c r="U121" s="107"/>
      <c r="V121" s="105">
        <v>-7.19</v>
      </c>
      <c r="W121" s="105">
        <v>7.55</v>
      </c>
      <c r="X121" s="106">
        <f t="shared" si="32"/>
        <v>-14.74</v>
      </c>
      <c r="Y121" s="300">
        <f t="shared" si="33"/>
        <v>-1.9523178807947021</v>
      </c>
      <c r="Z121" s="302"/>
      <c r="AA121" s="108">
        <v>0</v>
      </c>
      <c r="AB121" s="109"/>
      <c r="AC121" s="110">
        <v>16.09</v>
      </c>
      <c r="AD121" s="110">
        <v>-11.82</v>
      </c>
      <c r="AE121" s="110">
        <v>3.2800000000000002</v>
      </c>
      <c r="AF121" s="110">
        <v>2.02</v>
      </c>
      <c r="AG121" s="110">
        <v>1.56</v>
      </c>
      <c r="AH121" s="110">
        <v>0.66</v>
      </c>
      <c r="AI121" s="110">
        <v>-8.89</v>
      </c>
      <c r="AJ121" s="110">
        <v>5.46</v>
      </c>
      <c r="AK121" s="110">
        <v>2.38</v>
      </c>
      <c r="AL121" s="110">
        <v>-8</v>
      </c>
      <c r="AM121" s="110">
        <v>5.86</v>
      </c>
      <c r="AN121" s="110">
        <v>-13.18</v>
      </c>
      <c r="AO121" s="109"/>
      <c r="AP121" s="110">
        <v>6.51</v>
      </c>
      <c r="AQ121" s="110">
        <v>-1.1599999999999999</v>
      </c>
      <c r="AR121" s="110">
        <v>-0.41000000000000003</v>
      </c>
      <c r="AS121" s="110">
        <v>0</v>
      </c>
      <c r="AT121" s="110">
        <v>0</v>
      </c>
      <c r="AU121" s="110">
        <v>0</v>
      </c>
      <c r="AV121" s="110">
        <v>0</v>
      </c>
      <c r="AW121" s="110">
        <v>0</v>
      </c>
      <c r="AX121" s="110">
        <v>0</v>
      </c>
      <c r="AY121" s="110">
        <v>0</v>
      </c>
      <c r="AZ121" s="110">
        <v>0</v>
      </c>
      <c r="BA121" s="110">
        <v>0</v>
      </c>
    </row>
    <row r="122" spans="1:53" s="102" customFormat="1" outlineLevel="2">
      <c r="A122" s="102" t="s">
        <v>458</v>
      </c>
      <c r="B122" s="103" t="s">
        <v>459</v>
      </c>
      <c r="C122" s="104" t="s">
        <v>460</v>
      </c>
      <c r="D122" s="298"/>
      <c r="E122" s="299"/>
      <c r="F122" s="105">
        <v>-1611.75</v>
      </c>
      <c r="G122" s="105">
        <v>22676.7</v>
      </c>
      <c r="H122" s="106">
        <f t="shared" si="26"/>
        <v>-24288.45</v>
      </c>
      <c r="I122" s="300">
        <f t="shared" si="27"/>
        <v>-1.071075156438106</v>
      </c>
      <c r="J122" s="107"/>
      <c r="K122" s="105">
        <v>11050.49</v>
      </c>
      <c r="L122" s="105">
        <v>98223.400000000009</v>
      </c>
      <c r="M122" s="106">
        <f t="shared" si="28"/>
        <v>-87172.91</v>
      </c>
      <c r="N122" s="300">
        <f t="shared" si="29"/>
        <v>-0.88749636033776058</v>
      </c>
      <c r="O122" s="301"/>
      <c r="P122" s="107"/>
      <c r="Q122" s="105">
        <v>11050.49</v>
      </c>
      <c r="R122" s="105">
        <v>98223.400000000009</v>
      </c>
      <c r="S122" s="106">
        <f t="shared" si="30"/>
        <v>-87172.91</v>
      </c>
      <c r="T122" s="300">
        <f t="shared" si="31"/>
        <v>-0.88749636033776058</v>
      </c>
      <c r="U122" s="107"/>
      <c r="V122" s="105">
        <v>94883.57</v>
      </c>
      <c r="W122" s="105">
        <v>329678.78000000003</v>
      </c>
      <c r="X122" s="106">
        <f t="shared" si="32"/>
        <v>-234795.21000000002</v>
      </c>
      <c r="Y122" s="300">
        <f t="shared" si="33"/>
        <v>-0.71219388157163166</v>
      </c>
      <c r="Z122" s="302"/>
      <c r="AA122" s="108">
        <v>45203.81</v>
      </c>
      <c r="AB122" s="109"/>
      <c r="AC122" s="110">
        <v>38627.870000000003</v>
      </c>
      <c r="AD122" s="110">
        <v>36918.83</v>
      </c>
      <c r="AE122" s="110">
        <v>22676.7</v>
      </c>
      <c r="AF122" s="110">
        <v>-1715.24</v>
      </c>
      <c r="AG122" s="110">
        <v>20169.920000000002</v>
      </c>
      <c r="AH122" s="110">
        <v>20886.55</v>
      </c>
      <c r="AI122" s="110">
        <v>12380.720000000001</v>
      </c>
      <c r="AJ122" s="110">
        <v>11815.1</v>
      </c>
      <c r="AK122" s="110">
        <v>-474.48</v>
      </c>
      <c r="AL122" s="110">
        <v>10326.18</v>
      </c>
      <c r="AM122" s="110">
        <v>2600.87</v>
      </c>
      <c r="AN122" s="110">
        <v>7843.46</v>
      </c>
      <c r="AO122" s="109"/>
      <c r="AP122" s="110">
        <v>4859.6400000000003</v>
      </c>
      <c r="AQ122" s="110">
        <v>7802.6</v>
      </c>
      <c r="AR122" s="110">
        <v>-1611.75</v>
      </c>
      <c r="AS122" s="110">
        <v>0</v>
      </c>
      <c r="AT122" s="110">
        <v>0</v>
      </c>
      <c r="AU122" s="110">
        <v>0</v>
      </c>
      <c r="AV122" s="110">
        <v>0</v>
      </c>
      <c r="AW122" s="110">
        <v>0</v>
      </c>
      <c r="AX122" s="110">
        <v>0</v>
      </c>
      <c r="AY122" s="110">
        <v>0</v>
      </c>
      <c r="AZ122" s="110">
        <v>0</v>
      </c>
      <c r="BA122" s="110">
        <v>0</v>
      </c>
    </row>
    <row r="123" spans="1:53" s="102" customFormat="1" outlineLevel="2">
      <c r="A123" s="102" t="s">
        <v>461</v>
      </c>
      <c r="B123" s="103" t="s">
        <v>462</v>
      </c>
      <c r="C123" s="104" t="s">
        <v>463</v>
      </c>
      <c r="D123" s="298"/>
      <c r="E123" s="299"/>
      <c r="F123" s="105">
        <v>695373.77</v>
      </c>
      <c r="G123" s="105">
        <v>582959.71499999997</v>
      </c>
      <c r="H123" s="106">
        <f t="shared" si="26"/>
        <v>112414.05500000005</v>
      </c>
      <c r="I123" s="300">
        <f t="shared" si="27"/>
        <v>0.19283331610658561</v>
      </c>
      <c r="J123" s="107"/>
      <c r="K123" s="105">
        <v>1758177.37</v>
      </c>
      <c r="L123" s="105">
        <v>704279.21499999997</v>
      </c>
      <c r="M123" s="106">
        <f t="shared" si="28"/>
        <v>1053898.1550000003</v>
      </c>
      <c r="N123" s="300">
        <f t="shared" si="29"/>
        <v>1.4964209258965571</v>
      </c>
      <c r="O123" s="301"/>
      <c r="P123" s="107"/>
      <c r="Q123" s="105">
        <v>1758177.37</v>
      </c>
      <c r="R123" s="105">
        <v>704279.21499999997</v>
      </c>
      <c r="S123" s="106">
        <f t="shared" si="30"/>
        <v>1053898.1550000003</v>
      </c>
      <c r="T123" s="300">
        <f t="shared" si="31"/>
        <v>1.4964209258965571</v>
      </c>
      <c r="U123" s="107"/>
      <c r="V123" s="105">
        <v>5925425.5199999996</v>
      </c>
      <c r="W123" s="105">
        <v>4595996.4879999999</v>
      </c>
      <c r="X123" s="106">
        <f t="shared" si="32"/>
        <v>1329429.0319999997</v>
      </c>
      <c r="Y123" s="300">
        <f t="shared" si="33"/>
        <v>0.28925806089519357</v>
      </c>
      <c r="Z123" s="302"/>
      <c r="AA123" s="108">
        <v>968237.62</v>
      </c>
      <c r="AB123" s="109"/>
      <c r="AC123" s="110">
        <v>-221156.62</v>
      </c>
      <c r="AD123" s="110">
        <v>342476.12</v>
      </c>
      <c r="AE123" s="110">
        <v>582959.71499999997</v>
      </c>
      <c r="AF123" s="110">
        <v>329029.57</v>
      </c>
      <c r="AG123" s="110">
        <v>461641.42</v>
      </c>
      <c r="AH123" s="110">
        <v>349670.67</v>
      </c>
      <c r="AI123" s="110">
        <v>534636.19999999995</v>
      </c>
      <c r="AJ123" s="110">
        <v>476704.23</v>
      </c>
      <c r="AK123" s="110">
        <v>544561.66</v>
      </c>
      <c r="AL123" s="110">
        <v>257622.42</v>
      </c>
      <c r="AM123" s="110">
        <v>603444.05000000005</v>
      </c>
      <c r="AN123" s="110">
        <v>609937.93000000005</v>
      </c>
      <c r="AO123" s="109"/>
      <c r="AP123" s="110">
        <v>404878.7</v>
      </c>
      <c r="AQ123" s="110">
        <v>657924.9</v>
      </c>
      <c r="AR123" s="110">
        <v>695373.77</v>
      </c>
      <c r="AS123" s="110">
        <v>-130664.3</v>
      </c>
      <c r="AT123" s="110">
        <v>0</v>
      </c>
      <c r="AU123" s="110">
        <v>0</v>
      </c>
      <c r="AV123" s="110">
        <v>0</v>
      </c>
      <c r="AW123" s="110">
        <v>0</v>
      </c>
      <c r="AX123" s="110">
        <v>0</v>
      </c>
      <c r="AY123" s="110">
        <v>0</v>
      </c>
      <c r="AZ123" s="110">
        <v>0</v>
      </c>
      <c r="BA123" s="110">
        <v>0</v>
      </c>
    </row>
    <row r="124" spans="1:53" s="102" customFormat="1" outlineLevel="2">
      <c r="A124" s="102" t="s">
        <v>464</v>
      </c>
      <c r="B124" s="103" t="s">
        <v>465</v>
      </c>
      <c r="C124" s="104" t="s">
        <v>466</v>
      </c>
      <c r="D124" s="298"/>
      <c r="E124" s="299"/>
      <c r="F124" s="105">
        <v>4517.6400000000003</v>
      </c>
      <c r="G124" s="105">
        <v>4600.9800000000005</v>
      </c>
      <c r="H124" s="106">
        <f t="shared" si="26"/>
        <v>-83.340000000000146</v>
      </c>
      <c r="I124" s="300">
        <f t="shared" si="27"/>
        <v>-1.811353233441574E-2</v>
      </c>
      <c r="J124" s="107"/>
      <c r="K124" s="105">
        <v>13659.27</v>
      </c>
      <c r="L124" s="105">
        <v>12716.62</v>
      </c>
      <c r="M124" s="106">
        <f t="shared" si="28"/>
        <v>942.64999999999964</v>
      </c>
      <c r="N124" s="300">
        <f t="shared" si="29"/>
        <v>7.4127401778145419E-2</v>
      </c>
      <c r="O124" s="301"/>
      <c r="P124" s="107"/>
      <c r="Q124" s="105">
        <v>13659.27</v>
      </c>
      <c r="R124" s="105">
        <v>12716.62</v>
      </c>
      <c r="S124" s="106">
        <f t="shared" si="30"/>
        <v>942.64999999999964</v>
      </c>
      <c r="T124" s="300">
        <f t="shared" si="31"/>
        <v>7.4127401778145419E-2</v>
      </c>
      <c r="U124" s="107"/>
      <c r="V124" s="105">
        <v>46157.26</v>
      </c>
      <c r="W124" s="105">
        <v>42560.959999999999</v>
      </c>
      <c r="X124" s="106">
        <f t="shared" si="32"/>
        <v>3596.3000000000029</v>
      </c>
      <c r="Y124" s="300">
        <f t="shared" si="33"/>
        <v>8.449762411374187E-2</v>
      </c>
      <c r="Z124" s="302"/>
      <c r="AA124" s="108">
        <v>3877.7200000000003</v>
      </c>
      <c r="AB124" s="109"/>
      <c r="AC124" s="110">
        <v>4299</v>
      </c>
      <c r="AD124" s="110">
        <v>3816.64</v>
      </c>
      <c r="AE124" s="110">
        <v>4600.9800000000005</v>
      </c>
      <c r="AF124" s="110">
        <v>4246.42</v>
      </c>
      <c r="AG124" s="110">
        <v>3123.23</v>
      </c>
      <c r="AH124" s="110">
        <v>1850.72</v>
      </c>
      <c r="AI124" s="110">
        <v>4715.12</v>
      </c>
      <c r="AJ124" s="110">
        <v>3432.71</v>
      </c>
      <c r="AK124" s="110">
        <v>3332.7400000000002</v>
      </c>
      <c r="AL124" s="110">
        <v>3903.4700000000003</v>
      </c>
      <c r="AM124" s="110">
        <v>3594.42</v>
      </c>
      <c r="AN124" s="110">
        <v>4299.16</v>
      </c>
      <c r="AO124" s="109"/>
      <c r="AP124" s="110">
        <v>4819.68</v>
      </c>
      <c r="AQ124" s="110">
        <v>4321.95</v>
      </c>
      <c r="AR124" s="110">
        <v>4517.6400000000003</v>
      </c>
      <c r="AS124" s="110">
        <v>0</v>
      </c>
      <c r="AT124" s="110">
        <v>0</v>
      </c>
      <c r="AU124" s="110">
        <v>0</v>
      </c>
      <c r="AV124" s="110">
        <v>0</v>
      </c>
      <c r="AW124" s="110">
        <v>0</v>
      </c>
      <c r="AX124" s="110">
        <v>0</v>
      </c>
      <c r="AY124" s="110">
        <v>0</v>
      </c>
      <c r="AZ124" s="110">
        <v>0</v>
      </c>
      <c r="BA124" s="110">
        <v>0</v>
      </c>
    </row>
    <row r="125" spans="1:53" s="102" customFormat="1" outlineLevel="2">
      <c r="A125" s="102" t="s">
        <v>467</v>
      </c>
      <c r="B125" s="103" t="s">
        <v>468</v>
      </c>
      <c r="C125" s="104" t="s">
        <v>469</v>
      </c>
      <c r="D125" s="298"/>
      <c r="E125" s="299"/>
      <c r="F125" s="105">
        <v>0</v>
      </c>
      <c r="G125" s="105">
        <v>0</v>
      </c>
      <c r="H125" s="106">
        <f t="shared" si="26"/>
        <v>0</v>
      </c>
      <c r="I125" s="300">
        <f t="shared" si="27"/>
        <v>0</v>
      </c>
      <c r="J125" s="107"/>
      <c r="K125" s="105">
        <v>0</v>
      </c>
      <c r="L125" s="105">
        <v>61.28</v>
      </c>
      <c r="M125" s="106">
        <f t="shared" si="28"/>
        <v>-61.28</v>
      </c>
      <c r="N125" s="300" t="str">
        <f t="shared" si="29"/>
        <v>N.M.</v>
      </c>
      <c r="O125" s="301"/>
      <c r="P125" s="107"/>
      <c r="Q125" s="105">
        <v>0</v>
      </c>
      <c r="R125" s="105">
        <v>61.28</v>
      </c>
      <c r="S125" s="106">
        <f t="shared" si="30"/>
        <v>-61.28</v>
      </c>
      <c r="T125" s="300" t="str">
        <f t="shared" si="31"/>
        <v>N.M.</v>
      </c>
      <c r="U125" s="107"/>
      <c r="V125" s="105">
        <v>13.75</v>
      </c>
      <c r="W125" s="105">
        <v>61.28</v>
      </c>
      <c r="X125" s="106">
        <f t="shared" si="32"/>
        <v>-47.53</v>
      </c>
      <c r="Y125" s="300">
        <f t="shared" si="33"/>
        <v>-0.77562010443864227</v>
      </c>
      <c r="Z125" s="302"/>
      <c r="AA125" s="108">
        <v>0</v>
      </c>
      <c r="AB125" s="109"/>
      <c r="AC125" s="110">
        <v>87.58</v>
      </c>
      <c r="AD125" s="110">
        <v>-26.3</v>
      </c>
      <c r="AE125" s="110">
        <v>0</v>
      </c>
      <c r="AF125" s="110">
        <v>0</v>
      </c>
      <c r="AG125" s="110">
        <v>19.22</v>
      </c>
      <c r="AH125" s="110">
        <v>-5.47</v>
      </c>
      <c r="AI125" s="110">
        <v>0</v>
      </c>
      <c r="AJ125" s="110">
        <v>0</v>
      </c>
      <c r="AK125" s="110">
        <v>0</v>
      </c>
      <c r="AL125" s="110">
        <v>0</v>
      </c>
      <c r="AM125" s="110">
        <v>0</v>
      </c>
      <c r="AN125" s="110">
        <v>0</v>
      </c>
      <c r="AO125" s="109"/>
      <c r="AP125" s="110">
        <v>0</v>
      </c>
      <c r="AQ125" s="110">
        <v>0</v>
      </c>
      <c r="AR125" s="110">
        <v>0</v>
      </c>
      <c r="AS125" s="110">
        <v>0</v>
      </c>
      <c r="AT125" s="110">
        <v>0</v>
      </c>
      <c r="AU125" s="110">
        <v>0</v>
      </c>
      <c r="AV125" s="110">
        <v>0</v>
      </c>
      <c r="AW125" s="110">
        <v>0</v>
      </c>
      <c r="AX125" s="110">
        <v>0</v>
      </c>
      <c r="AY125" s="110">
        <v>0</v>
      </c>
      <c r="AZ125" s="110">
        <v>0</v>
      </c>
      <c r="BA125" s="110">
        <v>0</v>
      </c>
    </row>
    <row r="126" spans="1:53" s="102" customFormat="1" outlineLevel="2">
      <c r="A126" s="102" t="s">
        <v>470</v>
      </c>
      <c r="B126" s="103" t="s">
        <v>471</v>
      </c>
      <c r="C126" s="104" t="s">
        <v>472</v>
      </c>
      <c r="D126" s="298"/>
      <c r="E126" s="299"/>
      <c r="F126" s="105">
        <v>0</v>
      </c>
      <c r="G126" s="105">
        <v>-11542.93</v>
      </c>
      <c r="H126" s="106">
        <f t="shared" si="26"/>
        <v>11542.93</v>
      </c>
      <c r="I126" s="300" t="str">
        <f t="shared" si="27"/>
        <v>N.M.</v>
      </c>
      <c r="J126" s="107"/>
      <c r="K126" s="105">
        <v>0</v>
      </c>
      <c r="L126" s="105">
        <v>-11542.93</v>
      </c>
      <c r="M126" s="106">
        <f t="shared" si="28"/>
        <v>11542.93</v>
      </c>
      <c r="N126" s="300" t="str">
        <f t="shared" si="29"/>
        <v>N.M.</v>
      </c>
      <c r="O126" s="301"/>
      <c r="P126" s="107"/>
      <c r="Q126" s="105">
        <v>0</v>
      </c>
      <c r="R126" s="105">
        <v>-11542.93</v>
      </c>
      <c r="S126" s="106">
        <f t="shared" si="30"/>
        <v>11542.93</v>
      </c>
      <c r="T126" s="300" t="str">
        <f t="shared" si="31"/>
        <v>N.M.</v>
      </c>
      <c r="U126" s="107"/>
      <c r="V126" s="105">
        <v>-68146</v>
      </c>
      <c r="W126" s="105">
        <v>-11542.93</v>
      </c>
      <c r="X126" s="106">
        <f t="shared" si="32"/>
        <v>-56603.07</v>
      </c>
      <c r="Y126" s="300">
        <f t="shared" si="33"/>
        <v>-4.9037003603071314</v>
      </c>
      <c r="Z126" s="302"/>
      <c r="AA126" s="108">
        <v>0</v>
      </c>
      <c r="AB126" s="109"/>
      <c r="AC126" s="110">
        <v>0</v>
      </c>
      <c r="AD126" s="110">
        <v>0</v>
      </c>
      <c r="AE126" s="110">
        <v>-11542.93</v>
      </c>
      <c r="AF126" s="110">
        <v>0</v>
      </c>
      <c r="AG126" s="110">
        <v>-68146</v>
      </c>
      <c r="AH126" s="110">
        <v>0</v>
      </c>
      <c r="AI126" s="110">
        <v>0</v>
      </c>
      <c r="AJ126" s="110">
        <v>0</v>
      </c>
      <c r="AK126" s="110">
        <v>0</v>
      </c>
      <c r="AL126" s="110">
        <v>0</v>
      </c>
      <c r="AM126" s="110">
        <v>0</v>
      </c>
      <c r="AN126" s="110">
        <v>0</v>
      </c>
      <c r="AO126" s="109"/>
      <c r="AP126" s="110">
        <v>0</v>
      </c>
      <c r="AQ126" s="110">
        <v>0</v>
      </c>
      <c r="AR126" s="110">
        <v>0</v>
      </c>
      <c r="AS126" s="110">
        <v>0</v>
      </c>
      <c r="AT126" s="110">
        <v>0</v>
      </c>
      <c r="AU126" s="110">
        <v>0</v>
      </c>
      <c r="AV126" s="110">
        <v>0</v>
      </c>
      <c r="AW126" s="110">
        <v>0</v>
      </c>
      <c r="AX126" s="110">
        <v>0</v>
      </c>
      <c r="AY126" s="110">
        <v>0</v>
      </c>
      <c r="AZ126" s="110">
        <v>0</v>
      </c>
      <c r="BA126" s="110">
        <v>0</v>
      </c>
    </row>
    <row r="127" spans="1:53" s="102" customFormat="1" outlineLevel="2">
      <c r="A127" s="102" t="s">
        <v>473</v>
      </c>
      <c r="B127" s="103" t="s">
        <v>474</v>
      </c>
      <c r="C127" s="104" t="s">
        <v>475</v>
      </c>
      <c r="D127" s="298"/>
      <c r="E127" s="299"/>
      <c r="F127" s="105">
        <v>120.42</v>
      </c>
      <c r="G127" s="105">
        <v>0</v>
      </c>
      <c r="H127" s="106">
        <f t="shared" si="26"/>
        <v>120.42</v>
      </c>
      <c r="I127" s="300" t="str">
        <f t="shared" si="27"/>
        <v>N.M.</v>
      </c>
      <c r="J127" s="107"/>
      <c r="K127" s="105">
        <v>736.99</v>
      </c>
      <c r="L127" s="105">
        <v>34.619999999999997</v>
      </c>
      <c r="M127" s="106">
        <f t="shared" si="28"/>
        <v>702.37</v>
      </c>
      <c r="N127" s="300" t="str">
        <f t="shared" si="29"/>
        <v>N.M.</v>
      </c>
      <c r="O127" s="301"/>
      <c r="P127" s="107"/>
      <c r="Q127" s="105">
        <v>736.99</v>
      </c>
      <c r="R127" s="105">
        <v>34.619999999999997</v>
      </c>
      <c r="S127" s="106">
        <f t="shared" si="30"/>
        <v>702.37</v>
      </c>
      <c r="T127" s="300" t="str">
        <f t="shared" si="31"/>
        <v>N.M.</v>
      </c>
      <c r="U127" s="107"/>
      <c r="V127" s="105">
        <v>1516.77</v>
      </c>
      <c r="W127" s="105">
        <v>2506.2799999999997</v>
      </c>
      <c r="X127" s="106">
        <f t="shared" si="32"/>
        <v>-989.50999999999976</v>
      </c>
      <c r="Y127" s="300">
        <f t="shared" si="33"/>
        <v>-0.39481223167403479</v>
      </c>
      <c r="Z127" s="302"/>
      <c r="AA127" s="108">
        <v>403.12</v>
      </c>
      <c r="AB127" s="109"/>
      <c r="AC127" s="110">
        <v>34.619999999999997</v>
      </c>
      <c r="AD127" s="110">
        <v>0</v>
      </c>
      <c r="AE127" s="110">
        <v>0</v>
      </c>
      <c r="AF127" s="110">
        <v>107.08</v>
      </c>
      <c r="AG127" s="110">
        <v>-2.44</v>
      </c>
      <c r="AH127" s="110">
        <v>0</v>
      </c>
      <c r="AI127" s="110">
        <v>0</v>
      </c>
      <c r="AJ127" s="110">
        <v>0</v>
      </c>
      <c r="AK127" s="110">
        <v>0</v>
      </c>
      <c r="AL127" s="110">
        <v>0</v>
      </c>
      <c r="AM127" s="110">
        <v>155.68</v>
      </c>
      <c r="AN127" s="110">
        <v>519.46</v>
      </c>
      <c r="AO127" s="109"/>
      <c r="AP127" s="110">
        <v>325.99</v>
      </c>
      <c r="AQ127" s="110">
        <v>290.58</v>
      </c>
      <c r="AR127" s="110">
        <v>120.42</v>
      </c>
      <c r="AS127" s="110">
        <v>0</v>
      </c>
      <c r="AT127" s="110">
        <v>0</v>
      </c>
      <c r="AU127" s="110">
        <v>0</v>
      </c>
      <c r="AV127" s="110">
        <v>0</v>
      </c>
      <c r="AW127" s="110">
        <v>0</v>
      </c>
      <c r="AX127" s="110">
        <v>0</v>
      </c>
      <c r="AY127" s="110">
        <v>0</v>
      </c>
      <c r="AZ127" s="110">
        <v>0</v>
      </c>
      <c r="BA127" s="110">
        <v>0</v>
      </c>
    </row>
    <row r="128" spans="1:53" s="102" customFormat="1" outlineLevel="2">
      <c r="A128" s="102" t="s">
        <v>1674</v>
      </c>
      <c r="B128" s="103" t="s">
        <v>1675</v>
      </c>
      <c r="C128" s="104" t="s">
        <v>1676</v>
      </c>
      <c r="D128" s="298"/>
      <c r="E128" s="299"/>
      <c r="F128" s="105">
        <v>0</v>
      </c>
      <c r="G128" s="105">
        <v>42.74</v>
      </c>
      <c r="H128" s="106">
        <f t="shared" si="26"/>
        <v>-42.74</v>
      </c>
      <c r="I128" s="300" t="str">
        <f t="shared" si="27"/>
        <v>N.M.</v>
      </c>
      <c r="J128" s="107"/>
      <c r="K128" s="105">
        <v>0</v>
      </c>
      <c r="L128" s="105">
        <v>73.83</v>
      </c>
      <c r="M128" s="106">
        <f t="shared" si="28"/>
        <v>-73.83</v>
      </c>
      <c r="N128" s="300" t="str">
        <f t="shared" si="29"/>
        <v>N.M.</v>
      </c>
      <c r="O128" s="301"/>
      <c r="P128" s="107"/>
      <c r="Q128" s="105">
        <v>0</v>
      </c>
      <c r="R128" s="105">
        <v>73.83</v>
      </c>
      <c r="S128" s="106">
        <f t="shared" si="30"/>
        <v>-73.83</v>
      </c>
      <c r="T128" s="300" t="str">
        <f t="shared" si="31"/>
        <v>N.M.</v>
      </c>
      <c r="U128" s="107"/>
      <c r="V128" s="105">
        <v>-73.790000000000006</v>
      </c>
      <c r="W128" s="105">
        <v>55.23</v>
      </c>
      <c r="X128" s="106">
        <f t="shared" si="32"/>
        <v>-129.02000000000001</v>
      </c>
      <c r="Y128" s="300">
        <f t="shared" si="33"/>
        <v>-2.3360492485967774</v>
      </c>
      <c r="Z128" s="302"/>
      <c r="AA128" s="108">
        <v>-10.46</v>
      </c>
      <c r="AB128" s="109"/>
      <c r="AC128" s="110">
        <v>0</v>
      </c>
      <c r="AD128" s="110">
        <v>31.09</v>
      </c>
      <c r="AE128" s="110">
        <v>42.74</v>
      </c>
      <c r="AF128" s="110">
        <v>-20.2</v>
      </c>
      <c r="AG128" s="110">
        <v>-3.3000000000000003</v>
      </c>
      <c r="AH128" s="110">
        <v>-41.38</v>
      </c>
      <c r="AI128" s="110">
        <v>-7.57</v>
      </c>
      <c r="AJ128" s="110">
        <v>-1.34</v>
      </c>
      <c r="AK128" s="110">
        <v>0</v>
      </c>
      <c r="AL128" s="110">
        <v>0</v>
      </c>
      <c r="AM128" s="110">
        <v>0</v>
      </c>
      <c r="AN128" s="110">
        <v>0</v>
      </c>
      <c r="AO128" s="109"/>
      <c r="AP128" s="110">
        <v>218.05</v>
      </c>
      <c r="AQ128" s="110">
        <v>-218.05</v>
      </c>
      <c r="AR128" s="110">
        <v>0</v>
      </c>
      <c r="AS128" s="110">
        <v>0</v>
      </c>
      <c r="AT128" s="110">
        <v>0</v>
      </c>
      <c r="AU128" s="110">
        <v>0</v>
      </c>
      <c r="AV128" s="110">
        <v>0</v>
      </c>
      <c r="AW128" s="110">
        <v>0</v>
      </c>
      <c r="AX128" s="110">
        <v>0</v>
      </c>
      <c r="AY128" s="110">
        <v>0</v>
      </c>
      <c r="AZ128" s="110">
        <v>0</v>
      </c>
      <c r="BA128" s="110">
        <v>0</v>
      </c>
    </row>
    <row r="129" spans="1:53" s="102" customFormat="1" outlineLevel="2">
      <c r="A129" s="102" t="s">
        <v>476</v>
      </c>
      <c r="B129" s="103" t="s">
        <v>477</v>
      </c>
      <c r="C129" s="104" t="s">
        <v>478</v>
      </c>
      <c r="D129" s="298"/>
      <c r="E129" s="299"/>
      <c r="F129" s="105">
        <v>0</v>
      </c>
      <c r="G129" s="105">
        <v>0</v>
      </c>
      <c r="H129" s="106">
        <f t="shared" si="26"/>
        <v>0</v>
      </c>
      <c r="I129" s="300">
        <f t="shared" si="27"/>
        <v>0</v>
      </c>
      <c r="J129" s="107"/>
      <c r="K129" s="105">
        <v>0</v>
      </c>
      <c r="L129" s="105">
        <v>0</v>
      </c>
      <c r="M129" s="106">
        <f t="shared" si="28"/>
        <v>0</v>
      </c>
      <c r="N129" s="300">
        <f t="shared" si="29"/>
        <v>0</v>
      </c>
      <c r="O129" s="301"/>
      <c r="P129" s="107"/>
      <c r="Q129" s="105">
        <v>0</v>
      </c>
      <c r="R129" s="105">
        <v>0</v>
      </c>
      <c r="S129" s="106">
        <f t="shared" si="30"/>
        <v>0</v>
      </c>
      <c r="T129" s="300">
        <f t="shared" si="31"/>
        <v>0</v>
      </c>
      <c r="U129" s="107"/>
      <c r="V129" s="105">
        <v>0</v>
      </c>
      <c r="W129" s="105">
        <v>-0.01</v>
      </c>
      <c r="X129" s="106">
        <f t="shared" si="32"/>
        <v>0.01</v>
      </c>
      <c r="Y129" s="300" t="str">
        <f t="shared" si="33"/>
        <v>N.M.</v>
      </c>
      <c r="Z129" s="302"/>
      <c r="AA129" s="108">
        <v>0</v>
      </c>
      <c r="AB129" s="109"/>
      <c r="AC129" s="110">
        <v>0</v>
      </c>
      <c r="AD129" s="110">
        <v>0</v>
      </c>
      <c r="AE129" s="110">
        <v>0</v>
      </c>
      <c r="AF129" s="110">
        <v>0</v>
      </c>
      <c r="AG129" s="110">
        <v>0</v>
      </c>
      <c r="AH129" s="110">
        <v>0</v>
      </c>
      <c r="AI129" s="110">
        <v>0</v>
      </c>
      <c r="AJ129" s="110">
        <v>0</v>
      </c>
      <c r="AK129" s="110">
        <v>0</v>
      </c>
      <c r="AL129" s="110">
        <v>0</v>
      </c>
      <c r="AM129" s="110">
        <v>0</v>
      </c>
      <c r="AN129" s="110">
        <v>0</v>
      </c>
      <c r="AO129" s="109"/>
      <c r="AP129" s="110">
        <v>0</v>
      </c>
      <c r="AQ129" s="110">
        <v>0</v>
      </c>
      <c r="AR129" s="110">
        <v>0</v>
      </c>
      <c r="AS129" s="110">
        <v>0</v>
      </c>
      <c r="AT129" s="110">
        <v>0</v>
      </c>
      <c r="AU129" s="110">
        <v>0</v>
      </c>
      <c r="AV129" s="110">
        <v>0</v>
      </c>
      <c r="AW129" s="110">
        <v>0</v>
      </c>
      <c r="AX129" s="110">
        <v>0</v>
      </c>
      <c r="AY129" s="110">
        <v>0</v>
      </c>
      <c r="AZ129" s="110">
        <v>0</v>
      </c>
      <c r="BA129" s="110">
        <v>0</v>
      </c>
    </row>
    <row r="130" spans="1:53" s="102" customFormat="1" outlineLevel="2">
      <c r="A130" s="102" t="s">
        <v>479</v>
      </c>
      <c r="B130" s="103" t="s">
        <v>480</v>
      </c>
      <c r="C130" s="104" t="s">
        <v>481</v>
      </c>
      <c r="D130" s="298"/>
      <c r="E130" s="299"/>
      <c r="F130" s="105">
        <v>3220.85</v>
      </c>
      <c r="G130" s="105">
        <v>158</v>
      </c>
      <c r="H130" s="106">
        <f t="shared" si="26"/>
        <v>3062.85</v>
      </c>
      <c r="I130" s="300" t="str">
        <f t="shared" si="27"/>
        <v>N.M.</v>
      </c>
      <c r="J130" s="107"/>
      <c r="K130" s="105">
        <v>10010.27</v>
      </c>
      <c r="L130" s="105">
        <v>11138.75</v>
      </c>
      <c r="M130" s="106">
        <f t="shared" si="28"/>
        <v>-1128.4799999999996</v>
      </c>
      <c r="N130" s="300">
        <f t="shared" si="29"/>
        <v>-0.10131118841880818</v>
      </c>
      <c r="O130" s="301"/>
      <c r="P130" s="107"/>
      <c r="Q130" s="105">
        <v>10010.27</v>
      </c>
      <c r="R130" s="105">
        <v>11138.75</v>
      </c>
      <c r="S130" s="106">
        <f t="shared" si="30"/>
        <v>-1128.4799999999996</v>
      </c>
      <c r="T130" s="300">
        <f t="shared" si="31"/>
        <v>-0.10131118841880818</v>
      </c>
      <c r="U130" s="107"/>
      <c r="V130" s="105">
        <v>51943.430000000008</v>
      </c>
      <c r="W130" s="105">
        <v>66831.62</v>
      </c>
      <c r="X130" s="106">
        <f t="shared" si="32"/>
        <v>-14888.189999999988</v>
      </c>
      <c r="Y130" s="300">
        <f t="shared" si="33"/>
        <v>-0.22277164611601497</v>
      </c>
      <c r="Z130" s="302"/>
      <c r="AA130" s="108">
        <v>5138.32</v>
      </c>
      <c r="AB130" s="109"/>
      <c r="AC130" s="110">
        <v>6942.87</v>
      </c>
      <c r="AD130" s="110">
        <v>4037.88</v>
      </c>
      <c r="AE130" s="110">
        <v>158</v>
      </c>
      <c r="AF130" s="110">
        <v>4423.9000000000005</v>
      </c>
      <c r="AG130" s="110">
        <v>4423.9000000000005</v>
      </c>
      <c r="AH130" s="110">
        <v>5490.36</v>
      </c>
      <c r="AI130" s="110">
        <v>9993.26</v>
      </c>
      <c r="AJ130" s="110">
        <v>8097.31</v>
      </c>
      <c r="AK130" s="110">
        <v>3579.57</v>
      </c>
      <c r="AL130" s="110">
        <v>0</v>
      </c>
      <c r="AM130" s="110">
        <v>829.48</v>
      </c>
      <c r="AN130" s="110">
        <v>5095.38</v>
      </c>
      <c r="AO130" s="109"/>
      <c r="AP130" s="110">
        <v>4257.6900000000005</v>
      </c>
      <c r="AQ130" s="110">
        <v>2531.73</v>
      </c>
      <c r="AR130" s="110">
        <v>3220.85</v>
      </c>
      <c r="AS130" s="110">
        <v>0</v>
      </c>
      <c r="AT130" s="110">
        <v>0</v>
      </c>
      <c r="AU130" s="110">
        <v>0</v>
      </c>
      <c r="AV130" s="110">
        <v>0</v>
      </c>
      <c r="AW130" s="110">
        <v>0</v>
      </c>
      <c r="AX130" s="110">
        <v>0</v>
      </c>
      <c r="AY130" s="110">
        <v>0</v>
      </c>
      <c r="AZ130" s="110">
        <v>0</v>
      </c>
      <c r="BA130" s="110">
        <v>0</v>
      </c>
    </row>
    <row r="131" spans="1:53" s="102" customFormat="1" outlineLevel="2">
      <c r="A131" s="102" t="s">
        <v>482</v>
      </c>
      <c r="B131" s="103" t="s">
        <v>483</v>
      </c>
      <c r="C131" s="104" t="s">
        <v>484</v>
      </c>
      <c r="D131" s="298"/>
      <c r="E131" s="299"/>
      <c r="F131" s="105">
        <v>19.670000000000002</v>
      </c>
      <c r="G131" s="105">
        <v>1</v>
      </c>
      <c r="H131" s="106">
        <f t="shared" si="26"/>
        <v>18.670000000000002</v>
      </c>
      <c r="I131" s="300" t="str">
        <f t="shared" si="27"/>
        <v>N.M.</v>
      </c>
      <c r="J131" s="107"/>
      <c r="K131" s="105">
        <v>63.96</v>
      </c>
      <c r="L131" s="105">
        <v>70.75</v>
      </c>
      <c r="M131" s="106">
        <f t="shared" si="28"/>
        <v>-6.7899999999999991</v>
      </c>
      <c r="N131" s="300">
        <f t="shared" si="29"/>
        <v>-9.5971731448763239E-2</v>
      </c>
      <c r="O131" s="301"/>
      <c r="P131" s="107"/>
      <c r="Q131" s="105">
        <v>63.96</v>
      </c>
      <c r="R131" s="105">
        <v>70.75</v>
      </c>
      <c r="S131" s="106">
        <f t="shared" si="30"/>
        <v>-6.7899999999999991</v>
      </c>
      <c r="T131" s="300">
        <f t="shared" si="31"/>
        <v>-9.5971731448763239E-2</v>
      </c>
      <c r="U131" s="107"/>
      <c r="V131" s="105">
        <v>327.58</v>
      </c>
      <c r="W131" s="105">
        <v>399.74</v>
      </c>
      <c r="X131" s="106">
        <f t="shared" si="32"/>
        <v>-72.160000000000025</v>
      </c>
      <c r="Y131" s="300">
        <f t="shared" si="33"/>
        <v>-0.18051733626857464</v>
      </c>
      <c r="Z131" s="302"/>
      <c r="AA131" s="108">
        <v>30.37</v>
      </c>
      <c r="AB131" s="109"/>
      <c r="AC131" s="110">
        <v>44.300000000000004</v>
      </c>
      <c r="AD131" s="110">
        <v>25.45</v>
      </c>
      <c r="AE131" s="110">
        <v>1</v>
      </c>
      <c r="AF131" s="110">
        <v>28.04</v>
      </c>
      <c r="AG131" s="110">
        <v>27.75</v>
      </c>
      <c r="AH131" s="110">
        <v>34.43</v>
      </c>
      <c r="AI131" s="110">
        <v>62.67</v>
      </c>
      <c r="AJ131" s="110">
        <v>50.78</v>
      </c>
      <c r="AK131" s="110">
        <v>22.79</v>
      </c>
      <c r="AL131" s="110">
        <v>0</v>
      </c>
      <c r="AM131" s="110">
        <v>5.2</v>
      </c>
      <c r="AN131" s="110">
        <v>31.96</v>
      </c>
      <c r="AO131" s="109"/>
      <c r="AP131" s="110">
        <v>26.830000000000002</v>
      </c>
      <c r="AQ131" s="110">
        <v>17.46</v>
      </c>
      <c r="AR131" s="110">
        <v>19.670000000000002</v>
      </c>
      <c r="AS131" s="110">
        <v>0</v>
      </c>
      <c r="AT131" s="110">
        <v>0</v>
      </c>
      <c r="AU131" s="110">
        <v>0</v>
      </c>
      <c r="AV131" s="110">
        <v>0</v>
      </c>
      <c r="AW131" s="110">
        <v>0</v>
      </c>
      <c r="AX131" s="110">
        <v>0</v>
      </c>
      <c r="AY131" s="110">
        <v>0</v>
      </c>
      <c r="AZ131" s="110">
        <v>0</v>
      </c>
      <c r="BA131" s="110">
        <v>0</v>
      </c>
    </row>
    <row r="132" spans="1:53" outlineLevel="1">
      <c r="A132" s="111" t="s">
        <v>485</v>
      </c>
      <c r="B132" s="331"/>
      <c r="C132" s="332" t="s">
        <v>486</v>
      </c>
      <c r="D132" s="342"/>
      <c r="E132" s="342"/>
      <c r="F132" s="333">
        <v>1733908.2</v>
      </c>
      <c r="G132" s="333">
        <v>1225157.8149999999</v>
      </c>
      <c r="H132" s="133">
        <f t="shared" si="26"/>
        <v>508750.38500000001</v>
      </c>
      <c r="I132" s="138">
        <f t="shared" si="27"/>
        <v>0.41525294029161464</v>
      </c>
      <c r="J132" s="157"/>
      <c r="K132" s="333">
        <v>4388431.9399999985</v>
      </c>
      <c r="L132" s="333">
        <v>3451406.0749999997</v>
      </c>
      <c r="M132" s="133">
        <f t="shared" si="28"/>
        <v>937025.86499999883</v>
      </c>
      <c r="N132" s="137">
        <f t="shared" si="29"/>
        <v>0.27149105165783743</v>
      </c>
      <c r="O132" s="344"/>
      <c r="P132" s="344"/>
      <c r="Q132" s="333">
        <v>4388431.9399999985</v>
      </c>
      <c r="R132" s="333">
        <v>3451406.0749999997</v>
      </c>
      <c r="S132" s="133">
        <f t="shared" si="30"/>
        <v>937025.86499999883</v>
      </c>
      <c r="T132" s="138">
        <f t="shared" si="31"/>
        <v>0.27149105165783743</v>
      </c>
      <c r="U132" s="344"/>
      <c r="V132" s="333">
        <v>17432131.899999995</v>
      </c>
      <c r="W132" s="333">
        <v>16981003.502000004</v>
      </c>
      <c r="X132" s="133">
        <f t="shared" si="32"/>
        <v>451128.39799999073</v>
      </c>
      <c r="Y132" s="137">
        <f t="shared" si="33"/>
        <v>2.6566651255142685E-2</v>
      </c>
      <c r="Z132" s="111"/>
      <c r="AA132" s="139">
        <v>2005589.6600000001</v>
      </c>
      <c r="AB132" s="346"/>
      <c r="AC132" s="333">
        <v>1070607.4300000004</v>
      </c>
      <c r="AD132" s="333">
        <v>1155640.8299999998</v>
      </c>
      <c r="AE132" s="333">
        <v>1225157.8149999999</v>
      </c>
      <c r="AF132" s="333">
        <v>1245483.8899999999</v>
      </c>
      <c r="AG132" s="333">
        <v>1539313.6799999997</v>
      </c>
      <c r="AH132" s="333">
        <v>1640410.5200000003</v>
      </c>
      <c r="AI132" s="333">
        <v>1785458.03</v>
      </c>
      <c r="AJ132" s="333">
        <v>1633016.7800000003</v>
      </c>
      <c r="AK132" s="333">
        <v>1402521.08</v>
      </c>
      <c r="AL132" s="333">
        <v>823137.94000000006</v>
      </c>
      <c r="AM132" s="333">
        <v>1116392.9099999999</v>
      </c>
      <c r="AN132" s="333">
        <v>1857965.1299999997</v>
      </c>
      <c r="AO132" s="346"/>
      <c r="AP132" s="333">
        <v>1040411.77</v>
      </c>
      <c r="AQ132" s="333">
        <v>1614111.9699999997</v>
      </c>
      <c r="AR132" s="333">
        <v>1733908.2</v>
      </c>
      <c r="AS132" s="333">
        <v>-181301.82</v>
      </c>
      <c r="AT132" s="333">
        <v>0</v>
      </c>
      <c r="AU132" s="333">
        <v>0</v>
      </c>
      <c r="AV132" s="333">
        <v>0</v>
      </c>
      <c r="AW132" s="333">
        <v>0</v>
      </c>
      <c r="AX132" s="333">
        <v>0</v>
      </c>
      <c r="AY132" s="333">
        <v>0</v>
      </c>
      <c r="AZ132" s="333">
        <v>0</v>
      </c>
      <c r="BA132" s="333">
        <v>0</v>
      </c>
    </row>
    <row r="133" spans="1:53" ht="0.75" customHeight="1" outlineLevel="2">
      <c r="B133" s="331"/>
      <c r="C133" s="332"/>
      <c r="D133" s="342"/>
      <c r="E133" s="342"/>
      <c r="F133" s="333"/>
      <c r="G133" s="333"/>
      <c r="H133" s="133"/>
      <c r="I133" s="138"/>
      <c r="J133" s="157"/>
      <c r="K133" s="333"/>
      <c r="L133" s="333"/>
      <c r="M133" s="133"/>
      <c r="N133" s="137"/>
      <c r="O133" s="344"/>
      <c r="P133" s="344"/>
      <c r="Q133" s="333"/>
      <c r="R133" s="333"/>
      <c r="S133" s="133"/>
      <c r="T133" s="138"/>
      <c r="U133" s="344"/>
      <c r="V133" s="333"/>
      <c r="W133" s="333"/>
      <c r="X133" s="133"/>
      <c r="Y133" s="137"/>
      <c r="Z133" s="111"/>
      <c r="AA133" s="139"/>
      <c r="AB133" s="346"/>
      <c r="AC133" s="333"/>
      <c r="AD133" s="333"/>
      <c r="AE133" s="333"/>
      <c r="AF133" s="333"/>
      <c r="AG133" s="333"/>
      <c r="AH133" s="333"/>
      <c r="AI133" s="333"/>
      <c r="AJ133" s="333"/>
      <c r="AK133" s="333"/>
      <c r="AL133" s="333"/>
      <c r="AM133" s="333"/>
      <c r="AN133" s="333"/>
      <c r="AO133" s="346"/>
      <c r="AP133" s="333"/>
      <c r="AQ133" s="333"/>
      <c r="AR133" s="333"/>
      <c r="AS133" s="333"/>
      <c r="AT133" s="333"/>
      <c r="AU133" s="333"/>
      <c r="AV133" s="333"/>
      <c r="AW133" s="333"/>
      <c r="AX133" s="333"/>
      <c r="AY133" s="333"/>
      <c r="AZ133" s="333"/>
      <c r="BA133" s="333"/>
    </row>
    <row r="134" spans="1:53" outlineLevel="1">
      <c r="A134" s="111" t="s">
        <v>487</v>
      </c>
      <c r="B134" s="331"/>
      <c r="C134" s="332" t="s">
        <v>488</v>
      </c>
      <c r="D134" s="342"/>
      <c r="E134" s="342"/>
      <c r="F134" s="333">
        <v>0</v>
      </c>
      <c r="G134" s="333">
        <v>0</v>
      </c>
      <c r="H134" s="133">
        <f>+F134-G134</f>
        <v>0</v>
      </c>
      <c r="I134" s="138">
        <f>IF(G134&lt;0,IF(H134=0,0,IF(OR(G134=0,F134=0),"N.M.",IF(ABS(H134/G134)&gt;=10,"N.M.",H134/(-G134)))),IF(H134=0,0,IF(OR(G134=0,F134=0),"N.M.",IF(ABS(H134/G134)&gt;=10,"N.M.",H134/G134))))</f>
        <v>0</v>
      </c>
      <c r="J134" s="157"/>
      <c r="K134" s="333">
        <v>0</v>
      </c>
      <c r="L134" s="333">
        <v>0</v>
      </c>
      <c r="M134" s="133">
        <f>+K134-L134</f>
        <v>0</v>
      </c>
      <c r="N134" s="137">
        <f>IF(L134&lt;0,IF(M134=0,0,IF(OR(L134=0,K134=0),"N.M.",IF(ABS(M134/L134)&gt;=10,"N.M.",M134/(-L134)))),IF(M134=0,0,IF(OR(L134=0,K134=0),"N.M.",IF(ABS(M134/L134)&gt;=10,"N.M.",M134/L134))))</f>
        <v>0</v>
      </c>
      <c r="O134" s="344"/>
      <c r="P134" s="344"/>
      <c r="Q134" s="333">
        <v>0</v>
      </c>
      <c r="R134" s="333">
        <v>0</v>
      </c>
      <c r="S134" s="133">
        <f>+Q134-R134</f>
        <v>0</v>
      </c>
      <c r="T134" s="138">
        <f>IF(R134&lt;0,IF(S134=0,0,IF(OR(R134=0,Q134=0),"N.M.",IF(ABS(S134/R134)&gt;=10,"N.M.",S134/(-R134)))),IF(S134=0,0,IF(OR(R134=0,Q134=0),"N.M.",IF(ABS(S134/R134)&gt;=10,"N.M.",S134/R134))))</f>
        <v>0</v>
      </c>
      <c r="U134" s="344"/>
      <c r="V134" s="333">
        <v>0</v>
      </c>
      <c r="W134" s="333">
        <v>0</v>
      </c>
      <c r="X134" s="133">
        <f>+V134-W134</f>
        <v>0</v>
      </c>
      <c r="Y134" s="137">
        <f>IF(W134&lt;0,IF(X134=0,0,IF(OR(W134=0,V134=0),"N.M.",IF(ABS(X134/W134)&gt;=10,"N.M.",X134/(-W134)))),IF(X134=0,0,IF(OR(W134=0,V134=0),"N.M.",IF(ABS(X134/W134)&gt;=10,"N.M.",X134/W134))))</f>
        <v>0</v>
      </c>
      <c r="Z134" s="111"/>
      <c r="AA134" s="139">
        <v>0</v>
      </c>
      <c r="AB134" s="346"/>
      <c r="AC134" s="333">
        <v>0</v>
      </c>
      <c r="AD134" s="333">
        <v>0</v>
      </c>
      <c r="AE134" s="333">
        <v>0</v>
      </c>
      <c r="AF134" s="333">
        <v>0</v>
      </c>
      <c r="AG134" s="333">
        <v>0</v>
      </c>
      <c r="AH134" s="333">
        <v>0</v>
      </c>
      <c r="AI134" s="333">
        <v>0</v>
      </c>
      <c r="AJ134" s="333">
        <v>0</v>
      </c>
      <c r="AK134" s="333">
        <v>0</v>
      </c>
      <c r="AL134" s="333">
        <v>0</v>
      </c>
      <c r="AM134" s="333">
        <v>0</v>
      </c>
      <c r="AN134" s="333">
        <v>0</v>
      </c>
      <c r="AO134" s="346"/>
      <c r="AP134" s="333">
        <v>0</v>
      </c>
      <c r="AQ134" s="333">
        <v>0</v>
      </c>
      <c r="AR134" s="333">
        <v>0</v>
      </c>
      <c r="AS134" s="333">
        <v>0</v>
      </c>
      <c r="AT134" s="333">
        <v>0</v>
      </c>
      <c r="AU134" s="333">
        <v>0</v>
      </c>
      <c r="AV134" s="333">
        <v>0</v>
      </c>
      <c r="AW134" s="333">
        <v>0</v>
      </c>
      <c r="AX134" s="333">
        <v>0</v>
      </c>
      <c r="AY134" s="333">
        <v>0</v>
      </c>
      <c r="AZ134" s="333">
        <v>0</v>
      </c>
      <c r="BA134" s="333">
        <v>0</v>
      </c>
    </row>
    <row r="135" spans="1:53" ht="0.75" customHeight="1" outlineLevel="2">
      <c r="B135" s="331"/>
      <c r="C135" s="332"/>
      <c r="D135" s="342"/>
      <c r="E135" s="342"/>
      <c r="F135" s="333"/>
      <c r="G135" s="333"/>
      <c r="H135" s="133"/>
      <c r="I135" s="138"/>
      <c r="J135" s="157"/>
      <c r="K135" s="333"/>
      <c r="L135" s="333"/>
      <c r="M135" s="133"/>
      <c r="N135" s="137"/>
      <c r="O135" s="344"/>
      <c r="P135" s="344"/>
      <c r="Q135" s="333"/>
      <c r="R135" s="333"/>
      <c r="S135" s="133"/>
      <c r="T135" s="138"/>
      <c r="U135" s="344"/>
      <c r="V135" s="333"/>
      <c r="W135" s="333"/>
      <c r="X135" s="133"/>
      <c r="Y135" s="137"/>
      <c r="Z135" s="111"/>
      <c r="AA135" s="139"/>
      <c r="AB135" s="346"/>
      <c r="AC135" s="333"/>
      <c r="AD135" s="333"/>
      <c r="AE135" s="333"/>
      <c r="AF135" s="333"/>
      <c r="AG135" s="333"/>
      <c r="AH135" s="333"/>
      <c r="AI135" s="333"/>
      <c r="AJ135" s="333"/>
      <c r="AK135" s="333"/>
      <c r="AL135" s="333"/>
      <c r="AM135" s="333"/>
      <c r="AN135" s="333"/>
      <c r="AO135" s="346"/>
      <c r="AP135" s="333"/>
      <c r="AQ135" s="333"/>
      <c r="AR135" s="333"/>
      <c r="AS135" s="333"/>
      <c r="AT135" s="333"/>
      <c r="AU135" s="333"/>
      <c r="AV135" s="333"/>
      <c r="AW135" s="333"/>
      <c r="AX135" s="333"/>
      <c r="AY135" s="333"/>
      <c r="AZ135" s="333"/>
      <c r="BA135" s="333"/>
    </row>
    <row r="136" spans="1:53" outlineLevel="1">
      <c r="A136" s="111" t="s">
        <v>489</v>
      </c>
      <c r="B136" s="331"/>
      <c r="C136" s="332" t="s">
        <v>490</v>
      </c>
      <c r="D136" s="342"/>
      <c r="E136" s="342"/>
      <c r="F136" s="333">
        <v>0</v>
      </c>
      <c r="G136" s="333">
        <v>0</v>
      </c>
      <c r="H136" s="133">
        <f>+F136-G136</f>
        <v>0</v>
      </c>
      <c r="I136" s="138">
        <f>IF(G136&lt;0,IF(H136=0,0,IF(OR(G136=0,F136=0),"N.M.",IF(ABS(H136/G136)&gt;=10,"N.M.",H136/(-G136)))),IF(H136=0,0,IF(OR(G136=0,F136=0),"N.M.",IF(ABS(H136/G136)&gt;=10,"N.M.",H136/G136))))</f>
        <v>0</v>
      </c>
      <c r="J136" s="157"/>
      <c r="K136" s="333">
        <v>0</v>
      </c>
      <c r="L136" s="333">
        <v>0</v>
      </c>
      <c r="M136" s="133">
        <f>+K136-L136</f>
        <v>0</v>
      </c>
      <c r="N136" s="137">
        <f>IF(L136&lt;0,IF(M136=0,0,IF(OR(L136=0,K136=0),"N.M.",IF(ABS(M136/L136)&gt;=10,"N.M.",M136/(-L136)))),IF(M136=0,0,IF(OR(L136=0,K136=0),"N.M.",IF(ABS(M136/L136)&gt;=10,"N.M.",M136/L136))))</f>
        <v>0</v>
      </c>
      <c r="O136" s="344"/>
      <c r="P136" s="344"/>
      <c r="Q136" s="333">
        <v>0</v>
      </c>
      <c r="R136" s="333">
        <v>0</v>
      </c>
      <c r="S136" s="133">
        <f>+Q136-R136</f>
        <v>0</v>
      </c>
      <c r="T136" s="138">
        <f>IF(R136&lt;0,IF(S136=0,0,IF(OR(R136=0,Q136=0),"N.M.",IF(ABS(S136/R136)&gt;=10,"N.M.",S136/(-R136)))),IF(S136=0,0,IF(OR(R136=0,Q136=0),"N.M.",IF(ABS(S136/R136)&gt;=10,"N.M.",S136/R136))))</f>
        <v>0</v>
      </c>
      <c r="U136" s="344"/>
      <c r="V136" s="333">
        <v>0</v>
      </c>
      <c r="W136" s="333">
        <v>0</v>
      </c>
      <c r="X136" s="133">
        <f>+V136-W136</f>
        <v>0</v>
      </c>
      <c r="Y136" s="137">
        <f>IF(W136&lt;0,IF(X136=0,0,IF(OR(W136=0,V136=0),"N.M.",IF(ABS(X136/W136)&gt;=10,"N.M.",X136/(-W136)))),IF(X136=0,0,IF(OR(W136=0,V136=0),"N.M.",IF(ABS(X136/W136)&gt;=10,"N.M.",X136/W136))))</f>
        <v>0</v>
      </c>
      <c r="Z136" s="111"/>
      <c r="AA136" s="139">
        <v>0</v>
      </c>
      <c r="AB136" s="346"/>
      <c r="AC136" s="333">
        <v>0</v>
      </c>
      <c r="AD136" s="333">
        <v>0</v>
      </c>
      <c r="AE136" s="333">
        <v>0</v>
      </c>
      <c r="AF136" s="333">
        <v>0</v>
      </c>
      <c r="AG136" s="333">
        <v>0</v>
      </c>
      <c r="AH136" s="333">
        <v>0</v>
      </c>
      <c r="AI136" s="333">
        <v>0</v>
      </c>
      <c r="AJ136" s="333">
        <v>0</v>
      </c>
      <c r="AK136" s="333">
        <v>0</v>
      </c>
      <c r="AL136" s="333">
        <v>0</v>
      </c>
      <c r="AM136" s="333">
        <v>0</v>
      </c>
      <c r="AN136" s="333">
        <v>0</v>
      </c>
      <c r="AO136" s="346"/>
      <c r="AP136" s="333">
        <v>0</v>
      </c>
      <c r="AQ136" s="333">
        <v>0</v>
      </c>
      <c r="AR136" s="333">
        <v>0</v>
      </c>
      <c r="AS136" s="333">
        <v>0</v>
      </c>
      <c r="AT136" s="333">
        <v>0</v>
      </c>
      <c r="AU136" s="333">
        <v>0</v>
      </c>
      <c r="AV136" s="333">
        <v>0</v>
      </c>
      <c r="AW136" s="333">
        <v>0</v>
      </c>
      <c r="AX136" s="333">
        <v>0</v>
      </c>
      <c r="AY136" s="333">
        <v>0</v>
      </c>
      <c r="AZ136" s="333">
        <v>0</v>
      </c>
      <c r="BA136" s="333">
        <v>0</v>
      </c>
    </row>
    <row r="137" spans="1:53" ht="0.75" customHeight="1" outlineLevel="2">
      <c r="B137" s="331"/>
      <c r="C137" s="332"/>
      <c r="D137" s="342"/>
      <c r="E137" s="342"/>
      <c r="F137" s="333"/>
      <c r="G137" s="333"/>
      <c r="H137" s="133"/>
      <c r="I137" s="138"/>
      <c r="J137" s="157"/>
      <c r="K137" s="333"/>
      <c r="L137" s="333"/>
      <c r="M137" s="133"/>
      <c r="N137" s="137"/>
      <c r="O137" s="344"/>
      <c r="P137" s="344"/>
      <c r="Q137" s="333"/>
      <c r="R137" s="333"/>
      <c r="S137" s="133"/>
      <c r="T137" s="138"/>
      <c r="U137" s="344"/>
      <c r="V137" s="333"/>
      <c r="W137" s="333"/>
      <c r="X137" s="133"/>
      <c r="Y137" s="137"/>
      <c r="Z137" s="111"/>
      <c r="AA137" s="139"/>
      <c r="AB137" s="346"/>
      <c r="AC137" s="333"/>
      <c r="AD137" s="333"/>
      <c r="AE137" s="333"/>
      <c r="AF137" s="333"/>
      <c r="AG137" s="333"/>
      <c r="AH137" s="333"/>
      <c r="AI137" s="333"/>
      <c r="AJ137" s="333"/>
      <c r="AK137" s="333"/>
      <c r="AL137" s="333"/>
      <c r="AM137" s="333"/>
      <c r="AN137" s="333"/>
      <c r="AO137" s="346"/>
      <c r="AP137" s="333"/>
      <c r="AQ137" s="333"/>
      <c r="AR137" s="333"/>
      <c r="AS137" s="333"/>
      <c r="AT137" s="333"/>
      <c r="AU137" s="333"/>
      <c r="AV137" s="333"/>
      <c r="AW137" s="333"/>
      <c r="AX137" s="333"/>
      <c r="AY137" s="333"/>
      <c r="AZ137" s="333"/>
      <c r="BA137" s="333"/>
    </row>
    <row r="138" spans="1:53" s="102" customFormat="1" outlineLevel="2">
      <c r="A138" s="102" t="s">
        <v>1677</v>
      </c>
      <c r="B138" s="103" t="s">
        <v>1678</v>
      </c>
      <c r="C138" s="104" t="s">
        <v>1679</v>
      </c>
      <c r="D138" s="298"/>
      <c r="E138" s="299"/>
      <c r="F138" s="105">
        <v>450043.65</v>
      </c>
      <c r="G138" s="105">
        <v>0</v>
      </c>
      <c r="H138" s="106">
        <f>+F138-G138</f>
        <v>450043.65</v>
      </c>
      <c r="I138" s="300" t="str">
        <f>IF(G138&lt;0,IF(H138=0,0,IF(OR(G138=0,F138=0),"N.M.",IF(ABS(H138/G138)&gt;=10,"N.M.",H138/(-G138)))),IF(H138=0,0,IF(OR(G138=0,F138=0),"N.M.",IF(ABS(H138/G138)&gt;=10,"N.M.",H138/G138))))</f>
        <v>N.M.</v>
      </c>
      <c r="J138" s="107"/>
      <c r="K138" s="105">
        <v>450043.65</v>
      </c>
      <c r="L138" s="105">
        <v>0</v>
      </c>
      <c r="M138" s="106">
        <f>+K138-L138</f>
        <v>450043.65</v>
      </c>
      <c r="N138" s="300" t="str">
        <f>IF(L138&lt;0,IF(M138=0,0,IF(OR(L138=0,K138=0),"N.M.",IF(ABS(M138/L138)&gt;=10,"N.M.",M138/(-L138)))),IF(M138=0,0,IF(OR(L138=0,K138=0),"N.M.",IF(ABS(M138/L138)&gt;=10,"N.M.",M138/L138))))</f>
        <v>N.M.</v>
      </c>
      <c r="O138" s="301"/>
      <c r="P138" s="107"/>
      <c r="Q138" s="105">
        <v>450043.65</v>
      </c>
      <c r="R138" s="105">
        <v>0</v>
      </c>
      <c r="S138" s="106">
        <f>+Q138-R138</f>
        <v>450043.65</v>
      </c>
      <c r="T138" s="300" t="str">
        <f>IF(R138&lt;0,IF(S138=0,0,IF(OR(R138=0,Q138=0),"N.M.",IF(ABS(S138/R138)&gt;=10,"N.M.",S138/(-R138)))),IF(S138=0,0,IF(OR(R138=0,Q138=0),"N.M.",IF(ABS(S138/R138)&gt;=10,"N.M.",S138/R138))))</f>
        <v>N.M.</v>
      </c>
      <c r="U138" s="107"/>
      <c r="V138" s="105">
        <v>450043.65</v>
      </c>
      <c r="W138" s="105">
        <v>0</v>
      </c>
      <c r="X138" s="106">
        <f>+V138-W138</f>
        <v>450043.65</v>
      </c>
      <c r="Y138" s="300" t="str">
        <f>IF(W138&lt;0,IF(X138=0,0,IF(OR(W138=0,V138=0),"N.M.",IF(ABS(X138/W138)&gt;=10,"N.M.",X138/(-W138)))),IF(X138=0,0,IF(OR(W138=0,V138=0),"N.M.",IF(ABS(X138/W138)&gt;=10,"N.M.",X138/W138))))</f>
        <v>N.M.</v>
      </c>
      <c r="Z138" s="302"/>
      <c r="AA138" s="108">
        <v>0</v>
      </c>
      <c r="AB138" s="109"/>
      <c r="AC138" s="110">
        <v>0</v>
      </c>
      <c r="AD138" s="110">
        <v>0</v>
      </c>
      <c r="AE138" s="110">
        <v>0</v>
      </c>
      <c r="AF138" s="110">
        <v>0</v>
      </c>
      <c r="AG138" s="110">
        <v>0</v>
      </c>
      <c r="AH138" s="110">
        <v>0</v>
      </c>
      <c r="AI138" s="110">
        <v>0</v>
      </c>
      <c r="AJ138" s="110">
        <v>0</v>
      </c>
      <c r="AK138" s="110">
        <v>0</v>
      </c>
      <c r="AL138" s="110">
        <v>0</v>
      </c>
      <c r="AM138" s="110">
        <v>0</v>
      </c>
      <c r="AN138" s="110">
        <v>0</v>
      </c>
      <c r="AO138" s="109"/>
      <c r="AP138" s="110">
        <v>0</v>
      </c>
      <c r="AQ138" s="110">
        <v>0</v>
      </c>
      <c r="AR138" s="110">
        <v>450043.65</v>
      </c>
      <c r="AS138" s="110">
        <v>0</v>
      </c>
      <c r="AT138" s="110">
        <v>0</v>
      </c>
      <c r="AU138" s="110">
        <v>0</v>
      </c>
      <c r="AV138" s="110">
        <v>0</v>
      </c>
      <c r="AW138" s="110">
        <v>0</v>
      </c>
      <c r="AX138" s="110">
        <v>0</v>
      </c>
      <c r="AY138" s="110">
        <v>0</v>
      </c>
      <c r="AZ138" s="110">
        <v>0</v>
      </c>
      <c r="BA138" s="110">
        <v>0</v>
      </c>
    </row>
    <row r="139" spans="1:53" s="102" customFormat="1" outlineLevel="2">
      <c r="A139" s="102" t="s">
        <v>1680</v>
      </c>
      <c r="B139" s="103" t="s">
        <v>1681</v>
      </c>
      <c r="C139" s="104" t="s">
        <v>1682</v>
      </c>
      <c r="D139" s="298"/>
      <c r="E139" s="299"/>
      <c r="F139" s="105">
        <v>0.72</v>
      </c>
      <c r="G139" s="105">
        <v>20.85</v>
      </c>
      <c r="H139" s="106">
        <f>+F139-G139</f>
        <v>-20.130000000000003</v>
      </c>
      <c r="I139" s="300">
        <f>IF(G139&lt;0,IF(H139=0,0,IF(OR(G139=0,F139=0),"N.M.",IF(ABS(H139/G139)&gt;=10,"N.M.",H139/(-G139)))),IF(H139=0,0,IF(OR(G139=0,F139=0),"N.M.",IF(ABS(H139/G139)&gt;=10,"N.M.",H139/G139))))</f>
        <v>-0.96546762589928059</v>
      </c>
      <c r="J139" s="107"/>
      <c r="K139" s="105">
        <v>-0.18</v>
      </c>
      <c r="L139" s="105">
        <v>20.85</v>
      </c>
      <c r="M139" s="106">
        <f>+K139-L139</f>
        <v>-21.03</v>
      </c>
      <c r="N139" s="300">
        <f>IF(L139&lt;0,IF(M139=0,0,IF(OR(L139=0,K139=0),"N.M.",IF(ABS(M139/L139)&gt;=10,"N.M.",M139/(-L139)))),IF(M139=0,0,IF(OR(L139=0,K139=0),"N.M.",IF(ABS(M139/L139)&gt;=10,"N.M.",M139/L139))))</f>
        <v>-1.0086330935251799</v>
      </c>
      <c r="O139" s="301"/>
      <c r="P139" s="107"/>
      <c r="Q139" s="105">
        <v>-0.18</v>
      </c>
      <c r="R139" s="105">
        <v>20.85</v>
      </c>
      <c r="S139" s="106">
        <f>+Q139-R139</f>
        <v>-21.03</v>
      </c>
      <c r="T139" s="300">
        <f>IF(R139&lt;0,IF(S139=0,0,IF(OR(R139=0,Q139=0),"N.M.",IF(ABS(S139/R139)&gt;=10,"N.M.",S139/(-R139)))),IF(S139=0,0,IF(OR(R139=0,Q139=0),"N.M.",IF(ABS(S139/R139)&gt;=10,"N.M.",S139/R139))))</f>
        <v>-1.0086330935251799</v>
      </c>
      <c r="U139" s="107"/>
      <c r="V139" s="105">
        <v>-20.62</v>
      </c>
      <c r="W139" s="105">
        <v>20.85</v>
      </c>
      <c r="X139" s="106">
        <f>+V139-W139</f>
        <v>-41.47</v>
      </c>
      <c r="Y139" s="300">
        <f>IF(W139&lt;0,IF(X139=0,0,IF(OR(W139=0,V139=0),"N.M.",IF(ABS(X139/W139)&gt;=10,"N.M.",X139/(-W139)))),IF(X139=0,0,IF(OR(W139=0,V139=0),"N.M.",IF(ABS(X139/W139)&gt;=10,"N.M.",X139/W139))))</f>
        <v>-1.9889688249400477</v>
      </c>
      <c r="Z139" s="302"/>
      <c r="AA139" s="108">
        <v>0</v>
      </c>
      <c r="AB139" s="109"/>
      <c r="AC139" s="110">
        <v>0</v>
      </c>
      <c r="AD139" s="110">
        <v>0</v>
      </c>
      <c r="AE139" s="110">
        <v>20.85</v>
      </c>
      <c r="AF139" s="110">
        <v>-20.85</v>
      </c>
      <c r="AG139" s="110">
        <v>0</v>
      </c>
      <c r="AH139" s="110">
        <v>0</v>
      </c>
      <c r="AI139" s="110">
        <v>0</v>
      </c>
      <c r="AJ139" s="110">
        <v>0</v>
      </c>
      <c r="AK139" s="110">
        <v>0</v>
      </c>
      <c r="AL139" s="110">
        <v>0</v>
      </c>
      <c r="AM139" s="110">
        <v>0.62</v>
      </c>
      <c r="AN139" s="110">
        <v>-0.21</v>
      </c>
      <c r="AO139" s="109"/>
      <c r="AP139" s="110">
        <v>8.42</v>
      </c>
      <c r="AQ139" s="110">
        <v>-9.32</v>
      </c>
      <c r="AR139" s="110">
        <v>0.72</v>
      </c>
      <c r="AS139" s="110">
        <v>0</v>
      </c>
      <c r="AT139" s="110">
        <v>0</v>
      </c>
      <c r="AU139" s="110">
        <v>0</v>
      </c>
      <c r="AV139" s="110">
        <v>0</v>
      </c>
      <c r="AW139" s="110">
        <v>0</v>
      </c>
      <c r="AX139" s="110">
        <v>0</v>
      </c>
      <c r="AY139" s="110">
        <v>0</v>
      </c>
      <c r="AZ139" s="110">
        <v>0</v>
      </c>
      <c r="BA139" s="110">
        <v>0</v>
      </c>
    </row>
    <row r="140" spans="1:53" s="102" customFormat="1" outlineLevel="2">
      <c r="A140" s="102" t="s">
        <v>1683</v>
      </c>
      <c r="B140" s="103" t="s">
        <v>1684</v>
      </c>
      <c r="C140" s="104" t="s">
        <v>1685</v>
      </c>
      <c r="D140" s="298"/>
      <c r="E140" s="299"/>
      <c r="F140" s="105">
        <v>-75.78</v>
      </c>
      <c r="G140" s="105">
        <v>4.8100000000000005</v>
      </c>
      <c r="H140" s="106">
        <f>+F140-G140</f>
        <v>-80.59</v>
      </c>
      <c r="I140" s="300" t="str">
        <f>IF(G140&lt;0,IF(H140=0,0,IF(OR(G140=0,F140=0),"N.M.",IF(ABS(H140/G140)&gt;=10,"N.M.",H140/(-G140)))),IF(H140=0,0,IF(OR(G140=0,F140=0),"N.M.",IF(ABS(H140/G140)&gt;=10,"N.M.",H140/G140))))</f>
        <v>N.M.</v>
      </c>
      <c r="J140" s="107"/>
      <c r="K140" s="105">
        <v>77.239999999999995</v>
      </c>
      <c r="L140" s="105">
        <v>24.8</v>
      </c>
      <c r="M140" s="106">
        <f>+K140-L140</f>
        <v>52.44</v>
      </c>
      <c r="N140" s="300">
        <f>IF(L140&lt;0,IF(M140=0,0,IF(OR(L140=0,K140=0),"N.M.",IF(ABS(M140/L140)&gt;=10,"N.M.",M140/(-L140)))),IF(M140=0,0,IF(OR(L140=0,K140=0),"N.M.",IF(ABS(M140/L140)&gt;=10,"N.M.",M140/L140))))</f>
        <v>2.1145161290322578</v>
      </c>
      <c r="O140" s="301"/>
      <c r="P140" s="107"/>
      <c r="Q140" s="105">
        <v>77.239999999999995</v>
      </c>
      <c r="R140" s="105">
        <v>24.8</v>
      </c>
      <c r="S140" s="106">
        <f>+Q140-R140</f>
        <v>52.44</v>
      </c>
      <c r="T140" s="300">
        <f>IF(R140&lt;0,IF(S140=0,0,IF(OR(R140=0,Q140=0),"N.M.",IF(ABS(S140/R140)&gt;=10,"N.M.",S140/(-R140)))),IF(S140=0,0,IF(OR(R140=0,Q140=0),"N.M.",IF(ABS(S140/R140)&gt;=10,"N.M.",S140/R140))))</f>
        <v>2.1145161290322578</v>
      </c>
      <c r="U140" s="107"/>
      <c r="V140" s="105">
        <v>-33.540000000000006</v>
      </c>
      <c r="W140" s="105">
        <v>31.67</v>
      </c>
      <c r="X140" s="106">
        <f>+V140-W140</f>
        <v>-65.210000000000008</v>
      </c>
      <c r="Y140" s="300">
        <f>IF(W140&lt;0,IF(X140=0,0,IF(OR(W140=0,V140=0),"N.M.",IF(ABS(X140/W140)&gt;=10,"N.M.",X140/(-W140)))),IF(X140=0,0,IF(OR(W140=0,V140=0),"N.M.",IF(ABS(X140/W140)&gt;=10,"N.M.",X140/W140))))</f>
        <v>-2.0590464161667192</v>
      </c>
      <c r="Z140" s="302"/>
      <c r="AA140" s="108">
        <v>-39.6</v>
      </c>
      <c r="AB140" s="109"/>
      <c r="AC140" s="110">
        <v>17.809999999999999</v>
      </c>
      <c r="AD140" s="110">
        <v>2.1800000000000002</v>
      </c>
      <c r="AE140" s="110">
        <v>4.8100000000000005</v>
      </c>
      <c r="AF140" s="110">
        <v>134.28</v>
      </c>
      <c r="AG140" s="110">
        <v>-159.08000000000001</v>
      </c>
      <c r="AH140" s="110">
        <v>0</v>
      </c>
      <c r="AI140" s="110">
        <v>0</v>
      </c>
      <c r="AJ140" s="110">
        <v>0</v>
      </c>
      <c r="AK140" s="110">
        <v>0</v>
      </c>
      <c r="AL140" s="110">
        <v>0</v>
      </c>
      <c r="AM140" s="110">
        <v>-31.93</v>
      </c>
      <c r="AN140" s="110">
        <v>-54.050000000000004</v>
      </c>
      <c r="AO140" s="109"/>
      <c r="AP140" s="110">
        <v>94.49</v>
      </c>
      <c r="AQ140" s="110">
        <v>58.53</v>
      </c>
      <c r="AR140" s="110">
        <v>-75.78</v>
      </c>
      <c r="AS140" s="110">
        <v>0</v>
      </c>
      <c r="AT140" s="110">
        <v>0</v>
      </c>
      <c r="AU140" s="110">
        <v>0</v>
      </c>
      <c r="AV140" s="110">
        <v>0</v>
      </c>
      <c r="AW140" s="110">
        <v>0</v>
      </c>
      <c r="AX140" s="110">
        <v>0</v>
      </c>
      <c r="AY140" s="110">
        <v>0</v>
      </c>
      <c r="AZ140" s="110">
        <v>0</v>
      </c>
      <c r="BA140" s="110">
        <v>0</v>
      </c>
    </row>
    <row r="141" spans="1:53" outlineLevel="1">
      <c r="A141" s="111" t="s">
        <v>491</v>
      </c>
      <c r="B141" s="331"/>
      <c r="C141" s="332" t="s">
        <v>492</v>
      </c>
      <c r="D141" s="342"/>
      <c r="E141" s="342"/>
      <c r="F141" s="333">
        <v>449968.58999999997</v>
      </c>
      <c r="G141" s="333">
        <v>25.660000000000004</v>
      </c>
      <c r="H141" s="133">
        <f>+F141-G141</f>
        <v>449942.93</v>
      </c>
      <c r="I141" s="138" t="str">
        <f>IF(G141&lt;0,IF(H141=0,0,IF(OR(G141=0,F141=0),"N.M.",IF(ABS(H141/G141)&gt;=10,"N.M.",H141/(-G141)))),IF(H141=0,0,IF(OR(G141=0,F141=0),"N.M.",IF(ABS(H141/G141)&gt;=10,"N.M.",H141/G141))))</f>
        <v>N.M.</v>
      </c>
      <c r="J141" s="157"/>
      <c r="K141" s="333">
        <v>450120.71</v>
      </c>
      <c r="L141" s="333">
        <v>45.650000000000006</v>
      </c>
      <c r="M141" s="133">
        <f>+K141-L141</f>
        <v>450075.06</v>
      </c>
      <c r="N141" s="137" t="str">
        <f>IF(L141&lt;0,IF(M141=0,0,IF(OR(L141=0,K141=0),"N.M.",IF(ABS(M141/L141)&gt;=10,"N.M.",M141/(-L141)))),IF(M141=0,0,IF(OR(L141=0,K141=0),"N.M.",IF(ABS(M141/L141)&gt;=10,"N.M.",M141/L141))))</f>
        <v>N.M.</v>
      </c>
      <c r="O141" s="344"/>
      <c r="P141" s="344"/>
      <c r="Q141" s="333">
        <v>450120.71</v>
      </c>
      <c r="R141" s="333">
        <v>45.650000000000006</v>
      </c>
      <c r="S141" s="133">
        <f>+Q141-R141</f>
        <v>450075.06</v>
      </c>
      <c r="T141" s="138" t="str">
        <f>IF(R141&lt;0,IF(S141=0,0,IF(OR(R141=0,Q141=0),"N.M.",IF(ABS(S141/R141)&gt;=10,"N.M.",S141/(-R141)))),IF(S141=0,0,IF(OR(R141=0,Q141=0),"N.M.",IF(ABS(S141/R141)&gt;=10,"N.M.",S141/R141))))</f>
        <v>N.M.</v>
      </c>
      <c r="U141" s="344"/>
      <c r="V141" s="333">
        <v>449989.49000000005</v>
      </c>
      <c r="W141" s="333">
        <v>52.52</v>
      </c>
      <c r="X141" s="133">
        <f>+V141-W141</f>
        <v>449936.97000000003</v>
      </c>
      <c r="Y141" s="137" t="str">
        <f>IF(W141&lt;0,IF(X141=0,0,IF(OR(W141=0,V141=0),"N.M.",IF(ABS(X141/W141)&gt;=10,"N.M.",X141/(-W141)))),IF(X141=0,0,IF(OR(W141=0,V141=0),"N.M.",IF(ABS(X141/W141)&gt;=10,"N.M.",X141/W141))))</f>
        <v>N.M.</v>
      </c>
      <c r="Z141" s="111"/>
      <c r="AA141" s="139">
        <v>-39.6</v>
      </c>
      <c r="AB141" s="346"/>
      <c r="AC141" s="333">
        <v>17.809999999999999</v>
      </c>
      <c r="AD141" s="333">
        <v>2.1800000000000002</v>
      </c>
      <c r="AE141" s="333">
        <v>25.660000000000004</v>
      </c>
      <c r="AF141" s="333">
        <v>113.43</v>
      </c>
      <c r="AG141" s="333">
        <v>-159.08000000000001</v>
      </c>
      <c r="AH141" s="333">
        <v>0</v>
      </c>
      <c r="AI141" s="333">
        <v>0</v>
      </c>
      <c r="AJ141" s="333">
        <v>0</v>
      </c>
      <c r="AK141" s="333">
        <v>0</v>
      </c>
      <c r="AL141" s="333">
        <v>0</v>
      </c>
      <c r="AM141" s="333">
        <v>-31.31</v>
      </c>
      <c r="AN141" s="333">
        <v>-54.260000000000005</v>
      </c>
      <c r="AO141" s="346"/>
      <c r="AP141" s="333">
        <v>102.91</v>
      </c>
      <c r="AQ141" s="333">
        <v>49.21</v>
      </c>
      <c r="AR141" s="333">
        <v>449968.58999999997</v>
      </c>
      <c r="AS141" s="333">
        <v>0</v>
      </c>
      <c r="AT141" s="333">
        <v>0</v>
      </c>
      <c r="AU141" s="333">
        <v>0</v>
      </c>
      <c r="AV141" s="333">
        <v>0</v>
      </c>
      <c r="AW141" s="333">
        <v>0</v>
      </c>
      <c r="AX141" s="333">
        <v>0</v>
      </c>
      <c r="AY141" s="333">
        <v>0</v>
      </c>
      <c r="AZ141" s="333">
        <v>0</v>
      </c>
      <c r="BA141" s="333">
        <v>0</v>
      </c>
    </row>
    <row r="142" spans="1:53" ht="0.75" customHeight="1" outlineLevel="2">
      <c r="B142" s="331"/>
      <c r="C142" s="332"/>
      <c r="D142" s="342"/>
      <c r="E142" s="342"/>
      <c r="F142" s="333"/>
      <c r="G142" s="333"/>
      <c r="H142" s="133"/>
      <c r="I142" s="138"/>
      <c r="J142" s="157"/>
      <c r="K142" s="333"/>
      <c r="L142" s="333"/>
      <c r="M142" s="133"/>
      <c r="N142" s="137"/>
      <c r="O142" s="344"/>
      <c r="P142" s="344"/>
      <c r="Q142" s="333"/>
      <c r="R142" s="333"/>
      <c r="S142" s="133"/>
      <c r="T142" s="138"/>
      <c r="U142" s="344"/>
      <c r="V142" s="333"/>
      <c r="W142" s="333"/>
      <c r="X142" s="133"/>
      <c r="Y142" s="137"/>
      <c r="Z142" s="111"/>
      <c r="AA142" s="139"/>
      <c r="AB142" s="346"/>
      <c r="AC142" s="333"/>
      <c r="AD142" s="333"/>
      <c r="AE142" s="333"/>
      <c r="AF142" s="333"/>
      <c r="AG142" s="333"/>
      <c r="AH142" s="333"/>
      <c r="AI142" s="333"/>
      <c r="AJ142" s="333"/>
      <c r="AK142" s="333"/>
      <c r="AL142" s="333"/>
      <c r="AM142" s="333"/>
      <c r="AN142" s="333"/>
      <c r="AO142" s="346"/>
      <c r="AP142" s="333"/>
      <c r="AQ142" s="333"/>
      <c r="AR142" s="333"/>
      <c r="AS142" s="333"/>
      <c r="AT142" s="333"/>
      <c r="AU142" s="333"/>
      <c r="AV142" s="333"/>
      <c r="AW142" s="333"/>
      <c r="AX142" s="333"/>
      <c r="AY142" s="333"/>
      <c r="AZ142" s="333"/>
      <c r="BA142" s="333"/>
    </row>
    <row r="143" spans="1:53" s="102" customFormat="1" outlineLevel="2">
      <c r="A143" s="102" t="s">
        <v>493</v>
      </c>
      <c r="B143" s="103" t="s">
        <v>494</v>
      </c>
      <c r="C143" s="104" t="s">
        <v>495</v>
      </c>
      <c r="D143" s="298"/>
      <c r="E143" s="299"/>
      <c r="F143" s="105">
        <v>3760609.09</v>
      </c>
      <c r="G143" s="105">
        <v>19881750.640000001</v>
      </c>
      <c r="H143" s="106">
        <f t="shared" ref="H143:H175" si="34">+F143-G143</f>
        <v>-16121141.550000001</v>
      </c>
      <c r="I143" s="300">
        <f t="shared" ref="I143:I175" si="35">IF(G143&lt;0,IF(H143=0,0,IF(OR(G143=0,F143=0),"N.M.",IF(ABS(H143/G143)&gt;=10,"N.M.",H143/(-G143)))),IF(H143=0,0,IF(OR(G143=0,F143=0),"N.M.",IF(ABS(H143/G143)&gt;=10,"N.M.",H143/G143))))</f>
        <v>-0.81085120932791255</v>
      </c>
      <c r="J143" s="107"/>
      <c r="K143" s="105">
        <v>24729157.68</v>
      </c>
      <c r="L143" s="105">
        <v>39031678.640000001</v>
      </c>
      <c r="M143" s="106">
        <f t="shared" ref="M143:M175" si="36">+K143-L143</f>
        <v>-14302520.960000001</v>
      </c>
      <c r="N143" s="300">
        <f t="shared" ref="N143:N175" si="37">IF(L143&lt;0,IF(M143=0,0,IF(OR(L143=0,K143=0),"N.M.",IF(ABS(M143/L143)&gt;=10,"N.M.",M143/(-L143)))),IF(M143=0,0,IF(OR(L143=0,K143=0),"N.M.",IF(ABS(M143/L143)&gt;=10,"N.M.",M143/L143))))</f>
        <v>-0.36643366256204657</v>
      </c>
      <c r="O143" s="301"/>
      <c r="P143" s="107"/>
      <c r="Q143" s="105">
        <v>24729157.68</v>
      </c>
      <c r="R143" s="105">
        <v>39031678.640000001</v>
      </c>
      <c r="S143" s="106">
        <f t="shared" ref="S143:S175" si="38">+Q143-R143</f>
        <v>-14302520.960000001</v>
      </c>
      <c r="T143" s="300">
        <f t="shared" ref="T143:T175" si="39">IF(R143&lt;0,IF(S143=0,0,IF(OR(R143=0,Q143=0),"N.M.",IF(ABS(S143/R143)&gt;=10,"N.M.",S143/(-R143)))),IF(S143=0,0,IF(OR(R143=0,Q143=0),"N.M.",IF(ABS(S143/R143)&gt;=10,"N.M.",S143/R143))))</f>
        <v>-0.36643366256204657</v>
      </c>
      <c r="U143" s="107"/>
      <c r="V143" s="105">
        <v>184153428.09</v>
      </c>
      <c r="W143" s="105">
        <v>102823360.56999999</v>
      </c>
      <c r="X143" s="106">
        <f t="shared" ref="X143:X175" si="40">+V143-W143</f>
        <v>81330067.520000011</v>
      </c>
      <c r="Y143" s="300">
        <f t="shared" ref="Y143:Y175" si="41">IF(W143&lt;0,IF(X143=0,0,IF(OR(W143=0,V143=0),"N.M.",IF(ABS(X143/W143)&gt;=10,"N.M.",X143/(-W143)))),IF(X143=0,0,IF(OR(W143=0,V143=0),"N.M.",IF(ABS(X143/W143)&gt;=10,"N.M.",X143/W143))))</f>
        <v>0.79096877469426996</v>
      </c>
      <c r="Z143" s="302"/>
      <c r="AA143" s="108">
        <v>7203130.4199999999</v>
      </c>
      <c r="AB143" s="109"/>
      <c r="AC143" s="110">
        <v>5296993.0599999996</v>
      </c>
      <c r="AD143" s="110">
        <v>13852934.939999999</v>
      </c>
      <c r="AE143" s="110">
        <v>19881750.640000001</v>
      </c>
      <c r="AF143" s="110">
        <v>10286478.029999999</v>
      </c>
      <c r="AG143" s="110">
        <v>10598249.25</v>
      </c>
      <c r="AH143" s="110">
        <v>11508532.57</v>
      </c>
      <c r="AI143" s="110">
        <v>7107370.4900000002</v>
      </c>
      <c r="AJ143" s="110">
        <v>14266214.609999999</v>
      </c>
      <c r="AK143" s="110">
        <v>23189915.34</v>
      </c>
      <c r="AL143" s="110">
        <v>24836664.890000001</v>
      </c>
      <c r="AM143" s="110">
        <v>23931908.77</v>
      </c>
      <c r="AN143" s="110">
        <v>33698936.460000001</v>
      </c>
      <c r="AO143" s="109"/>
      <c r="AP143" s="110">
        <v>16657452.34</v>
      </c>
      <c r="AQ143" s="110">
        <v>4311096.25</v>
      </c>
      <c r="AR143" s="110">
        <v>3760609.09</v>
      </c>
      <c r="AS143" s="110">
        <v>-3426208.74</v>
      </c>
      <c r="AT143" s="110">
        <v>0</v>
      </c>
      <c r="AU143" s="110">
        <v>0</v>
      </c>
      <c r="AV143" s="110">
        <v>0</v>
      </c>
      <c r="AW143" s="110">
        <v>0</v>
      </c>
      <c r="AX143" s="110">
        <v>0</v>
      </c>
      <c r="AY143" s="110">
        <v>0</v>
      </c>
      <c r="AZ143" s="110">
        <v>0</v>
      </c>
      <c r="BA143" s="110">
        <v>0</v>
      </c>
    </row>
    <row r="144" spans="1:53" s="102" customFormat="1" outlineLevel="2">
      <c r="A144" s="102" t="s">
        <v>1686</v>
      </c>
      <c r="B144" s="103" t="s">
        <v>1687</v>
      </c>
      <c r="C144" s="104" t="s">
        <v>1688</v>
      </c>
      <c r="D144" s="298"/>
      <c r="E144" s="299"/>
      <c r="F144" s="105">
        <v>236220</v>
      </c>
      <c r="G144" s="105">
        <v>0</v>
      </c>
      <c r="H144" s="106">
        <f t="shared" si="34"/>
        <v>236220</v>
      </c>
      <c r="I144" s="300" t="str">
        <f t="shared" si="35"/>
        <v>N.M.</v>
      </c>
      <c r="J144" s="107"/>
      <c r="K144" s="105">
        <v>670124.64</v>
      </c>
      <c r="L144" s="105">
        <v>0</v>
      </c>
      <c r="M144" s="106">
        <f t="shared" si="36"/>
        <v>670124.64</v>
      </c>
      <c r="N144" s="300" t="str">
        <f t="shared" si="37"/>
        <v>N.M.</v>
      </c>
      <c r="O144" s="301"/>
      <c r="P144" s="107"/>
      <c r="Q144" s="105">
        <v>670124.64</v>
      </c>
      <c r="R144" s="105">
        <v>0</v>
      </c>
      <c r="S144" s="106">
        <f t="shared" si="38"/>
        <v>670124.64</v>
      </c>
      <c r="T144" s="300" t="str">
        <f t="shared" si="39"/>
        <v>N.M.</v>
      </c>
      <c r="U144" s="107"/>
      <c r="V144" s="105">
        <v>868680</v>
      </c>
      <c r="W144" s="105">
        <v>0</v>
      </c>
      <c r="X144" s="106">
        <f t="shared" si="40"/>
        <v>868680</v>
      </c>
      <c r="Y144" s="300" t="str">
        <f t="shared" si="41"/>
        <v>N.M.</v>
      </c>
      <c r="Z144" s="302"/>
      <c r="AA144" s="108">
        <v>0</v>
      </c>
      <c r="AB144" s="109"/>
      <c r="AC144" s="110">
        <v>0</v>
      </c>
      <c r="AD144" s="110">
        <v>0</v>
      </c>
      <c r="AE144" s="110">
        <v>0</v>
      </c>
      <c r="AF144" s="110">
        <v>0</v>
      </c>
      <c r="AG144" s="110">
        <v>0</v>
      </c>
      <c r="AH144" s="110">
        <v>0</v>
      </c>
      <c r="AI144" s="110">
        <v>0</v>
      </c>
      <c r="AJ144" s="110">
        <v>0</v>
      </c>
      <c r="AK144" s="110">
        <v>0</v>
      </c>
      <c r="AL144" s="110">
        <v>0</v>
      </c>
      <c r="AM144" s="110">
        <v>0</v>
      </c>
      <c r="AN144" s="110">
        <v>198555.36000000002</v>
      </c>
      <c r="AO144" s="109"/>
      <c r="AP144" s="110">
        <v>220544.64000000001</v>
      </c>
      <c r="AQ144" s="110">
        <v>213360</v>
      </c>
      <c r="AR144" s="110">
        <v>236220</v>
      </c>
      <c r="AS144" s="110">
        <v>0</v>
      </c>
      <c r="AT144" s="110">
        <v>0</v>
      </c>
      <c r="AU144" s="110">
        <v>0</v>
      </c>
      <c r="AV144" s="110">
        <v>0</v>
      </c>
      <c r="AW144" s="110">
        <v>0</v>
      </c>
      <c r="AX144" s="110">
        <v>0</v>
      </c>
      <c r="AY144" s="110">
        <v>0</v>
      </c>
      <c r="AZ144" s="110">
        <v>0</v>
      </c>
      <c r="BA144" s="110">
        <v>0</v>
      </c>
    </row>
    <row r="145" spans="1:53" s="102" customFormat="1" outlineLevel="2">
      <c r="A145" s="102" t="s">
        <v>496</v>
      </c>
      <c r="B145" s="103" t="s">
        <v>497</v>
      </c>
      <c r="C145" s="104" t="s">
        <v>498</v>
      </c>
      <c r="D145" s="298"/>
      <c r="E145" s="299"/>
      <c r="F145" s="105">
        <v>288828.68</v>
      </c>
      <c r="G145" s="105">
        <v>6631532.3200000003</v>
      </c>
      <c r="H145" s="106">
        <f t="shared" si="34"/>
        <v>-6342703.6400000006</v>
      </c>
      <c r="I145" s="300">
        <f t="shared" si="35"/>
        <v>-0.95644616265701932</v>
      </c>
      <c r="J145" s="107"/>
      <c r="K145" s="105">
        <v>307311.58</v>
      </c>
      <c r="L145" s="105">
        <v>18279839.390000001</v>
      </c>
      <c r="M145" s="106">
        <f t="shared" si="36"/>
        <v>-17972527.810000002</v>
      </c>
      <c r="N145" s="300">
        <f t="shared" si="37"/>
        <v>-0.98318849671249775</v>
      </c>
      <c r="O145" s="301"/>
      <c r="P145" s="107"/>
      <c r="Q145" s="105">
        <v>307311.58</v>
      </c>
      <c r="R145" s="105">
        <v>18279839.390000001</v>
      </c>
      <c r="S145" s="106">
        <f t="shared" si="38"/>
        <v>-17972527.810000002</v>
      </c>
      <c r="T145" s="300">
        <f t="shared" si="39"/>
        <v>-0.98318849671249775</v>
      </c>
      <c r="U145" s="107"/>
      <c r="V145" s="105">
        <v>46035950.589999996</v>
      </c>
      <c r="W145" s="105">
        <v>70391243.400000006</v>
      </c>
      <c r="X145" s="106">
        <f t="shared" si="40"/>
        <v>-24355292.81000001</v>
      </c>
      <c r="Y145" s="300">
        <f t="shared" si="41"/>
        <v>-0.3459989003404933</v>
      </c>
      <c r="Z145" s="302"/>
      <c r="AA145" s="108">
        <v>5342821.3499999996</v>
      </c>
      <c r="AB145" s="109"/>
      <c r="AC145" s="110">
        <v>5855028.7999999998</v>
      </c>
      <c r="AD145" s="110">
        <v>5793278.2699999996</v>
      </c>
      <c r="AE145" s="110">
        <v>6631532.3200000003</v>
      </c>
      <c r="AF145" s="110">
        <v>5664754.2800000003</v>
      </c>
      <c r="AG145" s="110">
        <v>6130390.4199999999</v>
      </c>
      <c r="AH145" s="110">
        <v>4720903.5</v>
      </c>
      <c r="AI145" s="110">
        <v>7108901</v>
      </c>
      <c r="AJ145" s="110">
        <v>6039379.7800000003</v>
      </c>
      <c r="AK145" s="110">
        <v>5770189.04</v>
      </c>
      <c r="AL145" s="110">
        <v>4295654.12</v>
      </c>
      <c r="AM145" s="110">
        <v>5547490.9699999997</v>
      </c>
      <c r="AN145" s="110">
        <v>450975.9</v>
      </c>
      <c r="AO145" s="109"/>
      <c r="AP145" s="110">
        <v>0</v>
      </c>
      <c r="AQ145" s="110">
        <v>18482.900000000001</v>
      </c>
      <c r="AR145" s="110">
        <v>288828.68</v>
      </c>
      <c r="AS145" s="110">
        <v>0</v>
      </c>
      <c r="AT145" s="110">
        <v>0</v>
      </c>
      <c r="AU145" s="110">
        <v>0</v>
      </c>
      <c r="AV145" s="110">
        <v>0</v>
      </c>
      <c r="AW145" s="110">
        <v>0</v>
      </c>
      <c r="AX145" s="110">
        <v>0</v>
      </c>
      <c r="AY145" s="110">
        <v>0</v>
      </c>
      <c r="AZ145" s="110">
        <v>0</v>
      </c>
      <c r="BA145" s="110">
        <v>0</v>
      </c>
    </row>
    <row r="146" spans="1:53" s="102" customFormat="1" outlineLevel="2">
      <c r="A146" s="102" t="s">
        <v>499</v>
      </c>
      <c r="B146" s="103" t="s">
        <v>500</v>
      </c>
      <c r="C146" s="104" t="s">
        <v>501</v>
      </c>
      <c r="D146" s="298"/>
      <c r="E146" s="299"/>
      <c r="F146" s="105">
        <v>0</v>
      </c>
      <c r="G146" s="105">
        <v>0</v>
      </c>
      <c r="H146" s="106">
        <f t="shared" si="34"/>
        <v>0</v>
      </c>
      <c r="I146" s="300">
        <f t="shared" si="35"/>
        <v>0</v>
      </c>
      <c r="J146" s="107"/>
      <c r="K146" s="105">
        <v>0</v>
      </c>
      <c r="L146" s="105">
        <v>0</v>
      </c>
      <c r="M146" s="106">
        <f t="shared" si="36"/>
        <v>0</v>
      </c>
      <c r="N146" s="300">
        <f t="shared" si="37"/>
        <v>0</v>
      </c>
      <c r="O146" s="301"/>
      <c r="P146" s="107"/>
      <c r="Q146" s="105">
        <v>0</v>
      </c>
      <c r="R146" s="105">
        <v>0</v>
      </c>
      <c r="S146" s="106">
        <f t="shared" si="38"/>
        <v>0</v>
      </c>
      <c r="T146" s="300">
        <f t="shared" si="39"/>
        <v>0</v>
      </c>
      <c r="U146" s="107"/>
      <c r="V146" s="105">
        <v>0</v>
      </c>
      <c r="W146" s="105">
        <v>0</v>
      </c>
      <c r="X146" s="106">
        <f t="shared" si="40"/>
        <v>0</v>
      </c>
      <c r="Y146" s="300">
        <f t="shared" si="41"/>
        <v>0</v>
      </c>
      <c r="Z146" s="302"/>
      <c r="AA146" s="108">
        <v>0</v>
      </c>
      <c r="AB146" s="109"/>
      <c r="AC146" s="110">
        <v>0</v>
      </c>
      <c r="AD146" s="110">
        <v>0</v>
      </c>
      <c r="AE146" s="110">
        <v>0</v>
      </c>
      <c r="AF146" s="110">
        <v>0</v>
      </c>
      <c r="AG146" s="110">
        <v>0</v>
      </c>
      <c r="AH146" s="110">
        <v>0</v>
      </c>
      <c r="AI146" s="110">
        <v>0</v>
      </c>
      <c r="AJ146" s="110">
        <v>0</v>
      </c>
      <c r="AK146" s="110">
        <v>0</v>
      </c>
      <c r="AL146" s="110">
        <v>0</v>
      </c>
      <c r="AM146" s="110">
        <v>0</v>
      </c>
      <c r="AN146" s="110">
        <v>0</v>
      </c>
      <c r="AO146" s="109"/>
      <c r="AP146" s="110">
        <v>0</v>
      </c>
      <c r="AQ146" s="110">
        <v>0</v>
      </c>
      <c r="AR146" s="110">
        <v>0</v>
      </c>
      <c r="AS146" s="110">
        <v>95359080.129999995</v>
      </c>
      <c r="AT146" s="110">
        <v>0</v>
      </c>
      <c r="AU146" s="110">
        <v>0</v>
      </c>
      <c r="AV146" s="110">
        <v>0</v>
      </c>
      <c r="AW146" s="110">
        <v>0</v>
      </c>
      <c r="AX146" s="110">
        <v>0</v>
      </c>
      <c r="AY146" s="110">
        <v>0</v>
      </c>
      <c r="AZ146" s="110">
        <v>0</v>
      </c>
      <c r="BA146" s="110">
        <v>0</v>
      </c>
    </row>
    <row r="147" spans="1:53" s="102" customFormat="1" outlineLevel="2">
      <c r="A147" s="102" t="s">
        <v>502</v>
      </c>
      <c r="B147" s="103" t="s">
        <v>503</v>
      </c>
      <c r="C147" s="104" t="s">
        <v>504</v>
      </c>
      <c r="D147" s="298"/>
      <c r="E147" s="299"/>
      <c r="F147" s="105">
        <v>-22.05</v>
      </c>
      <c r="G147" s="105">
        <v>-87.63</v>
      </c>
      <c r="H147" s="106">
        <f t="shared" si="34"/>
        <v>65.58</v>
      </c>
      <c r="I147" s="300">
        <f t="shared" si="35"/>
        <v>0.74837384457377609</v>
      </c>
      <c r="J147" s="107"/>
      <c r="K147" s="105">
        <v>-651.89</v>
      </c>
      <c r="L147" s="105">
        <v>204.93</v>
      </c>
      <c r="M147" s="106">
        <f t="shared" si="36"/>
        <v>-856.81999999999994</v>
      </c>
      <c r="N147" s="300">
        <f t="shared" si="37"/>
        <v>-4.1810374274142381</v>
      </c>
      <c r="O147" s="301"/>
      <c r="P147" s="107"/>
      <c r="Q147" s="105">
        <v>-651.89</v>
      </c>
      <c r="R147" s="105">
        <v>204.93</v>
      </c>
      <c r="S147" s="106">
        <f t="shared" si="38"/>
        <v>-856.81999999999994</v>
      </c>
      <c r="T147" s="300">
        <f t="shared" si="39"/>
        <v>-4.1810374274142381</v>
      </c>
      <c r="U147" s="107"/>
      <c r="V147" s="105">
        <v>213.18000000000006</v>
      </c>
      <c r="W147" s="105">
        <v>3600.7599999999998</v>
      </c>
      <c r="X147" s="106">
        <f t="shared" si="40"/>
        <v>-3387.58</v>
      </c>
      <c r="Y147" s="300">
        <f t="shared" si="41"/>
        <v>-0.94079583199102412</v>
      </c>
      <c r="Z147" s="302"/>
      <c r="AA147" s="108">
        <v>-96.34</v>
      </c>
      <c r="AB147" s="109"/>
      <c r="AC147" s="110">
        <v>450.03000000000003</v>
      </c>
      <c r="AD147" s="110">
        <v>-157.47</v>
      </c>
      <c r="AE147" s="110">
        <v>-87.63</v>
      </c>
      <c r="AF147" s="110">
        <v>-722.85</v>
      </c>
      <c r="AG147" s="110">
        <v>-197.46</v>
      </c>
      <c r="AH147" s="110">
        <v>129.42000000000002</v>
      </c>
      <c r="AI147" s="110">
        <v>554.35</v>
      </c>
      <c r="AJ147" s="110">
        <v>-56.22</v>
      </c>
      <c r="AK147" s="110">
        <v>-126.34</v>
      </c>
      <c r="AL147" s="110">
        <v>-87.51</v>
      </c>
      <c r="AM147" s="110">
        <v>-209.84</v>
      </c>
      <c r="AN147" s="110">
        <v>1581.52</v>
      </c>
      <c r="AO147" s="109"/>
      <c r="AP147" s="110">
        <v>-607.09</v>
      </c>
      <c r="AQ147" s="110">
        <v>-22.75</v>
      </c>
      <c r="AR147" s="110">
        <v>-22.05</v>
      </c>
      <c r="AS147" s="110">
        <v>8.39</v>
      </c>
      <c r="AT147" s="110">
        <v>0</v>
      </c>
      <c r="AU147" s="110">
        <v>0</v>
      </c>
      <c r="AV147" s="110">
        <v>0</v>
      </c>
      <c r="AW147" s="110">
        <v>0</v>
      </c>
      <c r="AX147" s="110">
        <v>0</v>
      </c>
      <c r="AY147" s="110">
        <v>0</v>
      </c>
      <c r="AZ147" s="110">
        <v>0</v>
      </c>
      <c r="BA147" s="110">
        <v>0</v>
      </c>
    </row>
    <row r="148" spans="1:53" s="102" customFormat="1" outlineLevel="2">
      <c r="A148" s="102" t="s">
        <v>505</v>
      </c>
      <c r="B148" s="103" t="s">
        <v>506</v>
      </c>
      <c r="C148" s="104" t="s">
        <v>507</v>
      </c>
      <c r="D148" s="298"/>
      <c r="E148" s="299"/>
      <c r="F148" s="105">
        <v>579.89</v>
      </c>
      <c r="G148" s="105">
        <v>-1885.6100000000001</v>
      </c>
      <c r="H148" s="106">
        <f t="shared" si="34"/>
        <v>2465.5</v>
      </c>
      <c r="I148" s="300">
        <f t="shared" si="35"/>
        <v>1.3075344318284268</v>
      </c>
      <c r="J148" s="107"/>
      <c r="K148" s="105">
        <v>-15227.960000000001</v>
      </c>
      <c r="L148" s="105">
        <v>-3016.4700000000003</v>
      </c>
      <c r="M148" s="106">
        <f t="shared" si="36"/>
        <v>-12211.490000000002</v>
      </c>
      <c r="N148" s="300">
        <f t="shared" si="37"/>
        <v>-4.0482716552791844</v>
      </c>
      <c r="O148" s="301"/>
      <c r="P148" s="107"/>
      <c r="Q148" s="105">
        <v>-15227.960000000001</v>
      </c>
      <c r="R148" s="105">
        <v>-3016.4700000000003</v>
      </c>
      <c r="S148" s="106">
        <f t="shared" si="38"/>
        <v>-12211.490000000002</v>
      </c>
      <c r="T148" s="300">
        <f t="shared" si="39"/>
        <v>-4.0482716552791844</v>
      </c>
      <c r="U148" s="107"/>
      <c r="V148" s="105">
        <v>-210771.3</v>
      </c>
      <c r="W148" s="105">
        <v>9255.7999999999993</v>
      </c>
      <c r="X148" s="106">
        <f t="shared" si="40"/>
        <v>-220027.09999999998</v>
      </c>
      <c r="Y148" s="300" t="str">
        <f t="shared" si="41"/>
        <v>N.M.</v>
      </c>
      <c r="Z148" s="302"/>
      <c r="AA148" s="108">
        <v>-2195.9900000000002</v>
      </c>
      <c r="AB148" s="109"/>
      <c r="AC148" s="110">
        <v>-1866.39</v>
      </c>
      <c r="AD148" s="110">
        <v>735.53</v>
      </c>
      <c r="AE148" s="110">
        <v>-1885.6100000000001</v>
      </c>
      <c r="AF148" s="110">
        <v>-6311.29</v>
      </c>
      <c r="AG148" s="110">
        <v>-4755.38</v>
      </c>
      <c r="AH148" s="110">
        <v>-4782.78</v>
      </c>
      <c r="AI148" s="110">
        <v>2872.65</v>
      </c>
      <c r="AJ148" s="110">
        <v>-6347.64</v>
      </c>
      <c r="AK148" s="110">
        <v>-12972.39</v>
      </c>
      <c r="AL148" s="110">
        <v>-7490.47</v>
      </c>
      <c r="AM148" s="110">
        <v>-9677.5300000000007</v>
      </c>
      <c r="AN148" s="110">
        <v>-146078.51</v>
      </c>
      <c r="AO148" s="109"/>
      <c r="AP148" s="110">
        <v>-14449.87</v>
      </c>
      <c r="AQ148" s="110">
        <v>-1357.98</v>
      </c>
      <c r="AR148" s="110">
        <v>579.89</v>
      </c>
      <c r="AS148" s="110">
        <v>-745.15</v>
      </c>
      <c r="AT148" s="110">
        <v>0</v>
      </c>
      <c r="AU148" s="110">
        <v>0</v>
      </c>
      <c r="AV148" s="110">
        <v>0</v>
      </c>
      <c r="AW148" s="110">
        <v>0</v>
      </c>
      <c r="AX148" s="110">
        <v>0</v>
      </c>
      <c r="AY148" s="110">
        <v>0</v>
      </c>
      <c r="AZ148" s="110">
        <v>0</v>
      </c>
      <c r="BA148" s="110">
        <v>0</v>
      </c>
    </row>
    <row r="149" spans="1:53" s="102" customFormat="1" outlineLevel="2">
      <c r="A149" s="102" t="s">
        <v>508</v>
      </c>
      <c r="B149" s="103" t="s">
        <v>509</v>
      </c>
      <c r="C149" s="104" t="s">
        <v>510</v>
      </c>
      <c r="D149" s="298"/>
      <c r="E149" s="299"/>
      <c r="F149" s="105">
        <v>0</v>
      </c>
      <c r="G149" s="105">
        <v>125869</v>
      </c>
      <c r="H149" s="106">
        <f t="shared" si="34"/>
        <v>-125869</v>
      </c>
      <c r="I149" s="300" t="str">
        <f t="shared" si="35"/>
        <v>N.M.</v>
      </c>
      <c r="J149" s="107"/>
      <c r="K149" s="105">
        <v>0</v>
      </c>
      <c r="L149" s="105">
        <v>6170190</v>
      </c>
      <c r="M149" s="106">
        <f t="shared" si="36"/>
        <v>-6170190</v>
      </c>
      <c r="N149" s="300" t="str">
        <f t="shared" si="37"/>
        <v>N.M.</v>
      </c>
      <c r="O149" s="301"/>
      <c r="P149" s="107"/>
      <c r="Q149" s="105">
        <v>0</v>
      </c>
      <c r="R149" s="105">
        <v>6170190</v>
      </c>
      <c r="S149" s="106">
        <f t="shared" si="38"/>
        <v>-6170190</v>
      </c>
      <c r="T149" s="300" t="str">
        <f t="shared" si="39"/>
        <v>N.M.</v>
      </c>
      <c r="U149" s="107"/>
      <c r="V149" s="105">
        <v>22759444.629999999</v>
      </c>
      <c r="W149" s="105">
        <v>25322906.039999999</v>
      </c>
      <c r="X149" s="106">
        <f t="shared" si="40"/>
        <v>-2563461.41</v>
      </c>
      <c r="Y149" s="300">
        <f t="shared" si="41"/>
        <v>-0.10123093320927554</v>
      </c>
      <c r="Z149" s="302"/>
      <c r="AA149" s="108">
        <v>2507667</v>
      </c>
      <c r="AB149" s="109"/>
      <c r="AC149" s="110">
        <v>3295763</v>
      </c>
      <c r="AD149" s="110">
        <v>2748558</v>
      </c>
      <c r="AE149" s="110">
        <v>125869</v>
      </c>
      <c r="AF149" s="110">
        <v>2842903</v>
      </c>
      <c r="AG149" s="110">
        <v>2527856</v>
      </c>
      <c r="AH149" s="110">
        <v>3686364</v>
      </c>
      <c r="AI149" s="110">
        <v>5259645</v>
      </c>
      <c r="AJ149" s="110">
        <v>4285297</v>
      </c>
      <c r="AK149" s="110">
        <v>612807</v>
      </c>
      <c r="AL149" s="110">
        <v>345255</v>
      </c>
      <c r="AM149" s="110">
        <v>1616771</v>
      </c>
      <c r="AN149" s="110">
        <v>1582546.63</v>
      </c>
      <c r="AO149" s="109"/>
      <c r="AP149" s="110">
        <v>0</v>
      </c>
      <c r="AQ149" s="110">
        <v>0</v>
      </c>
      <c r="AR149" s="110">
        <v>0</v>
      </c>
      <c r="AS149" s="110">
        <v>0</v>
      </c>
      <c r="AT149" s="110">
        <v>0</v>
      </c>
      <c r="AU149" s="110">
        <v>0</v>
      </c>
      <c r="AV149" s="110">
        <v>0</v>
      </c>
      <c r="AW149" s="110">
        <v>0</v>
      </c>
      <c r="AX149" s="110">
        <v>0</v>
      </c>
      <c r="AY149" s="110">
        <v>0</v>
      </c>
      <c r="AZ149" s="110">
        <v>0</v>
      </c>
      <c r="BA149" s="110">
        <v>0</v>
      </c>
    </row>
    <row r="150" spans="1:53" s="102" customFormat="1" outlineLevel="2">
      <c r="A150" s="102" t="s">
        <v>511</v>
      </c>
      <c r="B150" s="103" t="s">
        <v>512</v>
      </c>
      <c r="C150" s="104" t="s">
        <v>513</v>
      </c>
      <c r="D150" s="298"/>
      <c r="E150" s="299"/>
      <c r="F150" s="105">
        <v>200435.05000000002</v>
      </c>
      <c r="G150" s="105">
        <v>177766.2</v>
      </c>
      <c r="H150" s="106">
        <f t="shared" si="34"/>
        <v>22668.850000000006</v>
      </c>
      <c r="I150" s="300">
        <f t="shared" si="35"/>
        <v>0.1275205860281651</v>
      </c>
      <c r="J150" s="107"/>
      <c r="K150" s="105">
        <v>597994.23999999999</v>
      </c>
      <c r="L150" s="105">
        <v>531663.89</v>
      </c>
      <c r="M150" s="106">
        <f t="shared" si="36"/>
        <v>66330.349999999977</v>
      </c>
      <c r="N150" s="300">
        <f t="shared" si="37"/>
        <v>0.12475993056440221</v>
      </c>
      <c r="O150" s="301"/>
      <c r="P150" s="107"/>
      <c r="Q150" s="105">
        <v>597994.23999999999</v>
      </c>
      <c r="R150" s="105">
        <v>531663.89</v>
      </c>
      <c r="S150" s="106">
        <f t="shared" si="38"/>
        <v>66330.349999999977</v>
      </c>
      <c r="T150" s="300">
        <f t="shared" si="39"/>
        <v>0.12475993056440221</v>
      </c>
      <c r="U150" s="107"/>
      <c r="V150" s="105">
        <v>2342086.12</v>
      </c>
      <c r="W150" s="105">
        <v>2119810.0700000003</v>
      </c>
      <c r="X150" s="106">
        <f t="shared" si="40"/>
        <v>222276.04999999981</v>
      </c>
      <c r="Y150" s="300">
        <f t="shared" si="41"/>
        <v>0.10485658745832818</v>
      </c>
      <c r="Z150" s="302"/>
      <c r="AA150" s="108">
        <v>176361.93</v>
      </c>
      <c r="AB150" s="109"/>
      <c r="AC150" s="110">
        <v>177120.98</v>
      </c>
      <c r="AD150" s="110">
        <v>176776.71</v>
      </c>
      <c r="AE150" s="110">
        <v>177766.2</v>
      </c>
      <c r="AF150" s="110">
        <v>181353.81</v>
      </c>
      <c r="AG150" s="110">
        <v>190722.73</v>
      </c>
      <c r="AH150" s="110">
        <v>218407.39</v>
      </c>
      <c r="AI150" s="110">
        <v>191826.19</v>
      </c>
      <c r="AJ150" s="110">
        <v>192074.45</v>
      </c>
      <c r="AK150" s="110">
        <v>190618.48</v>
      </c>
      <c r="AL150" s="110">
        <v>194360.25</v>
      </c>
      <c r="AM150" s="110">
        <v>192783.45</v>
      </c>
      <c r="AN150" s="110">
        <v>191945.13</v>
      </c>
      <c r="AO150" s="109"/>
      <c r="AP150" s="110">
        <v>198121.34</v>
      </c>
      <c r="AQ150" s="110">
        <v>199437.85</v>
      </c>
      <c r="AR150" s="110">
        <v>200435.05000000002</v>
      </c>
      <c r="AS150" s="110">
        <v>-201494.57</v>
      </c>
      <c r="AT150" s="110">
        <v>0</v>
      </c>
      <c r="AU150" s="110">
        <v>0</v>
      </c>
      <c r="AV150" s="110">
        <v>0</v>
      </c>
      <c r="AW150" s="110">
        <v>0</v>
      </c>
      <c r="AX150" s="110">
        <v>0</v>
      </c>
      <c r="AY150" s="110">
        <v>0</v>
      </c>
      <c r="AZ150" s="110">
        <v>0</v>
      </c>
      <c r="BA150" s="110">
        <v>0</v>
      </c>
    </row>
    <row r="151" spans="1:53" s="102" customFormat="1" outlineLevel="2">
      <c r="A151" s="102" t="s">
        <v>514</v>
      </c>
      <c r="B151" s="103" t="s">
        <v>515</v>
      </c>
      <c r="C151" s="104" t="s">
        <v>516</v>
      </c>
      <c r="D151" s="298"/>
      <c r="E151" s="299"/>
      <c r="F151" s="105">
        <v>-119573</v>
      </c>
      <c r="G151" s="105">
        <v>-119572.89</v>
      </c>
      <c r="H151" s="106">
        <f t="shared" si="34"/>
        <v>-0.11000000000058208</v>
      </c>
      <c r="I151" s="300">
        <f t="shared" si="35"/>
        <v>-9.1994096655673435E-7</v>
      </c>
      <c r="J151" s="107"/>
      <c r="K151" s="105">
        <v>-358719</v>
      </c>
      <c r="L151" s="105">
        <v>-358718.66000000003</v>
      </c>
      <c r="M151" s="106">
        <f t="shared" si="36"/>
        <v>-0.33999999996740371</v>
      </c>
      <c r="N151" s="300">
        <f t="shared" si="37"/>
        <v>-9.4781799186973903E-7</v>
      </c>
      <c r="O151" s="301"/>
      <c r="P151" s="107"/>
      <c r="Q151" s="105">
        <v>-358719</v>
      </c>
      <c r="R151" s="105">
        <v>-358718.66000000003</v>
      </c>
      <c r="S151" s="106">
        <f t="shared" si="38"/>
        <v>-0.33999999996740371</v>
      </c>
      <c r="T151" s="300">
        <f t="shared" si="39"/>
        <v>-9.4781799186973903E-7</v>
      </c>
      <c r="U151" s="107"/>
      <c r="V151" s="105">
        <v>-1430890.08</v>
      </c>
      <c r="W151" s="105">
        <v>-1427032.5499999998</v>
      </c>
      <c r="X151" s="106">
        <f t="shared" si="40"/>
        <v>-3857.5300000002608</v>
      </c>
      <c r="Y151" s="300">
        <f t="shared" si="41"/>
        <v>-2.7031829091776929E-3</v>
      </c>
      <c r="Z151" s="302"/>
      <c r="AA151" s="108">
        <v>-119572.89</v>
      </c>
      <c r="AB151" s="109"/>
      <c r="AC151" s="110">
        <v>-119572.89</v>
      </c>
      <c r="AD151" s="110">
        <v>-119572.88</v>
      </c>
      <c r="AE151" s="110">
        <v>-119572.89</v>
      </c>
      <c r="AF151" s="110">
        <v>-119573.1</v>
      </c>
      <c r="AG151" s="110">
        <v>-115587.12</v>
      </c>
      <c r="AH151" s="110">
        <v>-119573.1</v>
      </c>
      <c r="AI151" s="110">
        <v>-119572.89</v>
      </c>
      <c r="AJ151" s="110">
        <v>-119572.89</v>
      </c>
      <c r="AK151" s="110">
        <v>-119573.1</v>
      </c>
      <c r="AL151" s="110">
        <v>-119572.89</v>
      </c>
      <c r="AM151" s="110">
        <v>-119573.1</v>
      </c>
      <c r="AN151" s="110">
        <v>-119572.89</v>
      </c>
      <c r="AO151" s="109"/>
      <c r="AP151" s="110">
        <v>-119573</v>
      </c>
      <c r="AQ151" s="110">
        <v>-119573</v>
      </c>
      <c r="AR151" s="110">
        <v>-119573</v>
      </c>
      <c r="AS151" s="110">
        <v>119573</v>
      </c>
      <c r="AT151" s="110">
        <v>0</v>
      </c>
      <c r="AU151" s="110">
        <v>0</v>
      </c>
      <c r="AV151" s="110">
        <v>0</v>
      </c>
      <c r="AW151" s="110">
        <v>0</v>
      </c>
      <c r="AX151" s="110">
        <v>0</v>
      </c>
      <c r="AY151" s="110">
        <v>0</v>
      </c>
      <c r="AZ151" s="110">
        <v>0</v>
      </c>
      <c r="BA151" s="110">
        <v>0</v>
      </c>
    </row>
    <row r="152" spans="1:53" s="102" customFormat="1" outlineLevel="2">
      <c r="A152" s="102" t="s">
        <v>517</v>
      </c>
      <c r="B152" s="103" t="s">
        <v>518</v>
      </c>
      <c r="C152" s="104" t="s">
        <v>519</v>
      </c>
      <c r="D152" s="298"/>
      <c r="E152" s="299"/>
      <c r="F152" s="105">
        <v>72281.259999999995</v>
      </c>
      <c r="G152" s="105">
        <v>70325.88</v>
      </c>
      <c r="H152" s="106">
        <f t="shared" si="34"/>
        <v>1955.3799999999901</v>
      </c>
      <c r="I152" s="300">
        <f t="shared" si="35"/>
        <v>2.7804557866890397E-2</v>
      </c>
      <c r="J152" s="107"/>
      <c r="K152" s="105">
        <v>215679.69</v>
      </c>
      <c r="L152" s="105">
        <v>210326.74</v>
      </c>
      <c r="M152" s="106">
        <f t="shared" si="36"/>
        <v>5352.9500000000116</v>
      </c>
      <c r="N152" s="300">
        <f t="shared" si="37"/>
        <v>2.5450639324319922E-2</v>
      </c>
      <c r="O152" s="301"/>
      <c r="P152" s="107"/>
      <c r="Q152" s="105">
        <v>215679.69</v>
      </c>
      <c r="R152" s="105">
        <v>210326.74</v>
      </c>
      <c r="S152" s="106">
        <f t="shared" si="38"/>
        <v>5352.9500000000116</v>
      </c>
      <c r="T152" s="300">
        <f t="shared" si="39"/>
        <v>2.5450639324319922E-2</v>
      </c>
      <c r="U152" s="107"/>
      <c r="V152" s="105">
        <v>850109.91999999993</v>
      </c>
      <c r="W152" s="105">
        <v>848601.87</v>
      </c>
      <c r="X152" s="106">
        <f t="shared" si="40"/>
        <v>1508.0499999999302</v>
      </c>
      <c r="Y152" s="300">
        <f t="shared" si="41"/>
        <v>1.777099548460729E-3</v>
      </c>
      <c r="Z152" s="302"/>
      <c r="AA152" s="108">
        <v>69255.839999999997</v>
      </c>
      <c r="AB152" s="109"/>
      <c r="AC152" s="110">
        <v>70068.990000000005</v>
      </c>
      <c r="AD152" s="110">
        <v>69931.87</v>
      </c>
      <c r="AE152" s="110">
        <v>70325.88</v>
      </c>
      <c r="AF152" s="110">
        <v>72758.06</v>
      </c>
      <c r="AG152" s="110">
        <v>73817.650000000009</v>
      </c>
      <c r="AH152" s="110">
        <v>69526.540000000008</v>
      </c>
      <c r="AI152" s="110">
        <v>70081.009999999995</v>
      </c>
      <c r="AJ152" s="110">
        <v>69107.37</v>
      </c>
      <c r="AK152" s="110">
        <v>68905.180000000008</v>
      </c>
      <c r="AL152" s="110">
        <v>70095.81</v>
      </c>
      <c r="AM152" s="110">
        <v>70921.990000000005</v>
      </c>
      <c r="AN152" s="110">
        <v>69216.62</v>
      </c>
      <c r="AO152" s="109"/>
      <c r="AP152" s="110">
        <v>71444.2</v>
      </c>
      <c r="AQ152" s="110">
        <v>71954.23</v>
      </c>
      <c r="AR152" s="110">
        <v>72281.259999999995</v>
      </c>
      <c r="AS152" s="110">
        <v>-72664.73</v>
      </c>
      <c r="AT152" s="110">
        <v>0</v>
      </c>
      <c r="AU152" s="110">
        <v>0</v>
      </c>
      <c r="AV152" s="110">
        <v>0</v>
      </c>
      <c r="AW152" s="110">
        <v>0</v>
      </c>
      <c r="AX152" s="110">
        <v>0</v>
      </c>
      <c r="AY152" s="110">
        <v>0</v>
      </c>
      <c r="AZ152" s="110">
        <v>0</v>
      </c>
      <c r="BA152" s="110">
        <v>0</v>
      </c>
    </row>
    <row r="153" spans="1:53" s="102" customFormat="1" outlineLevel="2">
      <c r="A153" s="102" t="s">
        <v>520</v>
      </c>
      <c r="B153" s="103" t="s">
        <v>521</v>
      </c>
      <c r="C153" s="104" t="s">
        <v>522</v>
      </c>
      <c r="D153" s="298"/>
      <c r="E153" s="299"/>
      <c r="F153" s="105">
        <v>38189.78</v>
      </c>
      <c r="G153" s="105">
        <v>80035.360000000001</v>
      </c>
      <c r="H153" s="106">
        <f t="shared" si="34"/>
        <v>-41845.58</v>
      </c>
      <c r="I153" s="300">
        <f t="shared" si="35"/>
        <v>-0.52283865531435103</v>
      </c>
      <c r="J153" s="107"/>
      <c r="K153" s="105">
        <v>160403.43</v>
      </c>
      <c r="L153" s="105">
        <v>138658.72</v>
      </c>
      <c r="M153" s="106">
        <f t="shared" si="36"/>
        <v>21744.709999999992</v>
      </c>
      <c r="N153" s="300">
        <f t="shared" si="37"/>
        <v>0.15682179959543829</v>
      </c>
      <c r="O153" s="301"/>
      <c r="P153" s="107"/>
      <c r="Q153" s="105">
        <v>160403.43</v>
      </c>
      <c r="R153" s="105">
        <v>138658.72</v>
      </c>
      <c r="S153" s="106">
        <f t="shared" si="38"/>
        <v>21744.709999999992</v>
      </c>
      <c r="T153" s="300">
        <f t="shared" si="39"/>
        <v>0.15682179959543829</v>
      </c>
      <c r="U153" s="107"/>
      <c r="V153" s="105">
        <v>1174171.46</v>
      </c>
      <c r="W153" s="105">
        <v>560073.61</v>
      </c>
      <c r="X153" s="106">
        <f t="shared" si="40"/>
        <v>614097.85</v>
      </c>
      <c r="Y153" s="300">
        <f t="shared" si="41"/>
        <v>1.0964591779284154</v>
      </c>
      <c r="Z153" s="302"/>
      <c r="AA153" s="108">
        <v>75445.41</v>
      </c>
      <c r="AB153" s="109"/>
      <c r="AC153" s="110">
        <v>4746.83</v>
      </c>
      <c r="AD153" s="110">
        <v>53876.53</v>
      </c>
      <c r="AE153" s="110">
        <v>80035.360000000001</v>
      </c>
      <c r="AF153" s="110">
        <v>46970.94</v>
      </c>
      <c r="AG153" s="110">
        <v>19544.010000000002</v>
      </c>
      <c r="AH153" s="110">
        <v>77327.27</v>
      </c>
      <c r="AI153" s="110">
        <v>13004.53</v>
      </c>
      <c r="AJ153" s="110">
        <v>17723.52</v>
      </c>
      <c r="AK153" s="110">
        <v>135304.73000000001</v>
      </c>
      <c r="AL153" s="110">
        <v>142032.53</v>
      </c>
      <c r="AM153" s="110">
        <v>96975.13</v>
      </c>
      <c r="AN153" s="110">
        <v>464885.37</v>
      </c>
      <c r="AO153" s="109"/>
      <c r="AP153" s="110">
        <v>85029.51</v>
      </c>
      <c r="AQ153" s="110">
        <v>37184.14</v>
      </c>
      <c r="AR153" s="110">
        <v>38189.78</v>
      </c>
      <c r="AS153" s="110">
        <v>-36744.33</v>
      </c>
      <c r="AT153" s="110">
        <v>0</v>
      </c>
      <c r="AU153" s="110">
        <v>0</v>
      </c>
      <c r="AV153" s="110">
        <v>0</v>
      </c>
      <c r="AW153" s="110">
        <v>0</v>
      </c>
      <c r="AX153" s="110">
        <v>0</v>
      </c>
      <c r="AY153" s="110">
        <v>0</v>
      </c>
      <c r="AZ153" s="110">
        <v>0</v>
      </c>
      <c r="BA153" s="110">
        <v>0</v>
      </c>
    </row>
    <row r="154" spans="1:53" s="102" customFormat="1" outlineLevel="2">
      <c r="A154" s="102" t="s">
        <v>523</v>
      </c>
      <c r="B154" s="103" t="s">
        <v>524</v>
      </c>
      <c r="C154" s="104" t="s">
        <v>525</v>
      </c>
      <c r="D154" s="298"/>
      <c r="E154" s="299"/>
      <c r="F154" s="105">
        <v>-1618.8600000000001</v>
      </c>
      <c r="G154" s="105">
        <v>-12985.630000000001</v>
      </c>
      <c r="H154" s="106">
        <f t="shared" si="34"/>
        <v>11366.77</v>
      </c>
      <c r="I154" s="300">
        <f t="shared" si="35"/>
        <v>0.8753345043713705</v>
      </c>
      <c r="J154" s="107"/>
      <c r="K154" s="105">
        <v>-8836.24</v>
      </c>
      <c r="L154" s="105">
        <v>-32863.24</v>
      </c>
      <c r="M154" s="106">
        <f t="shared" si="36"/>
        <v>24027</v>
      </c>
      <c r="N154" s="300">
        <f t="shared" si="37"/>
        <v>0.73112085113944947</v>
      </c>
      <c r="O154" s="301"/>
      <c r="P154" s="107"/>
      <c r="Q154" s="105">
        <v>-8836.24</v>
      </c>
      <c r="R154" s="105">
        <v>-32863.24</v>
      </c>
      <c r="S154" s="106">
        <f t="shared" si="38"/>
        <v>24027</v>
      </c>
      <c r="T154" s="300">
        <f t="shared" si="39"/>
        <v>0.73112085113944947</v>
      </c>
      <c r="U154" s="107"/>
      <c r="V154" s="105">
        <v>-286835.15999999997</v>
      </c>
      <c r="W154" s="105">
        <v>-149362.99</v>
      </c>
      <c r="X154" s="106">
        <f t="shared" si="40"/>
        <v>-137472.16999999998</v>
      </c>
      <c r="Y154" s="300">
        <f t="shared" si="41"/>
        <v>-0.92038978330575727</v>
      </c>
      <c r="Z154" s="302"/>
      <c r="AA154" s="108">
        <v>-42417.3</v>
      </c>
      <c r="AB154" s="109"/>
      <c r="AC154" s="110">
        <v>-3877.98</v>
      </c>
      <c r="AD154" s="110">
        <v>-15999.630000000001</v>
      </c>
      <c r="AE154" s="110">
        <v>-12985.630000000001</v>
      </c>
      <c r="AF154" s="110">
        <v>-12534.83</v>
      </c>
      <c r="AG154" s="110">
        <v>-12146.39</v>
      </c>
      <c r="AH154" s="110">
        <v>-18251.900000000001</v>
      </c>
      <c r="AI154" s="110">
        <v>-8128.43</v>
      </c>
      <c r="AJ154" s="110">
        <v>-12979.54</v>
      </c>
      <c r="AK154" s="110">
        <v>-45541.56</v>
      </c>
      <c r="AL154" s="110">
        <v>-1983.93</v>
      </c>
      <c r="AM154" s="110">
        <v>-2103.13</v>
      </c>
      <c r="AN154" s="110">
        <v>-164329.21</v>
      </c>
      <c r="AO154" s="109"/>
      <c r="AP154" s="110">
        <v>-6244.3600000000006</v>
      </c>
      <c r="AQ154" s="110">
        <v>-973.02</v>
      </c>
      <c r="AR154" s="110">
        <v>-1618.8600000000001</v>
      </c>
      <c r="AS154" s="110">
        <v>1354.58</v>
      </c>
      <c r="AT154" s="110">
        <v>0</v>
      </c>
      <c r="AU154" s="110">
        <v>0</v>
      </c>
      <c r="AV154" s="110">
        <v>0</v>
      </c>
      <c r="AW154" s="110">
        <v>0</v>
      </c>
      <c r="AX154" s="110">
        <v>0</v>
      </c>
      <c r="AY154" s="110">
        <v>0</v>
      </c>
      <c r="AZ154" s="110">
        <v>0</v>
      </c>
      <c r="BA154" s="110">
        <v>0</v>
      </c>
    </row>
    <row r="155" spans="1:53" s="102" customFormat="1" outlineLevel="2">
      <c r="A155" s="102" t="s">
        <v>526</v>
      </c>
      <c r="B155" s="103" t="s">
        <v>527</v>
      </c>
      <c r="C155" s="104" t="s">
        <v>528</v>
      </c>
      <c r="D155" s="298"/>
      <c r="E155" s="299"/>
      <c r="F155" s="105">
        <v>312578.2</v>
      </c>
      <c r="G155" s="105">
        <v>455830.66000000003</v>
      </c>
      <c r="H155" s="106">
        <f t="shared" si="34"/>
        <v>-143252.46000000002</v>
      </c>
      <c r="I155" s="300">
        <f t="shared" si="35"/>
        <v>-0.31426683760148999</v>
      </c>
      <c r="J155" s="107"/>
      <c r="K155" s="105">
        <v>1672145.33</v>
      </c>
      <c r="L155" s="105">
        <v>6449813.7300000004</v>
      </c>
      <c r="M155" s="106">
        <f t="shared" si="36"/>
        <v>-4777668.4000000004</v>
      </c>
      <c r="N155" s="300">
        <f t="shared" si="37"/>
        <v>-0.74074517497732451</v>
      </c>
      <c r="O155" s="301"/>
      <c r="P155" s="107"/>
      <c r="Q155" s="105">
        <v>1672145.33</v>
      </c>
      <c r="R155" s="105">
        <v>6449813.7300000004</v>
      </c>
      <c r="S155" s="106">
        <f t="shared" si="38"/>
        <v>-4777668.4000000004</v>
      </c>
      <c r="T155" s="300">
        <f t="shared" si="39"/>
        <v>-0.74074517497732451</v>
      </c>
      <c r="U155" s="107"/>
      <c r="V155" s="105">
        <v>25184299.520000003</v>
      </c>
      <c r="W155" s="105">
        <v>17574369.84</v>
      </c>
      <c r="X155" s="106">
        <f t="shared" si="40"/>
        <v>7609929.6800000034</v>
      </c>
      <c r="Y155" s="300">
        <f t="shared" si="41"/>
        <v>0.43301294722269279</v>
      </c>
      <c r="Z155" s="302"/>
      <c r="AA155" s="108">
        <v>918247.96</v>
      </c>
      <c r="AB155" s="109"/>
      <c r="AC155" s="110">
        <v>5037651.07</v>
      </c>
      <c r="AD155" s="110">
        <v>956332</v>
      </c>
      <c r="AE155" s="110">
        <v>455830.66000000003</v>
      </c>
      <c r="AF155" s="110">
        <v>2500038.13</v>
      </c>
      <c r="AG155" s="110">
        <v>3028099.42</v>
      </c>
      <c r="AH155" s="110">
        <v>2344555.0499999998</v>
      </c>
      <c r="AI155" s="110">
        <v>6882080.2800000003</v>
      </c>
      <c r="AJ155" s="110">
        <v>5020593.91</v>
      </c>
      <c r="AK155" s="110">
        <v>568463.55000000005</v>
      </c>
      <c r="AL155" s="110">
        <v>482226.76</v>
      </c>
      <c r="AM155" s="110">
        <v>838114.63</v>
      </c>
      <c r="AN155" s="110">
        <v>1847982.46</v>
      </c>
      <c r="AO155" s="109"/>
      <c r="AP155" s="110">
        <v>1268426.33</v>
      </c>
      <c r="AQ155" s="110">
        <v>91140.800000000003</v>
      </c>
      <c r="AR155" s="110">
        <v>312578.2</v>
      </c>
      <c r="AS155" s="110">
        <v>-646978.55000000005</v>
      </c>
      <c r="AT155" s="110">
        <v>0</v>
      </c>
      <c r="AU155" s="110">
        <v>0</v>
      </c>
      <c r="AV155" s="110">
        <v>0</v>
      </c>
      <c r="AW155" s="110">
        <v>0</v>
      </c>
      <c r="AX155" s="110">
        <v>0</v>
      </c>
      <c r="AY155" s="110">
        <v>0</v>
      </c>
      <c r="AZ155" s="110">
        <v>0</v>
      </c>
      <c r="BA155" s="110">
        <v>0</v>
      </c>
    </row>
    <row r="156" spans="1:53" s="102" customFormat="1" outlineLevel="2">
      <c r="A156" s="102" t="s">
        <v>529</v>
      </c>
      <c r="B156" s="103" t="s">
        <v>530</v>
      </c>
      <c r="C156" s="104" t="s">
        <v>531</v>
      </c>
      <c r="D156" s="298"/>
      <c r="E156" s="299"/>
      <c r="F156" s="105">
        <v>-7797.42</v>
      </c>
      <c r="G156" s="105">
        <v>45747.340000000004</v>
      </c>
      <c r="H156" s="106">
        <f t="shared" si="34"/>
        <v>-53544.76</v>
      </c>
      <c r="I156" s="300">
        <f t="shared" si="35"/>
        <v>-1.1704453198808935</v>
      </c>
      <c r="J156" s="107"/>
      <c r="K156" s="105">
        <v>28010.11</v>
      </c>
      <c r="L156" s="105">
        <v>164592.95000000001</v>
      </c>
      <c r="M156" s="106">
        <f t="shared" si="36"/>
        <v>-136582.84000000003</v>
      </c>
      <c r="N156" s="300">
        <f t="shared" si="37"/>
        <v>-0.82982193344247135</v>
      </c>
      <c r="O156" s="301"/>
      <c r="P156" s="107"/>
      <c r="Q156" s="105">
        <v>28010.11</v>
      </c>
      <c r="R156" s="105">
        <v>164592.95000000001</v>
      </c>
      <c r="S156" s="106">
        <f t="shared" si="38"/>
        <v>-136582.84000000003</v>
      </c>
      <c r="T156" s="300">
        <f t="shared" si="39"/>
        <v>-0.82982193344247135</v>
      </c>
      <c r="U156" s="107"/>
      <c r="V156" s="105">
        <v>714191.26</v>
      </c>
      <c r="W156" s="105">
        <v>579403.67000000004</v>
      </c>
      <c r="X156" s="106">
        <f t="shared" si="40"/>
        <v>134787.58999999997</v>
      </c>
      <c r="Y156" s="300">
        <f t="shared" si="41"/>
        <v>0.23263157791182087</v>
      </c>
      <c r="Z156" s="302"/>
      <c r="AA156" s="108">
        <v>53514.51</v>
      </c>
      <c r="AB156" s="109"/>
      <c r="AC156" s="110">
        <v>64020.43</v>
      </c>
      <c r="AD156" s="110">
        <v>54825.18</v>
      </c>
      <c r="AE156" s="110">
        <v>45747.340000000004</v>
      </c>
      <c r="AF156" s="110">
        <v>48200.75</v>
      </c>
      <c r="AG156" s="110">
        <v>42696.480000000003</v>
      </c>
      <c r="AH156" s="110">
        <v>244718.24</v>
      </c>
      <c r="AI156" s="110">
        <v>38455.08</v>
      </c>
      <c r="AJ156" s="110">
        <v>38300.71</v>
      </c>
      <c r="AK156" s="110">
        <v>21063.96</v>
      </c>
      <c r="AL156" s="110">
        <v>35553.480000000003</v>
      </c>
      <c r="AM156" s="110">
        <v>72379.570000000007</v>
      </c>
      <c r="AN156" s="110">
        <v>144812.88</v>
      </c>
      <c r="AO156" s="109"/>
      <c r="AP156" s="110">
        <v>12779.95</v>
      </c>
      <c r="AQ156" s="110">
        <v>23027.58</v>
      </c>
      <c r="AR156" s="110">
        <v>-7797.42</v>
      </c>
      <c r="AS156" s="110">
        <v>-9485.32</v>
      </c>
      <c r="AT156" s="110">
        <v>0</v>
      </c>
      <c r="AU156" s="110">
        <v>0</v>
      </c>
      <c r="AV156" s="110">
        <v>0</v>
      </c>
      <c r="AW156" s="110">
        <v>0</v>
      </c>
      <c r="AX156" s="110">
        <v>0</v>
      </c>
      <c r="AY156" s="110">
        <v>0</v>
      </c>
      <c r="AZ156" s="110">
        <v>0</v>
      </c>
      <c r="BA156" s="110">
        <v>0</v>
      </c>
    </row>
    <row r="157" spans="1:53" s="102" customFormat="1" outlineLevel="2">
      <c r="A157" s="102" t="s">
        <v>532</v>
      </c>
      <c r="B157" s="103" t="s">
        <v>533</v>
      </c>
      <c r="C157" s="104" t="s">
        <v>534</v>
      </c>
      <c r="D157" s="298"/>
      <c r="E157" s="299"/>
      <c r="F157" s="105">
        <v>19875.689999999999</v>
      </c>
      <c r="G157" s="105">
        <v>-1361.79</v>
      </c>
      <c r="H157" s="106">
        <f t="shared" si="34"/>
        <v>21237.48</v>
      </c>
      <c r="I157" s="300" t="str">
        <f t="shared" si="35"/>
        <v>N.M.</v>
      </c>
      <c r="J157" s="107"/>
      <c r="K157" s="105">
        <v>19566.95</v>
      </c>
      <c r="L157" s="105">
        <v>-7429.46</v>
      </c>
      <c r="M157" s="106">
        <f t="shared" si="36"/>
        <v>26996.41</v>
      </c>
      <c r="N157" s="300">
        <f t="shared" si="37"/>
        <v>3.6336974692642534</v>
      </c>
      <c r="O157" s="301"/>
      <c r="P157" s="107"/>
      <c r="Q157" s="105">
        <v>19566.95</v>
      </c>
      <c r="R157" s="105">
        <v>-7429.46</v>
      </c>
      <c r="S157" s="106">
        <f t="shared" si="38"/>
        <v>26996.41</v>
      </c>
      <c r="T157" s="300">
        <f t="shared" si="39"/>
        <v>3.6336974692642534</v>
      </c>
      <c r="U157" s="107"/>
      <c r="V157" s="105">
        <v>-60312.490000000005</v>
      </c>
      <c r="W157" s="105">
        <v>-39645.94</v>
      </c>
      <c r="X157" s="106">
        <f t="shared" si="40"/>
        <v>-20666.550000000003</v>
      </c>
      <c r="Y157" s="300">
        <f t="shared" si="41"/>
        <v>-0.52127784080791129</v>
      </c>
      <c r="Z157" s="302"/>
      <c r="AA157" s="108">
        <v>-1482.22</v>
      </c>
      <c r="AB157" s="109"/>
      <c r="AC157" s="110">
        <v>-1523.95</v>
      </c>
      <c r="AD157" s="110">
        <v>-4543.72</v>
      </c>
      <c r="AE157" s="110">
        <v>-1361.79</v>
      </c>
      <c r="AF157" s="110">
        <v>-3399.66</v>
      </c>
      <c r="AG157" s="110">
        <v>-10303.130000000001</v>
      </c>
      <c r="AH157" s="110">
        <v>-40537.25</v>
      </c>
      <c r="AI157" s="110">
        <v>-10722.15</v>
      </c>
      <c r="AJ157" s="110">
        <v>-3922.51</v>
      </c>
      <c r="AK157" s="110">
        <v>-1435.23</v>
      </c>
      <c r="AL157" s="110">
        <v>0</v>
      </c>
      <c r="AM157" s="110">
        <v>0</v>
      </c>
      <c r="AN157" s="110">
        <v>-9559.51</v>
      </c>
      <c r="AO157" s="109"/>
      <c r="AP157" s="110">
        <v>-10.19</v>
      </c>
      <c r="AQ157" s="110">
        <v>-298.55</v>
      </c>
      <c r="AR157" s="110">
        <v>19875.689999999999</v>
      </c>
      <c r="AS157" s="110">
        <v>-95.06</v>
      </c>
      <c r="AT157" s="110">
        <v>0</v>
      </c>
      <c r="AU157" s="110">
        <v>0</v>
      </c>
      <c r="AV157" s="110">
        <v>0</v>
      </c>
      <c r="AW157" s="110">
        <v>0</v>
      </c>
      <c r="AX157" s="110">
        <v>0</v>
      </c>
      <c r="AY157" s="110">
        <v>0</v>
      </c>
      <c r="AZ157" s="110">
        <v>0</v>
      </c>
      <c r="BA157" s="110">
        <v>0</v>
      </c>
    </row>
    <row r="158" spans="1:53" s="102" customFormat="1" outlineLevel="2">
      <c r="A158" s="102" t="s">
        <v>535</v>
      </c>
      <c r="B158" s="103" t="s">
        <v>536</v>
      </c>
      <c r="C158" s="104" t="s">
        <v>537</v>
      </c>
      <c r="D158" s="298"/>
      <c r="E158" s="299"/>
      <c r="F158" s="105">
        <v>0</v>
      </c>
      <c r="G158" s="105">
        <v>510.6</v>
      </c>
      <c r="H158" s="106">
        <f t="shared" si="34"/>
        <v>-510.6</v>
      </c>
      <c r="I158" s="300" t="str">
        <f t="shared" si="35"/>
        <v>N.M.</v>
      </c>
      <c r="J158" s="107"/>
      <c r="K158" s="105">
        <v>0</v>
      </c>
      <c r="L158" s="105">
        <v>1353.3</v>
      </c>
      <c r="M158" s="106">
        <f t="shared" si="36"/>
        <v>-1353.3</v>
      </c>
      <c r="N158" s="300" t="str">
        <f t="shared" si="37"/>
        <v>N.M.</v>
      </c>
      <c r="O158" s="301"/>
      <c r="P158" s="107"/>
      <c r="Q158" s="105">
        <v>0</v>
      </c>
      <c r="R158" s="105">
        <v>1353.3</v>
      </c>
      <c r="S158" s="106">
        <f t="shared" si="38"/>
        <v>-1353.3</v>
      </c>
      <c r="T158" s="300" t="str">
        <f t="shared" si="39"/>
        <v>N.M.</v>
      </c>
      <c r="U158" s="107"/>
      <c r="V158" s="105">
        <v>43120.46</v>
      </c>
      <c r="W158" s="105">
        <v>47513.950000000004</v>
      </c>
      <c r="X158" s="106">
        <f t="shared" si="40"/>
        <v>-4393.4900000000052</v>
      </c>
      <c r="Y158" s="300">
        <f t="shared" si="41"/>
        <v>-9.2467370109199615E-2</v>
      </c>
      <c r="Z158" s="302"/>
      <c r="AA158" s="108">
        <v>493.7</v>
      </c>
      <c r="AB158" s="109"/>
      <c r="AC158" s="110">
        <v>437.69</v>
      </c>
      <c r="AD158" s="110">
        <v>405.01</v>
      </c>
      <c r="AE158" s="110">
        <v>510.6</v>
      </c>
      <c r="AF158" s="110">
        <v>258.48</v>
      </c>
      <c r="AG158" s="110">
        <v>451.51</v>
      </c>
      <c r="AH158" s="110">
        <v>15502.87</v>
      </c>
      <c r="AI158" s="110">
        <v>12950.67</v>
      </c>
      <c r="AJ158" s="110">
        <v>11552.04</v>
      </c>
      <c r="AK158" s="110">
        <v>2424.25</v>
      </c>
      <c r="AL158" s="110">
        <v>-19.05</v>
      </c>
      <c r="AM158" s="110">
        <v>-0.31</v>
      </c>
      <c r="AN158" s="110">
        <v>0</v>
      </c>
      <c r="AO158" s="109"/>
      <c r="AP158" s="110">
        <v>0</v>
      </c>
      <c r="AQ158" s="110">
        <v>0</v>
      </c>
      <c r="AR158" s="110">
        <v>0</v>
      </c>
      <c r="AS158" s="110">
        <v>0</v>
      </c>
      <c r="AT158" s="110">
        <v>0</v>
      </c>
      <c r="AU158" s="110">
        <v>0</v>
      </c>
      <c r="AV158" s="110">
        <v>0</v>
      </c>
      <c r="AW158" s="110">
        <v>0</v>
      </c>
      <c r="AX158" s="110">
        <v>0</v>
      </c>
      <c r="AY158" s="110">
        <v>0</v>
      </c>
      <c r="AZ158" s="110">
        <v>0</v>
      </c>
      <c r="BA158" s="110">
        <v>0</v>
      </c>
    </row>
    <row r="159" spans="1:53" s="102" customFormat="1" outlineLevel="2">
      <c r="A159" s="102" t="s">
        <v>538</v>
      </c>
      <c r="B159" s="103" t="s">
        <v>539</v>
      </c>
      <c r="C159" s="104" t="s">
        <v>540</v>
      </c>
      <c r="D159" s="298"/>
      <c r="E159" s="299"/>
      <c r="F159" s="105">
        <v>0</v>
      </c>
      <c r="G159" s="105">
        <v>0</v>
      </c>
      <c r="H159" s="106">
        <f t="shared" si="34"/>
        <v>0</v>
      </c>
      <c r="I159" s="300">
        <f t="shared" si="35"/>
        <v>0</v>
      </c>
      <c r="J159" s="107"/>
      <c r="K159" s="105">
        <v>0</v>
      </c>
      <c r="L159" s="105">
        <v>0</v>
      </c>
      <c r="M159" s="106">
        <f t="shared" si="36"/>
        <v>0</v>
      </c>
      <c r="N159" s="300">
        <f t="shared" si="37"/>
        <v>0</v>
      </c>
      <c r="O159" s="301"/>
      <c r="P159" s="107"/>
      <c r="Q159" s="105">
        <v>0</v>
      </c>
      <c r="R159" s="105">
        <v>0</v>
      </c>
      <c r="S159" s="106">
        <f t="shared" si="38"/>
        <v>0</v>
      </c>
      <c r="T159" s="300">
        <f t="shared" si="39"/>
        <v>0</v>
      </c>
      <c r="U159" s="107"/>
      <c r="V159" s="105">
        <v>0</v>
      </c>
      <c r="W159" s="105">
        <v>0</v>
      </c>
      <c r="X159" s="106">
        <f t="shared" si="40"/>
        <v>0</v>
      </c>
      <c r="Y159" s="300">
        <f t="shared" si="41"/>
        <v>0</v>
      </c>
      <c r="Z159" s="302"/>
      <c r="AA159" s="108">
        <v>0</v>
      </c>
      <c r="AB159" s="109"/>
      <c r="AC159" s="110">
        <v>0</v>
      </c>
      <c r="AD159" s="110">
        <v>0</v>
      </c>
      <c r="AE159" s="110">
        <v>0</v>
      </c>
      <c r="AF159" s="110">
        <v>0</v>
      </c>
      <c r="AG159" s="110">
        <v>0</v>
      </c>
      <c r="AH159" s="110">
        <v>0</v>
      </c>
      <c r="AI159" s="110">
        <v>0</v>
      </c>
      <c r="AJ159" s="110">
        <v>0</v>
      </c>
      <c r="AK159" s="110">
        <v>0</v>
      </c>
      <c r="AL159" s="110">
        <v>0</v>
      </c>
      <c r="AM159" s="110">
        <v>0</v>
      </c>
      <c r="AN159" s="110">
        <v>0</v>
      </c>
      <c r="AO159" s="109"/>
      <c r="AP159" s="110">
        <v>0</v>
      </c>
      <c r="AQ159" s="110">
        <v>0</v>
      </c>
      <c r="AR159" s="110">
        <v>0</v>
      </c>
      <c r="AS159" s="110">
        <v>0</v>
      </c>
      <c r="AT159" s="110">
        <v>0</v>
      </c>
      <c r="AU159" s="110">
        <v>0</v>
      </c>
      <c r="AV159" s="110">
        <v>0</v>
      </c>
      <c r="AW159" s="110">
        <v>0</v>
      </c>
      <c r="AX159" s="110">
        <v>0</v>
      </c>
      <c r="AY159" s="110">
        <v>0</v>
      </c>
      <c r="AZ159" s="110">
        <v>0</v>
      </c>
      <c r="BA159" s="110">
        <v>0</v>
      </c>
    </row>
    <row r="160" spans="1:53" s="102" customFormat="1" outlineLevel="2">
      <c r="A160" s="102" t="s">
        <v>541</v>
      </c>
      <c r="B160" s="103" t="s">
        <v>542</v>
      </c>
      <c r="C160" s="104" t="s">
        <v>543</v>
      </c>
      <c r="D160" s="298"/>
      <c r="E160" s="299"/>
      <c r="F160" s="105">
        <v>30189.100000000002</v>
      </c>
      <c r="G160" s="105">
        <v>25918.58</v>
      </c>
      <c r="H160" s="106">
        <f t="shared" si="34"/>
        <v>4270.5200000000004</v>
      </c>
      <c r="I160" s="300">
        <f t="shared" si="35"/>
        <v>0.16476674262247393</v>
      </c>
      <c r="J160" s="107"/>
      <c r="K160" s="105">
        <v>126256.53</v>
      </c>
      <c r="L160" s="105">
        <v>117735.13</v>
      </c>
      <c r="M160" s="106">
        <f t="shared" si="36"/>
        <v>8521.3999999999942</v>
      </c>
      <c r="N160" s="300">
        <f t="shared" si="37"/>
        <v>7.2377717678657111E-2</v>
      </c>
      <c r="O160" s="301"/>
      <c r="P160" s="107"/>
      <c r="Q160" s="105">
        <v>126256.53</v>
      </c>
      <c r="R160" s="105">
        <v>117735.13</v>
      </c>
      <c r="S160" s="106">
        <f t="shared" si="38"/>
        <v>8521.3999999999942</v>
      </c>
      <c r="T160" s="300">
        <f t="shared" si="39"/>
        <v>7.2377717678657111E-2</v>
      </c>
      <c r="U160" s="107"/>
      <c r="V160" s="105">
        <v>1229635.79</v>
      </c>
      <c r="W160" s="105">
        <v>659259.54</v>
      </c>
      <c r="X160" s="106">
        <f t="shared" si="40"/>
        <v>570376.25</v>
      </c>
      <c r="Y160" s="300">
        <f t="shared" si="41"/>
        <v>0.86517708943582361</v>
      </c>
      <c r="Z160" s="302"/>
      <c r="AA160" s="108">
        <v>59107.05</v>
      </c>
      <c r="AB160" s="109"/>
      <c r="AC160" s="110">
        <v>39930.74</v>
      </c>
      <c r="AD160" s="110">
        <v>51885.81</v>
      </c>
      <c r="AE160" s="110">
        <v>25918.58</v>
      </c>
      <c r="AF160" s="110">
        <v>34854.9</v>
      </c>
      <c r="AG160" s="110">
        <v>40094.29</v>
      </c>
      <c r="AH160" s="110">
        <v>75819.34</v>
      </c>
      <c r="AI160" s="110">
        <v>133934.92000000001</v>
      </c>
      <c r="AJ160" s="110">
        <v>114319.27</v>
      </c>
      <c r="AK160" s="110">
        <v>101435.68000000001</v>
      </c>
      <c r="AL160" s="110">
        <v>48612.04</v>
      </c>
      <c r="AM160" s="110">
        <v>145461.11000000002</v>
      </c>
      <c r="AN160" s="110">
        <v>408847.71</v>
      </c>
      <c r="AO160" s="109"/>
      <c r="AP160" s="110">
        <v>73151.63</v>
      </c>
      <c r="AQ160" s="110">
        <v>22915.8</v>
      </c>
      <c r="AR160" s="110">
        <v>30189.100000000002</v>
      </c>
      <c r="AS160" s="110">
        <v>-24191.94</v>
      </c>
      <c r="AT160" s="110">
        <v>0</v>
      </c>
      <c r="AU160" s="110">
        <v>0</v>
      </c>
      <c r="AV160" s="110">
        <v>0</v>
      </c>
      <c r="AW160" s="110">
        <v>0</v>
      </c>
      <c r="AX160" s="110">
        <v>0</v>
      </c>
      <c r="AY160" s="110">
        <v>0</v>
      </c>
      <c r="AZ160" s="110">
        <v>0</v>
      </c>
      <c r="BA160" s="110">
        <v>0</v>
      </c>
    </row>
    <row r="161" spans="1:53" s="102" customFormat="1" outlineLevel="2">
      <c r="A161" s="102" t="s">
        <v>544</v>
      </c>
      <c r="B161" s="103" t="s">
        <v>545</v>
      </c>
      <c r="C161" s="104" t="s">
        <v>546</v>
      </c>
      <c r="D161" s="298"/>
      <c r="E161" s="299"/>
      <c r="F161" s="105">
        <v>522281.51</v>
      </c>
      <c r="G161" s="105">
        <v>1114757.76</v>
      </c>
      <c r="H161" s="106">
        <f t="shared" si="34"/>
        <v>-592476.25</v>
      </c>
      <c r="I161" s="300">
        <f t="shared" si="35"/>
        <v>-0.53148430202450436</v>
      </c>
      <c r="J161" s="107"/>
      <c r="K161" s="105">
        <v>1350425.06</v>
      </c>
      <c r="L161" s="105">
        <v>3175923.09</v>
      </c>
      <c r="M161" s="106">
        <f t="shared" si="36"/>
        <v>-1825498.0299999998</v>
      </c>
      <c r="N161" s="300">
        <f t="shared" si="37"/>
        <v>-0.5747928958821229</v>
      </c>
      <c r="O161" s="301"/>
      <c r="P161" s="107"/>
      <c r="Q161" s="105">
        <v>1350425.06</v>
      </c>
      <c r="R161" s="105">
        <v>3175923.09</v>
      </c>
      <c r="S161" s="106">
        <f t="shared" si="38"/>
        <v>-1825498.0299999998</v>
      </c>
      <c r="T161" s="300">
        <f t="shared" si="39"/>
        <v>-0.5747928958821229</v>
      </c>
      <c r="U161" s="107"/>
      <c r="V161" s="105">
        <v>12030756.700000001</v>
      </c>
      <c r="W161" s="105">
        <v>10986938.6</v>
      </c>
      <c r="X161" s="106">
        <f t="shared" si="40"/>
        <v>1043818.1000000015</v>
      </c>
      <c r="Y161" s="300">
        <f t="shared" si="41"/>
        <v>9.5005363914566834E-2</v>
      </c>
      <c r="Z161" s="302"/>
      <c r="AA161" s="108">
        <v>417544.99</v>
      </c>
      <c r="AB161" s="109"/>
      <c r="AC161" s="110">
        <v>1119956.01</v>
      </c>
      <c r="AD161" s="110">
        <v>941209.32000000007</v>
      </c>
      <c r="AE161" s="110">
        <v>1114757.76</v>
      </c>
      <c r="AF161" s="110">
        <v>636322.31000000006</v>
      </c>
      <c r="AG161" s="110">
        <v>251306.89</v>
      </c>
      <c r="AH161" s="110">
        <v>2159600.84</v>
      </c>
      <c r="AI161" s="110">
        <v>1107312.1299999999</v>
      </c>
      <c r="AJ161" s="110">
        <v>116111.92</v>
      </c>
      <c r="AK161" s="110">
        <v>797945.62</v>
      </c>
      <c r="AL161" s="110">
        <v>1478442.49</v>
      </c>
      <c r="AM161" s="110">
        <v>980278.67</v>
      </c>
      <c r="AN161" s="110">
        <v>3153010.77</v>
      </c>
      <c r="AO161" s="109"/>
      <c r="AP161" s="110">
        <v>720265.96</v>
      </c>
      <c r="AQ161" s="110">
        <v>107877.59</v>
      </c>
      <c r="AR161" s="110">
        <v>522281.51</v>
      </c>
      <c r="AS161" s="110">
        <v>-513476.19</v>
      </c>
      <c r="AT161" s="110">
        <v>0</v>
      </c>
      <c r="AU161" s="110">
        <v>0</v>
      </c>
      <c r="AV161" s="110">
        <v>0</v>
      </c>
      <c r="AW161" s="110">
        <v>0</v>
      </c>
      <c r="AX161" s="110">
        <v>0</v>
      </c>
      <c r="AY161" s="110">
        <v>0</v>
      </c>
      <c r="AZ161" s="110">
        <v>0</v>
      </c>
      <c r="BA161" s="110">
        <v>0</v>
      </c>
    </row>
    <row r="162" spans="1:53" s="102" customFormat="1" outlineLevel="2">
      <c r="A162" s="102" t="s">
        <v>547</v>
      </c>
      <c r="B162" s="103" t="s">
        <v>548</v>
      </c>
      <c r="C162" s="104" t="s">
        <v>549</v>
      </c>
      <c r="D162" s="298"/>
      <c r="E162" s="299"/>
      <c r="F162" s="105">
        <v>-268053.28000000003</v>
      </c>
      <c r="G162" s="105">
        <v>-613075.94000000006</v>
      </c>
      <c r="H162" s="106">
        <f t="shared" si="34"/>
        <v>345022.66000000003</v>
      </c>
      <c r="I162" s="300">
        <f t="shared" si="35"/>
        <v>0.56277312073280839</v>
      </c>
      <c r="J162" s="107"/>
      <c r="K162" s="105">
        <v>-1307921.83</v>
      </c>
      <c r="L162" s="105">
        <v>-4138330.32</v>
      </c>
      <c r="M162" s="106">
        <f t="shared" si="36"/>
        <v>2830408.4899999998</v>
      </c>
      <c r="N162" s="300">
        <f t="shared" si="37"/>
        <v>0.68394938807108074</v>
      </c>
      <c r="O162" s="301"/>
      <c r="P162" s="107"/>
      <c r="Q162" s="105">
        <v>-1307921.83</v>
      </c>
      <c r="R162" s="105">
        <v>-4138330.32</v>
      </c>
      <c r="S162" s="106">
        <f t="shared" si="38"/>
        <v>2830408.4899999998</v>
      </c>
      <c r="T162" s="300">
        <f t="shared" si="39"/>
        <v>0.68394938807108074</v>
      </c>
      <c r="U162" s="107"/>
      <c r="V162" s="105">
        <v>-13079819.27</v>
      </c>
      <c r="W162" s="105">
        <v>-11354198</v>
      </c>
      <c r="X162" s="106">
        <f t="shared" si="40"/>
        <v>-1725621.2699999996</v>
      </c>
      <c r="Y162" s="300">
        <f t="shared" si="41"/>
        <v>-0.15198090345086457</v>
      </c>
      <c r="Z162" s="302"/>
      <c r="AA162" s="108">
        <v>-642628.46</v>
      </c>
      <c r="AB162" s="109"/>
      <c r="AC162" s="110">
        <v>-2494673.94</v>
      </c>
      <c r="AD162" s="110">
        <v>-1030580.44</v>
      </c>
      <c r="AE162" s="110">
        <v>-613075.94000000006</v>
      </c>
      <c r="AF162" s="110">
        <v>-504140.23000000004</v>
      </c>
      <c r="AG162" s="110">
        <v>-1017969.75</v>
      </c>
      <c r="AH162" s="110">
        <v>-1966959.13</v>
      </c>
      <c r="AI162" s="110">
        <v>-1199520.3799999999</v>
      </c>
      <c r="AJ162" s="110">
        <v>-687603.78</v>
      </c>
      <c r="AK162" s="110">
        <v>-494487.7</v>
      </c>
      <c r="AL162" s="110">
        <v>-1157697.8500000001</v>
      </c>
      <c r="AM162" s="110">
        <v>-1201113.56</v>
      </c>
      <c r="AN162" s="110">
        <v>-3542405.06</v>
      </c>
      <c r="AO162" s="109"/>
      <c r="AP162" s="110">
        <v>-452175.95</v>
      </c>
      <c r="AQ162" s="110">
        <v>-587692.6</v>
      </c>
      <c r="AR162" s="110">
        <v>-268053.28000000003</v>
      </c>
      <c r="AS162" s="110">
        <v>268046.47000000003</v>
      </c>
      <c r="AT162" s="110">
        <v>0</v>
      </c>
      <c r="AU162" s="110">
        <v>0</v>
      </c>
      <c r="AV162" s="110">
        <v>0</v>
      </c>
      <c r="AW162" s="110">
        <v>0</v>
      </c>
      <c r="AX162" s="110">
        <v>0</v>
      </c>
      <c r="AY162" s="110">
        <v>0</v>
      </c>
      <c r="AZ162" s="110">
        <v>0</v>
      </c>
      <c r="BA162" s="110">
        <v>0</v>
      </c>
    </row>
    <row r="163" spans="1:53" s="102" customFormat="1" outlineLevel="2">
      <c r="A163" s="102" t="s">
        <v>550</v>
      </c>
      <c r="B163" s="103" t="s">
        <v>551</v>
      </c>
      <c r="C163" s="104" t="s">
        <v>552</v>
      </c>
      <c r="D163" s="298"/>
      <c r="E163" s="299"/>
      <c r="F163" s="105">
        <v>-104621.25</v>
      </c>
      <c r="G163" s="105">
        <v>-6723.6</v>
      </c>
      <c r="H163" s="106">
        <f t="shared" si="34"/>
        <v>-97897.65</v>
      </c>
      <c r="I163" s="300" t="str">
        <f t="shared" si="35"/>
        <v>N.M.</v>
      </c>
      <c r="J163" s="107"/>
      <c r="K163" s="105">
        <v>-112229.98</v>
      </c>
      <c r="L163" s="105">
        <v>-18509.71</v>
      </c>
      <c r="M163" s="106">
        <f t="shared" si="36"/>
        <v>-93720.26999999999</v>
      </c>
      <c r="N163" s="300">
        <f t="shared" si="37"/>
        <v>-5.0633029907005564</v>
      </c>
      <c r="O163" s="301"/>
      <c r="P163" s="107"/>
      <c r="Q163" s="105">
        <v>-112229.98</v>
      </c>
      <c r="R163" s="105">
        <v>-18509.71</v>
      </c>
      <c r="S163" s="106">
        <f t="shared" si="38"/>
        <v>-93720.26999999999</v>
      </c>
      <c r="T163" s="300">
        <f t="shared" si="39"/>
        <v>-5.0633029907005564</v>
      </c>
      <c r="U163" s="107"/>
      <c r="V163" s="105">
        <v>-236696</v>
      </c>
      <c r="W163" s="105">
        <v>-35937.82</v>
      </c>
      <c r="X163" s="106">
        <f t="shared" si="40"/>
        <v>-200758.18</v>
      </c>
      <c r="Y163" s="300">
        <f t="shared" si="41"/>
        <v>-5.5862648318679318</v>
      </c>
      <c r="Z163" s="302"/>
      <c r="AA163" s="108">
        <v>-5756.37</v>
      </c>
      <c r="AB163" s="109"/>
      <c r="AC163" s="110">
        <v>-4928.18</v>
      </c>
      <c r="AD163" s="110">
        <v>-6857.93</v>
      </c>
      <c r="AE163" s="110">
        <v>-6723.6</v>
      </c>
      <c r="AF163" s="110">
        <v>-326.40000000000003</v>
      </c>
      <c r="AG163" s="110">
        <v>-14301.57</v>
      </c>
      <c r="AH163" s="110">
        <v>-20495.23</v>
      </c>
      <c r="AI163" s="110">
        <v>-20213.89</v>
      </c>
      <c r="AJ163" s="110">
        <v>-24641.41</v>
      </c>
      <c r="AK163" s="110">
        <v>-37795.090000000004</v>
      </c>
      <c r="AL163" s="110">
        <v>0</v>
      </c>
      <c r="AM163" s="110">
        <v>-20.56</v>
      </c>
      <c r="AN163" s="110">
        <v>-6671.87</v>
      </c>
      <c r="AO163" s="109"/>
      <c r="AP163" s="110">
        <v>-96.11</v>
      </c>
      <c r="AQ163" s="110">
        <v>-7512.62</v>
      </c>
      <c r="AR163" s="110">
        <v>-104621.25</v>
      </c>
      <c r="AS163" s="110">
        <v>104576.15000000001</v>
      </c>
      <c r="AT163" s="110">
        <v>0</v>
      </c>
      <c r="AU163" s="110">
        <v>0</v>
      </c>
      <c r="AV163" s="110">
        <v>0</v>
      </c>
      <c r="AW163" s="110">
        <v>0</v>
      </c>
      <c r="AX163" s="110">
        <v>0</v>
      </c>
      <c r="AY163" s="110">
        <v>0</v>
      </c>
      <c r="AZ163" s="110">
        <v>0</v>
      </c>
      <c r="BA163" s="110">
        <v>0</v>
      </c>
    </row>
    <row r="164" spans="1:53" s="102" customFormat="1" outlineLevel="2">
      <c r="A164" s="102" t="s">
        <v>553</v>
      </c>
      <c r="B164" s="103" t="s">
        <v>554</v>
      </c>
      <c r="C164" s="104" t="s">
        <v>555</v>
      </c>
      <c r="D164" s="298"/>
      <c r="E164" s="299"/>
      <c r="F164" s="105">
        <v>708109.8</v>
      </c>
      <c r="G164" s="105">
        <v>-1249999.99</v>
      </c>
      <c r="H164" s="106">
        <f t="shared" si="34"/>
        <v>1958109.79</v>
      </c>
      <c r="I164" s="300">
        <f t="shared" si="35"/>
        <v>1.5664878445319028</v>
      </c>
      <c r="J164" s="107"/>
      <c r="K164" s="105">
        <v>2113690.8199999998</v>
      </c>
      <c r="L164" s="105">
        <v>-3749999.9699999997</v>
      </c>
      <c r="M164" s="106">
        <f t="shared" si="36"/>
        <v>5863690.7899999991</v>
      </c>
      <c r="N164" s="300">
        <f t="shared" si="37"/>
        <v>1.5636508898425403</v>
      </c>
      <c r="O164" s="301"/>
      <c r="P164" s="107"/>
      <c r="Q164" s="105">
        <v>2113690.8199999998</v>
      </c>
      <c r="R164" s="105">
        <v>-3749999.9699999997</v>
      </c>
      <c r="S164" s="106">
        <f t="shared" si="38"/>
        <v>5863690.7899999991</v>
      </c>
      <c r="T164" s="300">
        <f t="shared" si="39"/>
        <v>1.5636508898425403</v>
      </c>
      <c r="U164" s="107"/>
      <c r="V164" s="105">
        <v>-7690709.2199999988</v>
      </c>
      <c r="W164" s="105">
        <v>-14999999.879999999</v>
      </c>
      <c r="X164" s="106">
        <f t="shared" si="40"/>
        <v>7309290.6600000001</v>
      </c>
      <c r="Y164" s="300">
        <f t="shared" si="41"/>
        <v>0.48728604789828844</v>
      </c>
      <c r="Z164" s="302"/>
      <c r="AA164" s="108">
        <v>-1249999.99</v>
      </c>
      <c r="AB164" s="109"/>
      <c r="AC164" s="110">
        <v>-1249999.99</v>
      </c>
      <c r="AD164" s="110">
        <v>-1249999.99</v>
      </c>
      <c r="AE164" s="110">
        <v>-1249999.99</v>
      </c>
      <c r="AF164" s="110">
        <v>-1249999.99</v>
      </c>
      <c r="AG164" s="110">
        <v>-1249999.99</v>
      </c>
      <c r="AH164" s="110">
        <v>-1249999.99</v>
      </c>
      <c r="AI164" s="110">
        <v>-1249999.99</v>
      </c>
      <c r="AJ164" s="110">
        <v>-1249999.99</v>
      </c>
      <c r="AK164" s="110">
        <v>-1249999.99</v>
      </c>
      <c r="AL164" s="110">
        <v>-1249999.99</v>
      </c>
      <c r="AM164" s="110">
        <v>-1249999.99</v>
      </c>
      <c r="AN164" s="110">
        <v>195599.88</v>
      </c>
      <c r="AO164" s="109"/>
      <c r="AP164" s="110">
        <v>701024.89</v>
      </c>
      <c r="AQ164" s="110">
        <v>704556.13</v>
      </c>
      <c r="AR164" s="110">
        <v>708109.8</v>
      </c>
      <c r="AS164" s="110">
        <v>0</v>
      </c>
      <c r="AT164" s="110">
        <v>0</v>
      </c>
      <c r="AU164" s="110">
        <v>0</v>
      </c>
      <c r="AV164" s="110">
        <v>0</v>
      </c>
      <c r="AW164" s="110">
        <v>0</v>
      </c>
      <c r="AX164" s="110">
        <v>0</v>
      </c>
      <c r="AY164" s="110">
        <v>0</v>
      </c>
      <c r="AZ164" s="110">
        <v>0</v>
      </c>
      <c r="BA164" s="110">
        <v>0</v>
      </c>
    </row>
    <row r="165" spans="1:53" s="102" customFormat="1" outlineLevel="2">
      <c r="A165" s="102" t="s">
        <v>556</v>
      </c>
      <c r="B165" s="103" t="s">
        <v>557</v>
      </c>
      <c r="C165" s="104" t="s">
        <v>558</v>
      </c>
      <c r="D165" s="298"/>
      <c r="E165" s="299"/>
      <c r="F165" s="105">
        <v>583041.14</v>
      </c>
      <c r="G165" s="105">
        <v>390203.57</v>
      </c>
      <c r="H165" s="106">
        <f t="shared" si="34"/>
        <v>192837.57</v>
      </c>
      <c r="I165" s="300">
        <f t="shared" si="35"/>
        <v>0.49419734934767512</v>
      </c>
      <c r="J165" s="107"/>
      <c r="K165" s="105">
        <v>1389250.9</v>
      </c>
      <c r="L165" s="105">
        <v>2022862.82</v>
      </c>
      <c r="M165" s="106">
        <f t="shared" si="36"/>
        <v>-633611.92000000016</v>
      </c>
      <c r="N165" s="300">
        <f t="shared" si="37"/>
        <v>-0.31322535257235096</v>
      </c>
      <c r="O165" s="301"/>
      <c r="P165" s="107"/>
      <c r="Q165" s="105">
        <v>1389250.9</v>
      </c>
      <c r="R165" s="105">
        <v>2022862.82</v>
      </c>
      <c r="S165" s="106">
        <f t="shared" si="38"/>
        <v>-633611.92000000016</v>
      </c>
      <c r="T165" s="300">
        <f t="shared" si="39"/>
        <v>-0.31322535257235096</v>
      </c>
      <c r="U165" s="107"/>
      <c r="V165" s="105">
        <v>13594068.91</v>
      </c>
      <c r="W165" s="105">
        <v>8784122.0299999993</v>
      </c>
      <c r="X165" s="106">
        <f t="shared" si="40"/>
        <v>4809946.8800000008</v>
      </c>
      <c r="Y165" s="300">
        <f t="shared" si="41"/>
        <v>0.54757286653951476</v>
      </c>
      <c r="Z165" s="302"/>
      <c r="AA165" s="108">
        <v>777992.26</v>
      </c>
      <c r="AB165" s="109"/>
      <c r="AC165" s="110">
        <v>1396038.96</v>
      </c>
      <c r="AD165" s="110">
        <v>236620.29</v>
      </c>
      <c r="AE165" s="110">
        <v>390203.57</v>
      </c>
      <c r="AF165" s="110">
        <v>1177465.79</v>
      </c>
      <c r="AG165" s="110">
        <v>1314813.1000000001</v>
      </c>
      <c r="AH165" s="110">
        <v>1723655.4300000002</v>
      </c>
      <c r="AI165" s="110">
        <v>1802938.1800000002</v>
      </c>
      <c r="AJ165" s="110">
        <v>1717289.94</v>
      </c>
      <c r="AK165" s="110">
        <v>1091679.32</v>
      </c>
      <c r="AL165" s="110">
        <v>830873.21</v>
      </c>
      <c r="AM165" s="110">
        <v>836516.34</v>
      </c>
      <c r="AN165" s="110">
        <v>1709586.7000000002</v>
      </c>
      <c r="AO165" s="109"/>
      <c r="AP165" s="110">
        <v>446374.03</v>
      </c>
      <c r="AQ165" s="110">
        <v>359835.73</v>
      </c>
      <c r="AR165" s="110">
        <v>583041.14</v>
      </c>
      <c r="AS165" s="110">
        <v>-592619.24</v>
      </c>
      <c r="AT165" s="110">
        <v>0</v>
      </c>
      <c r="AU165" s="110">
        <v>0</v>
      </c>
      <c r="AV165" s="110">
        <v>0</v>
      </c>
      <c r="AW165" s="110">
        <v>0</v>
      </c>
      <c r="AX165" s="110">
        <v>0</v>
      </c>
      <c r="AY165" s="110">
        <v>0</v>
      </c>
      <c r="AZ165" s="110">
        <v>0</v>
      </c>
      <c r="BA165" s="110">
        <v>0</v>
      </c>
    </row>
    <row r="166" spans="1:53" s="102" customFormat="1" outlineLevel="2">
      <c r="A166" s="102" t="s">
        <v>559</v>
      </c>
      <c r="B166" s="103" t="s">
        <v>560</v>
      </c>
      <c r="C166" s="104" t="s">
        <v>561</v>
      </c>
      <c r="D166" s="298"/>
      <c r="E166" s="299"/>
      <c r="F166" s="105">
        <v>-138152.46</v>
      </c>
      <c r="G166" s="105">
        <v>-202352.64000000001</v>
      </c>
      <c r="H166" s="106">
        <f t="shared" si="34"/>
        <v>64200.180000000022</v>
      </c>
      <c r="I166" s="300">
        <f t="shared" si="35"/>
        <v>0.3172688036093822</v>
      </c>
      <c r="J166" s="107"/>
      <c r="K166" s="105">
        <v>-534919.74</v>
      </c>
      <c r="L166" s="105">
        <v>-1028700.3</v>
      </c>
      <c r="M166" s="106">
        <f t="shared" si="36"/>
        <v>493780.56000000006</v>
      </c>
      <c r="N166" s="300">
        <f t="shared" si="37"/>
        <v>0.48000429279548185</v>
      </c>
      <c r="O166" s="301"/>
      <c r="P166" s="107"/>
      <c r="Q166" s="105">
        <v>-534919.74</v>
      </c>
      <c r="R166" s="105">
        <v>-1028700.3</v>
      </c>
      <c r="S166" s="106">
        <f t="shared" si="38"/>
        <v>493780.56000000006</v>
      </c>
      <c r="T166" s="300">
        <f t="shared" si="39"/>
        <v>0.48000429279548185</v>
      </c>
      <c r="U166" s="107"/>
      <c r="V166" s="105">
        <v>-4029286.83</v>
      </c>
      <c r="W166" s="105">
        <v>-2647957.4800000004</v>
      </c>
      <c r="X166" s="106">
        <f t="shared" si="40"/>
        <v>-1381329.3499999996</v>
      </c>
      <c r="Y166" s="300">
        <f t="shared" si="41"/>
        <v>-0.52165843312559512</v>
      </c>
      <c r="Z166" s="302"/>
      <c r="AA166" s="108">
        <v>-194681.85</v>
      </c>
      <c r="AB166" s="109"/>
      <c r="AC166" s="110">
        <v>-523833.32</v>
      </c>
      <c r="AD166" s="110">
        <v>-302514.34000000003</v>
      </c>
      <c r="AE166" s="110">
        <v>-202352.64000000001</v>
      </c>
      <c r="AF166" s="110">
        <v>-199792.65</v>
      </c>
      <c r="AG166" s="110">
        <v>-350907.46</v>
      </c>
      <c r="AH166" s="110">
        <v>-380878.7</v>
      </c>
      <c r="AI166" s="110">
        <v>-460081.31</v>
      </c>
      <c r="AJ166" s="110">
        <v>-545398.23</v>
      </c>
      <c r="AK166" s="110">
        <v>-386136.86</v>
      </c>
      <c r="AL166" s="110">
        <v>-251486.17</v>
      </c>
      <c r="AM166" s="110">
        <v>-269590.61</v>
      </c>
      <c r="AN166" s="110">
        <v>-650095.1</v>
      </c>
      <c r="AO166" s="109"/>
      <c r="AP166" s="110">
        <v>-239847.74</v>
      </c>
      <c r="AQ166" s="110">
        <v>-156919.54</v>
      </c>
      <c r="AR166" s="110">
        <v>-138152.46</v>
      </c>
      <c r="AS166" s="110">
        <v>141208.64000000001</v>
      </c>
      <c r="AT166" s="110">
        <v>0</v>
      </c>
      <c r="AU166" s="110">
        <v>0</v>
      </c>
      <c r="AV166" s="110">
        <v>0</v>
      </c>
      <c r="AW166" s="110">
        <v>0</v>
      </c>
      <c r="AX166" s="110">
        <v>0</v>
      </c>
      <c r="AY166" s="110">
        <v>0</v>
      </c>
      <c r="AZ166" s="110">
        <v>0</v>
      </c>
      <c r="BA166" s="110">
        <v>0</v>
      </c>
    </row>
    <row r="167" spans="1:53" s="102" customFormat="1" outlineLevel="2">
      <c r="A167" s="102" t="s">
        <v>562</v>
      </c>
      <c r="B167" s="103" t="s">
        <v>563</v>
      </c>
      <c r="C167" s="104" t="s">
        <v>564</v>
      </c>
      <c r="D167" s="298"/>
      <c r="E167" s="299"/>
      <c r="F167" s="105">
        <v>-139.94</v>
      </c>
      <c r="G167" s="105">
        <v>0</v>
      </c>
      <c r="H167" s="106">
        <f t="shared" si="34"/>
        <v>-139.94</v>
      </c>
      <c r="I167" s="300" t="str">
        <f t="shared" si="35"/>
        <v>N.M.</v>
      </c>
      <c r="J167" s="107"/>
      <c r="K167" s="105">
        <v>-2423.5</v>
      </c>
      <c r="L167" s="105">
        <v>-617.48</v>
      </c>
      <c r="M167" s="106">
        <f t="shared" si="36"/>
        <v>-1806.02</v>
      </c>
      <c r="N167" s="300">
        <f t="shared" si="37"/>
        <v>-2.9248234760640019</v>
      </c>
      <c r="O167" s="301"/>
      <c r="P167" s="107"/>
      <c r="Q167" s="105">
        <v>-2423.5</v>
      </c>
      <c r="R167" s="105">
        <v>-617.48</v>
      </c>
      <c r="S167" s="106">
        <f t="shared" si="38"/>
        <v>-1806.02</v>
      </c>
      <c r="T167" s="300">
        <f t="shared" si="39"/>
        <v>-2.9248234760640019</v>
      </c>
      <c r="U167" s="107"/>
      <c r="V167" s="105">
        <v>-7632.81</v>
      </c>
      <c r="W167" s="105">
        <v>-5198.1000000000004</v>
      </c>
      <c r="X167" s="106">
        <f t="shared" si="40"/>
        <v>-2434.71</v>
      </c>
      <c r="Y167" s="300">
        <f t="shared" si="41"/>
        <v>-0.46838460206613952</v>
      </c>
      <c r="Z167" s="302"/>
      <c r="AA167" s="108">
        <v>0</v>
      </c>
      <c r="AB167" s="109"/>
      <c r="AC167" s="110">
        <v>-44.28</v>
      </c>
      <c r="AD167" s="110">
        <v>-573.20000000000005</v>
      </c>
      <c r="AE167" s="110">
        <v>0</v>
      </c>
      <c r="AF167" s="110">
        <v>-357.83</v>
      </c>
      <c r="AG167" s="110">
        <v>0</v>
      </c>
      <c r="AH167" s="110">
        <v>-943.88</v>
      </c>
      <c r="AI167" s="110">
        <v>0</v>
      </c>
      <c r="AJ167" s="110">
        <v>-526.88</v>
      </c>
      <c r="AK167" s="110">
        <v>-515.82000000000005</v>
      </c>
      <c r="AL167" s="110">
        <v>-1918.96</v>
      </c>
      <c r="AM167" s="110">
        <v>-822.62</v>
      </c>
      <c r="AN167" s="110">
        <v>-123.32000000000001</v>
      </c>
      <c r="AO167" s="109"/>
      <c r="AP167" s="110">
        <v>-700.13</v>
      </c>
      <c r="AQ167" s="110">
        <v>-1583.43</v>
      </c>
      <c r="AR167" s="110">
        <v>-139.94</v>
      </c>
      <c r="AS167" s="110">
        <v>0</v>
      </c>
      <c r="AT167" s="110">
        <v>0</v>
      </c>
      <c r="AU167" s="110">
        <v>0</v>
      </c>
      <c r="AV167" s="110">
        <v>0</v>
      </c>
      <c r="AW167" s="110">
        <v>0</v>
      </c>
      <c r="AX167" s="110">
        <v>0</v>
      </c>
      <c r="AY167" s="110">
        <v>0</v>
      </c>
      <c r="AZ167" s="110">
        <v>0</v>
      </c>
      <c r="BA167" s="110">
        <v>0</v>
      </c>
    </row>
    <row r="168" spans="1:53" s="102" customFormat="1" outlineLevel="2">
      <c r="A168" s="102" t="s">
        <v>565</v>
      </c>
      <c r="B168" s="103" t="s">
        <v>566</v>
      </c>
      <c r="C168" s="104" t="s">
        <v>567</v>
      </c>
      <c r="D168" s="298"/>
      <c r="E168" s="299"/>
      <c r="F168" s="105">
        <v>0</v>
      </c>
      <c r="G168" s="105">
        <v>0</v>
      </c>
      <c r="H168" s="106">
        <f t="shared" si="34"/>
        <v>0</v>
      </c>
      <c r="I168" s="300">
        <f t="shared" si="35"/>
        <v>0</v>
      </c>
      <c r="J168" s="107"/>
      <c r="K168" s="105">
        <v>0</v>
      </c>
      <c r="L168" s="105">
        <v>0</v>
      </c>
      <c r="M168" s="106">
        <f t="shared" si="36"/>
        <v>0</v>
      </c>
      <c r="N168" s="300">
        <f t="shared" si="37"/>
        <v>0</v>
      </c>
      <c r="O168" s="301"/>
      <c r="P168" s="107"/>
      <c r="Q168" s="105">
        <v>0</v>
      </c>
      <c r="R168" s="105">
        <v>0</v>
      </c>
      <c r="S168" s="106">
        <f t="shared" si="38"/>
        <v>0</v>
      </c>
      <c r="T168" s="300">
        <f t="shared" si="39"/>
        <v>0</v>
      </c>
      <c r="U168" s="107"/>
      <c r="V168" s="105">
        <v>9020.42</v>
      </c>
      <c r="W168" s="105">
        <v>0</v>
      </c>
      <c r="X168" s="106">
        <f t="shared" si="40"/>
        <v>9020.42</v>
      </c>
      <c r="Y168" s="300" t="str">
        <f t="shared" si="41"/>
        <v>N.M.</v>
      </c>
      <c r="Z168" s="302"/>
      <c r="AA168" s="108">
        <v>0</v>
      </c>
      <c r="AB168" s="109"/>
      <c r="AC168" s="110">
        <v>0</v>
      </c>
      <c r="AD168" s="110">
        <v>0</v>
      </c>
      <c r="AE168" s="110">
        <v>0</v>
      </c>
      <c r="AF168" s="110">
        <v>0</v>
      </c>
      <c r="AG168" s="110">
        <v>0</v>
      </c>
      <c r="AH168" s="110">
        <v>0</v>
      </c>
      <c r="AI168" s="110">
        <v>0</v>
      </c>
      <c r="AJ168" s="110">
        <v>0</v>
      </c>
      <c r="AK168" s="110">
        <v>0</v>
      </c>
      <c r="AL168" s="110">
        <v>9020.42</v>
      </c>
      <c r="AM168" s="110">
        <v>0</v>
      </c>
      <c r="AN168" s="110">
        <v>0</v>
      </c>
      <c r="AO168" s="109"/>
      <c r="AP168" s="110">
        <v>0</v>
      </c>
      <c r="AQ168" s="110">
        <v>0</v>
      </c>
      <c r="AR168" s="110">
        <v>0</v>
      </c>
      <c r="AS168" s="110">
        <v>0</v>
      </c>
      <c r="AT168" s="110">
        <v>0</v>
      </c>
      <c r="AU168" s="110">
        <v>0</v>
      </c>
      <c r="AV168" s="110">
        <v>0</v>
      </c>
      <c r="AW168" s="110">
        <v>0</v>
      </c>
      <c r="AX168" s="110">
        <v>0</v>
      </c>
      <c r="AY168" s="110">
        <v>0</v>
      </c>
      <c r="AZ168" s="110">
        <v>0</v>
      </c>
      <c r="BA168" s="110">
        <v>0</v>
      </c>
    </row>
    <row r="169" spans="1:53" s="102" customFormat="1" outlineLevel="2">
      <c r="A169" s="102" t="s">
        <v>568</v>
      </c>
      <c r="B169" s="103" t="s">
        <v>569</v>
      </c>
      <c r="C169" s="104" t="s">
        <v>570</v>
      </c>
      <c r="D169" s="298"/>
      <c r="E169" s="299"/>
      <c r="F169" s="105">
        <v>2943.13</v>
      </c>
      <c r="G169" s="105">
        <v>33629.550000000003</v>
      </c>
      <c r="H169" s="106">
        <f t="shared" si="34"/>
        <v>-30686.420000000002</v>
      </c>
      <c r="I169" s="300">
        <f t="shared" si="35"/>
        <v>-0.91248381259933597</v>
      </c>
      <c r="J169" s="107"/>
      <c r="K169" s="105">
        <v>4932.5600000000004</v>
      </c>
      <c r="L169" s="105">
        <v>98021.930000000008</v>
      </c>
      <c r="M169" s="106">
        <f t="shared" si="36"/>
        <v>-93089.37000000001</v>
      </c>
      <c r="N169" s="300">
        <f t="shared" si="37"/>
        <v>-0.94967901570597524</v>
      </c>
      <c r="O169" s="301"/>
      <c r="P169" s="107"/>
      <c r="Q169" s="105">
        <v>4932.5600000000004</v>
      </c>
      <c r="R169" s="105">
        <v>98021.930000000008</v>
      </c>
      <c r="S169" s="106">
        <f t="shared" si="38"/>
        <v>-93089.37000000001</v>
      </c>
      <c r="T169" s="300">
        <f t="shared" si="39"/>
        <v>-0.94967901570597524</v>
      </c>
      <c r="U169" s="107"/>
      <c r="V169" s="105">
        <v>174000.2</v>
      </c>
      <c r="W169" s="105">
        <v>327647.63</v>
      </c>
      <c r="X169" s="106">
        <f t="shared" si="40"/>
        <v>-153647.43</v>
      </c>
      <c r="Y169" s="300">
        <f t="shared" si="41"/>
        <v>-0.46894106940434754</v>
      </c>
      <c r="Z169" s="302"/>
      <c r="AA169" s="108">
        <v>17997.46</v>
      </c>
      <c r="AB169" s="109"/>
      <c r="AC169" s="110">
        <v>35686.410000000003</v>
      </c>
      <c r="AD169" s="110">
        <v>28705.97</v>
      </c>
      <c r="AE169" s="110">
        <v>33629.550000000003</v>
      </c>
      <c r="AF169" s="110">
        <v>28708.25</v>
      </c>
      <c r="AG169" s="110">
        <v>30226.27</v>
      </c>
      <c r="AH169" s="110">
        <v>35190.020000000004</v>
      </c>
      <c r="AI169" s="110">
        <v>23904.98</v>
      </c>
      <c r="AJ169" s="110">
        <v>32430.68</v>
      </c>
      <c r="AK169" s="110">
        <v>6635.26</v>
      </c>
      <c r="AL169" s="110">
        <v>7283.74</v>
      </c>
      <c r="AM169" s="110">
        <v>5630.4800000000005</v>
      </c>
      <c r="AN169" s="110">
        <v>-942.04</v>
      </c>
      <c r="AO169" s="109"/>
      <c r="AP169" s="110">
        <v>-325.78000000000003</v>
      </c>
      <c r="AQ169" s="110">
        <v>2315.21</v>
      </c>
      <c r="AR169" s="110">
        <v>2943.13</v>
      </c>
      <c r="AS169" s="110">
        <v>0</v>
      </c>
      <c r="AT169" s="110">
        <v>0</v>
      </c>
      <c r="AU169" s="110">
        <v>0</v>
      </c>
      <c r="AV169" s="110">
        <v>0</v>
      </c>
      <c r="AW169" s="110">
        <v>0</v>
      </c>
      <c r="AX169" s="110">
        <v>0</v>
      </c>
      <c r="AY169" s="110">
        <v>0</v>
      </c>
      <c r="AZ169" s="110">
        <v>0</v>
      </c>
      <c r="BA169" s="110">
        <v>0</v>
      </c>
    </row>
    <row r="170" spans="1:53" s="102" customFormat="1" outlineLevel="2">
      <c r="A170" s="102" t="s">
        <v>571</v>
      </c>
      <c r="B170" s="103" t="s">
        <v>572</v>
      </c>
      <c r="C170" s="104" t="s">
        <v>573</v>
      </c>
      <c r="D170" s="298"/>
      <c r="E170" s="299"/>
      <c r="F170" s="105">
        <v>85199.85</v>
      </c>
      <c r="G170" s="105">
        <v>54736.83</v>
      </c>
      <c r="H170" s="106">
        <f t="shared" si="34"/>
        <v>30463.020000000004</v>
      </c>
      <c r="I170" s="300">
        <f t="shared" si="35"/>
        <v>0.55653606538778377</v>
      </c>
      <c r="J170" s="107"/>
      <c r="K170" s="105">
        <v>209019.04</v>
      </c>
      <c r="L170" s="105">
        <v>136869.19</v>
      </c>
      <c r="M170" s="106">
        <f t="shared" si="36"/>
        <v>72149.850000000006</v>
      </c>
      <c r="N170" s="300">
        <f t="shared" si="37"/>
        <v>0.52714456774384366</v>
      </c>
      <c r="O170" s="301"/>
      <c r="P170" s="107"/>
      <c r="Q170" s="105">
        <v>209019.04</v>
      </c>
      <c r="R170" s="105">
        <v>136869.19</v>
      </c>
      <c r="S170" s="106">
        <f t="shared" si="38"/>
        <v>72149.850000000006</v>
      </c>
      <c r="T170" s="300">
        <f t="shared" si="39"/>
        <v>0.52714456774384366</v>
      </c>
      <c r="U170" s="107"/>
      <c r="V170" s="105">
        <v>814455.17</v>
      </c>
      <c r="W170" s="105">
        <v>493547.49</v>
      </c>
      <c r="X170" s="106">
        <f t="shared" si="40"/>
        <v>320907.68000000005</v>
      </c>
      <c r="Y170" s="300">
        <f t="shared" si="41"/>
        <v>0.65020628511351575</v>
      </c>
      <c r="Z170" s="302"/>
      <c r="AA170" s="108">
        <v>31829.39</v>
      </c>
      <c r="AB170" s="109"/>
      <c r="AC170" s="110">
        <v>43560.86</v>
      </c>
      <c r="AD170" s="110">
        <v>38571.5</v>
      </c>
      <c r="AE170" s="110">
        <v>54736.83</v>
      </c>
      <c r="AF170" s="110">
        <v>64340.58</v>
      </c>
      <c r="AG170" s="110">
        <v>61260.23</v>
      </c>
      <c r="AH170" s="110">
        <v>69110.23</v>
      </c>
      <c r="AI170" s="110">
        <v>58428.78</v>
      </c>
      <c r="AJ170" s="110">
        <v>67714.850000000006</v>
      </c>
      <c r="AK170" s="110">
        <v>70429.87</v>
      </c>
      <c r="AL170" s="110">
        <v>66974.899999999994</v>
      </c>
      <c r="AM170" s="110">
        <v>61574.67</v>
      </c>
      <c r="AN170" s="110">
        <v>85602.02</v>
      </c>
      <c r="AO170" s="109"/>
      <c r="AP170" s="110">
        <v>58855.55</v>
      </c>
      <c r="AQ170" s="110">
        <v>64963.64</v>
      </c>
      <c r="AR170" s="110">
        <v>85199.85</v>
      </c>
      <c r="AS170" s="110">
        <v>0</v>
      </c>
      <c r="AT170" s="110">
        <v>0</v>
      </c>
      <c r="AU170" s="110">
        <v>0</v>
      </c>
      <c r="AV170" s="110">
        <v>0</v>
      </c>
      <c r="AW170" s="110">
        <v>0</v>
      </c>
      <c r="AX170" s="110">
        <v>0</v>
      </c>
      <c r="AY170" s="110">
        <v>0</v>
      </c>
      <c r="AZ170" s="110">
        <v>0</v>
      </c>
      <c r="BA170" s="110">
        <v>0</v>
      </c>
    </row>
    <row r="171" spans="1:53" s="102" customFormat="1" outlineLevel="2">
      <c r="A171" s="102" t="s">
        <v>574</v>
      </c>
      <c r="B171" s="103" t="s">
        <v>575</v>
      </c>
      <c r="C171" s="104" t="s">
        <v>576</v>
      </c>
      <c r="D171" s="298"/>
      <c r="E171" s="299"/>
      <c r="F171" s="105">
        <v>0</v>
      </c>
      <c r="G171" s="105">
        <v>0</v>
      </c>
      <c r="H171" s="106">
        <f t="shared" si="34"/>
        <v>0</v>
      </c>
      <c r="I171" s="300">
        <f t="shared" si="35"/>
        <v>0</v>
      </c>
      <c r="J171" s="107"/>
      <c r="K171" s="105">
        <v>0</v>
      </c>
      <c r="L171" s="105">
        <v>225.18</v>
      </c>
      <c r="M171" s="106">
        <f t="shared" si="36"/>
        <v>-225.18</v>
      </c>
      <c r="N171" s="300" t="str">
        <f t="shared" si="37"/>
        <v>N.M.</v>
      </c>
      <c r="O171" s="301"/>
      <c r="P171" s="107"/>
      <c r="Q171" s="105">
        <v>0</v>
      </c>
      <c r="R171" s="105">
        <v>225.18</v>
      </c>
      <c r="S171" s="106">
        <f t="shared" si="38"/>
        <v>-225.18</v>
      </c>
      <c r="T171" s="300" t="str">
        <f t="shared" si="39"/>
        <v>N.M.</v>
      </c>
      <c r="U171" s="107"/>
      <c r="V171" s="105">
        <v>32659.58</v>
      </c>
      <c r="W171" s="105">
        <v>52597.090000000004</v>
      </c>
      <c r="X171" s="106">
        <f t="shared" si="40"/>
        <v>-19937.510000000002</v>
      </c>
      <c r="Y171" s="300">
        <f t="shared" si="41"/>
        <v>-0.37906108493834928</v>
      </c>
      <c r="Z171" s="302"/>
      <c r="AA171" s="108">
        <v>5.41</v>
      </c>
      <c r="AB171" s="109"/>
      <c r="AC171" s="110">
        <v>225.18</v>
      </c>
      <c r="AD171" s="110">
        <v>0</v>
      </c>
      <c r="AE171" s="110">
        <v>0</v>
      </c>
      <c r="AF171" s="110">
        <v>0</v>
      </c>
      <c r="AG171" s="110">
        <v>0</v>
      </c>
      <c r="AH171" s="110">
        <v>0</v>
      </c>
      <c r="AI171" s="110">
        <v>0</v>
      </c>
      <c r="AJ171" s="110">
        <v>32659.58</v>
      </c>
      <c r="AK171" s="110">
        <v>0</v>
      </c>
      <c r="AL171" s="110">
        <v>0</v>
      </c>
      <c r="AM171" s="110">
        <v>0</v>
      </c>
      <c r="AN171" s="110">
        <v>0</v>
      </c>
      <c r="AO171" s="109"/>
      <c r="AP171" s="110">
        <v>0</v>
      </c>
      <c r="AQ171" s="110">
        <v>0</v>
      </c>
      <c r="AR171" s="110">
        <v>0</v>
      </c>
      <c r="AS171" s="110">
        <v>0</v>
      </c>
      <c r="AT171" s="110">
        <v>0</v>
      </c>
      <c r="AU171" s="110">
        <v>0</v>
      </c>
      <c r="AV171" s="110">
        <v>0</v>
      </c>
      <c r="AW171" s="110">
        <v>0</v>
      </c>
      <c r="AX171" s="110">
        <v>0</v>
      </c>
      <c r="AY171" s="110">
        <v>0</v>
      </c>
      <c r="AZ171" s="110">
        <v>0</v>
      </c>
      <c r="BA171" s="110">
        <v>0</v>
      </c>
    </row>
    <row r="172" spans="1:53" s="102" customFormat="1" outlineLevel="2">
      <c r="A172" s="102" t="s">
        <v>1689</v>
      </c>
      <c r="B172" s="103" t="s">
        <v>1690</v>
      </c>
      <c r="C172" s="104" t="s">
        <v>1691</v>
      </c>
      <c r="D172" s="298"/>
      <c r="E172" s="299"/>
      <c r="F172" s="105">
        <v>0</v>
      </c>
      <c r="G172" s="105">
        <v>15.14</v>
      </c>
      <c r="H172" s="106">
        <f t="shared" si="34"/>
        <v>-15.14</v>
      </c>
      <c r="I172" s="300" t="str">
        <f t="shared" si="35"/>
        <v>N.M.</v>
      </c>
      <c r="J172" s="107"/>
      <c r="K172" s="105">
        <v>0</v>
      </c>
      <c r="L172" s="105">
        <v>15.14</v>
      </c>
      <c r="M172" s="106">
        <f t="shared" si="36"/>
        <v>-15.14</v>
      </c>
      <c r="N172" s="300" t="str">
        <f t="shared" si="37"/>
        <v>N.M.</v>
      </c>
      <c r="O172" s="301"/>
      <c r="P172" s="107"/>
      <c r="Q172" s="105">
        <v>0</v>
      </c>
      <c r="R172" s="105">
        <v>15.14</v>
      </c>
      <c r="S172" s="106">
        <f t="shared" si="38"/>
        <v>-15.14</v>
      </c>
      <c r="T172" s="300" t="str">
        <f t="shared" si="39"/>
        <v>N.M.</v>
      </c>
      <c r="U172" s="107"/>
      <c r="V172" s="105">
        <v>157.91</v>
      </c>
      <c r="W172" s="105">
        <v>15.14</v>
      </c>
      <c r="X172" s="106">
        <f t="shared" si="40"/>
        <v>142.76999999999998</v>
      </c>
      <c r="Y172" s="300">
        <f t="shared" si="41"/>
        <v>9.4299867899603687</v>
      </c>
      <c r="Z172" s="302"/>
      <c r="AA172" s="108">
        <v>0</v>
      </c>
      <c r="AB172" s="109"/>
      <c r="AC172" s="110">
        <v>0</v>
      </c>
      <c r="AD172" s="110">
        <v>0</v>
      </c>
      <c r="AE172" s="110">
        <v>15.14</v>
      </c>
      <c r="AF172" s="110">
        <v>0.22</v>
      </c>
      <c r="AG172" s="110">
        <v>0</v>
      </c>
      <c r="AH172" s="110">
        <v>0</v>
      </c>
      <c r="AI172" s="110">
        <v>157.69</v>
      </c>
      <c r="AJ172" s="110">
        <v>0</v>
      </c>
      <c r="AK172" s="110">
        <v>0</v>
      </c>
      <c r="AL172" s="110">
        <v>0</v>
      </c>
      <c r="AM172" s="110">
        <v>0</v>
      </c>
      <c r="AN172" s="110">
        <v>0</v>
      </c>
      <c r="AO172" s="109"/>
      <c r="AP172" s="110">
        <v>0</v>
      </c>
      <c r="AQ172" s="110">
        <v>0</v>
      </c>
      <c r="AR172" s="110">
        <v>0</v>
      </c>
      <c r="AS172" s="110">
        <v>0</v>
      </c>
      <c r="AT172" s="110">
        <v>0</v>
      </c>
      <c r="AU172" s="110">
        <v>0</v>
      </c>
      <c r="AV172" s="110">
        <v>0</v>
      </c>
      <c r="AW172" s="110">
        <v>0</v>
      </c>
      <c r="AX172" s="110">
        <v>0</v>
      </c>
      <c r="AY172" s="110">
        <v>0</v>
      </c>
      <c r="AZ172" s="110">
        <v>0</v>
      </c>
      <c r="BA172" s="110">
        <v>0</v>
      </c>
    </row>
    <row r="173" spans="1:53" s="102" customFormat="1" outlineLevel="2">
      <c r="A173" s="102" t="s">
        <v>1692</v>
      </c>
      <c r="B173" s="103" t="s">
        <v>1693</v>
      </c>
      <c r="C173" s="104" t="s">
        <v>1694</v>
      </c>
      <c r="D173" s="298"/>
      <c r="E173" s="299"/>
      <c r="F173" s="105">
        <v>0</v>
      </c>
      <c r="G173" s="105">
        <v>2.04</v>
      </c>
      <c r="H173" s="106">
        <f t="shared" si="34"/>
        <v>-2.04</v>
      </c>
      <c r="I173" s="300" t="str">
        <f t="shared" si="35"/>
        <v>N.M.</v>
      </c>
      <c r="J173" s="107"/>
      <c r="K173" s="105">
        <v>0</v>
      </c>
      <c r="L173" s="105">
        <v>2.04</v>
      </c>
      <c r="M173" s="106">
        <f t="shared" si="36"/>
        <v>-2.04</v>
      </c>
      <c r="N173" s="300" t="str">
        <f t="shared" si="37"/>
        <v>N.M.</v>
      </c>
      <c r="O173" s="301"/>
      <c r="P173" s="107"/>
      <c r="Q173" s="105">
        <v>0</v>
      </c>
      <c r="R173" s="105">
        <v>2.04</v>
      </c>
      <c r="S173" s="106">
        <f t="shared" si="38"/>
        <v>-2.04</v>
      </c>
      <c r="T173" s="300" t="str">
        <f t="shared" si="39"/>
        <v>N.M.</v>
      </c>
      <c r="U173" s="107"/>
      <c r="V173" s="105">
        <v>-2.04</v>
      </c>
      <c r="W173" s="105">
        <v>2.04</v>
      </c>
      <c r="X173" s="106">
        <f t="shared" si="40"/>
        <v>-4.08</v>
      </c>
      <c r="Y173" s="300">
        <f t="shared" si="41"/>
        <v>-2</v>
      </c>
      <c r="Z173" s="302"/>
      <c r="AA173" s="108">
        <v>0</v>
      </c>
      <c r="AB173" s="109"/>
      <c r="AC173" s="110">
        <v>0</v>
      </c>
      <c r="AD173" s="110">
        <v>0</v>
      </c>
      <c r="AE173" s="110">
        <v>2.04</v>
      </c>
      <c r="AF173" s="110">
        <v>-2.04</v>
      </c>
      <c r="AG173" s="110">
        <v>0</v>
      </c>
      <c r="AH173" s="110">
        <v>0</v>
      </c>
      <c r="AI173" s="110">
        <v>0</v>
      </c>
      <c r="AJ173" s="110">
        <v>0</v>
      </c>
      <c r="AK173" s="110">
        <v>23.72</v>
      </c>
      <c r="AL173" s="110">
        <v>-21.94</v>
      </c>
      <c r="AM173" s="110">
        <v>-1.78</v>
      </c>
      <c r="AN173" s="110">
        <v>0</v>
      </c>
      <c r="AO173" s="109"/>
      <c r="AP173" s="110">
        <v>0</v>
      </c>
      <c r="AQ173" s="110">
        <v>0</v>
      </c>
      <c r="AR173" s="110">
        <v>0</v>
      </c>
      <c r="AS173" s="110">
        <v>0</v>
      </c>
      <c r="AT173" s="110">
        <v>0</v>
      </c>
      <c r="AU173" s="110">
        <v>0</v>
      </c>
      <c r="AV173" s="110">
        <v>0</v>
      </c>
      <c r="AW173" s="110">
        <v>0</v>
      </c>
      <c r="AX173" s="110">
        <v>0</v>
      </c>
      <c r="AY173" s="110">
        <v>0</v>
      </c>
      <c r="AZ173" s="110">
        <v>0</v>
      </c>
      <c r="BA173" s="110">
        <v>0</v>
      </c>
    </row>
    <row r="174" spans="1:53" s="102" customFormat="1" outlineLevel="2">
      <c r="A174" s="102" t="s">
        <v>1695</v>
      </c>
      <c r="B174" s="103" t="s">
        <v>1696</v>
      </c>
      <c r="C174" s="104" t="s">
        <v>1697</v>
      </c>
      <c r="D174" s="298"/>
      <c r="E174" s="299"/>
      <c r="F174" s="105">
        <v>0</v>
      </c>
      <c r="G174" s="105">
        <v>0</v>
      </c>
      <c r="H174" s="106">
        <f t="shared" si="34"/>
        <v>0</v>
      </c>
      <c r="I174" s="300">
        <f t="shared" si="35"/>
        <v>0</v>
      </c>
      <c r="J174" s="107"/>
      <c r="K174" s="105">
        <v>0</v>
      </c>
      <c r="L174" s="105">
        <v>0</v>
      </c>
      <c r="M174" s="106">
        <f t="shared" si="36"/>
        <v>0</v>
      </c>
      <c r="N174" s="300">
        <f t="shared" si="37"/>
        <v>0</v>
      </c>
      <c r="O174" s="301"/>
      <c r="P174" s="107"/>
      <c r="Q174" s="105">
        <v>0</v>
      </c>
      <c r="R174" s="105">
        <v>0</v>
      </c>
      <c r="S174" s="106">
        <f t="shared" si="38"/>
        <v>0</v>
      </c>
      <c r="T174" s="300">
        <f t="shared" si="39"/>
        <v>0</v>
      </c>
      <c r="U174" s="107"/>
      <c r="V174" s="105">
        <v>0</v>
      </c>
      <c r="W174" s="105">
        <v>10.51</v>
      </c>
      <c r="X174" s="106">
        <f t="shared" si="40"/>
        <v>-10.51</v>
      </c>
      <c r="Y174" s="300" t="str">
        <f t="shared" si="41"/>
        <v>N.M.</v>
      </c>
      <c r="Z174" s="302"/>
      <c r="AA174" s="108">
        <v>0</v>
      </c>
      <c r="AB174" s="109"/>
      <c r="AC174" s="110">
        <v>0</v>
      </c>
      <c r="AD174" s="110">
        <v>0</v>
      </c>
      <c r="AE174" s="110">
        <v>0</v>
      </c>
      <c r="AF174" s="110">
        <v>0</v>
      </c>
      <c r="AG174" s="110">
        <v>0</v>
      </c>
      <c r="AH174" s="110">
        <v>0</v>
      </c>
      <c r="AI174" s="110">
        <v>0</v>
      </c>
      <c r="AJ174" s="110">
        <v>0</v>
      </c>
      <c r="AK174" s="110">
        <v>0</v>
      </c>
      <c r="AL174" s="110">
        <v>0</v>
      </c>
      <c r="AM174" s="110">
        <v>0</v>
      </c>
      <c r="AN174" s="110">
        <v>0</v>
      </c>
      <c r="AO174" s="109"/>
      <c r="AP174" s="110">
        <v>0</v>
      </c>
      <c r="AQ174" s="110">
        <v>0</v>
      </c>
      <c r="AR174" s="110">
        <v>0</v>
      </c>
      <c r="AS174" s="110">
        <v>0</v>
      </c>
      <c r="AT174" s="110">
        <v>0</v>
      </c>
      <c r="AU174" s="110">
        <v>0</v>
      </c>
      <c r="AV174" s="110">
        <v>0</v>
      </c>
      <c r="AW174" s="110">
        <v>0</v>
      </c>
      <c r="AX174" s="110">
        <v>0</v>
      </c>
      <c r="AY174" s="110">
        <v>0</v>
      </c>
      <c r="AZ174" s="110">
        <v>0</v>
      </c>
      <c r="BA174" s="110">
        <v>0</v>
      </c>
    </row>
    <row r="175" spans="1:53" outlineLevel="1">
      <c r="A175" s="111" t="s">
        <v>577</v>
      </c>
      <c r="B175" s="331"/>
      <c r="C175" s="332" t="s">
        <v>578</v>
      </c>
      <c r="D175" s="342"/>
      <c r="E175" s="342"/>
      <c r="F175" s="333">
        <v>6221383.9099999974</v>
      </c>
      <c r="G175" s="333">
        <v>26880585.75</v>
      </c>
      <c r="H175" s="133">
        <f t="shared" si="34"/>
        <v>-20659201.840000004</v>
      </c>
      <c r="I175" s="138">
        <f t="shared" si="35"/>
        <v>-0.76855474922082023</v>
      </c>
      <c r="J175" s="157"/>
      <c r="K175" s="333">
        <v>31253038.419999998</v>
      </c>
      <c r="L175" s="333">
        <v>67191791.200000033</v>
      </c>
      <c r="M175" s="133">
        <f t="shared" si="36"/>
        <v>-35938752.780000031</v>
      </c>
      <c r="N175" s="137">
        <f t="shared" si="37"/>
        <v>-0.53486820544828717</v>
      </c>
      <c r="O175" s="344"/>
      <c r="P175" s="344"/>
      <c r="Q175" s="333">
        <v>31253038.419999998</v>
      </c>
      <c r="R175" s="333">
        <v>67191791.200000033</v>
      </c>
      <c r="S175" s="133">
        <f t="shared" si="38"/>
        <v>-35938752.780000031</v>
      </c>
      <c r="T175" s="138">
        <f t="shared" si="39"/>
        <v>-0.53486820544828717</v>
      </c>
      <c r="U175" s="344"/>
      <c r="V175" s="333">
        <v>284977494.70999986</v>
      </c>
      <c r="W175" s="333">
        <v>210924946.88999993</v>
      </c>
      <c r="X175" s="133">
        <f t="shared" si="40"/>
        <v>74052547.819999933</v>
      </c>
      <c r="Y175" s="137">
        <f t="shared" si="41"/>
        <v>0.35108482382892003</v>
      </c>
      <c r="Z175" s="111"/>
      <c r="AA175" s="139">
        <v>15392583.27</v>
      </c>
      <c r="AB175" s="346"/>
      <c r="AC175" s="333">
        <v>18037358.120000001</v>
      </c>
      <c r="AD175" s="333">
        <v>22273847.330000009</v>
      </c>
      <c r="AE175" s="333">
        <v>26880585.75</v>
      </c>
      <c r="AF175" s="333">
        <v>21488246.66</v>
      </c>
      <c r="AG175" s="333">
        <v>21533360</v>
      </c>
      <c r="AH175" s="333">
        <v>23146920.750000004</v>
      </c>
      <c r="AI175" s="333">
        <v>26746178.890000015</v>
      </c>
      <c r="AJ175" s="333">
        <v>29369720.540000003</v>
      </c>
      <c r="AK175" s="333">
        <v>30279256.920000006</v>
      </c>
      <c r="AL175" s="333">
        <v>30052770.879999995</v>
      </c>
      <c r="AM175" s="333">
        <v>31543693.75</v>
      </c>
      <c r="AN175" s="333">
        <v>39564307.900000021</v>
      </c>
      <c r="AO175" s="346"/>
      <c r="AP175" s="333">
        <v>19679440.150000002</v>
      </c>
      <c r="AQ175" s="333">
        <v>5352214.3600000003</v>
      </c>
      <c r="AR175" s="333">
        <v>6221383.9099999974</v>
      </c>
      <c r="AS175" s="333">
        <v>90469143.540000021</v>
      </c>
      <c r="AT175" s="333">
        <v>0</v>
      </c>
      <c r="AU175" s="333">
        <v>0</v>
      </c>
      <c r="AV175" s="333">
        <v>0</v>
      </c>
      <c r="AW175" s="333">
        <v>0</v>
      </c>
      <c r="AX175" s="333">
        <v>0</v>
      </c>
      <c r="AY175" s="333">
        <v>0</v>
      </c>
      <c r="AZ175" s="333">
        <v>0</v>
      </c>
      <c r="BA175" s="333">
        <v>0</v>
      </c>
    </row>
    <row r="176" spans="1:53" ht="0.75" customHeight="1" outlineLevel="2">
      <c r="B176" s="331"/>
      <c r="C176" s="332"/>
      <c r="D176" s="342"/>
      <c r="E176" s="342"/>
      <c r="F176" s="333"/>
      <c r="G176" s="333"/>
      <c r="H176" s="133"/>
      <c r="I176" s="138"/>
      <c r="J176" s="157"/>
      <c r="K176" s="333"/>
      <c r="L176" s="333"/>
      <c r="M176" s="133"/>
      <c r="N176" s="137"/>
      <c r="O176" s="344"/>
      <c r="P176" s="344"/>
      <c r="Q176" s="333"/>
      <c r="R176" s="333"/>
      <c r="S176" s="133"/>
      <c r="T176" s="138"/>
      <c r="U176" s="344"/>
      <c r="V176" s="333"/>
      <c r="W176" s="333"/>
      <c r="X176" s="133"/>
      <c r="Y176" s="137"/>
      <c r="Z176" s="111"/>
      <c r="AA176" s="139"/>
      <c r="AB176" s="346"/>
      <c r="AC176" s="333"/>
      <c r="AD176" s="333"/>
      <c r="AE176" s="333"/>
      <c r="AF176" s="333"/>
      <c r="AG176" s="333"/>
      <c r="AH176" s="333"/>
      <c r="AI176" s="333"/>
      <c r="AJ176" s="333"/>
      <c r="AK176" s="333"/>
      <c r="AL176" s="333"/>
      <c r="AM176" s="333"/>
      <c r="AN176" s="333"/>
      <c r="AO176" s="346"/>
      <c r="AP176" s="333"/>
      <c r="AQ176" s="333"/>
      <c r="AR176" s="333"/>
      <c r="AS176" s="333"/>
      <c r="AT176" s="333"/>
      <c r="AU176" s="333"/>
      <c r="AV176" s="333"/>
      <c r="AW176" s="333"/>
      <c r="AX176" s="333"/>
      <c r="AY176" s="333"/>
      <c r="AZ176" s="333"/>
      <c r="BA176" s="333"/>
    </row>
    <row r="177" spans="1:53" outlineLevel="1">
      <c r="A177" s="111" t="s">
        <v>579</v>
      </c>
      <c r="B177" s="331"/>
      <c r="C177" s="332" t="s">
        <v>580</v>
      </c>
      <c r="D177" s="342"/>
      <c r="E177" s="342"/>
      <c r="F177" s="333">
        <v>0</v>
      </c>
      <c r="G177" s="333">
        <v>0</v>
      </c>
      <c r="H177" s="133">
        <f>+F177-G177</f>
        <v>0</v>
      </c>
      <c r="I177" s="138">
        <f>IF(G177&lt;0,IF(H177=0,0,IF(OR(G177=0,F177=0),"N.M.",IF(ABS(H177/G177)&gt;=10,"N.M.",H177/(-G177)))),IF(H177=0,0,IF(OR(G177=0,F177=0),"N.M.",IF(ABS(H177/G177)&gt;=10,"N.M.",H177/G177))))</f>
        <v>0</v>
      </c>
      <c r="J177" s="157"/>
      <c r="K177" s="333">
        <v>0</v>
      </c>
      <c r="L177" s="333">
        <v>0</v>
      </c>
      <c r="M177" s="133">
        <f>+K177-L177</f>
        <v>0</v>
      </c>
      <c r="N177" s="137">
        <f>IF(L177&lt;0,IF(M177=0,0,IF(OR(L177=0,K177=0),"N.M.",IF(ABS(M177/L177)&gt;=10,"N.M.",M177/(-L177)))),IF(M177=0,0,IF(OR(L177=0,K177=0),"N.M.",IF(ABS(M177/L177)&gt;=10,"N.M.",M177/L177))))</f>
        <v>0</v>
      </c>
      <c r="O177" s="344"/>
      <c r="P177" s="344"/>
      <c r="Q177" s="333">
        <v>0</v>
      </c>
      <c r="R177" s="333">
        <v>0</v>
      </c>
      <c r="S177" s="133">
        <f>+Q177-R177</f>
        <v>0</v>
      </c>
      <c r="T177" s="138">
        <f>IF(R177&lt;0,IF(S177=0,0,IF(OR(R177=0,Q177=0),"N.M.",IF(ABS(S177/R177)&gt;=10,"N.M.",S177/(-R177)))),IF(S177=0,0,IF(OR(R177=0,Q177=0),"N.M.",IF(ABS(S177/R177)&gt;=10,"N.M.",S177/R177))))</f>
        <v>0</v>
      </c>
      <c r="U177" s="344"/>
      <c r="V177" s="333">
        <v>0</v>
      </c>
      <c r="W177" s="333">
        <v>0</v>
      </c>
      <c r="X177" s="133">
        <f>+V177-W177</f>
        <v>0</v>
      </c>
      <c r="Y177" s="137">
        <f>IF(W177&lt;0,IF(X177=0,0,IF(OR(W177=0,V177=0),"N.M.",IF(ABS(X177/W177)&gt;=10,"N.M.",X177/(-W177)))),IF(X177=0,0,IF(OR(W177=0,V177=0),"N.M.",IF(ABS(X177/W177)&gt;=10,"N.M.",X177/W177))))</f>
        <v>0</v>
      </c>
      <c r="Z177" s="111"/>
      <c r="AA177" s="139">
        <v>0</v>
      </c>
      <c r="AB177" s="346"/>
      <c r="AC177" s="333">
        <v>0</v>
      </c>
      <c r="AD177" s="333">
        <v>0</v>
      </c>
      <c r="AE177" s="333">
        <v>0</v>
      </c>
      <c r="AF177" s="333">
        <v>0</v>
      </c>
      <c r="AG177" s="333">
        <v>0</v>
      </c>
      <c r="AH177" s="333">
        <v>0</v>
      </c>
      <c r="AI177" s="333">
        <v>0</v>
      </c>
      <c r="AJ177" s="333">
        <v>0</v>
      </c>
      <c r="AK177" s="333">
        <v>0</v>
      </c>
      <c r="AL177" s="333">
        <v>0</v>
      </c>
      <c r="AM177" s="333">
        <v>0</v>
      </c>
      <c r="AN177" s="333">
        <v>0</v>
      </c>
      <c r="AO177" s="346"/>
      <c r="AP177" s="333">
        <v>0</v>
      </c>
      <c r="AQ177" s="333">
        <v>0</v>
      </c>
      <c r="AR177" s="333">
        <v>0</v>
      </c>
      <c r="AS177" s="333">
        <v>0</v>
      </c>
      <c r="AT177" s="333">
        <v>0</v>
      </c>
      <c r="AU177" s="333">
        <v>0</v>
      </c>
      <c r="AV177" s="333">
        <v>0</v>
      </c>
      <c r="AW177" s="333">
        <v>0</v>
      </c>
      <c r="AX177" s="333">
        <v>0</v>
      </c>
      <c r="AY177" s="333">
        <v>0</v>
      </c>
      <c r="AZ177" s="333">
        <v>0</v>
      </c>
      <c r="BA177" s="333">
        <v>0</v>
      </c>
    </row>
    <row r="178" spans="1:53" ht="0.75" customHeight="1" outlineLevel="2">
      <c r="B178" s="331"/>
      <c r="C178" s="332"/>
      <c r="D178" s="342"/>
      <c r="E178" s="342"/>
      <c r="F178" s="333"/>
      <c r="G178" s="333"/>
      <c r="H178" s="133"/>
      <c r="I178" s="138"/>
      <c r="J178" s="157"/>
      <c r="K178" s="333"/>
      <c r="L178" s="333"/>
      <c r="M178" s="133"/>
      <c r="N178" s="137"/>
      <c r="O178" s="344"/>
      <c r="P178" s="344"/>
      <c r="Q178" s="333"/>
      <c r="R178" s="333"/>
      <c r="S178" s="133"/>
      <c r="T178" s="138"/>
      <c r="U178" s="344"/>
      <c r="V178" s="333"/>
      <c r="W178" s="333"/>
      <c r="X178" s="133"/>
      <c r="Y178" s="137"/>
      <c r="Z178" s="111"/>
      <c r="AA178" s="139"/>
      <c r="AB178" s="346"/>
      <c r="AC178" s="333"/>
      <c r="AD178" s="333"/>
      <c r="AE178" s="333"/>
      <c r="AF178" s="333"/>
      <c r="AG178" s="333"/>
      <c r="AH178" s="333"/>
      <c r="AI178" s="333"/>
      <c r="AJ178" s="333"/>
      <c r="AK178" s="333"/>
      <c r="AL178" s="333"/>
      <c r="AM178" s="333"/>
      <c r="AN178" s="333"/>
      <c r="AO178" s="346"/>
      <c r="AP178" s="333"/>
      <c r="AQ178" s="333"/>
      <c r="AR178" s="333"/>
      <c r="AS178" s="333"/>
      <c r="AT178" s="333"/>
      <c r="AU178" s="333"/>
      <c r="AV178" s="333"/>
      <c r="AW178" s="333"/>
      <c r="AX178" s="333"/>
      <c r="AY178" s="333"/>
      <c r="AZ178" s="333"/>
      <c r="BA178" s="333"/>
    </row>
    <row r="179" spans="1:53" s="102" customFormat="1" outlineLevel="2">
      <c r="A179" s="102" t="s">
        <v>581</v>
      </c>
      <c r="B179" s="103" t="s">
        <v>582</v>
      </c>
      <c r="C179" s="104" t="s">
        <v>437</v>
      </c>
      <c r="D179" s="298"/>
      <c r="E179" s="299"/>
      <c r="F179" s="105">
        <v>751863.65</v>
      </c>
      <c r="G179" s="105">
        <v>242891.4</v>
      </c>
      <c r="H179" s="106">
        <f t="shared" ref="H179:H212" si="42">+F179-G179</f>
        <v>508972.25</v>
      </c>
      <c r="I179" s="300">
        <f t="shared" ref="I179:I212" si="43">IF(G179&lt;0,IF(H179=0,0,IF(OR(G179=0,F179=0),"N.M.",IF(ABS(H179/G179)&gt;=10,"N.M.",H179/(-G179)))),IF(H179=0,0,IF(OR(G179=0,F179=0),"N.M.",IF(ABS(H179/G179)&gt;=10,"N.M.",H179/G179))))</f>
        <v>2.0954725033492334</v>
      </c>
      <c r="J179" s="107"/>
      <c r="K179" s="105">
        <v>1276212.1299999999</v>
      </c>
      <c r="L179" s="105">
        <v>795328.48</v>
      </c>
      <c r="M179" s="106">
        <f t="shared" ref="M179:M212" si="44">+K179-L179</f>
        <v>480883.64999999991</v>
      </c>
      <c r="N179" s="300">
        <f t="shared" ref="N179:N212" si="45">IF(L179&lt;0,IF(M179=0,0,IF(OR(L179=0,K179=0),"N.M.",IF(ABS(M179/L179)&gt;=10,"N.M.",M179/(-L179)))),IF(M179=0,0,IF(OR(L179=0,K179=0),"N.M.",IF(ABS(M179/L179)&gt;=10,"N.M.",M179/L179))))</f>
        <v>0.60463526969385017</v>
      </c>
      <c r="O179" s="301"/>
      <c r="P179" s="107"/>
      <c r="Q179" s="105">
        <v>1276212.1299999999</v>
      </c>
      <c r="R179" s="105">
        <v>795328.48</v>
      </c>
      <c r="S179" s="106">
        <f t="shared" ref="S179:S212" si="46">+Q179-R179</f>
        <v>480883.64999999991</v>
      </c>
      <c r="T179" s="300">
        <f t="shared" ref="T179:T212" si="47">IF(R179&lt;0,IF(S179=0,0,IF(OR(R179=0,Q179=0),"N.M.",IF(ABS(S179/R179)&gt;=10,"N.M.",S179/(-R179)))),IF(S179=0,0,IF(OR(R179=0,Q179=0),"N.M.",IF(ABS(S179/R179)&gt;=10,"N.M.",S179/R179))))</f>
        <v>0.60463526969385017</v>
      </c>
      <c r="U179" s="107"/>
      <c r="V179" s="105">
        <v>3597391.25</v>
      </c>
      <c r="W179" s="105">
        <v>2602815.36</v>
      </c>
      <c r="X179" s="106">
        <f t="shared" ref="X179:X212" si="48">+V179-W179</f>
        <v>994575.89000000013</v>
      </c>
      <c r="Y179" s="300">
        <f t="shared" ref="Y179:Y212" si="49">IF(W179&lt;0,IF(X179=0,0,IF(OR(W179=0,V179=0),"N.M.",IF(ABS(X179/W179)&gt;=10,"N.M.",X179/(-W179)))),IF(X179=0,0,IF(OR(W179=0,V179=0),"N.M.",IF(ABS(X179/W179)&gt;=10,"N.M.",X179/W179))))</f>
        <v>0.38211542212506389</v>
      </c>
      <c r="Z179" s="302"/>
      <c r="AA179" s="108">
        <v>147939.45000000001</v>
      </c>
      <c r="AB179" s="109"/>
      <c r="AC179" s="110">
        <v>349561.39</v>
      </c>
      <c r="AD179" s="110">
        <v>202875.69</v>
      </c>
      <c r="AE179" s="110">
        <v>242891.4</v>
      </c>
      <c r="AF179" s="110">
        <v>209151.12</v>
      </c>
      <c r="AG179" s="110">
        <v>203994.32</v>
      </c>
      <c r="AH179" s="110">
        <v>232116.02000000002</v>
      </c>
      <c r="AI179" s="110">
        <v>137771.42000000001</v>
      </c>
      <c r="AJ179" s="110">
        <v>698071.19000000006</v>
      </c>
      <c r="AK179" s="110">
        <v>166561.32</v>
      </c>
      <c r="AL179" s="110">
        <v>356151.60000000003</v>
      </c>
      <c r="AM179" s="110">
        <v>102942.21</v>
      </c>
      <c r="AN179" s="110">
        <v>214419.92</v>
      </c>
      <c r="AO179" s="109"/>
      <c r="AP179" s="110">
        <v>247991.85</v>
      </c>
      <c r="AQ179" s="110">
        <v>276356.63</v>
      </c>
      <c r="AR179" s="110">
        <v>751863.65</v>
      </c>
      <c r="AS179" s="110">
        <v>462.1</v>
      </c>
      <c r="AT179" s="110">
        <v>0</v>
      </c>
      <c r="AU179" s="110">
        <v>0</v>
      </c>
      <c r="AV179" s="110">
        <v>0</v>
      </c>
      <c r="AW179" s="110">
        <v>0</v>
      </c>
      <c r="AX179" s="110">
        <v>0</v>
      </c>
      <c r="AY179" s="110">
        <v>0</v>
      </c>
      <c r="AZ179" s="110">
        <v>0</v>
      </c>
      <c r="BA179" s="110">
        <v>0</v>
      </c>
    </row>
    <row r="180" spans="1:53" s="102" customFormat="1" outlineLevel="2">
      <c r="A180" s="102" t="s">
        <v>583</v>
      </c>
      <c r="B180" s="103" t="s">
        <v>584</v>
      </c>
      <c r="C180" s="104" t="s">
        <v>585</v>
      </c>
      <c r="D180" s="298"/>
      <c r="E180" s="299"/>
      <c r="F180" s="105">
        <v>0</v>
      </c>
      <c r="G180" s="105">
        <v>-2.06</v>
      </c>
      <c r="H180" s="106">
        <f t="shared" si="42"/>
        <v>2.06</v>
      </c>
      <c r="I180" s="300" t="str">
        <f t="shared" si="43"/>
        <v>N.M.</v>
      </c>
      <c r="J180" s="107"/>
      <c r="K180" s="105">
        <v>0</v>
      </c>
      <c r="L180" s="105">
        <v>0</v>
      </c>
      <c r="M180" s="106">
        <f t="shared" si="44"/>
        <v>0</v>
      </c>
      <c r="N180" s="300">
        <f t="shared" si="45"/>
        <v>0</v>
      </c>
      <c r="O180" s="301"/>
      <c r="P180" s="107"/>
      <c r="Q180" s="105">
        <v>0</v>
      </c>
      <c r="R180" s="105">
        <v>0</v>
      </c>
      <c r="S180" s="106">
        <f t="shared" si="46"/>
        <v>0</v>
      </c>
      <c r="T180" s="300">
        <f t="shared" si="47"/>
        <v>0</v>
      </c>
      <c r="U180" s="107"/>
      <c r="V180" s="105">
        <v>0</v>
      </c>
      <c r="W180" s="105">
        <v>0</v>
      </c>
      <c r="X180" s="106">
        <f t="shared" si="48"/>
        <v>0</v>
      </c>
      <c r="Y180" s="300">
        <f t="shared" si="49"/>
        <v>0</v>
      </c>
      <c r="Z180" s="302"/>
      <c r="AA180" s="108">
        <v>0</v>
      </c>
      <c r="AB180" s="109"/>
      <c r="AC180" s="110">
        <v>0</v>
      </c>
      <c r="AD180" s="110">
        <v>2.06</v>
      </c>
      <c r="AE180" s="110">
        <v>-2.06</v>
      </c>
      <c r="AF180" s="110">
        <v>0</v>
      </c>
      <c r="AG180" s="110">
        <v>0</v>
      </c>
      <c r="AH180" s="110">
        <v>0</v>
      </c>
      <c r="AI180" s="110">
        <v>0</v>
      </c>
      <c r="AJ180" s="110">
        <v>0</v>
      </c>
      <c r="AK180" s="110">
        <v>0</v>
      </c>
      <c r="AL180" s="110">
        <v>0</v>
      </c>
      <c r="AM180" s="110">
        <v>0</v>
      </c>
      <c r="AN180" s="110">
        <v>0</v>
      </c>
      <c r="AO180" s="109"/>
      <c r="AP180" s="110">
        <v>0</v>
      </c>
      <c r="AQ180" s="110">
        <v>0</v>
      </c>
      <c r="AR180" s="110">
        <v>0</v>
      </c>
      <c r="AS180" s="110">
        <v>0</v>
      </c>
      <c r="AT180" s="110">
        <v>0</v>
      </c>
      <c r="AU180" s="110">
        <v>0</v>
      </c>
      <c r="AV180" s="110">
        <v>0</v>
      </c>
      <c r="AW180" s="110">
        <v>0</v>
      </c>
      <c r="AX180" s="110">
        <v>0</v>
      </c>
      <c r="AY180" s="110">
        <v>0</v>
      </c>
      <c r="AZ180" s="110">
        <v>0</v>
      </c>
      <c r="BA180" s="110">
        <v>0</v>
      </c>
    </row>
    <row r="181" spans="1:53" s="102" customFormat="1" outlineLevel="2">
      <c r="A181" s="102" t="s">
        <v>586</v>
      </c>
      <c r="B181" s="103" t="s">
        <v>587</v>
      </c>
      <c r="C181" s="104" t="s">
        <v>588</v>
      </c>
      <c r="D181" s="298"/>
      <c r="E181" s="299"/>
      <c r="F181" s="105">
        <v>29138.850000000002</v>
      </c>
      <c r="G181" s="105">
        <v>28444.03</v>
      </c>
      <c r="H181" s="106">
        <f t="shared" si="42"/>
        <v>694.82000000000335</v>
      </c>
      <c r="I181" s="300">
        <f t="shared" si="43"/>
        <v>2.4427621543079633E-2</v>
      </c>
      <c r="J181" s="107"/>
      <c r="K181" s="105">
        <v>85243.21</v>
      </c>
      <c r="L181" s="105">
        <v>80582.240000000005</v>
      </c>
      <c r="M181" s="106">
        <f t="shared" si="44"/>
        <v>4660.9700000000012</v>
      </c>
      <c r="N181" s="300">
        <f t="shared" si="45"/>
        <v>5.7841157058925154E-2</v>
      </c>
      <c r="O181" s="301"/>
      <c r="P181" s="107"/>
      <c r="Q181" s="105">
        <v>85243.21</v>
      </c>
      <c r="R181" s="105">
        <v>80582.240000000005</v>
      </c>
      <c r="S181" s="106">
        <f t="shared" si="46"/>
        <v>4660.9700000000012</v>
      </c>
      <c r="T181" s="300">
        <f t="shared" si="47"/>
        <v>5.7841157058925154E-2</v>
      </c>
      <c r="U181" s="107"/>
      <c r="V181" s="105">
        <v>317582.62</v>
      </c>
      <c r="W181" s="105">
        <v>309154.49</v>
      </c>
      <c r="X181" s="106">
        <f t="shared" si="48"/>
        <v>8428.1300000000047</v>
      </c>
      <c r="Y181" s="300">
        <f t="shared" si="49"/>
        <v>2.7261871564601907E-2</v>
      </c>
      <c r="Z181" s="302"/>
      <c r="AA181" s="108">
        <v>21348.720000000001</v>
      </c>
      <c r="AB181" s="109"/>
      <c r="AC181" s="110">
        <v>27134.400000000001</v>
      </c>
      <c r="AD181" s="110">
        <v>25003.81</v>
      </c>
      <c r="AE181" s="110">
        <v>28444.03</v>
      </c>
      <c r="AF181" s="110">
        <v>29411.87</v>
      </c>
      <c r="AG181" s="110">
        <v>27322.89</v>
      </c>
      <c r="AH181" s="110">
        <v>28297.940000000002</v>
      </c>
      <c r="AI181" s="110">
        <v>18064.36</v>
      </c>
      <c r="AJ181" s="110">
        <v>26576.48</v>
      </c>
      <c r="AK181" s="110">
        <v>24946.22</v>
      </c>
      <c r="AL181" s="110">
        <v>25228.37</v>
      </c>
      <c r="AM181" s="110">
        <v>23304.37</v>
      </c>
      <c r="AN181" s="110">
        <v>29186.91</v>
      </c>
      <c r="AO181" s="109"/>
      <c r="AP181" s="110">
        <v>29656.03</v>
      </c>
      <c r="AQ181" s="110">
        <v>26448.33</v>
      </c>
      <c r="AR181" s="110">
        <v>29138.850000000002</v>
      </c>
      <c r="AS181" s="110">
        <v>0</v>
      </c>
      <c r="AT181" s="110">
        <v>0</v>
      </c>
      <c r="AU181" s="110">
        <v>0</v>
      </c>
      <c r="AV181" s="110">
        <v>0</v>
      </c>
      <c r="AW181" s="110">
        <v>0</v>
      </c>
      <c r="AX181" s="110">
        <v>0</v>
      </c>
      <c r="AY181" s="110">
        <v>0</v>
      </c>
      <c r="AZ181" s="110">
        <v>0</v>
      </c>
      <c r="BA181" s="110">
        <v>0</v>
      </c>
    </row>
    <row r="182" spans="1:53" s="102" customFormat="1" outlineLevel="2">
      <c r="A182" s="102" t="s">
        <v>589</v>
      </c>
      <c r="B182" s="103" t="s">
        <v>590</v>
      </c>
      <c r="C182" s="104" t="s">
        <v>591</v>
      </c>
      <c r="D182" s="298"/>
      <c r="E182" s="299"/>
      <c r="F182" s="105">
        <v>3899.09</v>
      </c>
      <c r="G182" s="105">
        <v>2211.04</v>
      </c>
      <c r="H182" s="106">
        <f t="shared" si="42"/>
        <v>1688.0500000000002</v>
      </c>
      <c r="I182" s="300">
        <f t="shared" si="43"/>
        <v>0.76346425211665103</v>
      </c>
      <c r="J182" s="107"/>
      <c r="K182" s="105">
        <v>9561.86</v>
      </c>
      <c r="L182" s="105">
        <v>18479.77</v>
      </c>
      <c r="M182" s="106">
        <f t="shared" si="44"/>
        <v>-8917.91</v>
      </c>
      <c r="N182" s="300">
        <f t="shared" si="45"/>
        <v>-0.48257689354358846</v>
      </c>
      <c r="O182" s="301"/>
      <c r="P182" s="107"/>
      <c r="Q182" s="105">
        <v>9561.86</v>
      </c>
      <c r="R182" s="105">
        <v>18479.77</v>
      </c>
      <c r="S182" s="106">
        <f t="shared" si="46"/>
        <v>-8917.91</v>
      </c>
      <c r="T182" s="300">
        <f t="shared" si="47"/>
        <v>-0.48257689354358846</v>
      </c>
      <c r="U182" s="107"/>
      <c r="V182" s="105">
        <v>76554.790000000008</v>
      </c>
      <c r="W182" s="105">
        <v>113399.72</v>
      </c>
      <c r="X182" s="106">
        <f t="shared" si="48"/>
        <v>-36844.929999999993</v>
      </c>
      <c r="Y182" s="300">
        <f t="shared" si="49"/>
        <v>-0.32491200154638822</v>
      </c>
      <c r="Z182" s="302"/>
      <c r="AA182" s="108">
        <v>4283.41</v>
      </c>
      <c r="AB182" s="109"/>
      <c r="AC182" s="110">
        <v>1193.42</v>
      </c>
      <c r="AD182" s="110">
        <v>15075.31</v>
      </c>
      <c r="AE182" s="110">
        <v>2211.04</v>
      </c>
      <c r="AF182" s="110">
        <v>14515.2</v>
      </c>
      <c r="AG182" s="110">
        <v>6543.18</v>
      </c>
      <c r="AH182" s="110">
        <v>10821.92</v>
      </c>
      <c r="AI182" s="110">
        <v>14111.74</v>
      </c>
      <c r="AJ182" s="110">
        <v>8151.1</v>
      </c>
      <c r="AK182" s="110">
        <v>270.69</v>
      </c>
      <c r="AL182" s="110">
        <v>3189.46</v>
      </c>
      <c r="AM182" s="110">
        <v>4169.2</v>
      </c>
      <c r="AN182" s="110">
        <v>5220.4400000000005</v>
      </c>
      <c r="AO182" s="109"/>
      <c r="AP182" s="110">
        <v>-117.62</v>
      </c>
      <c r="AQ182" s="110">
        <v>5780.39</v>
      </c>
      <c r="AR182" s="110">
        <v>3899.09</v>
      </c>
      <c r="AS182" s="110">
        <v>-335.42</v>
      </c>
      <c r="AT182" s="110">
        <v>0</v>
      </c>
      <c r="AU182" s="110">
        <v>0</v>
      </c>
      <c r="AV182" s="110">
        <v>0</v>
      </c>
      <c r="AW182" s="110">
        <v>0</v>
      </c>
      <c r="AX182" s="110">
        <v>0</v>
      </c>
      <c r="AY182" s="110">
        <v>0</v>
      </c>
      <c r="AZ182" s="110">
        <v>0</v>
      </c>
      <c r="BA182" s="110">
        <v>0</v>
      </c>
    </row>
    <row r="183" spans="1:53" s="102" customFormat="1" outlineLevel="2">
      <c r="A183" s="102" t="s">
        <v>592</v>
      </c>
      <c r="B183" s="103" t="s">
        <v>593</v>
      </c>
      <c r="C183" s="104" t="s">
        <v>594</v>
      </c>
      <c r="D183" s="298"/>
      <c r="E183" s="299"/>
      <c r="F183" s="105">
        <v>94112.82</v>
      </c>
      <c r="G183" s="105">
        <v>87930.36</v>
      </c>
      <c r="H183" s="106">
        <f t="shared" si="42"/>
        <v>6182.4600000000064</v>
      </c>
      <c r="I183" s="300">
        <f t="shared" si="43"/>
        <v>7.0310868737487334E-2</v>
      </c>
      <c r="J183" s="107"/>
      <c r="K183" s="105">
        <v>213372.14</v>
      </c>
      <c r="L183" s="105">
        <v>274047.92</v>
      </c>
      <c r="M183" s="106">
        <f t="shared" si="44"/>
        <v>-60675.77999999997</v>
      </c>
      <c r="N183" s="300">
        <f t="shared" si="45"/>
        <v>-0.22140573079335896</v>
      </c>
      <c r="O183" s="301"/>
      <c r="P183" s="107"/>
      <c r="Q183" s="105">
        <v>213372.14</v>
      </c>
      <c r="R183" s="105">
        <v>274047.92</v>
      </c>
      <c r="S183" s="106">
        <f t="shared" si="46"/>
        <v>-60675.77999999997</v>
      </c>
      <c r="T183" s="300">
        <f t="shared" si="47"/>
        <v>-0.22140573079335896</v>
      </c>
      <c r="U183" s="107"/>
      <c r="V183" s="105">
        <v>1080926.07</v>
      </c>
      <c r="W183" s="105">
        <v>964351.34000000008</v>
      </c>
      <c r="X183" s="106">
        <f t="shared" si="48"/>
        <v>116574.72999999998</v>
      </c>
      <c r="Y183" s="300">
        <f t="shared" si="49"/>
        <v>0.12088408566944074</v>
      </c>
      <c r="Z183" s="302"/>
      <c r="AA183" s="108">
        <v>83856</v>
      </c>
      <c r="AB183" s="109"/>
      <c r="AC183" s="110">
        <v>7300.87</v>
      </c>
      <c r="AD183" s="110">
        <v>178816.69</v>
      </c>
      <c r="AE183" s="110">
        <v>87930.36</v>
      </c>
      <c r="AF183" s="110">
        <v>91307.16</v>
      </c>
      <c r="AG183" s="110">
        <v>94499.67</v>
      </c>
      <c r="AH183" s="110">
        <v>107491.65000000001</v>
      </c>
      <c r="AI183" s="110">
        <v>78032.400000000009</v>
      </c>
      <c r="AJ183" s="110">
        <v>72859.839999999997</v>
      </c>
      <c r="AK183" s="110">
        <v>2027.3700000000001</v>
      </c>
      <c r="AL183" s="110">
        <v>184393.29</v>
      </c>
      <c r="AM183" s="110">
        <v>124230.51000000001</v>
      </c>
      <c r="AN183" s="110">
        <v>112712.04000000001</v>
      </c>
      <c r="AO183" s="109"/>
      <c r="AP183" s="110">
        <v>14069.59</v>
      </c>
      <c r="AQ183" s="110">
        <v>105189.73</v>
      </c>
      <c r="AR183" s="110">
        <v>94112.82</v>
      </c>
      <c r="AS183" s="110">
        <v>-8011.9400000000005</v>
      </c>
      <c r="AT183" s="110">
        <v>0</v>
      </c>
      <c r="AU183" s="110">
        <v>0</v>
      </c>
      <c r="AV183" s="110">
        <v>0</v>
      </c>
      <c r="AW183" s="110">
        <v>0</v>
      </c>
      <c r="AX183" s="110">
        <v>0</v>
      </c>
      <c r="AY183" s="110">
        <v>0</v>
      </c>
      <c r="AZ183" s="110">
        <v>0</v>
      </c>
      <c r="BA183" s="110">
        <v>0</v>
      </c>
    </row>
    <row r="184" spans="1:53" s="102" customFormat="1" outlineLevel="2">
      <c r="A184" s="102" t="s">
        <v>595</v>
      </c>
      <c r="B184" s="103" t="s">
        <v>596</v>
      </c>
      <c r="C184" s="104" t="s">
        <v>597</v>
      </c>
      <c r="D184" s="298"/>
      <c r="E184" s="299"/>
      <c r="F184" s="105">
        <v>0</v>
      </c>
      <c r="G184" s="105">
        <v>0</v>
      </c>
      <c r="H184" s="106">
        <f t="shared" si="42"/>
        <v>0</v>
      </c>
      <c r="I184" s="300">
        <f t="shared" si="43"/>
        <v>0</v>
      </c>
      <c r="J184" s="107"/>
      <c r="K184" s="105">
        <v>0</v>
      </c>
      <c r="L184" s="105">
        <v>0</v>
      </c>
      <c r="M184" s="106">
        <f t="shared" si="44"/>
        <v>0</v>
      </c>
      <c r="N184" s="300">
        <f t="shared" si="45"/>
        <v>0</v>
      </c>
      <c r="O184" s="301"/>
      <c r="P184" s="107"/>
      <c r="Q184" s="105">
        <v>0</v>
      </c>
      <c r="R184" s="105">
        <v>0</v>
      </c>
      <c r="S184" s="106">
        <f t="shared" si="46"/>
        <v>0</v>
      </c>
      <c r="T184" s="300">
        <f t="shared" si="47"/>
        <v>0</v>
      </c>
      <c r="U184" s="107"/>
      <c r="V184" s="105">
        <v>0</v>
      </c>
      <c r="W184" s="105">
        <v>65.42</v>
      </c>
      <c r="X184" s="106">
        <f t="shared" si="48"/>
        <v>-65.42</v>
      </c>
      <c r="Y184" s="300" t="str">
        <f t="shared" si="49"/>
        <v>N.M.</v>
      </c>
      <c r="Z184" s="302"/>
      <c r="AA184" s="108">
        <v>0</v>
      </c>
      <c r="AB184" s="109"/>
      <c r="AC184" s="110">
        <v>0</v>
      </c>
      <c r="AD184" s="110">
        <v>0</v>
      </c>
      <c r="AE184" s="110">
        <v>0</v>
      </c>
      <c r="AF184" s="110">
        <v>0</v>
      </c>
      <c r="AG184" s="110">
        <v>0</v>
      </c>
      <c r="AH184" s="110">
        <v>0</v>
      </c>
      <c r="AI184" s="110">
        <v>0</v>
      </c>
      <c r="AJ184" s="110">
        <v>0</v>
      </c>
      <c r="AK184" s="110">
        <v>0</v>
      </c>
      <c r="AL184" s="110">
        <v>0</v>
      </c>
      <c r="AM184" s="110">
        <v>0</v>
      </c>
      <c r="AN184" s="110">
        <v>0</v>
      </c>
      <c r="AO184" s="109"/>
      <c r="AP184" s="110">
        <v>0</v>
      </c>
      <c r="AQ184" s="110">
        <v>0</v>
      </c>
      <c r="AR184" s="110">
        <v>0</v>
      </c>
      <c r="AS184" s="110">
        <v>0</v>
      </c>
      <c r="AT184" s="110">
        <v>0</v>
      </c>
      <c r="AU184" s="110">
        <v>0</v>
      </c>
      <c r="AV184" s="110">
        <v>0</v>
      </c>
      <c r="AW184" s="110">
        <v>0</v>
      </c>
      <c r="AX184" s="110">
        <v>0</v>
      </c>
      <c r="AY184" s="110">
        <v>0</v>
      </c>
      <c r="AZ184" s="110">
        <v>0</v>
      </c>
      <c r="BA184" s="110">
        <v>0</v>
      </c>
    </row>
    <row r="185" spans="1:53" s="102" customFormat="1" outlineLevel="2">
      <c r="A185" s="102" t="s">
        <v>598</v>
      </c>
      <c r="B185" s="103" t="s">
        <v>599</v>
      </c>
      <c r="C185" s="104" t="s">
        <v>600</v>
      </c>
      <c r="D185" s="298"/>
      <c r="E185" s="299"/>
      <c r="F185" s="105">
        <v>4112.75</v>
      </c>
      <c r="G185" s="105">
        <v>4112.75</v>
      </c>
      <c r="H185" s="106">
        <f t="shared" si="42"/>
        <v>0</v>
      </c>
      <c r="I185" s="300">
        <f t="shared" si="43"/>
        <v>0</v>
      </c>
      <c r="J185" s="107"/>
      <c r="K185" s="105">
        <v>4112.75</v>
      </c>
      <c r="L185" s="105">
        <v>4112.75</v>
      </c>
      <c r="M185" s="106">
        <f t="shared" si="44"/>
        <v>0</v>
      </c>
      <c r="N185" s="300">
        <f t="shared" si="45"/>
        <v>0</v>
      </c>
      <c r="O185" s="301"/>
      <c r="P185" s="107"/>
      <c r="Q185" s="105">
        <v>4112.75</v>
      </c>
      <c r="R185" s="105">
        <v>4112.75</v>
      </c>
      <c r="S185" s="106">
        <f t="shared" si="46"/>
        <v>0</v>
      </c>
      <c r="T185" s="300">
        <f t="shared" si="47"/>
        <v>0</v>
      </c>
      <c r="U185" s="107"/>
      <c r="V185" s="105">
        <v>16451</v>
      </c>
      <c r="W185" s="105">
        <v>20582.170000000002</v>
      </c>
      <c r="X185" s="106">
        <f t="shared" si="48"/>
        <v>-4131.1700000000019</v>
      </c>
      <c r="Y185" s="300">
        <f t="shared" si="49"/>
        <v>-0.20071595949309531</v>
      </c>
      <c r="Z185" s="302"/>
      <c r="AA185" s="108">
        <v>4112.75</v>
      </c>
      <c r="AB185" s="109"/>
      <c r="AC185" s="110">
        <v>0</v>
      </c>
      <c r="AD185" s="110">
        <v>0</v>
      </c>
      <c r="AE185" s="110">
        <v>4112.75</v>
      </c>
      <c r="AF185" s="110">
        <v>0</v>
      </c>
      <c r="AG185" s="110">
        <v>0</v>
      </c>
      <c r="AH185" s="110">
        <v>4112.75</v>
      </c>
      <c r="AI185" s="110">
        <v>0</v>
      </c>
      <c r="AJ185" s="110">
        <v>0</v>
      </c>
      <c r="AK185" s="110">
        <v>4112.75</v>
      </c>
      <c r="AL185" s="110">
        <v>0</v>
      </c>
      <c r="AM185" s="110">
        <v>0</v>
      </c>
      <c r="AN185" s="110">
        <v>4112.75</v>
      </c>
      <c r="AO185" s="109"/>
      <c r="AP185" s="110">
        <v>0</v>
      </c>
      <c r="AQ185" s="110">
        <v>0</v>
      </c>
      <c r="AR185" s="110">
        <v>4112.75</v>
      </c>
      <c r="AS185" s="110">
        <v>0</v>
      </c>
      <c r="AT185" s="110">
        <v>0</v>
      </c>
      <c r="AU185" s="110">
        <v>0</v>
      </c>
      <c r="AV185" s="110">
        <v>0</v>
      </c>
      <c r="AW185" s="110">
        <v>0</v>
      </c>
      <c r="AX185" s="110">
        <v>0</v>
      </c>
      <c r="AY185" s="110">
        <v>0</v>
      </c>
      <c r="AZ185" s="110">
        <v>0</v>
      </c>
      <c r="BA185" s="110">
        <v>0</v>
      </c>
    </row>
    <row r="186" spans="1:53" s="102" customFormat="1" outlineLevel="2">
      <c r="A186" s="102" t="s">
        <v>601</v>
      </c>
      <c r="B186" s="103" t="s">
        <v>602</v>
      </c>
      <c r="C186" s="104" t="s">
        <v>603</v>
      </c>
      <c r="D186" s="298"/>
      <c r="E186" s="299"/>
      <c r="F186" s="105">
        <v>8429.380000000001</v>
      </c>
      <c r="G186" s="105">
        <v>8429.4240000000009</v>
      </c>
      <c r="H186" s="106">
        <f t="shared" si="42"/>
        <v>-4.3999999999869033E-2</v>
      </c>
      <c r="I186" s="300">
        <f t="shared" si="43"/>
        <v>-5.2198109858833807E-6</v>
      </c>
      <c r="J186" s="107"/>
      <c r="K186" s="105">
        <v>25288.14</v>
      </c>
      <c r="L186" s="105">
        <v>25288.184000000001</v>
      </c>
      <c r="M186" s="106">
        <f t="shared" si="44"/>
        <v>-4.4000000001688022E-2</v>
      </c>
      <c r="N186" s="300">
        <f t="shared" si="45"/>
        <v>-1.7399430501489558E-6</v>
      </c>
      <c r="O186" s="301"/>
      <c r="P186" s="107"/>
      <c r="Q186" s="105">
        <v>25288.14</v>
      </c>
      <c r="R186" s="105">
        <v>25288.184000000001</v>
      </c>
      <c r="S186" s="106">
        <f t="shared" si="46"/>
        <v>-4.4000000001688022E-2</v>
      </c>
      <c r="T186" s="300">
        <f t="shared" si="47"/>
        <v>-1.7399430501489558E-6</v>
      </c>
      <c r="U186" s="107"/>
      <c r="V186" s="105">
        <v>101152.56</v>
      </c>
      <c r="W186" s="105">
        <v>100120.75400000002</v>
      </c>
      <c r="X186" s="106">
        <f t="shared" si="48"/>
        <v>1031.8059999999823</v>
      </c>
      <c r="Y186" s="300">
        <f t="shared" si="49"/>
        <v>1.0305615556990133E-2</v>
      </c>
      <c r="Z186" s="302"/>
      <c r="AA186" s="108">
        <v>8429.380000000001</v>
      </c>
      <c r="AB186" s="109"/>
      <c r="AC186" s="110">
        <v>8429.380000000001</v>
      </c>
      <c r="AD186" s="110">
        <v>8429.380000000001</v>
      </c>
      <c r="AE186" s="110">
        <v>8429.4240000000009</v>
      </c>
      <c r="AF186" s="110">
        <v>8429.380000000001</v>
      </c>
      <c r="AG186" s="110">
        <v>8429.380000000001</v>
      </c>
      <c r="AH186" s="110">
        <v>8429.380000000001</v>
      </c>
      <c r="AI186" s="110">
        <v>8429.380000000001</v>
      </c>
      <c r="AJ186" s="110">
        <v>8429.380000000001</v>
      </c>
      <c r="AK186" s="110">
        <v>8429.380000000001</v>
      </c>
      <c r="AL186" s="110">
        <v>8429.380000000001</v>
      </c>
      <c r="AM186" s="110">
        <v>8429.380000000001</v>
      </c>
      <c r="AN186" s="110">
        <v>8429.380000000001</v>
      </c>
      <c r="AO186" s="109"/>
      <c r="AP186" s="110">
        <v>8429.380000000001</v>
      </c>
      <c r="AQ186" s="110">
        <v>8429.380000000001</v>
      </c>
      <c r="AR186" s="110">
        <v>8429.380000000001</v>
      </c>
      <c r="AS186" s="110">
        <v>0</v>
      </c>
      <c r="AT186" s="110">
        <v>0</v>
      </c>
      <c r="AU186" s="110">
        <v>0</v>
      </c>
      <c r="AV186" s="110">
        <v>0</v>
      </c>
      <c r="AW186" s="110">
        <v>0</v>
      </c>
      <c r="AX186" s="110">
        <v>0</v>
      </c>
      <c r="AY186" s="110">
        <v>0</v>
      </c>
      <c r="AZ186" s="110">
        <v>0</v>
      </c>
      <c r="BA186" s="110">
        <v>0</v>
      </c>
    </row>
    <row r="187" spans="1:53" s="102" customFormat="1" outlineLevel="2">
      <c r="A187" s="102" t="s">
        <v>604</v>
      </c>
      <c r="B187" s="103" t="s">
        <v>605</v>
      </c>
      <c r="C187" s="104" t="s">
        <v>606</v>
      </c>
      <c r="D187" s="298"/>
      <c r="E187" s="299"/>
      <c r="F187" s="105">
        <v>5516.49</v>
      </c>
      <c r="G187" s="105">
        <v>5015.99</v>
      </c>
      <c r="H187" s="106">
        <f t="shared" si="42"/>
        <v>500.5</v>
      </c>
      <c r="I187" s="300">
        <f t="shared" si="43"/>
        <v>9.9780900679626555E-2</v>
      </c>
      <c r="J187" s="107"/>
      <c r="K187" s="105">
        <v>18115.11</v>
      </c>
      <c r="L187" s="105">
        <v>25981.97</v>
      </c>
      <c r="M187" s="106">
        <f t="shared" si="44"/>
        <v>-7866.8600000000006</v>
      </c>
      <c r="N187" s="300">
        <f t="shared" si="45"/>
        <v>-0.30278150579036156</v>
      </c>
      <c r="O187" s="301"/>
      <c r="P187" s="107"/>
      <c r="Q187" s="105">
        <v>18115.11</v>
      </c>
      <c r="R187" s="105">
        <v>25981.97</v>
      </c>
      <c r="S187" s="106">
        <f t="shared" si="46"/>
        <v>-7866.8600000000006</v>
      </c>
      <c r="T187" s="300">
        <f t="shared" si="47"/>
        <v>-0.30278150579036156</v>
      </c>
      <c r="U187" s="107"/>
      <c r="V187" s="105">
        <v>72003.22</v>
      </c>
      <c r="W187" s="105">
        <v>122864.67</v>
      </c>
      <c r="X187" s="106">
        <f t="shared" si="48"/>
        <v>-50861.45</v>
      </c>
      <c r="Y187" s="300">
        <f t="shared" si="49"/>
        <v>-0.41396318404631693</v>
      </c>
      <c r="Z187" s="302"/>
      <c r="AA187" s="108">
        <v>8280.33</v>
      </c>
      <c r="AB187" s="109"/>
      <c r="AC187" s="110">
        <v>11078.12</v>
      </c>
      <c r="AD187" s="110">
        <v>9887.86</v>
      </c>
      <c r="AE187" s="110">
        <v>5015.99</v>
      </c>
      <c r="AF187" s="110">
        <v>4713.88</v>
      </c>
      <c r="AG187" s="110">
        <v>4756.46</v>
      </c>
      <c r="AH187" s="110">
        <v>5167.92</v>
      </c>
      <c r="AI187" s="110">
        <v>7150.87</v>
      </c>
      <c r="AJ187" s="110">
        <v>10298.15</v>
      </c>
      <c r="AK187" s="110">
        <v>5672.4000000000005</v>
      </c>
      <c r="AL187" s="110">
        <v>6254.43</v>
      </c>
      <c r="AM187" s="110">
        <v>4894.96</v>
      </c>
      <c r="AN187" s="110">
        <v>4979.04</v>
      </c>
      <c r="AO187" s="109"/>
      <c r="AP187" s="110">
        <v>7055.45</v>
      </c>
      <c r="AQ187" s="110">
        <v>5543.17</v>
      </c>
      <c r="AR187" s="110">
        <v>5516.49</v>
      </c>
      <c r="AS187" s="110">
        <v>0</v>
      </c>
      <c r="AT187" s="110">
        <v>0</v>
      </c>
      <c r="AU187" s="110">
        <v>0</v>
      </c>
      <c r="AV187" s="110">
        <v>0</v>
      </c>
      <c r="AW187" s="110">
        <v>0</v>
      </c>
      <c r="AX187" s="110">
        <v>0</v>
      </c>
      <c r="AY187" s="110">
        <v>0</v>
      </c>
      <c r="AZ187" s="110">
        <v>0</v>
      </c>
      <c r="BA187" s="110">
        <v>0</v>
      </c>
    </row>
    <row r="188" spans="1:53" s="102" customFormat="1" outlineLevel="2">
      <c r="A188" s="102" t="s">
        <v>1698</v>
      </c>
      <c r="B188" s="103" t="s">
        <v>1699</v>
      </c>
      <c r="C188" s="104" t="s">
        <v>1700</v>
      </c>
      <c r="D188" s="298"/>
      <c r="E188" s="299"/>
      <c r="F188" s="105">
        <v>0</v>
      </c>
      <c r="G188" s="105">
        <v>72.97</v>
      </c>
      <c r="H188" s="106">
        <f t="shared" si="42"/>
        <v>-72.97</v>
      </c>
      <c r="I188" s="300" t="str">
        <f t="shared" si="43"/>
        <v>N.M.</v>
      </c>
      <c r="J188" s="107"/>
      <c r="K188" s="105">
        <v>0</v>
      </c>
      <c r="L188" s="105">
        <v>72.97</v>
      </c>
      <c r="M188" s="106">
        <f t="shared" si="44"/>
        <v>-72.97</v>
      </c>
      <c r="N188" s="300" t="str">
        <f t="shared" si="45"/>
        <v>N.M.</v>
      </c>
      <c r="O188" s="301"/>
      <c r="P188" s="107"/>
      <c r="Q188" s="105">
        <v>0</v>
      </c>
      <c r="R188" s="105">
        <v>72.97</v>
      </c>
      <c r="S188" s="106">
        <f t="shared" si="46"/>
        <v>-72.97</v>
      </c>
      <c r="T188" s="300" t="str">
        <f t="shared" si="47"/>
        <v>N.M.</v>
      </c>
      <c r="U188" s="107"/>
      <c r="V188" s="105">
        <v>-72.97</v>
      </c>
      <c r="W188" s="105">
        <v>72.97</v>
      </c>
      <c r="X188" s="106">
        <f t="shared" si="48"/>
        <v>-145.94</v>
      </c>
      <c r="Y188" s="300">
        <f t="shared" si="49"/>
        <v>-2</v>
      </c>
      <c r="Z188" s="302"/>
      <c r="AA188" s="108">
        <v>0</v>
      </c>
      <c r="AB188" s="109"/>
      <c r="AC188" s="110">
        <v>0</v>
      </c>
      <c r="AD188" s="110">
        <v>0</v>
      </c>
      <c r="AE188" s="110">
        <v>72.97</v>
      </c>
      <c r="AF188" s="110">
        <v>-72.97</v>
      </c>
      <c r="AG188" s="110">
        <v>27.900000000000002</v>
      </c>
      <c r="AH188" s="110">
        <v>-27.900000000000002</v>
      </c>
      <c r="AI188" s="110">
        <v>51.15</v>
      </c>
      <c r="AJ188" s="110">
        <v>-51.15</v>
      </c>
      <c r="AK188" s="110">
        <v>0</v>
      </c>
      <c r="AL188" s="110">
        <v>0</v>
      </c>
      <c r="AM188" s="110">
        <v>0</v>
      </c>
      <c r="AN188" s="110">
        <v>0</v>
      </c>
      <c r="AO188" s="109"/>
      <c r="AP188" s="110">
        <v>0</v>
      </c>
      <c r="AQ188" s="110">
        <v>0</v>
      </c>
      <c r="AR188" s="110">
        <v>0</v>
      </c>
      <c r="AS188" s="110">
        <v>0</v>
      </c>
      <c r="AT188" s="110">
        <v>0</v>
      </c>
      <c r="AU188" s="110">
        <v>0</v>
      </c>
      <c r="AV188" s="110">
        <v>0</v>
      </c>
      <c r="AW188" s="110">
        <v>0</v>
      </c>
      <c r="AX188" s="110">
        <v>0</v>
      </c>
      <c r="AY188" s="110">
        <v>0</v>
      </c>
      <c r="AZ188" s="110">
        <v>0</v>
      </c>
      <c r="BA188" s="110">
        <v>0</v>
      </c>
    </row>
    <row r="189" spans="1:53" s="102" customFormat="1" outlineLevel="2">
      <c r="A189" s="102" t="s">
        <v>607</v>
      </c>
      <c r="B189" s="103" t="s">
        <v>608</v>
      </c>
      <c r="C189" s="104" t="s">
        <v>609</v>
      </c>
      <c r="D189" s="298"/>
      <c r="E189" s="299"/>
      <c r="F189" s="105">
        <v>1096.3600000000001</v>
      </c>
      <c r="G189" s="105">
        <v>391.28000000000003</v>
      </c>
      <c r="H189" s="106">
        <f t="shared" si="42"/>
        <v>705.08000000000015</v>
      </c>
      <c r="I189" s="300">
        <f t="shared" si="43"/>
        <v>1.8019832345123699</v>
      </c>
      <c r="J189" s="107"/>
      <c r="K189" s="105">
        <v>3560.85</v>
      </c>
      <c r="L189" s="105">
        <v>6441.66</v>
      </c>
      <c r="M189" s="106">
        <f t="shared" si="44"/>
        <v>-2880.81</v>
      </c>
      <c r="N189" s="300">
        <f t="shared" si="45"/>
        <v>-0.44721546930449607</v>
      </c>
      <c r="O189" s="301"/>
      <c r="P189" s="107"/>
      <c r="Q189" s="105">
        <v>3560.85</v>
      </c>
      <c r="R189" s="105">
        <v>6441.66</v>
      </c>
      <c r="S189" s="106">
        <f t="shared" si="46"/>
        <v>-2880.81</v>
      </c>
      <c r="T189" s="300">
        <f t="shared" si="47"/>
        <v>-0.44721546930449607</v>
      </c>
      <c r="U189" s="107"/>
      <c r="V189" s="105">
        <v>22422.46</v>
      </c>
      <c r="W189" s="105">
        <v>32439.29</v>
      </c>
      <c r="X189" s="106">
        <f t="shared" si="48"/>
        <v>-10016.830000000002</v>
      </c>
      <c r="Y189" s="300">
        <f t="shared" si="49"/>
        <v>-0.30878696790219518</v>
      </c>
      <c r="Z189" s="302"/>
      <c r="AA189" s="108">
        <v>1260.52</v>
      </c>
      <c r="AB189" s="109"/>
      <c r="AC189" s="110">
        <v>2727.42</v>
      </c>
      <c r="AD189" s="110">
        <v>3322.96</v>
      </c>
      <c r="AE189" s="110">
        <v>391.28000000000003</v>
      </c>
      <c r="AF189" s="110">
        <v>3969.02</v>
      </c>
      <c r="AG189" s="110">
        <v>1312.1100000000001</v>
      </c>
      <c r="AH189" s="110">
        <v>2401.7200000000003</v>
      </c>
      <c r="AI189" s="110">
        <v>4409.37</v>
      </c>
      <c r="AJ189" s="110">
        <v>3187.9</v>
      </c>
      <c r="AK189" s="110">
        <v>219.85</v>
      </c>
      <c r="AL189" s="110">
        <v>919.91</v>
      </c>
      <c r="AM189" s="110">
        <v>1027.5899999999999</v>
      </c>
      <c r="AN189" s="110">
        <v>1414.14</v>
      </c>
      <c r="AO189" s="109"/>
      <c r="AP189" s="110">
        <v>648.94000000000005</v>
      </c>
      <c r="AQ189" s="110">
        <v>1815.55</v>
      </c>
      <c r="AR189" s="110">
        <v>1096.3600000000001</v>
      </c>
      <c r="AS189" s="110">
        <v>-36.35</v>
      </c>
      <c r="AT189" s="110">
        <v>0</v>
      </c>
      <c r="AU189" s="110">
        <v>0</v>
      </c>
      <c r="AV189" s="110">
        <v>0</v>
      </c>
      <c r="AW189" s="110">
        <v>0</v>
      </c>
      <c r="AX189" s="110">
        <v>0</v>
      </c>
      <c r="AY189" s="110">
        <v>0</v>
      </c>
      <c r="AZ189" s="110">
        <v>0</v>
      </c>
      <c r="BA189" s="110">
        <v>0</v>
      </c>
    </row>
    <row r="190" spans="1:53" s="102" customFormat="1" outlineLevel="2">
      <c r="A190" s="102" t="s">
        <v>610</v>
      </c>
      <c r="B190" s="103" t="s">
        <v>611</v>
      </c>
      <c r="C190" s="104" t="s">
        <v>612</v>
      </c>
      <c r="D190" s="298"/>
      <c r="E190" s="299"/>
      <c r="F190" s="105">
        <v>26882.12</v>
      </c>
      <c r="G190" s="105">
        <v>20744.11</v>
      </c>
      <c r="H190" s="106">
        <f t="shared" si="42"/>
        <v>6138.0099999999984</v>
      </c>
      <c r="I190" s="300">
        <f t="shared" si="43"/>
        <v>0.29589170130702153</v>
      </c>
      <c r="J190" s="107"/>
      <c r="K190" s="105">
        <v>79794.5</v>
      </c>
      <c r="L190" s="105">
        <v>91676.180000000008</v>
      </c>
      <c r="M190" s="106">
        <f t="shared" si="44"/>
        <v>-11881.680000000008</v>
      </c>
      <c r="N190" s="300">
        <f t="shared" si="45"/>
        <v>-0.12960487664298412</v>
      </c>
      <c r="O190" s="301"/>
      <c r="P190" s="107"/>
      <c r="Q190" s="105">
        <v>79794.5</v>
      </c>
      <c r="R190" s="105">
        <v>91676.180000000008</v>
      </c>
      <c r="S190" s="106">
        <f t="shared" si="46"/>
        <v>-11881.680000000008</v>
      </c>
      <c r="T190" s="300">
        <f t="shared" si="47"/>
        <v>-0.12960487664298412</v>
      </c>
      <c r="U190" s="107"/>
      <c r="V190" s="105">
        <v>315394.39</v>
      </c>
      <c r="W190" s="105">
        <v>284887.24</v>
      </c>
      <c r="X190" s="106">
        <f t="shared" si="48"/>
        <v>30507.150000000023</v>
      </c>
      <c r="Y190" s="300">
        <f t="shared" si="49"/>
        <v>0.10708499966513076</v>
      </c>
      <c r="Z190" s="302"/>
      <c r="AA190" s="108">
        <v>24659.63</v>
      </c>
      <c r="AB190" s="109"/>
      <c r="AC190" s="110">
        <v>24156.36</v>
      </c>
      <c r="AD190" s="110">
        <v>46775.71</v>
      </c>
      <c r="AE190" s="110">
        <v>20744.11</v>
      </c>
      <c r="AF190" s="110">
        <v>23722.670000000002</v>
      </c>
      <c r="AG190" s="110">
        <v>21626.27</v>
      </c>
      <c r="AH190" s="110">
        <v>23814.77</v>
      </c>
      <c r="AI190" s="110">
        <v>26057.66</v>
      </c>
      <c r="AJ190" s="110">
        <v>26157.010000000002</v>
      </c>
      <c r="AK190" s="110">
        <v>1668.94</v>
      </c>
      <c r="AL190" s="110">
        <v>53342.239999999998</v>
      </c>
      <c r="AM190" s="110">
        <v>28588.100000000002</v>
      </c>
      <c r="AN190" s="110">
        <v>30622.23</v>
      </c>
      <c r="AO190" s="109"/>
      <c r="AP190" s="110">
        <v>19525.580000000002</v>
      </c>
      <c r="AQ190" s="110">
        <v>33386.800000000003</v>
      </c>
      <c r="AR190" s="110">
        <v>26882.12</v>
      </c>
      <c r="AS190" s="110">
        <v>-1264.1500000000001</v>
      </c>
      <c r="AT190" s="110">
        <v>0</v>
      </c>
      <c r="AU190" s="110">
        <v>0</v>
      </c>
      <c r="AV190" s="110">
        <v>0</v>
      </c>
      <c r="AW190" s="110">
        <v>0</v>
      </c>
      <c r="AX190" s="110">
        <v>0</v>
      </c>
      <c r="AY190" s="110">
        <v>0</v>
      </c>
      <c r="AZ190" s="110">
        <v>0</v>
      </c>
      <c r="BA190" s="110">
        <v>0</v>
      </c>
    </row>
    <row r="191" spans="1:53" s="102" customFormat="1" outlineLevel="2">
      <c r="A191" s="102" t="s">
        <v>613</v>
      </c>
      <c r="B191" s="103" t="s">
        <v>614</v>
      </c>
      <c r="C191" s="104" t="s">
        <v>615</v>
      </c>
      <c r="D191" s="298"/>
      <c r="E191" s="299"/>
      <c r="F191" s="105">
        <v>20907.45</v>
      </c>
      <c r="G191" s="105">
        <v>33221.620000000003</v>
      </c>
      <c r="H191" s="106">
        <f t="shared" si="42"/>
        <v>-12314.170000000002</v>
      </c>
      <c r="I191" s="300">
        <f t="shared" si="43"/>
        <v>-0.37066735457211303</v>
      </c>
      <c r="J191" s="107"/>
      <c r="K191" s="105">
        <v>60591.01</v>
      </c>
      <c r="L191" s="105">
        <v>73464.98</v>
      </c>
      <c r="M191" s="106">
        <f t="shared" si="44"/>
        <v>-12873.969999999994</v>
      </c>
      <c r="N191" s="300">
        <f t="shared" si="45"/>
        <v>-0.17523954951052861</v>
      </c>
      <c r="O191" s="301"/>
      <c r="P191" s="107"/>
      <c r="Q191" s="105">
        <v>60591.01</v>
      </c>
      <c r="R191" s="105">
        <v>73464.98</v>
      </c>
      <c r="S191" s="106">
        <f t="shared" si="46"/>
        <v>-12873.969999999994</v>
      </c>
      <c r="T191" s="300">
        <f t="shared" si="47"/>
        <v>-0.17523954951052861</v>
      </c>
      <c r="U191" s="107"/>
      <c r="V191" s="105">
        <v>309788.84000000003</v>
      </c>
      <c r="W191" s="105">
        <v>200809.58000000002</v>
      </c>
      <c r="X191" s="106">
        <f t="shared" si="48"/>
        <v>108979.26000000001</v>
      </c>
      <c r="Y191" s="300">
        <f t="shared" si="49"/>
        <v>0.54269950666696276</v>
      </c>
      <c r="Z191" s="302"/>
      <c r="AA191" s="108">
        <v>35384.550000000003</v>
      </c>
      <c r="AB191" s="109"/>
      <c r="AC191" s="110">
        <v>12507.61</v>
      </c>
      <c r="AD191" s="110">
        <v>27735.75</v>
      </c>
      <c r="AE191" s="110">
        <v>33221.620000000003</v>
      </c>
      <c r="AF191" s="110">
        <v>23827.8</v>
      </c>
      <c r="AG191" s="110">
        <v>20377.060000000001</v>
      </c>
      <c r="AH191" s="110">
        <v>18719.75</v>
      </c>
      <c r="AI191" s="110">
        <v>27782.43</v>
      </c>
      <c r="AJ191" s="110">
        <v>34291.89</v>
      </c>
      <c r="AK191" s="110">
        <v>28388.43</v>
      </c>
      <c r="AL191" s="110">
        <v>26274.77</v>
      </c>
      <c r="AM191" s="110">
        <v>36358.31</v>
      </c>
      <c r="AN191" s="110">
        <v>33177.39</v>
      </c>
      <c r="AO191" s="109"/>
      <c r="AP191" s="110">
        <v>20701.64</v>
      </c>
      <c r="AQ191" s="110">
        <v>18981.920000000002</v>
      </c>
      <c r="AR191" s="110">
        <v>20907.45</v>
      </c>
      <c r="AS191" s="110">
        <v>-1131.06</v>
      </c>
      <c r="AT191" s="110">
        <v>0</v>
      </c>
      <c r="AU191" s="110">
        <v>0</v>
      </c>
      <c r="AV191" s="110">
        <v>0</v>
      </c>
      <c r="AW191" s="110">
        <v>0</v>
      </c>
      <c r="AX191" s="110">
        <v>0</v>
      </c>
      <c r="AY191" s="110">
        <v>0</v>
      </c>
      <c r="AZ191" s="110">
        <v>0</v>
      </c>
      <c r="BA191" s="110">
        <v>0</v>
      </c>
    </row>
    <row r="192" spans="1:53" s="102" customFormat="1" outlineLevel="2">
      <c r="A192" s="102" t="s">
        <v>616</v>
      </c>
      <c r="B192" s="103" t="s">
        <v>617</v>
      </c>
      <c r="C192" s="104" t="s">
        <v>618</v>
      </c>
      <c r="D192" s="298"/>
      <c r="E192" s="299"/>
      <c r="F192" s="105">
        <v>1392.6000000000001</v>
      </c>
      <c r="G192" s="105">
        <v>1602.13</v>
      </c>
      <c r="H192" s="106">
        <f t="shared" si="42"/>
        <v>-209.52999999999997</v>
      </c>
      <c r="I192" s="300">
        <f t="shared" si="43"/>
        <v>-0.13078214626778098</v>
      </c>
      <c r="J192" s="107"/>
      <c r="K192" s="105">
        <v>4384.08</v>
      </c>
      <c r="L192" s="105">
        <v>4472.68</v>
      </c>
      <c r="M192" s="106">
        <f t="shared" si="44"/>
        <v>-88.600000000000364</v>
      </c>
      <c r="N192" s="300">
        <f t="shared" si="45"/>
        <v>-1.9809152454456917E-2</v>
      </c>
      <c r="O192" s="301"/>
      <c r="P192" s="107"/>
      <c r="Q192" s="105">
        <v>4384.08</v>
      </c>
      <c r="R192" s="105">
        <v>4472.68</v>
      </c>
      <c r="S192" s="106">
        <f t="shared" si="46"/>
        <v>-88.600000000000364</v>
      </c>
      <c r="T192" s="300">
        <f t="shared" si="47"/>
        <v>-1.9809152454456917E-2</v>
      </c>
      <c r="U192" s="107"/>
      <c r="V192" s="105">
        <v>23895.120000000003</v>
      </c>
      <c r="W192" s="105">
        <v>18298.09</v>
      </c>
      <c r="X192" s="106">
        <f t="shared" si="48"/>
        <v>5597.0300000000025</v>
      </c>
      <c r="Y192" s="300">
        <f t="shared" si="49"/>
        <v>0.30588055911846551</v>
      </c>
      <c r="Z192" s="302"/>
      <c r="AA192" s="108">
        <v>2455.1</v>
      </c>
      <c r="AB192" s="109"/>
      <c r="AC192" s="110">
        <v>1670.06</v>
      </c>
      <c r="AD192" s="110">
        <v>1200.49</v>
      </c>
      <c r="AE192" s="110">
        <v>1602.13</v>
      </c>
      <c r="AF192" s="110">
        <v>2577.91</v>
      </c>
      <c r="AG192" s="110">
        <v>1916.8400000000001</v>
      </c>
      <c r="AH192" s="110">
        <v>4110.43</v>
      </c>
      <c r="AI192" s="110">
        <v>1856.92</v>
      </c>
      <c r="AJ192" s="110">
        <v>2412.94</v>
      </c>
      <c r="AK192" s="110">
        <v>1743.49</v>
      </c>
      <c r="AL192" s="110">
        <v>1851.77</v>
      </c>
      <c r="AM192" s="110">
        <v>1794.79</v>
      </c>
      <c r="AN192" s="110">
        <v>1245.95</v>
      </c>
      <c r="AO192" s="109"/>
      <c r="AP192" s="110">
        <v>1412.07</v>
      </c>
      <c r="AQ192" s="110">
        <v>1579.41</v>
      </c>
      <c r="AR192" s="110">
        <v>1392.6000000000001</v>
      </c>
      <c r="AS192" s="110">
        <v>42.67</v>
      </c>
      <c r="AT192" s="110">
        <v>0</v>
      </c>
      <c r="AU192" s="110">
        <v>0</v>
      </c>
      <c r="AV192" s="110">
        <v>0</v>
      </c>
      <c r="AW192" s="110">
        <v>0</v>
      </c>
      <c r="AX192" s="110">
        <v>0</v>
      </c>
      <c r="AY192" s="110">
        <v>0</v>
      </c>
      <c r="AZ192" s="110">
        <v>0</v>
      </c>
      <c r="BA192" s="110">
        <v>0</v>
      </c>
    </row>
    <row r="193" spans="1:53" s="102" customFormat="1" outlineLevel="2">
      <c r="A193" s="102" t="s">
        <v>619</v>
      </c>
      <c r="B193" s="103" t="s">
        <v>620</v>
      </c>
      <c r="C193" s="104" t="s">
        <v>621</v>
      </c>
      <c r="D193" s="298"/>
      <c r="E193" s="299"/>
      <c r="F193" s="105">
        <v>3605</v>
      </c>
      <c r="G193" s="105">
        <v>-1140</v>
      </c>
      <c r="H193" s="106">
        <f t="shared" si="42"/>
        <v>4745</v>
      </c>
      <c r="I193" s="300">
        <f t="shared" si="43"/>
        <v>4.1622807017543861</v>
      </c>
      <c r="J193" s="107"/>
      <c r="K193" s="105">
        <v>0</v>
      </c>
      <c r="L193" s="105">
        <v>4741.37</v>
      </c>
      <c r="M193" s="106">
        <f t="shared" si="44"/>
        <v>-4741.37</v>
      </c>
      <c r="N193" s="300" t="str">
        <f t="shared" si="45"/>
        <v>N.M.</v>
      </c>
      <c r="O193" s="301"/>
      <c r="P193" s="107"/>
      <c r="Q193" s="105">
        <v>0</v>
      </c>
      <c r="R193" s="105">
        <v>4741.37</v>
      </c>
      <c r="S193" s="106">
        <f t="shared" si="46"/>
        <v>-4741.37</v>
      </c>
      <c r="T193" s="300" t="str">
        <f t="shared" si="47"/>
        <v>N.M.</v>
      </c>
      <c r="U193" s="107"/>
      <c r="V193" s="105">
        <v>60012.22</v>
      </c>
      <c r="W193" s="105">
        <v>4741.37</v>
      </c>
      <c r="X193" s="106">
        <f t="shared" si="48"/>
        <v>55270.85</v>
      </c>
      <c r="Y193" s="300" t="str">
        <f t="shared" si="49"/>
        <v>N.M.</v>
      </c>
      <c r="Z193" s="302"/>
      <c r="AA193" s="108">
        <v>0</v>
      </c>
      <c r="AB193" s="109"/>
      <c r="AC193" s="110">
        <v>466.37</v>
      </c>
      <c r="AD193" s="110">
        <v>5415</v>
      </c>
      <c r="AE193" s="110">
        <v>-1140</v>
      </c>
      <c r="AF193" s="110">
        <v>1813</v>
      </c>
      <c r="AG193" s="110">
        <v>4905.22</v>
      </c>
      <c r="AH193" s="110">
        <v>3467.5</v>
      </c>
      <c r="AI193" s="110">
        <v>3641.25</v>
      </c>
      <c r="AJ193" s="110">
        <v>-306.25</v>
      </c>
      <c r="AK193" s="110">
        <v>1820.25</v>
      </c>
      <c r="AL193" s="110">
        <v>44671.25</v>
      </c>
      <c r="AM193" s="110">
        <v>0</v>
      </c>
      <c r="AN193" s="110">
        <v>0</v>
      </c>
      <c r="AO193" s="109"/>
      <c r="AP193" s="110">
        <v>0</v>
      </c>
      <c r="AQ193" s="110">
        <v>-3605</v>
      </c>
      <c r="AR193" s="110">
        <v>3605</v>
      </c>
      <c r="AS193" s="110">
        <v>-3605</v>
      </c>
      <c r="AT193" s="110">
        <v>0</v>
      </c>
      <c r="AU193" s="110">
        <v>0</v>
      </c>
      <c r="AV193" s="110">
        <v>0</v>
      </c>
      <c r="AW193" s="110">
        <v>0</v>
      </c>
      <c r="AX193" s="110">
        <v>0</v>
      </c>
      <c r="AY193" s="110">
        <v>0</v>
      </c>
      <c r="AZ193" s="110">
        <v>0</v>
      </c>
      <c r="BA193" s="110">
        <v>0</v>
      </c>
    </row>
    <row r="194" spans="1:53" s="102" customFormat="1" outlineLevel="2">
      <c r="A194" s="102" t="s">
        <v>622</v>
      </c>
      <c r="B194" s="103" t="s">
        <v>623</v>
      </c>
      <c r="C194" s="104" t="s">
        <v>624</v>
      </c>
      <c r="D194" s="298"/>
      <c r="E194" s="299"/>
      <c r="F194" s="105">
        <v>7660.5</v>
      </c>
      <c r="G194" s="105">
        <v>11470.5</v>
      </c>
      <c r="H194" s="106">
        <f t="shared" si="42"/>
        <v>-3810</v>
      </c>
      <c r="I194" s="300">
        <f t="shared" si="43"/>
        <v>-0.3321564012030862</v>
      </c>
      <c r="J194" s="107"/>
      <c r="K194" s="105">
        <v>25815</v>
      </c>
      <c r="L194" s="105">
        <v>39952.5</v>
      </c>
      <c r="M194" s="106">
        <f t="shared" si="44"/>
        <v>-14137.5</v>
      </c>
      <c r="N194" s="300">
        <f t="shared" si="45"/>
        <v>-0.35385770602590577</v>
      </c>
      <c r="O194" s="301"/>
      <c r="P194" s="107"/>
      <c r="Q194" s="105">
        <v>25815</v>
      </c>
      <c r="R194" s="105">
        <v>39952.5</v>
      </c>
      <c r="S194" s="106">
        <f t="shared" si="46"/>
        <v>-14137.5</v>
      </c>
      <c r="T194" s="300">
        <f t="shared" si="47"/>
        <v>-0.35385770602590577</v>
      </c>
      <c r="U194" s="107"/>
      <c r="V194" s="105">
        <v>117964.5</v>
      </c>
      <c r="W194" s="105">
        <v>136113</v>
      </c>
      <c r="X194" s="106">
        <f t="shared" si="48"/>
        <v>-18148.5</v>
      </c>
      <c r="Y194" s="300">
        <f t="shared" si="49"/>
        <v>-0.13333406801701528</v>
      </c>
      <c r="Z194" s="302"/>
      <c r="AA194" s="108">
        <v>11491.5</v>
      </c>
      <c r="AB194" s="109"/>
      <c r="AC194" s="110">
        <v>16834.5</v>
      </c>
      <c r="AD194" s="110">
        <v>11647.5</v>
      </c>
      <c r="AE194" s="110">
        <v>11470.5</v>
      </c>
      <c r="AF194" s="110">
        <v>11506.5</v>
      </c>
      <c r="AG194" s="110">
        <v>11347.5</v>
      </c>
      <c r="AH194" s="110">
        <v>10434</v>
      </c>
      <c r="AI194" s="110">
        <v>10444.5</v>
      </c>
      <c r="AJ194" s="110">
        <v>9631.5</v>
      </c>
      <c r="AK194" s="110">
        <v>6681</v>
      </c>
      <c r="AL194" s="110">
        <v>8559</v>
      </c>
      <c r="AM194" s="110">
        <v>10689</v>
      </c>
      <c r="AN194" s="110">
        <v>12856.5</v>
      </c>
      <c r="AO194" s="109"/>
      <c r="AP194" s="110">
        <v>9288</v>
      </c>
      <c r="AQ194" s="110">
        <v>8866.5</v>
      </c>
      <c r="AR194" s="110">
        <v>7660.5</v>
      </c>
      <c r="AS194" s="110">
        <v>0</v>
      </c>
      <c r="AT194" s="110">
        <v>0</v>
      </c>
      <c r="AU194" s="110">
        <v>0</v>
      </c>
      <c r="AV194" s="110">
        <v>0</v>
      </c>
      <c r="AW194" s="110">
        <v>0</v>
      </c>
      <c r="AX194" s="110">
        <v>0</v>
      </c>
      <c r="AY194" s="110">
        <v>0</v>
      </c>
      <c r="AZ194" s="110">
        <v>0</v>
      </c>
      <c r="BA194" s="110">
        <v>0</v>
      </c>
    </row>
    <row r="195" spans="1:53" s="102" customFormat="1" outlineLevel="2">
      <c r="A195" s="102" t="s">
        <v>625</v>
      </c>
      <c r="B195" s="103" t="s">
        <v>626</v>
      </c>
      <c r="C195" s="104" t="s">
        <v>627</v>
      </c>
      <c r="D195" s="298"/>
      <c r="E195" s="299"/>
      <c r="F195" s="105">
        <v>0</v>
      </c>
      <c r="G195" s="105">
        <v>0</v>
      </c>
      <c r="H195" s="106">
        <f t="shared" si="42"/>
        <v>0</v>
      </c>
      <c r="I195" s="300">
        <f t="shared" si="43"/>
        <v>0</v>
      </c>
      <c r="J195" s="107"/>
      <c r="K195" s="105">
        <v>0</v>
      </c>
      <c r="L195" s="105">
        <v>0</v>
      </c>
      <c r="M195" s="106">
        <f t="shared" si="44"/>
        <v>0</v>
      </c>
      <c r="N195" s="300">
        <f t="shared" si="45"/>
        <v>0</v>
      </c>
      <c r="O195" s="301"/>
      <c r="P195" s="107"/>
      <c r="Q195" s="105">
        <v>0</v>
      </c>
      <c r="R195" s="105">
        <v>0</v>
      </c>
      <c r="S195" s="106">
        <f t="shared" si="46"/>
        <v>0</v>
      </c>
      <c r="T195" s="300">
        <f t="shared" si="47"/>
        <v>0</v>
      </c>
      <c r="U195" s="107"/>
      <c r="V195" s="105">
        <v>0</v>
      </c>
      <c r="W195" s="105">
        <v>0</v>
      </c>
      <c r="X195" s="106">
        <f t="shared" si="48"/>
        <v>0</v>
      </c>
      <c r="Y195" s="300">
        <f t="shared" si="49"/>
        <v>0</v>
      </c>
      <c r="Z195" s="302"/>
      <c r="AA195" s="108">
        <v>0</v>
      </c>
      <c r="AB195" s="109"/>
      <c r="AC195" s="110">
        <v>0</v>
      </c>
      <c r="AD195" s="110">
        <v>0</v>
      </c>
      <c r="AE195" s="110">
        <v>0</v>
      </c>
      <c r="AF195" s="110">
        <v>0</v>
      </c>
      <c r="AG195" s="110">
        <v>0</v>
      </c>
      <c r="AH195" s="110">
        <v>0</v>
      </c>
      <c r="AI195" s="110">
        <v>0</v>
      </c>
      <c r="AJ195" s="110">
        <v>0</v>
      </c>
      <c r="AK195" s="110">
        <v>0</v>
      </c>
      <c r="AL195" s="110">
        <v>0</v>
      </c>
      <c r="AM195" s="110">
        <v>0</v>
      </c>
      <c r="AN195" s="110">
        <v>0</v>
      </c>
      <c r="AO195" s="109"/>
      <c r="AP195" s="110">
        <v>0</v>
      </c>
      <c r="AQ195" s="110">
        <v>0</v>
      </c>
      <c r="AR195" s="110">
        <v>0</v>
      </c>
      <c r="AS195" s="110">
        <v>15812703.73</v>
      </c>
      <c r="AT195" s="110">
        <v>0</v>
      </c>
      <c r="AU195" s="110">
        <v>0</v>
      </c>
      <c r="AV195" s="110">
        <v>0</v>
      </c>
      <c r="AW195" s="110">
        <v>0</v>
      </c>
      <c r="AX195" s="110">
        <v>0</v>
      </c>
      <c r="AY195" s="110">
        <v>0</v>
      </c>
      <c r="AZ195" s="110">
        <v>0</v>
      </c>
      <c r="BA195" s="110">
        <v>0</v>
      </c>
    </row>
    <row r="196" spans="1:53" s="102" customFormat="1" outlineLevel="2">
      <c r="A196" s="102" t="s">
        <v>628</v>
      </c>
      <c r="B196" s="103" t="s">
        <v>629</v>
      </c>
      <c r="C196" s="104" t="s">
        <v>630</v>
      </c>
      <c r="D196" s="298"/>
      <c r="E196" s="299"/>
      <c r="F196" s="105">
        <v>139978.86000000002</v>
      </c>
      <c r="G196" s="105">
        <v>-1867714.05</v>
      </c>
      <c r="H196" s="106">
        <f t="shared" si="42"/>
        <v>2007692.9100000001</v>
      </c>
      <c r="I196" s="300">
        <f t="shared" si="43"/>
        <v>1.0749466225839015</v>
      </c>
      <c r="J196" s="107"/>
      <c r="K196" s="105">
        <v>437138.71</v>
      </c>
      <c r="L196" s="105">
        <v>448153.52</v>
      </c>
      <c r="M196" s="106">
        <f t="shared" si="44"/>
        <v>-11014.809999999998</v>
      </c>
      <c r="N196" s="300">
        <f t="shared" si="45"/>
        <v>-2.4578207039409168E-2</v>
      </c>
      <c r="O196" s="301"/>
      <c r="P196" s="107"/>
      <c r="Q196" s="105">
        <v>437138.71</v>
      </c>
      <c r="R196" s="105">
        <v>448153.52</v>
      </c>
      <c r="S196" s="106">
        <f t="shared" si="46"/>
        <v>-11014.809999999998</v>
      </c>
      <c r="T196" s="300">
        <f t="shared" si="47"/>
        <v>-2.4578207039409168E-2</v>
      </c>
      <c r="U196" s="107"/>
      <c r="V196" s="105">
        <v>1769370.25</v>
      </c>
      <c r="W196" s="105">
        <v>1914996.03</v>
      </c>
      <c r="X196" s="106">
        <f t="shared" si="48"/>
        <v>-145625.78000000003</v>
      </c>
      <c r="Y196" s="300">
        <f t="shared" si="49"/>
        <v>-7.6044951383006279E-2</v>
      </c>
      <c r="Z196" s="302"/>
      <c r="AA196" s="108">
        <v>141935.04000000001</v>
      </c>
      <c r="AB196" s="109"/>
      <c r="AC196" s="110">
        <v>2169657.96</v>
      </c>
      <c r="AD196" s="110">
        <v>146209.61000000002</v>
      </c>
      <c r="AE196" s="110">
        <v>-1867714.05</v>
      </c>
      <c r="AF196" s="110">
        <v>146309.83000000002</v>
      </c>
      <c r="AG196" s="110">
        <v>144433.91</v>
      </c>
      <c r="AH196" s="110">
        <v>123767.04000000001</v>
      </c>
      <c r="AI196" s="110">
        <v>169818.77</v>
      </c>
      <c r="AJ196" s="110">
        <v>147643.78</v>
      </c>
      <c r="AK196" s="110">
        <v>147676.13</v>
      </c>
      <c r="AL196" s="110">
        <v>147643.75</v>
      </c>
      <c r="AM196" s="110">
        <v>157291.85</v>
      </c>
      <c r="AN196" s="110">
        <v>147646.48000000001</v>
      </c>
      <c r="AO196" s="109"/>
      <c r="AP196" s="110">
        <v>160388.01</v>
      </c>
      <c r="AQ196" s="110">
        <v>136771.84</v>
      </c>
      <c r="AR196" s="110">
        <v>139978.86000000002</v>
      </c>
      <c r="AS196" s="110">
        <v>-139989.95000000001</v>
      </c>
      <c r="AT196" s="110">
        <v>0</v>
      </c>
      <c r="AU196" s="110">
        <v>0</v>
      </c>
      <c r="AV196" s="110">
        <v>0</v>
      </c>
      <c r="AW196" s="110">
        <v>0</v>
      </c>
      <c r="AX196" s="110">
        <v>0</v>
      </c>
      <c r="AY196" s="110">
        <v>0</v>
      </c>
      <c r="AZ196" s="110">
        <v>0</v>
      </c>
      <c r="BA196" s="110">
        <v>0</v>
      </c>
    </row>
    <row r="197" spans="1:53" s="102" customFormat="1" outlineLevel="2">
      <c r="A197" s="102" t="s">
        <v>631</v>
      </c>
      <c r="B197" s="103" t="s">
        <v>632</v>
      </c>
      <c r="C197" s="104" t="s">
        <v>633</v>
      </c>
      <c r="D197" s="298"/>
      <c r="E197" s="299"/>
      <c r="F197" s="105">
        <v>-4089.2200000000003</v>
      </c>
      <c r="G197" s="105">
        <v>9645.11</v>
      </c>
      <c r="H197" s="106">
        <f t="shared" si="42"/>
        <v>-13734.330000000002</v>
      </c>
      <c r="I197" s="300">
        <f t="shared" si="43"/>
        <v>-1.423968207723914</v>
      </c>
      <c r="J197" s="107"/>
      <c r="K197" s="105">
        <v>-12575.45</v>
      </c>
      <c r="L197" s="105">
        <v>32412.09</v>
      </c>
      <c r="M197" s="106">
        <f t="shared" si="44"/>
        <v>-44987.54</v>
      </c>
      <c r="N197" s="300">
        <f t="shared" si="45"/>
        <v>-1.3879863964341701</v>
      </c>
      <c r="O197" s="301"/>
      <c r="P197" s="107"/>
      <c r="Q197" s="105">
        <v>-12575.45</v>
      </c>
      <c r="R197" s="105">
        <v>32412.09</v>
      </c>
      <c r="S197" s="106">
        <f t="shared" si="46"/>
        <v>-44987.54</v>
      </c>
      <c r="T197" s="300">
        <f t="shared" si="47"/>
        <v>-1.3879863964341701</v>
      </c>
      <c r="U197" s="107"/>
      <c r="V197" s="105">
        <v>73833.03</v>
      </c>
      <c r="W197" s="105">
        <v>249637.18</v>
      </c>
      <c r="X197" s="106">
        <f t="shared" si="48"/>
        <v>-175804.15</v>
      </c>
      <c r="Y197" s="300">
        <f t="shared" si="49"/>
        <v>-0.70423864746429199</v>
      </c>
      <c r="Z197" s="302"/>
      <c r="AA197" s="108">
        <v>26697.93</v>
      </c>
      <c r="AB197" s="109"/>
      <c r="AC197" s="110">
        <v>12618.53</v>
      </c>
      <c r="AD197" s="110">
        <v>10148.450000000001</v>
      </c>
      <c r="AE197" s="110">
        <v>9645.11</v>
      </c>
      <c r="AF197" s="110">
        <v>8399.6200000000008</v>
      </c>
      <c r="AG197" s="110">
        <v>8925.5</v>
      </c>
      <c r="AH197" s="110">
        <v>9744.11</v>
      </c>
      <c r="AI197" s="110">
        <v>10422.92</v>
      </c>
      <c r="AJ197" s="110">
        <v>10189.969999999999</v>
      </c>
      <c r="AK197" s="110">
        <v>8752.68</v>
      </c>
      <c r="AL197" s="110">
        <v>8767.4600000000009</v>
      </c>
      <c r="AM197" s="110">
        <v>9559.27</v>
      </c>
      <c r="AN197" s="110">
        <v>11646.95</v>
      </c>
      <c r="AO197" s="109"/>
      <c r="AP197" s="110">
        <v>-178.15</v>
      </c>
      <c r="AQ197" s="110">
        <v>-8308.08</v>
      </c>
      <c r="AR197" s="110">
        <v>-4089.2200000000003</v>
      </c>
      <c r="AS197" s="110">
        <v>4094.7200000000003</v>
      </c>
      <c r="AT197" s="110">
        <v>0</v>
      </c>
      <c r="AU197" s="110">
        <v>0</v>
      </c>
      <c r="AV197" s="110">
        <v>0</v>
      </c>
      <c r="AW197" s="110">
        <v>0</v>
      </c>
      <c r="AX197" s="110">
        <v>0</v>
      </c>
      <c r="AY197" s="110">
        <v>0</v>
      </c>
      <c r="AZ197" s="110">
        <v>0</v>
      </c>
      <c r="BA197" s="110">
        <v>0</v>
      </c>
    </row>
    <row r="198" spans="1:53" s="102" customFormat="1" outlineLevel="2">
      <c r="A198" s="102" t="s">
        <v>634</v>
      </c>
      <c r="B198" s="103" t="s">
        <v>635</v>
      </c>
      <c r="C198" s="104" t="s">
        <v>636</v>
      </c>
      <c r="D198" s="298"/>
      <c r="E198" s="299"/>
      <c r="F198" s="105">
        <v>5854407.6799999997</v>
      </c>
      <c r="G198" s="105">
        <v>5076547.0999999996</v>
      </c>
      <c r="H198" s="106">
        <f t="shared" si="42"/>
        <v>777860.58000000007</v>
      </c>
      <c r="I198" s="300">
        <f t="shared" si="43"/>
        <v>0.15322631006417731</v>
      </c>
      <c r="J198" s="107"/>
      <c r="K198" s="105">
        <v>17311922.75</v>
      </c>
      <c r="L198" s="105">
        <v>14736873.210000001</v>
      </c>
      <c r="M198" s="106">
        <f t="shared" si="44"/>
        <v>2575049.5399999991</v>
      </c>
      <c r="N198" s="300">
        <f t="shared" si="45"/>
        <v>0.17473513569029336</v>
      </c>
      <c r="O198" s="301"/>
      <c r="P198" s="107"/>
      <c r="Q198" s="105">
        <v>17311922.75</v>
      </c>
      <c r="R198" s="105">
        <v>14736873.210000001</v>
      </c>
      <c r="S198" s="106">
        <f t="shared" si="46"/>
        <v>2575049.5399999991</v>
      </c>
      <c r="T198" s="300">
        <f t="shared" si="47"/>
        <v>0.17473513569029336</v>
      </c>
      <c r="U198" s="107"/>
      <c r="V198" s="105">
        <v>62343822.530000001</v>
      </c>
      <c r="W198" s="105">
        <v>52864100.060000002</v>
      </c>
      <c r="X198" s="106">
        <f t="shared" si="48"/>
        <v>9479722.4699999988</v>
      </c>
      <c r="Y198" s="300">
        <f t="shared" si="49"/>
        <v>0.17932249786226662</v>
      </c>
      <c r="Z198" s="302"/>
      <c r="AA198" s="108">
        <v>4298169.4000000004</v>
      </c>
      <c r="AB198" s="109"/>
      <c r="AC198" s="110">
        <v>5076547.0999999996</v>
      </c>
      <c r="AD198" s="110">
        <v>4583779.01</v>
      </c>
      <c r="AE198" s="110">
        <v>5076547.0999999996</v>
      </c>
      <c r="AF198" s="110">
        <v>4912291.07</v>
      </c>
      <c r="AG198" s="110">
        <v>5076547.0999999996</v>
      </c>
      <c r="AH198" s="110">
        <v>4912291.07</v>
      </c>
      <c r="AI198" s="110">
        <v>5076547.0999999996</v>
      </c>
      <c r="AJ198" s="110">
        <v>5076547.0999999996</v>
      </c>
      <c r="AK198" s="110">
        <v>4912291.07</v>
      </c>
      <c r="AL198" s="110">
        <v>5076547.0999999996</v>
      </c>
      <c r="AM198" s="110">
        <v>4912291.07</v>
      </c>
      <c r="AN198" s="110">
        <v>5076547.0999999996</v>
      </c>
      <c r="AO198" s="109"/>
      <c r="AP198" s="110">
        <v>6072803.6699999999</v>
      </c>
      <c r="AQ198" s="110">
        <v>5384711.4000000004</v>
      </c>
      <c r="AR198" s="110">
        <v>5854407.6799999997</v>
      </c>
      <c r="AS198" s="110">
        <v>-5963605.9800000004</v>
      </c>
      <c r="AT198" s="110">
        <v>0</v>
      </c>
      <c r="AU198" s="110">
        <v>0</v>
      </c>
      <c r="AV198" s="110">
        <v>0</v>
      </c>
      <c r="AW198" s="110">
        <v>0</v>
      </c>
      <c r="AX198" s="110">
        <v>0</v>
      </c>
      <c r="AY198" s="110">
        <v>0</v>
      </c>
      <c r="AZ198" s="110">
        <v>0</v>
      </c>
      <c r="BA198" s="110">
        <v>0</v>
      </c>
    </row>
    <row r="199" spans="1:53" s="102" customFormat="1" outlineLevel="2">
      <c r="A199" s="102" t="s">
        <v>637</v>
      </c>
      <c r="B199" s="103" t="s">
        <v>638</v>
      </c>
      <c r="C199" s="104" t="s">
        <v>639</v>
      </c>
      <c r="D199" s="298"/>
      <c r="E199" s="299"/>
      <c r="F199" s="105">
        <v>448173.69</v>
      </c>
      <c r="G199" s="105">
        <v>429585.9</v>
      </c>
      <c r="H199" s="106">
        <f t="shared" si="42"/>
        <v>18587.789999999979</v>
      </c>
      <c r="I199" s="300">
        <f t="shared" si="43"/>
        <v>4.3269087742404899E-2</v>
      </c>
      <c r="J199" s="107"/>
      <c r="K199" s="105">
        <v>1357754.88</v>
      </c>
      <c r="L199" s="105">
        <v>1288757.71</v>
      </c>
      <c r="M199" s="106">
        <f t="shared" si="44"/>
        <v>68997.169999999925</v>
      </c>
      <c r="N199" s="300">
        <f t="shared" si="45"/>
        <v>5.3537735964349673E-2</v>
      </c>
      <c r="O199" s="301"/>
      <c r="P199" s="107"/>
      <c r="Q199" s="105">
        <v>1357754.88</v>
      </c>
      <c r="R199" s="105">
        <v>1288757.71</v>
      </c>
      <c r="S199" s="106">
        <f t="shared" si="46"/>
        <v>68997.169999999925</v>
      </c>
      <c r="T199" s="300">
        <f t="shared" si="47"/>
        <v>5.3537735964349673E-2</v>
      </c>
      <c r="U199" s="107"/>
      <c r="V199" s="105">
        <v>5224028.01</v>
      </c>
      <c r="W199" s="105">
        <v>5305504.95</v>
      </c>
      <c r="X199" s="106">
        <f t="shared" si="48"/>
        <v>-81476.94000000041</v>
      </c>
      <c r="Y199" s="300">
        <f t="shared" si="49"/>
        <v>-1.5357056636051278E-2</v>
      </c>
      <c r="Z199" s="302"/>
      <c r="AA199" s="108">
        <v>446305.24</v>
      </c>
      <c r="AB199" s="109"/>
      <c r="AC199" s="110">
        <v>429585.9</v>
      </c>
      <c r="AD199" s="110">
        <v>429585.91000000003</v>
      </c>
      <c r="AE199" s="110">
        <v>429585.9</v>
      </c>
      <c r="AF199" s="110">
        <v>429585.91000000003</v>
      </c>
      <c r="AG199" s="110">
        <v>429585.9</v>
      </c>
      <c r="AH199" s="110">
        <v>429585.9</v>
      </c>
      <c r="AI199" s="110">
        <v>429585.91000000003</v>
      </c>
      <c r="AJ199" s="110">
        <v>429585.9</v>
      </c>
      <c r="AK199" s="110">
        <v>429585.91000000003</v>
      </c>
      <c r="AL199" s="110">
        <v>429585.9</v>
      </c>
      <c r="AM199" s="110">
        <v>429585.9</v>
      </c>
      <c r="AN199" s="110">
        <v>429585.9</v>
      </c>
      <c r="AO199" s="109"/>
      <c r="AP199" s="110">
        <v>456996.24</v>
      </c>
      <c r="AQ199" s="110">
        <v>452584.95</v>
      </c>
      <c r="AR199" s="110">
        <v>448173.69</v>
      </c>
      <c r="AS199" s="110">
        <v>-452584.95</v>
      </c>
      <c r="AT199" s="110">
        <v>0</v>
      </c>
      <c r="AU199" s="110">
        <v>0</v>
      </c>
      <c r="AV199" s="110">
        <v>0</v>
      </c>
      <c r="AW199" s="110">
        <v>0</v>
      </c>
      <c r="AX199" s="110">
        <v>0</v>
      </c>
      <c r="AY199" s="110">
        <v>0</v>
      </c>
      <c r="AZ199" s="110">
        <v>0</v>
      </c>
      <c r="BA199" s="110">
        <v>0</v>
      </c>
    </row>
    <row r="200" spans="1:53" s="102" customFormat="1" outlineLevel="2">
      <c r="A200" s="102" t="s">
        <v>640</v>
      </c>
      <c r="B200" s="103" t="s">
        <v>641</v>
      </c>
      <c r="C200" s="104" t="s">
        <v>642</v>
      </c>
      <c r="D200" s="298"/>
      <c r="E200" s="299"/>
      <c r="F200" s="105">
        <v>81882</v>
      </c>
      <c r="G200" s="105">
        <v>-7606.14</v>
      </c>
      <c r="H200" s="106">
        <f t="shared" si="42"/>
        <v>89488.14</v>
      </c>
      <c r="I200" s="300" t="str">
        <f t="shared" si="43"/>
        <v>N.M.</v>
      </c>
      <c r="J200" s="107"/>
      <c r="K200" s="105">
        <v>-4213</v>
      </c>
      <c r="L200" s="105">
        <v>-11828.51</v>
      </c>
      <c r="M200" s="106">
        <f t="shared" si="44"/>
        <v>7615.51</v>
      </c>
      <c r="N200" s="300">
        <f t="shared" si="45"/>
        <v>0.64382665272295492</v>
      </c>
      <c r="O200" s="301"/>
      <c r="P200" s="107"/>
      <c r="Q200" s="105">
        <v>-4213</v>
      </c>
      <c r="R200" s="105">
        <v>-11828.51</v>
      </c>
      <c r="S200" s="106">
        <f t="shared" si="46"/>
        <v>7615.51</v>
      </c>
      <c r="T200" s="300">
        <f t="shared" si="47"/>
        <v>0.64382665272295492</v>
      </c>
      <c r="U200" s="107"/>
      <c r="V200" s="105">
        <v>-1328334.06</v>
      </c>
      <c r="W200" s="105">
        <v>-829127.77</v>
      </c>
      <c r="X200" s="106">
        <f t="shared" si="48"/>
        <v>-499206.29000000004</v>
      </c>
      <c r="Y200" s="300">
        <f t="shared" si="49"/>
        <v>-0.60208608137681852</v>
      </c>
      <c r="Z200" s="302"/>
      <c r="AA200" s="108">
        <v>-3813</v>
      </c>
      <c r="AB200" s="109"/>
      <c r="AC200" s="110">
        <v>-3127.1</v>
      </c>
      <c r="AD200" s="110">
        <v>-1095.27</v>
      </c>
      <c r="AE200" s="110">
        <v>-7606.14</v>
      </c>
      <c r="AF200" s="110">
        <v>-6740.4000000000005</v>
      </c>
      <c r="AG200" s="110">
        <v>447.66</v>
      </c>
      <c r="AH200" s="110">
        <v>-1686056.77</v>
      </c>
      <c r="AI200" s="110">
        <v>-4121.4800000000005</v>
      </c>
      <c r="AJ200" s="110">
        <v>827.9</v>
      </c>
      <c r="AK200" s="110">
        <v>-9753.9699999999993</v>
      </c>
      <c r="AL200" s="110">
        <v>-3730</v>
      </c>
      <c r="AM200" s="110">
        <v>-3415</v>
      </c>
      <c r="AN200" s="110">
        <v>388421</v>
      </c>
      <c r="AO200" s="109"/>
      <c r="AP200" s="110">
        <v>-2387</v>
      </c>
      <c r="AQ200" s="110">
        <v>-83708</v>
      </c>
      <c r="AR200" s="110">
        <v>81882</v>
      </c>
      <c r="AS200" s="110">
        <v>4213</v>
      </c>
      <c r="AT200" s="110">
        <v>0</v>
      </c>
      <c r="AU200" s="110">
        <v>0</v>
      </c>
      <c r="AV200" s="110">
        <v>0</v>
      </c>
      <c r="AW200" s="110">
        <v>0</v>
      </c>
      <c r="AX200" s="110">
        <v>0</v>
      </c>
      <c r="AY200" s="110">
        <v>0</v>
      </c>
      <c r="AZ200" s="110">
        <v>0</v>
      </c>
      <c r="BA200" s="110">
        <v>0</v>
      </c>
    </row>
    <row r="201" spans="1:53" s="102" customFormat="1" outlineLevel="2">
      <c r="A201" s="102" t="s">
        <v>643</v>
      </c>
      <c r="B201" s="103" t="s">
        <v>644</v>
      </c>
      <c r="C201" s="104" t="s">
        <v>645</v>
      </c>
      <c r="D201" s="298"/>
      <c r="E201" s="299"/>
      <c r="F201" s="105">
        <v>52717.58</v>
      </c>
      <c r="G201" s="105">
        <v>42876.89</v>
      </c>
      <c r="H201" s="106">
        <f t="shared" si="42"/>
        <v>9840.6900000000023</v>
      </c>
      <c r="I201" s="300">
        <f t="shared" si="43"/>
        <v>0.22951034928139616</v>
      </c>
      <c r="J201" s="107"/>
      <c r="K201" s="105">
        <v>163618.94</v>
      </c>
      <c r="L201" s="105">
        <v>129664.98</v>
      </c>
      <c r="M201" s="106">
        <f t="shared" si="44"/>
        <v>33953.960000000006</v>
      </c>
      <c r="N201" s="300">
        <f t="shared" si="45"/>
        <v>0.26185913883609907</v>
      </c>
      <c r="O201" s="301"/>
      <c r="P201" s="107"/>
      <c r="Q201" s="105">
        <v>163618.94</v>
      </c>
      <c r="R201" s="105">
        <v>129664.98</v>
      </c>
      <c r="S201" s="106">
        <f t="shared" si="46"/>
        <v>33953.960000000006</v>
      </c>
      <c r="T201" s="300">
        <f t="shared" si="47"/>
        <v>0.26185913883609907</v>
      </c>
      <c r="U201" s="107"/>
      <c r="V201" s="105">
        <v>728804.02</v>
      </c>
      <c r="W201" s="105">
        <v>507186.26999999996</v>
      </c>
      <c r="X201" s="106">
        <f t="shared" si="48"/>
        <v>221617.75000000006</v>
      </c>
      <c r="Y201" s="300">
        <f t="shared" si="49"/>
        <v>0.43695534187074914</v>
      </c>
      <c r="Z201" s="302"/>
      <c r="AA201" s="108">
        <v>41858.74</v>
      </c>
      <c r="AB201" s="109"/>
      <c r="AC201" s="110">
        <v>43445.33</v>
      </c>
      <c r="AD201" s="110">
        <v>43342.76</v>
      </c>
      <c r="AE201" s="110">
        <v>42876.89</v>
      </c>
      <c r="AF201" s="110">
        <v>52467.01</v>
      </c>
      <c r="AG201" s="110">
        <v>47722.450000000004</v>
      </c>
      <c r="AH201" s="110">
        <v>62516.5</v>
      </c>
      <c r="AI201" s="110">
        <v>48810.520000000004</v>
      </c>
      <c r="AJ201" s="110">
        <v>48965.8</v>
      </c>
      <c r="AK201" s="110">
        <v>48965.83</v>
      </c>
      <c r="AL201" s="110">
        <v>48810.54</v>
      </c>
      <c r="AM201" s="110">
        <v>153302.78</v>
      </c>
      <c r="AN201" s="110">
        <v>53623.65</v>
      </c>
      <c r="AO201" s="109"/>
      <c r="AP201" s="110">
        <v>58323.200000000004</v>
      </c>
      <c r="AQ201" s="110">
        <v>52578.16</v>
      </c>
      <c r="AR201" s="110">
        <v>52717.58</v>
      </c>
      <c r="AS201" s="110">
        <v>-52717.31</v>
      </c>
      <c r="AT201" s="110">
        <v>0</v>
      </c>
      <c r="AU201" s="110">
        <v>0</v>
      </c>
      <c r="AV201" s="110">
        <v>0</v>
      </c>
      <c r="AW201" s="110">
        <v>0</v>
      </c>
      <c r="AX201" s="110">
        <v>0</v>
      </c>
      <c r="AY201" s="110">
        <v>0</v>
      </c>
      <c r="AZ201" s="110">
        <v>0</v>
      </c>
      <c r="BA201" s="110">
        <v>0</v>
      </c>
    </row>
    <row r="202" spans="1:53" s="102" customFormat="1" outlineLevel="2">
      <c r="A202" s="102" t="s">
        <v>1701</v>
      </c>
      <c r="B202" s="103" t="s">
        <v>1702</v>
      </c>
      <c r="C202" s="104" t="s">
        <v>1703</v>
      </c>
      <c r="D202" s="298"/>
      <c r="E202" s="299"/>
      <c r="F202" s="105">
        <v>107430.65000000001</v>
      </c>
      <c r="G202" s="105">
        <v>22253.670000000002</v>
      </c>
      <c r="H202" s="106">
        <f t="shared" si="42"/>
        <v>85176.98000000001</v>
      </c>
      <c r="I202" s="300">
        <f t="shared" si="43"/>
        <v>3.8275475460901505</v>
      </c>
      <c r="J202" s="107"/>
      <c r="K202" s="105">
        <v>322291.95</v>
      </c>
      <c r="L202" s="105">
        <v>66761.009999999995</v>
      </c>
      <c r="M202" s="106">
        <f t="shared" si="44"/>
        <v>255530.94</v>
      </c>
      <c r="N202" s="300">
        <f t="shared" si="45"/>
        <v>3.8275475460901509</v>
      </c>
      <c r="O202" s="301"/>
      <c r="P202" s="107"/>
      <c r="Q202" s="105">
        <v>322291.95</v>
      </c>
      <c r="R202" s="105">
        <v>66761.009999999995</v>
      </c>
      <c r="S202" s="106">
        <f t="shared" si="46"/>
        <v>255530.94</v>
      </c>
      <c r="T202" s="300">
        <f t="shared" si="47"/>
        <v>3.8275475460901509</v>
      </c>
      <c r="U202" s="107"/>
      <c r="V202" s="105">
        <v>522576.98</v>
      </c>
      <c r="W202" s="105">
        <v>2170810.9299999997</v>
      </c>
      <c r="X202" s="106">
        <f t="shared" si="48"/>
        <v>-1648233.9499999997</v>
      </c>
      <c r="Y202" s="300">
        <f t="shared" si="49"/>
        <v>-0.75927107571731267</v>
      </c>
      <c r="Z202" s="302"/>
      <c r="AA202" s="108">
        <v>176259</v>
      </c>
      <c r="AB202" s="109"/>
      <c r="AC202" s="110">
        <v>22253.670000000002</v>
      </c>
      <c r="AD202" s="110">
        <v>22253.670000000002</v>
      </c>
      <c r="AE202" s="110">
        <v>22253.670000000002</v>
      </c>
      <c r="AF202" s="110">
        <v>22253.670000000002</v>
      </c>
      <c r="AG202" s="110">
        <v>22253.670000000002</v>
      </c>
      <c r="AH202" s="110">
        <v>22253.670000000002</v>
      </c>
      <c r="AI202" s="110">
        <v>22253.670000000002</v>
      </c>
      <c r="AJ202" s="110">
        <v>22253.670000000002</v>
      </c>
      <c r="AK202" s="110">
        <v>22253.670000000002</v>
      </c>
      <c r="AL202" s="110">
        <v>22253.670000000002</v>
      </c>
      <c r="AM202" s="110">
        <v>22253.670000000002</v>
      </c>
      <c r="AN202" s="110">
        <v>22255.670000000002</v>
      </c>
      <c r="AO202" s="109"/>
      <c r="AP202" s="110">
        <v>-39267.35</v>
      </c>
      <c r="AQ202" s="110">
        <v>254128.65</v>
      </c>
      <c r="AR202" s="110">
        <v>107430.65000000001</v>
      </c>
      <c r="AS202" s="110">
        <v>0</v>
      </c>
      <c r="AT202" s="110">
        <v>0</v>
      </c>
      <c r="AU202" s="110">
        <v>0</v>
      </c>
      <c r="AV202" s="110">
        <v>0</v>
      </c>
      <c r="AW202" s="110">
        <v>0</v>
      </c>
      <c r="AX202" s="110">
        <v>0</v>
      </c>
      <c r="AY202" s="110">
        <v>0</v>
      </c>
      <c r="AZ202" s="110">
        <v>0</v>
      </c>
      <c r="BA202" s="110">
        <v>0</v>
      </c>
    </row>
    <row r="203" spans="1:53" s="102" customFormat="1" outlineLevel="2">
      <c r="A203" s="102" t="s">
        <v>1704</v>
      </c>
      <c r="B203" s="103" t="s">
        <v>1705</v>
      </c>
      <c r="C203" s="104" t="s">
        <v>1706</v>
      </c>
      <c r="D203" s="298"/>
      <c r="E203" s="299"/>
      <c r="F203" s="105">
        <v>0</v>
      </c>
      <c r="G203" s="105">
        <v>0</v>
      </c>
      <c r="H203" s="106">
        <f t="shared" si="42"/>
        <v>0</v>
      </c>
      <c r="I203" s="300">
        <f t="shared" si="43"/>
        <v>0</v>
      </c>
      <c r="J203" s="107"/>
      <c r="K203" s="105">
        <v>0</v>
      </c>
      <c r="L203" s="105">
        <v>0</v>
      </c>
      <c r="M203" s="106">
        <f t="shared" si="44"/>
        <v>0</v>
      </c>
      <c r="N203" s="300">
        <f t="shared" si="45"/>
        <v>0</v>
      </c>
      <c r="O203" s="301"/>
      <c r="P203" s="107"/>
      <c r="Q203" s="105">
        <v>0</v>
      </c>
      <c r="R203" s="105">
        <v>0</v>
      </c>
      <c r="S203" s="106">
        <f t="shared" si="46"/>
        <v>0</v>
      </c>
      <c r="T203" s="300">
        <f t="shared" si="47"/>
        <v>0</v>
      </c>
      <c r="U203" s="107"/>
      <c r="V203" s="105">
        <v>327.95</v>
      </c>
      <c r="W203" s="105">
        <v>0</v>
      </c>
      <c r="X203" s="106">
        <f t="shared" si="48"/>
        <v>327.95</v>
      </c>
      <c r="Y203" s="300" t="str">
        <f t="shared" si="49"/>
        <v>N.M.</v>
      </c>
      <c r="Z203" s="302"/>
      <c r="AA203" s="108">
        <v>0</v>
      </c>
      <c r="AB203" s="109"/>
      <c r="AC203" s="110">
        <v>0</v>
      </c>
      <c r="AD203" s="110">
        <v>0</v>
      </c>
      <c r="AE203" s="110">
        <v>0</v>
      </c>
      <c r="AF203" s="110">
        <v>0</v>
      </c>
      <c r="AG203" s="110">
        <v>0</v>
      </c>
      <c r="AH203" s="110">
        <v>0</v>
      </c>
      <c r="AI203" s="110">
        <v>0</v>
      </c>
      <c r="AJ203" s="110">
        <v>0</v>
      </c>
      <c r="AK203" s="110">
        <v>0</v>
      </c>
      <c r="AL203" s="110">
        <v>0</v>
      </c>
      <c r="AM203" s="110">
        <v>327.95</v>
      </c>
      <c r="AN203" s="110">
        <v>0</v>
      </c>
      <c r="AO203" s="109"/>
      <c r="AP203" s="110">
        <v>0</v>
      </c>
      <c r="AQ203" s="110">
        <v>0</v>
      </c>
      <c r="AR203" s="110">
        <v>0</v>
      </c>
      <c r="AS203" s="110">
        <v>0</v>
      </c>
      <c r="AT203" s="110">
        <v>0</v>
      </c>
      <c r="AU203" s="110">
        <v>0</v>
      </c>
      <c r="AV203" s="110">
        <v>0</v>
      </c>
      <c r="AW203" s="110">
        <v>0</v>
      </c>
      <c r="AX203" s="110">
        <v>0</v>
      </c>
      <c r="AY203" s="110">
        <v>0</v>
      </c>
      <c r="AZ203" s="110">
        <v>0</v>
      </c>
      <c r="BA203" s="110">
        <v>0</v>
      </c>
    </row>
    <row r="204" spans="1:53" s="102" customFormat="1" outlineLevel="2">
      <c r="A204" s="102" t="s">
        <v>646</v>
      </c>
      <c r="B204" s="103" t="s">
        <v>647</v>
      </c>
      <c r="C204" s="104" t="s">
        <v>648</v>
      </c>
      <c r="D204" s="298"/>
      <c r="E204" s="299"/>
      <c r="F204" s="105">
        <v>0</v>
      </c>
      <c r="G204" s="105">
        <v>0</v>
      </c>
      <c r="H204" s="106">
        <f t="shared" si="42"/>
        <v>0</v>
      </c>
      <c r="I204" s="300">
        <f t="shared" si="43"/>
        <v>0</v>
      </c>
      <c r="J204" s="107"/>
      <c r="K204" s="105">
        <v>0</v>
      </c>
      <c r="L204" s="105">
        <v>0</v>
      </c>
      <c r="M204" s="106">
        <f t="shared" si="44"/>
        <v>0</v>
      </c>
      <c r="N204" s="300">
        <f t="shared" si="45"/>
        <v>0</v>
      </c>
      <c r="O204" s="301"/>
      <c r="P204" s="107"/>
      <c r="Q204" s="105">
        <v>0</v>
      </c>
      <c r="R204" s="105">
        <v>0</v>
      </c>
      <c r="S204" s="106">
        <f t="shared" si="46"/>
        <v>0</v>
      </c>
      <c r="T204" s="300">
        <f t="shared" si="47"/>
        <v>0</v>
      </c>
      <c r="U204" s="107"/>
      <c r="V204" s="105">
        <v>0</v>
      </c>
      <c r="W204" s="105">
        <v>626601.43000000005</v>
      </c>
      <c r="X204" s="106">
        <f t="shared" si="48"/>
        <v>-626601.43000000005</v>
      </c>
      <c r="Y204" s="300" t="str">
        <f t="shared" si="49"/>
        <v>N.M.</v>
      </c>
      <c r="Z204" s="302"/>
      <c r="AA204" s="108">
        <v>0</v>
      </c>
      <c r="AB204" s="109"/>
      <c r="AC204" s="110">
        <v>0</v>
      </c>
      <c r="AD204" s="110">
        <v>0</v>
      </c>
      <c r="AE204" s="110">
        <v>0</v>
      </c>
      <c r="AF204" s="110">
        <v>0</v>
      </c>
      <c r="AG204" s="110">
        <v>0</v>
      </c>
      <c r="AH204" s="110">
        <v>0</v>
      </c>
      <c r="AI204" s="110">
        <v>0</v>
      </c>
      <c r="AJ204" s="110">
        <v>0</v>
      </c>
      <c r="AK204" s="110">
        <v>0</v>
      </c>
      <c r="AL204" s="110">
        <v>0</v>
      </c>
      <c r="AM204" s="110">
        <v>0</v>
      </c>
      <c r="AN204" s="110">
        <v>0</v>
      </c>
      <c r="AO204" s="109"/>
      <c r="AP204" s="110">
        <v>0</v>
      </c>
      <c r="AQ204" s="110">
        <v>0</v>
      </c>
      <c r="AR204" s="110">
        <v>0</v>
      </c>
      <c r="AS204" s="110">
        <v>0</v>
      </c>
      <c r="AT204" s="110">
        <v>0</v>
      </c>
      <c r="AU204" s="110">
        <v>0</v>
      </c>
      <c r="AV204" s="110">
        <v>0</v>
      </c>
      <c r="AW204" s="110">
        <v>0</v>
      </c>
      <c r="AX204" s="110">
        <v>0</v>
      </c>
      <c r="AY204" s="110">
        <v>0</v>
      </c>
      <c r="AZ204" s="110">
        <v>0</v>
      </c>
      <c r="BA204" s="110">
        <v>0</v>
      </c>
    </row>
    <row r="205" spans="1:53" s="102" customFormat="1" outlineLevel="2">
      <c r="A205" s="102" t="s">
        <v>1707</v>
      </c>
      <c r="B205" s="103" t="s">
        <v>1708</v>
      </c>
      <c r="C205" s="104" t="s">
        <v>1709</v>
      </c>
      <c r="D205" s="298"/>
      <c r="E205" s="299"/>
      <c r="F205" s="105">
        <v>0</v>
      </c>
      <c r="G205" s="105">
        <v>81119</v>
      </c>
      <c r="H205" s="106">
        <f t="shared" si="42"/>
        <v>-81119</v>
      </c>
      <c r="I205" s="300" t="str">
        <f t="shared" si="43"/>
        <v>N.M.</v>
      </c>
      <c r="J205" s="107"/>
      <c r="K205" s="105">
        <v>0</v>
      </c>
      <c r="L205" s="105">
        <v>243357</v>
      </c>
      <c r="M205" s="106">
        <f t="shared" si="44"/>
        <v>-243357</v>
      </c>
      <c r="N205" s="300" t="str">
        <f t="shared" si="45"/>
        <v>N.M.</v>
      </c>
      <c r="O205" s="301"/>
      <c r="P205" s="107"/>
      <c r="Q205" s="105">
        <v>0</v>
      </c>
      <c r="R205" s="105">
        <v>243357</v>
      </c>
      <c r="S205" s="106">
        <f t="shared" si="46"/>
        <v>-243357</v>
      </c>
      <c r="T205" s="300" t="str">
        <f t="shared" si="47"/>
        <v>N.M.</v>
      </c>
      <c r="U205" s="107"/>
      <c r="V205" s="105">
        <v>730068</v>
      </c>
      <c r="W205" s="105">
        <v>-730068</v>
      </c>
      <c r="X205" s="106">
        <f t="shared" si="48"/>
        <v>1460136</v>
      </c>
      <c r="Y205" s="300">
        <f t="shared" si="49"/>
        <v>2</v>
      </c>
      <c r="Z205" s="302"/>
      <c r="AA205" s="108">
        <v>0</v>
      </c>
      <c r="AB205" s="109"/>
      <c r="AC205" s="110">
        <v>81119</v>
      </c>
      <c r="AD205" s="110">
        <v>81119</v>
      </c>
      <c r="AE205" s="110">
        <v>81119</v>
      </c>
      <c r="AF205" s="110">
        <v>81119</v>
      </c>
      <c r="AG205" s="110">
        <v>81119</v>
      </c>
      <c r="AH205" s="110">
        <v>81119</v>
      </c>
      <c r="AI205" s="110">
        <v>81119</v>
      </c>
      <c r="AJ205" s="110">
        <v>81119</v>
      </c>
      <c r="AK205" s="110">
        <v>81119</v>
      </c>
      <c r="AL205" s="110">
        <v>81119</v>
      </c>
      <c r="AM205" s="110">
        <v>81119</v>
      </c>
      <c r="AN205" s="110">
        <v>81116</v>
      </c>
      <c r="AO205" s="109"/>
      <c r="AP205" s="110">
        <v>0</v>
      </c>
      <c r="AQ205" s="110">
        <v>0</v>
      </c>
      <c r="AR205" s="110">
        <v>0</v>
      </c>
      <c r="AS205" s="110">
        <v>0</v>
      </c>
      <c r="AT205" s="110">
        <v>0</v>
      </c>
      <c r="AU205" s="110">
        <v>0</v>
      </c>
      <c r="AV205" s="110">
        <v>0</v>
      </c>
      <c r="AW205" s="110">
        <v>0</v>
      </c>
      <c r="AX205" s="110">
        <v>0</v>
      </c>
      <c r="AY205" s="110">
        <v>0</v>
      </c>
      <c r="AZ205" s="110">
        <v>0</v>
      </c>
      <c r="BA205" s="110">
        <v>0</v>
      </c>
    </row>
    <row r="206" spans="1:53" s="102" customFormat="1" outlineLevel="2">
      <c r="A206" s="102" t="s">
        <v>649</v>
      </c>
      <c r="B206" s="103" t="s">
        <v>650</v>
      </c>
      <c r="C206" s="104" t="s">
        <v>651</v>
      </c>
      <c r="D206" s="298"/>
      <c r="E206" s="299"/>
      <c r="F206" s="105">
        <v>110280.01000000001</v>
      </c>
      <c r="G206" s="105">
        <v>112708.874</v>
      </c>
      <c r="H206" s="106">
        <f t="shared" si="42"/>
        <v>-2428.8639999999868</v>
      </c>
      <c r="I206" s="300">
        <f t="shared" si="43"/>
        <v>-2.1549891448653696E-2</v>
      </c>
      <c r="J206" s="107"/>
      <c r="K206" s="105">
        <v>209114.04</v>
      </c>
      <c r="L206" s="105">
        <v>133151.93400000001</v>
      </c>
      <c r="M206" s="106">
        <f t="shared" si="44"/>
        <v>75962.106</v>
      </c>
      <c r="N206" s="300">
        <f t="shared" si="45"/>
        <v>0.5704919464406728</v>
      </c>
      <c r="O206" s="301"/>
      <c r="P206" s="107"/>
      <c r="Q206" s="105">
        <v>209114.04</v>
      </c>
      <c r="R206" s="105">
        <v>133151.93400000001</v>
      </c>
      <c r="S206" s="106">
        <f t="shared" si="46"/>
        <v>75962.106</v>
      </c>
      <c r="T206" s="300">
        <f t="shared" si="47"/>
        <v>0.5704919464406728</v>
      </c>
      <c r="U206" s="107"/>
      <c r="V206" s="105">
        <v>1010521.2100000001</v>
      </c>
      <c r="W206" s="105">
        <v>1358127.8939999999</v>
      </c>
      <c r="X206" s="106">
        <f t="shared" si="48"/>
        <v>-347606.68399999978</v>
      </c>
      <c r="Y206" s="300">
        <f t="shared" si="49"/>
        <v>-0.25594547136221313</v>
      </c>
      <c r="Z206" s="302"/>
      <c r="AA206" s="108">
        <v>341765.47000000003</v>
      </c>
      <c r="AB206" s="109"/>
      <c r="AC206" s="110">
        <v>-81986.02</v>
      </c>
      <c r="AD206" s="110">
        <v>102429.08</v>
      </c>
      <c r="AE206" s="110">
        <v>112708.874</v>
      </c>
      <c r="AF206" s="110">
        <v>101272.25</v>
      </c>
      <c r="AG206" s="110">
        <v>97740.01</v>
      </c>
      <c r="AH206" s="110">
        <v>98132.67</v>
      </c>
      <c r="AI206" s="110">
        <v>62907.700000000004</v>
      </c>
      <c r="AJ206" s="110">
        <v>146407.78</v>
      </c>
      <c r="AK206" s="110">
        <v>76388.5</v>
      </c>
      <c r="AL206" s="110">
        <v>63134.239999999998</v>
      </c>
      <c r="AM206" s="110">
        <v>53992.68</v>
      </c>
      <c r="AN206" s="110">
        <v>101431.34</v>
      </c>
      <c r="AO206" s="109"/>
      <c r="AP206" s="110">
        <v>24437.119999999999</v>
      </c>
      <c r="AQ206" s="110">
        <v>74396.91</v>
      </c>
      <c r="AR206" s="110">
        <v>110280.01000000001</v>
      </c>
      <c r="AS206" s="110">
        <v>-138.77000000000001</v>
      </c>
      <c r="AT206" s="110">
        <v>0</v>
      </c>
      <c r="AU206" s="110">
        <v>0</v>
      </c>
      <c r="AV206" s="110">
        <v>0</v>
      </c>
      <c r="AW206" s="110">
        <v>0</v>
      </c>
      <c r="AX206" s="110">
        <v>0</v>
      </c>
      <c r="AY206" s="110">
        <v>0</v>
      </c>
      <c r="AZ206" s="110">
        <v>0</v>
      </c>
      <c r="BA206" s="110">
        <v>0</v>
      </c>
    </row>
    <row r="207" spans="1:53" s="102" customFormat="1" outlineLevel="2">
      <c r="A207" s="102" t="s">
        <v>652</v>
      </c>
      <c r="B207" s="103" t="s">
        <v>653</v>
      </c>
      <c r="C207" s="104" t="s">
        <v>654</v>
      </c>
      <c r="D207" s="298"/>
      <c r="E207" s="299"/>
      <c r="F207" s="105">
        <v>-2228531</v>
      </c>
      <c r="G207" s="105">
        <v>661850.39</v>
      </c>
      <c r="H207" s="106">
        <f t="shared" si="42"/>
        <v>-2890381.39</v>
      </c>
      <c r="I207" s="300">
        <f t="shared" si="43"/>
        <v>-4.367121986586727</v>
      </c>
      <c r="J207" s="107"/>
      <c r="K207" s="105">
        <v>-7011970.4400000004</v>
      </c>
      <c r="L207" s="105">
        <v>-339366.38</v>
      </c>
      <c r="M207" s="106">
        <f t="shared" si="44"/>
        <v>-6672604.0600000005</v>
      </c>
      <c r="N207" s="300" t="str">
        <f t="shared" si="45"/>
        <v>N.M.</v>
      </c>
      <c r="O207" s="301"/>
      <c r="P207" s="107"/>
      <c r="Q207" s="105">
        <v>-7011970.4400000004</v>
      </c>
      <c r="R207" s="105">
        <v>-339366.38</v>
      </c>
      <c r="S207" s="106">
        <f t="shared" si="46"/>
        <v>-6672604.0600000005</v>
      </c>
      <c r="T207" s="300" t="str">
        <f t="shared" si="47"/>
        <v>N.M.</v>
      </c>
      <c r="U207" s="107"/>
      <c r="V207" s="105">
        <v>-6727358.2800000003</v>
      </c>
      <c r="W207" s="105">
        <v>2166936.8000000003</v>
      </c>
      <c r="X207" s="106">
        <f t="shared" si="48"/>
        <v>-8894295.0800000001</v>
      </c>
      <c r="Y207" s="300">
        <f t="shared" si="49"/>
        <v>-4.1045475253362254</v>
      </c>
      <c r="Z207" s="302"/>
      <c r="AA207" s="108">
        <v>907675.63</v>
      </c>
      <c r="AB207" s="109"/>
      <c r="AC207" s="110">
        <v>-2172292.2999999998</v>
      </c>
      <c r="AD207" s="110">
        <v>1171075.53</v>
      </c>
      <c r="AE207" s="110">
        <v>661850.39</v>
      </c>
      <c r="AF207" s="110">
        <v>109970.47</v>
      </c>
      <c r="AG207" s="110">
        <v>186337.05000000002</v>
      </c>
      <c r="AH207" s="110">
        <v>-238149.81</v>
      </c>
      <c r="AI207" s="110">
        <v>-616905.19000000006</v>
      </c>
      <c r="AJ207" s="110">
        <v>-1407730.85</v>
      </c>
      <c r="AK207" s="110">
        <v>-43164.44</v>
      </c>
      <c r="AL207" s="110">
        <v>320612.81</v>
      </c>
      <c r="AM207" s="110">
        <v>899453.34</v>
      </c>
      <c r="AN207" s="110">
        <v>1074188.78</v>
      </c>
      <c r="AO207" s="109"/>
      <c r="AP207" s="110">
        <v>-4333293.2</v>
      </c>
      <c r="AQ207" s="110">
        <v>-450146.24</v>
      </c>
      <c r="AR207" s="110">
        <v>-2228531</v>
      </c>
      <c r="AS207" s="110">
        <v>0</v>
      </c>
      <c r="AT207" s="110">
        <v>0</v>
      </c>
      <c r="AU207" s="110">
        <v>0</v>
      </c>
      <c r="AV207" s="110">
        <v>0</v>
      </c>
      <c r="AW207" s="110">
        <v>0</v>
      </c>
      <c r="AX207" s="110">
        <v>0</v>
      </c>
      <c r="AY207" s="110">
        <v>0</v>
      </c>
      <c r="AZ207" s="110">
        <v>0</v>
      </c>
      <c r="BA207" s="110">
        <v>0</v>
      </c>
    </row>
    <row r="208" spans="1:53" s="102" customFormat="1" outlineLevel="2">
      <c r="A208" s="102" t="s">
        <v>655</v>
      </c>
      <c r="B208" s="103" t="s">
        <v>656</v>
      </c>
      <c r="C208" s="104" t="s">
        <v>603</v>
      </c>
      <c r="D208" s="298"/>
      <c r="E208" s="299"/>
      <c r="F208" s="105">
        <v>0</v>
      </c>
      <c r="G208" s="105">
        <v>0</v>
      </c>
      <c r="H208" s="106">
        <f t="shared" si="42"/>
        <v>0</v>
      </c>
      <c r="I208" s="300">
        <f t="shared" si="43"/>
        <v>0</v>
      </c>
      <c r="J208" s="107"/>
      <c r="K208" s="105">
        <v>0</v>
      </c>
      <c r="L208" s="105">
        <v>0</v>
      </c>
      <c r="M208" s="106">
        <f t="shared" si="44"/>
        <v>0</v>
      </c>
      <c r="N208" s="300">
        <f t="shared" si="45"/>
        <v>0</v>
      </c>
      <c r="O208" s="301"/>
      <c r="P208" s="107"/>
      <c r="Q208" s="105">
        <v>0</v>
      </c>
      <c r="R208" s="105">
        <v>0</v>
      </c>
      <c r="S208" s="106">
        <f t="shared" si="46"/>
        <v>0</v>
      </c>
      <c r="T208" s="300">
        <f t="shared" si="47"/>
        <v>0</v>
      </c>
      <c r="U208" s="107"/>
      <c r="V208" s="105">
        <v>0</v>
      </c>
      <c r="W208" s="105">
        <v>-269.08</v>
      </c>
      <c r="X208" s="106">
        <f t="shared" si="48"/>
        <v>269.08</v>
      </c>
      <c r="Y208" s="300" t="str">
        <f t="shared" si="49"/>
        <v>N.M.</v>
      </c>
      <c r="Z208" s="302"/>
      <c r="AA208" s="108">
        <v>0</v>
      </c>
      <c r="AB208" s="109"/>
      <c r="AC208" s="110">
        <v>0</v>
      </c>
      <c r="AD208" s="110">
        <v>0</v>
      </c>
      <c r="AE208" s="110">
        <v>0</v>
      </c>
      <c r="AF208" s="110">
        <v>0</v>
      </c>
      <c r="AG208" s="110">
        <v>0</v>
      </c>
      <c r="AH208" s="110">
        <v>0</v>
      </c>
      <c r="AI208" s="110">
        <v>0</v>
      </c>
      <c r="AJ208" s="110">
        <v>0</v>
      </c>
      <c r="AK208" s="110">
        <v>0</v>
      </c>
      <c r="AL208" s="110">
        <v>0</v>
      </c>
      <c r="AM208" s="110">
        <v>0</v>
      </c>
      <c r="AN208" s="110">
        <v>0</v>
      </c>
      <c r="AO208" s="109"/>
      <c r="AP208" s="110">
        <v>0</v>
      </c>
      <c r="AQ208" s="110">
        <v>0</v>
      </c>
      <c r="AR208" s="110">
        <v>0</v>
      </c>
      <c r="AS208" s="110">
        <v>0</v>
      </c>
      <c r="AT208" s="110">
        <v>0</v>
      </c>
      <c r="AU208" s="110">
        <v>0</v>
      </c>
      <c r="AV208" s="110">
        <v>0</v>
      </c>
      <c r="AW208" s="110">
        <v>0</v>
      </c>
      <c r="AX208" s="110">
        <v>0</v>
      </c>
      <c r="AY208" s="110">
        <v>0</v>
      </c>
      <c r="AZ208" s="110">
        <v>0</v>
      </c>
      <c r="BA208" s="110">
        <v>0</v>
      </c>
    </row>
    <row r="209" spans="1:53" s="102" customFormat="1" outlineLevel="2">
      <c r="A209" s="102" t="s">
        <v>657</v>
      </c>
      <c r="B209" s="103" t="s">
        <v>658</v>
      </c>
      <c r="C209" s="104" t="s">
        <v>659</v>
      </c>
      <c r="D209" s="298"/>
      <c r="E209" s="299"/>
      <c r="F209" s="105">
        <v>411.3</v>
      </c>
      <c r="G209" s="105">
        <v>472.28000000000003</v>
      </c>
      <c r="H209" s="106">
        <f t="shared" si="42"/>
        <v>-60.980000000000018</v>
      </c>
      <c r="I209" s="300">
        <f t="shared" si="43"/>
        <v>-0.12911831964089102</v>
      </c>
      <c r="J209" s="107"/>
      <c r="K209" s="105">
        <v>1114.32</v>
      </c>
      <c r="L209" s="105">
        <v>1245.3500000000001</v>
      </c>
      <c r="M209" s="106">
        <f t="shared" si="44"/>
        <v>-131.0300000000002</v>
      </c>
      <c r="N209" s="300">
        <f t="shared" si="45"/>
        <v>-0.1052154012928094</v>
      </c>
      <c r="O209" s="301"/>
      <c r="P209" s="107"/>
      <c r="Q209" s="105">
        <v>1114.32</v>
      </c>
      <c r="R209" s="105">
        <v>1245.3500000000001</v>
      </c>
      <c r="S209" s="106">
        <f t="shared" si="46"/>
        <v>-131.0300000000002</v>
      </c>
      <c r="T209" s="300">
        <f t="shared" si="47"/>
        <v>-0.1052154012928094</v>
      </c>
      <c r="U209" s="107"/>
      <c r="V209" s="105">
        <v>4079.41</v>
      </c>
      <c r="W209" s="105">
        <v>5507.88</v>
      </c>
      <c r="X209" s="106">
        <f t="shared" si="48"/>
        <v>-1428.4700000000003</v>
      </c>
      <c r="Y209" s="300">
        <f t="shared" si="49"/>
        <v>-0.25935024001975354</v>
      </c>
      <c r="Z209" s="302"/>
      <c r="AA209" s="108">
        <v>1040.71</v>
      </c>
      <c r="AB209" s="109"/>
      <c r="AC209" s="110">
        <v>421.86</v>
      </c>
      <c r="AD209" s="110">
        <v>351.21</v>
      </c>
      <c r="AE209" s="110">
        <v>472.28000000000003</v>
      </c>
      <c r="AF209" s="110">
        <v>364.84000000000003</v>
      </c>
      <c r="AG209" s="110">
        <v>275.22000000000003</v>
      </c>
      <c r="AH209" s="110">
        <v>262.97000000000003</v>
      </c>
      <c r="AI209" s="110">
        <v>276.87</v>
      </c>
      <c r="AJ209" s="110">
        <v>269.41000000000003</v>
      </c>
      <c r="AK209" s="110">
        <v>321.5</v>
      </c>
      <c r="AL209" s="110">
        <v>329.25</v>
      </c>
      <c r="AM209" s="110">
        <v>363.11</v>
      </c>
      <c r="AN209" s="110">
        <v>501.92</v>
      </c>
      <c r="AO209" s="109"/>
      <c r="AP209" s="110">
        <v>360.53000000000003</v>
      </c>
      <c r="AQ209" s="110">
        <v>342.49</v>
      </c>
      <c r="AR209" s="110">
        <v>411.3</v>
      </c>
      <c r="AS209" s="110">
        <v>0</v>
      </c>
      <c r="AT209" s="110">
        <v>0</v>
      </c>
      <c r="AU209" s="110">
        <v>0</v>
      </c>
      <c r="AV209" s="110">
        <v>0</v>
      </c>
      <c r="AW209" s="110">
        <v>0</v>
      </c>
      <c r="AX209" s="110">
        <v>0</v>
      </c>
      <c r="AY209" s="110">
        <v>0</v>
      </c>
      <c r="AZ209" s="110">
        <v>0</v>
      </c>
      <c r="BA209" s="110">
        <v>0</v>
      </c>
    </row>
    <row r="210" spans="1:53" s="102" customFormat="1" outlineLevel="2">
      <c r="A210" s="102" t="s">
        <v>660</v>
      </c>
      <c r="B210" s="103" t="s">
        <v>661</v>
      </c>
      <c r="C210" s="104" t="s">
        <v>662</v>
      </c>
      <c r="D210" s="298"/>
      <c r="E210" s="299"/>
      <c r="F210" s="105">
        <v>0</v>
      </c>
      <c r="G210" s="105">
        <v>0</v>
      </c>
      <c r="H210" s="106">
        <f t="shared" si="42"/>
        <v>0</v>
      </c>
      <c r="I210" s="300">
        <f t="shared" si="43"/>
        <v>0</v>
      </c>
      <c r="J210" s="107"/>
      <c r="K210" s="105">
        <v>0</v>
      </c>
      <c r="L210" s="105">
        <v>0</v>
      </c>
      <c r="M210" s="106">
        <f t="shared" si="44"/>
        <v>0</v>
      </c>
      <c r="N210" s="300">
        <f t="shared" si="45"/>
        <v>0</v>
      </c>
      <c r="O210" s="301"/>
      <c r="P210" s="107"/>
      <c r="Q210" s="105">
        <v>0</v>
      </c>
      <c r="R210" s="105">
        <v>0</v>
      </c>
      <c r="S210" s="106">
        <f t="shared" si="46"/>
        <v>0</v>
      </c>
      <c r="T210" s="300">
        <f t="shared" si="47"/>
        <v>0</v>
      </c>
      <c r="U210" s="107"/>
      <c r="V210" s="105">
        <v>277.29000000000002</v>
      </c>
      <c r="W210" s="105">
        <v>350</v>
      </c>
      <c r="X210" s="106">
        <f t="shared" si="48"/>
        <v>-72.70999999999998</v>
      </c>
      <c r="Y210" s="300">
        <f t="shared" si="49"/>
        <v>-0.20774285714285709</v>
      </c>
      <c r="Z210" s="302"/>
      <c r="AA210" s="108">
        <v>100</v>
      </c>
      <c r="AB210" s="109"/>
      <c r="AC210" s="110">
        <v>0</v>
      </c>
      <c r="AD210" s="110">
        <v>0</v>
      </c>
      <c r="AE210" s="110">
        <v>0</v>
      </c>
      <c r="AF210" s="110">
        <v>250</v>
      </c>
      <c r="AG210" s="110">
        <v>27.29</v>
      </c>
      <c r="AH210" s="110">
        <v>0</v>
      </c>
      <c r="AI210" s="110">
        <v>0</v>
      </c>
      <c r="AJ210" s="110">
        <v>0</v>
      </c>
      <c r="AK210" s="110">
        <v>0</v>
      </c>
      <c r="AL210" s="110">
        <v>8.17</v>
      </c>
      <c r="AM210" s="110">
        <v>-8.17</v>
      </c>
      <c r="AN210" s="110">
        <v>0</v>
      </c>
      <c r="AO210" s="109"/>
      <c r="AP210" s="110">
        <v>0</v>
      </c>
      <c r="AQ210" s="110">
        <v>0</v>
      </c>
      <c r="AR210" s="110">
        <v>0</v>
      </c>
      <c r="AS210" s="110">
        <v>0</v>
      </c>
      <c r="AT210" s="110">
        <v>0</v>
      </c>
      <c r="AU210" s="110">
        <v>0</v>
      </c>
      <c r="AV210" s="110">
        <v>0</v>
      </c>
      <c r="AW210" s="110">
        <v>0</v>
      </c>
      <c r="AX210" s="110">
        <v>0</v>
      </c>
      <c r="AY210" s="110">
        <v>0</v>
      </c>
      <c r="AZ210" s="110">
        <v>0</v>
      </c>
      <c r="BA210" s="110">
        <v>0</v>
      </c>
    </row>
    <row r="211" spans="1:53" s="102" customFormat="1" outlineLevel="2">
      <c r="A211" s="102" t="s">
        <v>663</v>
      </c>
      <c r="B211" s="103" t="s">
        <v>664</v>
      </c>
      <c r="C211" s="104" t="s">
        <v>665</v>
      </c>
      <c r="D211" s="298"/>
      <c r="E211" s="299"/>
      <c r="F211" s="105">
        <v>0</v>
      </c>
      <c r="G211" s="105">
        <v>0</v>
      </c>
      <c r="H211" s="106">
        <f t="shared" si="42"/>
        <v>0</v>
      </c>
      <c r="I211" s="300">
        <f t="shared" si="43"/>
        <v>0</v>
      </c>
      <c r="J211" s="107"/>
      <c r="K211" s="105">
        <v>0</v>
      </c>
      <c r="L211" s="105">
        <v>0</v>
      </c>
      <c r="M211" s="106">
        <f t="shared" si="44"/>
        <v>0</v>
      </c>
      <c r="N211" s="300">
        <f t="shared" si="45"/>
        <v>0</v>
      </c>
      <c r="O211" s="301"/>
      <c r="P211" s="107"/>
      <c r="Q211" s="105">
        <v>0</v>
      </c>
      <c r="R211" s="105">
        <v>0</v>
      </c>
      <c r="S211" s="106">
        <f t="shared" si="46"/>
        <v>0</v>
      </c>
      <c r="T211" s="300">
        <f t="shared" si="47"/>
        <v>0</v>
      </c>
      <c r="U211" s="107"/>
      <c r="V211" s="105">
        <v>0</v>
      </c>
      <c r="W211" s="105">
        <v>0</v>
      </c>
      <c r="X211" s="106">
        <f t="shared" si="48"/>
        <v>0</v>
      </c>
      <c r="Y211" s="300">
        <f t="shared" si="49"/>
        <v>0</v>
      </c>
      <c r="Z211" s="302"/>
      <c r="AA211" s="108">
        <v>0</v>
      </c>
      <c r="AB211" s="109"/>
      <c r="AC211" s="110">
        <v>0</v>
      </c>
      <c r="AD211" s="110">
        <v>0</v>
      </c>
      <c r="AE211" s="110">
        <v>0</v>
      </c>
      <c r="AF211" s="110">
        <v>0</v>
      </c>
      <c r="AG211" s="110">
        <v>0</v>
      </c>
      <c r="AH211" s="110">
        <v>0</v>
      </c>
      <c r="AI211" s="110">
        <v>0</v>
      </c>
      <c r="AJ211" s="110">
        <v>0</v>
      </c>
      <c r="AK211" s="110">
        <v>0</v>
      </c>
      <c r="AL211" s="110">
        <v>0</v>
      </c>
      <c r="AM211" s="110">
        <v>0</v>
      </c>
      <c r="AN211" s="110">
        <v>0</v>
      </c>
      <c r="AO211" s="109"/>
      <c r="AP211" s="110">
        <v>0</v>
      </c>
      <c r="AQ211" s="110">
        <v>0</v>
      </c>
      <c r="AR211" s="110">
        <v>0</v>
      </c>
      <c r="AS211" s="110">
        <v>72985.86</v>
      </c>
      <c r="AT211" s="110">
        <v>0</v>
      </c>
      <c r="AU211" s="110">
        <v>0</v>
      </c>
      <c r="AV211" s="110">
        <v>0</v>
      </c>
      <c r="AW211" s="110">
        <v>0</v>
      </c>
      <c r="AX211" s="110">
        <v>0</v>
      </c>
      <c r="AY211" s="110">
        <v>0</v>
      </c>
      <c r="AZ211" s="110">
        <v>0</v>
      </c>
      <c r="BA211" s="110">
        <v>0</v>
      </c>
    </row>
    <row r="212" spans="1:53" outlineLevel="1">
      <c r="A212" s="111" t="s">
        <v>666</v>
      </c>
      <c r="B212" s="331"/>
      <c r="C212" s="332" t="s">
        <v>667</v>
      </c>
      <c r="D212" s="342"/>
      <c r="E212" s="342"/>
      <c r="F212" s="333">
        <v>5521278.6100000003</v>
      </c>
      <c r="G212" s="333">
        <v>5007134.568</v>
      </c>
      <c r="H212" s="133">
        <f t="shared" si="42"/>
        <v>514144.04200000037</v>
      </c>
      <c r="I212" s="138">
        <f t="shared" si="43"/>
        <v>0.1026822896444273</v>
      </c>
      <c r="J212" s="157"/>
      <c r="K212" s="333">
        <v>14580247.479999997</v>
      </c>
      <c r="L212" s="333">
        <v>18173825.568000004</v>
      </c>
      <c r="M212" s="133">
        <f t="shared" si="44"/>
        <v>-3593578.088000007</v>
      </c>
      <c r="N212" s="137">
        <f t="shared" si="45"/>
        <v>-0.19773371734828826</v>
      </c>
      <c r="O212" s="344"/>
      <c r="P212" s="344"/>
      <c r="Q212" s="333">
        <v>14580247.479999997</v>
      </c>
      <c r="R212" s="333">
        <v>18173825.568000004</v>
      </c>
      <c r="S212" s="133">
        <f t="shared" si="46"/>
        <v>-3593578.088000007</v>
      </c>
      <c r="T212" s="138">
        <f t="shared" si="47"/>
        <v>-0.19773371734828826</v>
      </c>
      <c r="U212" s="344"/>
      <c r="V212" s="333">
        <v>70463482.409999996</v>
      </c>
      <c r="W212" s="333">
        <v>70521010.038000003</v>
      </c>
      <c r="X212" s="133">
        <f t="shared" si="48"/>
        <v>-57527.62800000608</v>
      </c>
      <c r="Y212" s="137">
        <f t="shared" si="49"/>
        <v>-8.1575161741171201E-4</v>
      </c>
      <c r="Z212" s="111"/>
      <c r="AA212" s="139">
        <v>6731495.5</v>
      </c>
      <c r="AB212" s="346"/>
      <c r="AC212" s="333">
        <v>6041303.830000001</v>
      </c>
      <c r="AD212" s="333">
        <v>7125387.1699999999</v>
      </c>
      <c r="AE212" s="333">
        <v>5007134.568</v>
      </c>
      <c r="AF212" s="333">
        <v>6282415.8099999996</v>
      </c>
      <c r="AG212" s="333">
        <v>6502473.5599999996</v>
      </c>
      <c r="AH212" s="333">
        <v>4274824.2000000011</v>
      </c>
      <c r="AI212" s="333">
        <v>5618519.2399999984</v>
      </c>
      <c r="AJ212" s="333">
        <v>5455789.4400000013</v>
      </c>
      <c r="AK212" s="333">
        <v>5926977.9700000007</v>
      </c>
      <c r="AL212" s="333">
        <v>6914347.3599999994</v>
      </c>
      <c r="AM212" s="333">
        <v>7062545.870000001</v>
      </c>
      <c r="AN212" s="333">
        <v>7845341.4800000004</v>
      </c>
      <c r="AO212" s="346"/>
      <c r="AP212" s="333">
        <v>2756843.9800000009</v>
      </c>
      <c r="AQ212" s="333">
        <v>6302124.8900000015</v>
      </c>
      <c r="AR212" s="333">
        <v>5521278.6100000003</v>
      </c>
      <c r="AS212" s="333">
        <v>9271081.2000000011</v>
      </c>
      <c r="AT212" s="333">
        <v>0</v>
      </c>
      <c r="AU212" s="333">
        <v>0</v>
      </c>
      <c r="AV212" s="333">
        <v>0</v>
      </c>
      <c r="AW212" s="333">
        <v>0</v>
      </c>
      <c r="AX212" s="333">
        <v>0</v>
      </c>
      <c r="AY212" s="333">
        <v>0</v>
      </c>
      <c r="AZ212" s="333">
        <v>0</v>
      </c>
      <c r="BA212" s="333">
        <v>0</v>
      </c>
    </row>
    <row r="213" spans="1:53" ht="0.75" customHeight="1" outlineLevel="2">
      <c r="B213" s="331"/>
      <c r="C213" s="332"/>
      <c r="D213" s="342"/>
      <c r="E213" s="342"/>
      <c r="F213" s="333"/>
      <c r="G213" s="333"/>
      <c r="H213" s="133"/>
      <c r="I213" s="138"/>
      <c r="J213" s="157"/>
      <c r="K213" s="333"/>
      <c r="L213" s="333"/>
      <c r="M213" s="133"/>
      <c r="N213" s="137"/>
      <c r="O213" s="344"/>
      <c r="P213" s="344"/>
      <c r="Q213" s="333"/>
      <c r="R213" s="333"/>
      <c r="S213" s="133"/>
      <c r="T213" s="138"/>
      <c r="U213" s="344"/>
      <c r="V213" s="333"/>
      <c r="W213" s="333"/>
      <c r="X213" s="133"/>
      <c r="Y213" s="137"/>
      <c r="Z213" s="111"/>
      <c r="AA213" s="139"/>
      <c r="AB213" s="346"/>
      <c r="AC213" s="333"/>
      <c r="AD213" s="333"/>
      <c r="AE213" s="333"/>
      <c r="AF213" s="333"/>
      <c r="AG213" s="333"/>
      <c r="AH213" s="333"/>
      <c r="AI213" s="333"/>
      <c r="AJ213" s="333"/>
      <c r="AK213" s="333"/>
      <c r="AL213" s="333"/>
      <c r="AM213" s="333"/>
      <c r="AN213" s="333"/>
      <c r="AO213" s="346"/>
      <c r="AP213" s="333"/>
      <c r="AQ213" s="333"/>
      <c r="AR213" s="333"/>
      <c r="AS213" s="333"/>
      <c r="AT213" s="333"/>
      <c r="AU213" s="333"/>
      <c r="AV213" s="333"/>
      <c r="AW213" s="333"/>
      <c r="AX213" s="333"/>
      <c r="AY213" s="333"/>
      <c r="AZ213" s="333"/>
      <c r="BA213" s="333"/>
    </row>
    <row r="214" spans="1:53" s="102" customFormat="1" outlineLevel="2">
      <c r="A214" s="102" t="s">
        <v>668</v>
      </c>
      <c r="B214" s="103" t="s">
        <v>669</v>
      </c>
      <c r="C214" s="104" t="s">
        <v>670</v>
      </c>
      <c r="D214" s="298"/>
      <c r="E214" s="299"/>
      <c r="F214" s="105">
        <v>3476.55</v>
      </c>
      <c r="G214" s="105">
        <v>1195.48</v>
      </c>
      <c r="H214" s="106">
        <f>+F214-G214</f>
        <v>2281.0700000000002</v>
      </c>
      <c r="I214" s="300">
        <f>IF(G214&lt;0,IF(H214=0,0,IF(OR(G214=0,F214=0),"N.M.",IF(ABS(H214/G214)&gt;=10,"N.M.",H214/(-G214)))),IF(H214=0,0,IF(OR(G214=0,F214=0),"N.M.",IF(ABS(H214/G214)&gt;=10,"N.M.",H214/G214))))</f>
        <v>1.9080787633419214</v>
      </c>
      <c r="J214" s="107"/>
      <c r="K214" s="105">
        <v>8819.2800000000007</v>
      </c>
      <c r="L214" s="105">
        <v>18491.29</v>
      </c>
      <c r="M214" s="106">
        <f>+K214-L214</f>
        <v>-9672.01</v>
      </c>
      <c r="N214" s="300">
        <f>IF(L214&lt;0,IF(M214=0,0,IF(OR(L214=0,K214=0),"N.M.",IF(ABS(M214/L214)&gt;=10,"N.M.",M214/(-L214)))),IF(M214=0,0,IF(OR(L214=0,K214=0),"N.M.",IF(ABS(M214/L214)&gt;=10,"N.M.",M214/L214))))</f>
        <v>-0.52305761253000738</v>
      </c>
      <c r="O214" s="301"/>
      <c r="P214" s="107"/>
      <c r="Q214" s="105">
        <v>8819.2800000000007</v>
      </c>
      <c r="R214" s="105">
        <v>18491.29</v>
      </c>
      <c r="S214" s="106">
        <f>+Q214-R214</f>
        <v>-9672.01</v>
      </c>
      <c r="T214" s="300">
        <f>IF(R214&lt;0,IF(S214=0,0,IF(OR(R214=0,Q214=0),"N.M.",IF(ABS(S214/R214)&gt;=10,"N.M.",S214/(-R214)))),IF(S214=0,0,IF(OR(R214=0,Q214=0),"N.M.",IF(ABS(S214/R214)&gt;=10,"N.M.",S214/R214))))</f>
        <v>-0.52305761253000738</v>
      </c>
      <c r="U214" s="107"/>
      <c r="V214" s="105">
        <v>65344.71</v>
      </c>
      <c r="W214" s="105">
        <v>116960.95000000001</v>
      </c>
      <c r="X214" s="106">
        <f>+V214-W214</f>
        <v>-51616.240000000013</v>
      </c>
      <c r="Y214" s="300">
        <f>IF(W214&lt;0,IF(X214=0,0,IF(OR(W214=0,V214=0),"N.M.",IF(ABS(X214/W214)&gt;=10,"N.M.",X214/(-W214)))),IF(X214=0,0,IF(OR(W214=0,V214=0),"N.M.",IF(ABS(X214/W214)&gt;=10,"N.M.",X214/W214))))</f>
        <v>-0.44131173695152104</v>
      </c>
      <c r="Z214" s="302"/>
      <c r="AA214" s="108">
        <v>4362.46</v>
      </c>
      <c r="AB214" s="109"/>
      <c r="AC214" s="110">
        <v>5927.45</v>
      </c>
      <c r="AD214" s="110">
        <v>11368.36</v>
      </c>
      <c r="AE214" s="110">
        <v>1195.48</v>
      </c>
      <c r="AF214" s="110">
        <v>9535.57</v>
      </c>
      <c r="AG214" s="110">
        <v>6102.09</v>
      </c>
      <c r="AH214" s="110">
        <v>8219.11</v>
      </c>
      <c r="AI214" s="110">
        <v>12748.94</v>
      </c>
      <c r="AJ214" s="110">
        <v>10036.33</v>
      </c>
      <c r="AK214" s="110">
        <v>433.58</v>
      </c>
      <c r="AL214" s="110">
        <v>2807.11</v>
      </c>
      <c r="AM214" s="110">
        <v>2827.4900000000002</v>
      </c>
      <c r="AN214" s="110">
        <v>3815.21</v>
      </c>
      <c r="AO214" s="109"/>
      <c r="AP214" s="110">
        <v>666.35</v>
      </c>
      <c r="AQ214" s="110">
        <v>4676.38</v>
      </c>
      <c r="AR214" s="110">
        <v>3476.55</v>
      </c>
      <c r="AS214" s="110">
        <v>-637.27</v>
      </c>
      <c r="AT214" s="110">
        <v>0</v>
      </c>
      <c r="AU214" s="110">
        <v>0</v>
      </c>
      <c r="AV214" s="110">
        <v>0</v>
      </c>
      <c r="AW214" s="110">
        <v>0</v>
      </c>
      <c r="AX214" s="110">
        <v>0</v>
      </c>
      <c r="AY214" s="110">
        <v>0</v>
      </c>
      <c r="AZ214" s="110">
        <v>0</v>
      </c>
      <c r="BA214" s="110">
        <v>0</v>
      </c>
    </row>
    <row r="215" spans="1:53" s="102" customFormat="1" outlineLevel="2">
      <c r="A215" s="102" t="s">
        <v>671</v>
      </c>
      <c r="B215" s="103" t="s">
        <v>672</v>
      </c>
      <c r="C215" s="104" t="s">
        <v>673</v>
      </c>
      <c r="D215" s="298"/>
      <c r="E215" s="299"/>
      <c r="F215" s="105">
        <v>84291.85</v>
      </c>
      <c r="G215" s="105">
        <v>57684.4</v>
      </c>
      <c r="H215" s="106">
        <f>+F215-G215</f>
        <v>26607.450000000004</v>
      </c>
      <c r="I215" s="300">
        <f>IF(G215&lt;0,IF(H215=0,0,IF(OR(G215=0,F215=0),"N.M.",IF(ABS(H215/G215)&gt;=10,"N.M.",H215/(-G215)))),IF(H215=0,0,IF(OR(G215=0,F215=0),"N.M.",IF(ABS(H215/G215)&gt;=10,"N.M.",H215/G215))))</f>
        <v>0.46125902323678503</v>
      </c>
      <c r="J215" s="107"/>
      <c r="K215" s="105">
        <v>203474.86000000002</v>
      </c>
      <c r="L215" s="105">
        <v>258490.88</v>
      </c>
      <c r="M215" s="106">
        <f>+K215-L215</f>
        <v>-55016.01999999999</v>
      </c>
      <c r="N215" s="300">
        <f>IF(L215&lt;0,IF(M215=0,0,IF(OR(L215=0,K215=0),"N.M.",IF(ABS(M215/L215)&gt;=10,"N.M.",M215/(-L215)))),IF(M215=0,0,IF(OR(L215=0,K215=0),"N.M.",IF(ABS(M215/L215)&gt;=10,"N.M.",M215/L215))))</f>
        <v>-0.21283543930060506</v>
      </c>
      <c r="O215" s="301"/>
      <c r="P215" s="107"/>
      <c r="Q215" s="105">
        <v>203474.86000000002</v>
      </c>
      <c r="R215" s="105">
        <v>258490.88</v>
      </c>
      <c r="S215" s="106">
        <f>+Q215-R215</f>
        <v>-55016.01999999999</v>
      </c>
      <c r="T215" s="300">
        <f>IF(R215&lt;0,IF(S215=0,0,IF(OR(R215=0,Q215=0),"N.M.",IF(ABS(S215/R215)&gt;=10,"N.M.",S215/(-R215)))),IF(S215=0,0,IF(OR(R215=0,Q215=0),"N.M.",IF(ABS(S215/R215)&gt;=10,"N.M.",S215/R215))))</f>
        <v>-0.21283543930060506</v>
      </c>
      <c r="U215" s="107"/>
      <c r="V215" s="105">
        <v>895070.09</v>
      </c>
      <c r="W215" s="105">
        <v>980312.6</v>
      </c>
      <c r="X215" s="106">
        <f>+V215-W215</f>
        <v>-85242.510000000009</v>
      </c>
      <c r="Y215" s="300">
        <f>IF(W215&lt;0,IF(X215=0,0,IF(OR(W215=0,V215=0),"N.M.",IF(ABS(X215/W215)&gt;=10,"N.M.",X215/(-W215)))),IF(X215=0,0,IF(OR(W215=0,V215=0),"N.M.",IF(ABS(X215/W215)&gt;=10,"N.M.",X215/W215))))</f>
        <v>-8.6954416376980176E-2</v>
      </c>
      <c r="Z215" s="302"/>
      <c r="AA215" s="108">
        <v>87685.7</v>
      </c>
      <c r="AB215" s="109"/>
      <c r="AC215" s="110">
        <v>44397.29</v>
      </c>
      <c r="AD215" s="110">
        <v>156409.19</v>
      </c>
      <c r="AE215" s="110">
        <v>57684.4</v>
      </c>
      <c r="AF215" s="110">
        <v>59247.65</v>
      </c>
      <c r="AG215" s="110">
        <v>82408.23</v>
      </c>
      <c r="AH215" s="110">
        <v>86872.430000000008</v>
      </c>
      <c r="AI215" s="110">
        <v>81033.25</v>
      </c>
      <c r="AJ215" s="110">
        <v>87274.48</v>
      </c>
      <c r="AK215" s="110">
        <v>9457.2800000000007</v>
      </c>
      <c r="AL215" s="110">
        <v>136625.94</v>
      </c>
      <c r="AM215" s="110">
        <v>68611.850000000006</v>
      </c>
      <c r="AN215" s="110">
        <v>80064.12</v>
      </c>
      <c r="AO215" s="109"/>
      <c r="AP215" s="110">
        <v>33868.26</v>
      </c>
      <c r="AQ215" s="110">
        <v>85314.75</v>
      </c>
      <c r="AR215" s="110">
        <v>84291.85</v>
      </c>
      <c r="AS215" s="110">
        <v>-13766.43</v>
      </c>
      <c r="AT215" s="110">
        <v>0</v>
      </c>
      <c r="AU215" s="110">
        <v>0</v>
      </c>
      <c r="AV215" s="110">
        <v>0</v>
      </c>
      <c r="AW215" s="110">
        <v>0</v>
      </c>
      <c r="AX215" s="110">
        <v>0</v>
      </c>
      <c r="AY215" s="110">
        <v>0</v>
      </c>
      <c r="AZ215" s="110">
        <v>0</v>
      </c>
      <c r="BA215" s="110">
        <v>0</v>
      </c>
    </row>
    <row r="216" spans="1:53" outlineLevel="1">
      <c r="A216" s="111" t="s">
        <v>674</v>
      </c>
      <c r="B216" s="331"/>
      <c r="C216" s="332" t="s">
        <v>675</v>
      </c>
      <c r="D216" s="342"/>
      <c r="E216" s="342"/>
      <c r="F216" s="333">
        <v>87768.400000000009</v>
      </c>
      <c r="G216" s="333">
        <v>58879.880000000005</v>
      </c>
      <c r="H216" s="133">
        <f>+F216-G216</f>
        <v>28888.520000000004</v>
      </c>
      <c r="I216" s="138">
        <f>IF(G216&lt;0,IF(H216=0,0,IF(OR(G216=0,F216=0),"N.M.",IF(ABS(H216/G216)&gt;=10,"N.M.",H216/(-G216)))),IF(H216=0,0,IF(OR(G216=0,F216=0),"N.M.",IF(ABS(H216/G216)&gt;=10,"N.M.",H216/G216))))</f>
        <v>0.4906348314568576</v>
      </c>
      <c r="J216" s="157"/>
      <c r="K216" s="333">
        <v>212294.14</v>
      </c>
      <c r="L216" s="333">
        <v>276982.17</v>
      </c>
      <c r="M216" s="133">
        <f>+K216-L216</f>
        <v>-64688.02999999997</v>
      </c>
      <c r="N216" s="137">
        <f>IF(L216&lt;0,IF(M216=0,0,IF(OR(L216=0,K216=0),"N.M.",IF(ABS(M216/L216)&gt;=10,"N.M.",M216/(-L216)))),IF(M216=0,0,IF(OR(L216=0,K216=0),"N.M.",IF(ABS(M216/L216)&gt;=10,"N.M.",M216/L216))))</f>
        <v>-0.23354582715558903</v>
      </c>
      <c r="O216" s="344"/>
      <c r="P216" s="344"/>
      <c r="Q216" s="333">
        <v>212294.14</v>
      </c>
      <c r="R216" s="333">
        <v>276982.17</v>
      </c>
      <c r="S216" s="133">
        <f>+Q216-R216</f>
        <v>-64688.02999999997</v>
      </c>
      <c r="T216" s="138">
        <f>IF(R216&lt;0,IF(S216=0,0,IF(OR(R216=0,Q216=0),"N.M.",IF(ABS(S216/R216)&gt;=10,"N.M.",S216/(-R216)))),IF(S216=0,0,IF(OR(R216=0,Q216=0),"N.M.",IF(ABS(S216/R216)&gt;=10,"N.M.",S216/R216))))</f>
        <v>-0.23354582715558903</v>
      </c>
      <c r="U216" s="344"/>
      <c r="V216" s="333">
        <v>960414.8</v>
      </c>
      <c r="W216" s="333">
        <v>1097273.55</v>
      </c>
      <c r="X216" s="133">
        <f>+V216-W216</f>
        <v>-136858.75</v>
      </c>
      <c r="Y216" s="137">
        <f>IF(W216&lt;0,IF(X216=0,0,IF(OR(W216=0,V216=0),"N.M.",IF(ABS(X216/W216)&gt;=10,"N.M.",X216/(-W216)))),IF(X216=0,0,IF(OR(W216=0,V216=0),"N.M.",IF(ABS(X216/W216)&gt;=10,"N.M.",X216/W216))))</f>
        <v>-0.12472619065683302</v>
      </c>
      <c r="Z216" s="111"/>
      <c r="AA216" s="139">
        <v>92048.16</v>
      </c>
      <c r="AB216" s="346"/>
      <c r="AC216" s="333">
        <v>50324.74</v>
      </c>
      <c r="AD216" s="333">
        <v>167777.55</v>
      </c>
      <c r="AE216" s="333">
        <v>58879.880000000005</v>
      </c>
      <c r="AF216" s="333">
        <v>68783.22</v>
      </c>
      <c r="AG216" s="333">
        <v>88510.319999999992</v>
      </c>
      <c r="AH216" s="333">
        <v>95091.540000000008</v>
      </c>
      <c r="AI216" s="333">
        <v>93782.19</v>
      </c>
      <c r="AJ216" s="333">
        <v>97310.81</v>
      </c>
      <c r="AK216" s="333">
        <v>9890.86</v>
      </c>
      <c r="AL216" s="333">
        <v>139433.04999999999</v>
      </c>
      <c r="AM216" s="333">
        <v>71439.340000000011</v>
      </c>
      <c r="AN216" s="333">
        <v>83879.33</v>
      </c>
      <c r="AO216" s="346"/>
      <c r="AP216" s="333">
        <v>34534.61</v>
      </c>
      <c r="AQ216" s="333">
        <v>89991.13</v>
      </c>
      <c r="AR216" s="333">
        <v>87768.400000000009</v>
      </c>
      <c r="AS216" s="333">
        <v>-14403.7</v>
      </c>
      <c r="AT216" s="333">
        <v>0</v>
      </c>
      <c r="AU216" s="333">
        <v>0</v>
      </c>
      <c r="AV216" s="333">
        <v>0</v>
      </c>
      <c r="AW216" s="333">
        <v>0</v>
      </c>
      <c r="AX216" s="333">
        <v>0</v>
      </c>
      <c r="AY216" s="333">
        <v>0</v>
      </c>
      <c r="AZ216" s="333">
        <v>0</v>
      </c>
      <c r="BA216" s="333">
        <v>0</v>
      </c>
    </row>
    <row r="217" spans="1:53" ht="0.75" customHeight="1" outlineLevel="2">
      <c r="B217" s="331"/>
      <c r="C217" s="332"/>
      <c r="D217" s="342"/>
      <c r="E217" s="342"/>
      <c r="F217" s="333"/>
      <c r="G217" s="333"/>
      <c r="H217" s="133"/>
      <c r="I217" s="138"/>
      <c r="J217" s="157"/>
      <c r="K217" s="333"/>
      <c r="L217" s="333"/>
      <c r="M217" s="133"/>
      <c r="N217" s="137"/>
      <c r="O217" s="344"/>
      <c r="P217" s="344"/>
      <c r="Q217" s="333"/>
      <c r="R217" s="333"/>
      <c r="S217" s="133"/>
      <c r="T217" s="138"/>
      <c r="U217" s="344"/>
      <c r="V217" s="333"/>
      <c r="W217" s="333"/>
      <c r="X217" s="133"/>
      <c r="Y217" s="137"/>
      <c r="Z217" s="111"/>
      <c r="AA217" s="139"/>
      <c r="AB217" s="346"/>
      <c r="AC217" s="333"/>
      <c r="AD217" s="333"/>
      <c r="AE217" s="333"/>
      <c r="AF217" s="333"/>
      <c r="AG217" s="333"/>
      <c r="AH217" s="333"/>
      <c r="AI217" s="333"/>
      <c r="AJ217" s="333"/>
      <c r="AK217" s="333"/>
      <c r="AL217" s="333"/>
      <c r="AM217" s="333"/>
      <c r="AN217" s="333"/>
      <c r="AO217" s="346"/>
      <c r="AP217" s="333"/>
      <c r="AQ217" s="333"/>
      <c r="AR217" s="333"/>
      <c r="AS217" s="333"/>
      <c r="AT217" s="333"/>
      <c r="AU217" s="333"/>
      <c r="AV217" s="333"/>
      <c r="AW217" s="333"/>
      <c r="AX217" s="333"/>
      <c r="AY217" s="333"/>
      <c r="AZ217" s="333"/>
      <c r="BA217" s="333"/>
    </row>
    <row r="218" spans="1:53" s="102" customFormat="1" outlineLevel="2">
      <c r="A218" s="102" t="s">
        <v>676</v>
      </c>
      <c r="B218" s="103" t="s">
        <v>677</v>
      </c>
      <c r="C218" s="104" t="s">
        <v>437</v>
      </c>
      <c r="D218" s="298"/>
      <c r="E218" s="299"/>
      <c r="F218" s="105">
        <v>83290.290000000008</v>
      </c>
      <c r="G218" s="105">
        <v>107311.34</v>
      </c>
      <c r="H218" s="106">
        <f t="shared" ref="H218:H229" si="50">+F218-G218</f>
        <v>-24021.049999999988</v>
      </c>
      <c r="I218" s="300">
        <f t="shared" ref="I218:I229" si="51">IF(G218&lt;0,IF(H218=0,0,IF(OR(G218=0,F218=0),"N.M.",IF(ABS(H218/G218)&gt;=10,"N.M.",H218/(-G218)))),IF(H218=0,0,IF(OR(G218=0,F218=0),"N.M.",IF(ABS(H218/G218)&gt;=10,"N.M.",H218/G218))))</f>
        <v>-0.223844469745695</v>
      </c>
      <c r="J218" s="107"/>
      <c r="K218" s="105">
        <v>238807.88</v>
      </c>
      <c r="L218" s="105">
        <v>202051.34</v>
      </c>
      <c r="M218" s="106">
        <f t="shared" ref="M218:M229" si="52">+K218-L218</f>
        <v>36756.540000000008</v>
      </c>
      <c r="N218" s="300">
        <f t="shared" ref="N218:N229" si="53">IF(L218&lt;0,IF(M218=0,0,IF(OR(L218=0,K218=0),"N.M.",IF(ABS(M218/L218)&gt;=10,"N.M.",M218/(-L218)))),IF(M218=0,0,IF(OR(L218=0,K218=0),"N.M.",IF(ABS(M218/L218)&gt;=10,"N.M.",M218/L218))))</f>
        <v>0.18191683361268482</v>
      </c>
      <c r="O218" s="301"/>
      <c r="P218" s="107"/>
      <c r="Q218" s="105">
        <v>238807.88</v>
      </c>
      <c r="R218" s="105">
        <v>202051.34</v>
      </c>
      <c r="S218" s="106">
        <f t="shared" ref="S218:S229" si="54">+Q218-R218</f>
        <v>36756.540000000008</v>
      </c>
      <c r="T218" s="300">
        <f t="shared" ref="T218:T229" si="55">IF(R218&lt;0,IF(S218=0,0,IF(OR(R218=0,Q218=0),"N.M.",IF(ABS(S218/R218)&gt;=10,"N.M.",S218/(-R218)))),IF(S218=0,0,IF(OR(R218=0,Q218=0),"N.M.",IF(ABS(S218/R218)&gt;=10,"N.M.",S218/R218))))</f>
        <v>0.18191683361268482</v>
      </c>
      <c r="U218" s="107"/>
      <c r="V218" s="105">
        <v>842415.43</v>
      </c>
      <c r="W218" s="105">
        <v>807902.05999999994</v>
      </c>
      <c r="X218" s="106">
        <f t="shared" ref="X218:X229" si="56">+V218-W218</f>
        <v>34513.370000000112</v>
      </c>
      <c r="Y218" s="300">
        <f t="shared" ref="Y218:Y229" si="57">IF(W218&lt;0,IF(X218=0,0,IF(OR(W218=0,V218=0),"N.M.",IF(ABS(X218/W218)&gt;=10,"N.M.",X218/(-W218)))),IF(X218=0,0,IF(OR(W218=0,V218=0),"N.M.",IF(ABS(X218/W218)&gt;=10,"N.M.",X218/W218))))</f>
        <v>4.2719745014637191E-2</v>
      </c>
      <c r="Z218" s="302"/>
      <c r="AA218" s="108">
        <v>16813.27</v>
      </c>
      <c r="AB218" s="109"/>
      <c r="AC218" s="110">
        <v>62425.98</v>
      </c>
      <c r="AD218" s="110">
        <v>32314.02</v>
      </c>
      <c r="AE218" s="110">
        <v>107311.34</v>
      </c>
      <c r="AF218" s="110">
        <v>45139.53</v>
      </c>
      <c r="AG218" s="110">
        <v>93797.92</v>
      </c>
      <c r="AH218" s="110">
        <v>75112.710000000006</v>
      </c>
      <c r="AI218" s="110">
        <v>94392.23</v>
      </c>
      <c r="AJ218" s="110">
        <v>74389.37</v>
      </c>
      <c r="AK218" s="110">
        <v>-36631.760000000002</v>
      </c>
      <c r="AL218" s="110">
        <v>164020.51999999999</v>
      </c>
      <c r="AM218" s="110">
        <v>91771.97</v>
      </c>
      <c r="AN218" s="110">
        <v>1615.06</v>
      </c>
      <c r="AO218" s="109"/>
      <c r="AP218" s="110">
        <v>79469.78</v>
      </c>
      <c r="AQ218" s="110">
        <v>76047.81</v>
      </c>
      <c r="AR218" s="110">
        <v>83290.290000000008</v>
      </c>
      <c r="AS218" s="110">
        <v>-213438.03</v>
      </c>
      <c r="AT218" s="110">
        <v>0</v>
      </c>
      <c r="AU218" s="110">
        <v>0</v>
      </c>
      <c r="AV218" s="110">
        <v>0</v>
      </c>
      <c r="AW218" s="110">
        <v>0</v>
      </c>
      <c r="AX218" s="110">
        <v>0</v>
      </c>
      <c r="AY218" s="110">
        <v>0</v>
      </c>
      <c r="AZ218" s="110">
        <v>0</v>
      </c>
      <c r="BA218" s="110">
        <v>0</v>
      </c>
    </row>
    <row r="219" spans="1:53" s="102" customFormat="1" outlineLevel="2">
      <c r="A219" s="102" t="s">
        <v>678</v>
      </c>
      <c r="B219" s="103" t="s">
        <v>679</v>
      </c>
      <c r="C219" s="104" t="s">
        <v>680</v>
      </c>
      <c r="D219" s="298"/>
      <c r="E219" s="299"/>
      <c r="F219" s="105">
        <v>511.91</v>
      </c>
      <c r="G219" s="105">
        <v>84.36</v>
      </c>
      <c r="H219" s="106">
        <f t="shared" si="50"/>
        <v>427.55</v>
      </c>
      <c r="I219" s="300">
        <f t="shared" si="51"/>
        <v>5.0681602655286868</v>
      </c>
      <c r="J219" s="107"/>
      <c r="K219" s="105">
        <v>843.41</v>
      </c>
      <c r="L219" s="105">
        <v>259.23</v>
      </c>
      <c r="M219" s="106">
        <f t="shared" si="52"/>
        <v>584.17999999999995</v>
      </c>
      <c r="N219" s="300">
        <f t="shared" si="53"/>
        <v>2.2535200401188131</v>
      </c>
      <c r="O219" s="301"/>
      <c r="P219" s="107"/>
      <c r="Q219" s="105">
        <v>843.41</v>
      </c>
      <c r="R219" s="105">
        <v>259.23</v>
      </c>
      <c r="S219" s="106">
        <f t="shared" si="54"/>
        <v>584.17999999999995</v>
      </c>
      <c r="T219" s="300">
        <f t="shared" si="55"/>
        <v>2.2535200401188131</v>
      </c>
      <c r="U219" s="107"/>
      <c r="V219" s="105">
        <v>2548.5700000000002</v>
      </c>
      <c r="W219" s="105">
        <v>3399.6800000000003</v>
      </c>
      <c r="X219" s="106">
        <f t="shared" si="56"/>
        <v>-851.11000000000013</v>
      </c>
      <c r="Y219" s="300">
        <f t="shared" si="57"/>
        <v>-0.2503500329442771</v>
      </c>
      <c r="Z219" s="302"/>
      <c r="AA219" s="108">
        <v>1854.65</v>
      </c>
      <c r="AB219" s="109"/>
      <c r="AC219" s="110">
        <v>-5.38</v>
      </c>
      <c r="AD219" s="110">
        <v>180.25</v>
      </c>
      <c r="AE219" s="110">
        <v>84.36</v>
      </c>
      <c r="AF219" s="110">
        <v>35.550000000000004</v>
      </c>
      <c r="AG219" s="110">
        <v>-2.0499999999999998</v>
      </c>
      <c r="AH219" s="110">
        <v>435.18</v>
      </c>
      <c r="AI219" s="110">
        <v>-14.280000000000001</v>
      </c>
      <c r="AJ219" s="110">
        <v>26.2</v>
      </c>
      <c r="AK219" s="110">
        <v>630.35</v>
      </c>
      <c r="AL219" s="110">
        <v>-17.57</v>
      </c>
      <c r="AM219" s="110">
        <v>542.75</v>
      </c>
      <c r="AN219" s="110">
        <v>69.03</v>
      </c>
      <c r="AO219" s="109"/>
      <c r="AP219" s="110">
        <v>99.25</v>
      </c>
      <c r="AQ219" s="110">
        <v>232.25</v>
      </c>
      <c r="AR219" s="110">
        <v>511.91</v>
      </c>
      <c r="AS219" s="110">
        <v>0</v>
      </c>
      <c r="AT219" s="110">
        <v>0</v>
      </c>
      <c r="AU219" s="110">
        <v>0</v>
      </c>
      <c r="AV219" s="110">
        <v>0</v>
      </c>
      <c r="AW219" s="110">
        <v>0</v>
      </c>
      <c r="AX219" s="110">
        <v>0</v>
      </c>
      <c r="AY219" s="110">
        <v>0</v>
      </c>
      <c r="AZ219" s="110">
        <v>0</v>
      </c>
      <c r="BA219" s="110">
        <v>0</v>
      </c>
    </row>
    <row r="220" spans="1:53" s="102" customFormat="1" outlineLevel="2">
      <c r="A220" s="102" t="s">
        <v>681</v>
      </c>
      <c r="B220" s="103" t="s">
        <v>682</v>
      </c>
      <c r="C220" s="104" t="s">
        <v>683</v>
      </c>
      <c r="D220" s="298"/>
      <c r="E220" s="299"/>
      <c r="F220" s="105">
        <v>60864.08</v>
      </c>
      <c r="G220" s="105">
        <v>19597.62</v>
      </c>
      <c r="H220" s="106">
        <f t="shared" si="50"/>
        <v>41266.460000000006</v>
      </c>
      <c r="I220" s="300">
        <f t="shared" si="51"/>
        <v>2.1056873232565998</v>
      </c>
      <c r="J220" s="107"/>
      <c r="K220" s="105">
        <v>89456.49</v>
      </c>
      <c r="L220" s="105">
        <v>64475.41</v>
      </c>
      <c r="M220" s="106">
        <f t="shared" si="52"/>
        <v>24981.08</v>
      </c>
      <c r="N220" s="300">
        <f t="shared" si="53"/>
        <v>0.38745127793681344</v>
      </c>
      <c r="O220" s="301"/>
      <c r="P220" s="107"/>
      <c r="Q220" s="105">
        <v>89456.49</v>
      </c>
      <c r="R220" s="105">
        <v>64475.41</v>
      </c>
      <c r="S220" s="106">
        <f t="shared" si="54"/>
        <v>24981.08</v>
      </c>
      <c r="T220" s="300">
        <f t="shared" si="55"/>
        <v>0.38745127793681344</v>
      </c>
      <c r="U220" s="107"/>
      <c r="V220" s="105">
        <v>413459.65</v>
      </c>
      <c r="W220" s="105">
        <v>264361.09999999998</v>
      </c>
      <c r="X220" s="106">
        <f t="shared" si="56"/>
        <v>149098.55000000005</v>
      </c>
      <c r="Y220" s="300">
        <f t="shared" si="57"/>
        <v>0.56399579968459834</v>
      </c>
      <c r="Z220" s="302"/>
      <c r="AA220" s="108">
        <v>32004.74</v>
      </c>
      <c r="AB220" s="109"/>
      <c r="AC220" s="110">
        <v>26928.93</v>
      </c>
      <c r="AD220" s="110">
        <v>17948.86</v>
      </c>
      <c r="AE220" s="110">
        <v>19597.62</v>
      </c>
      <c r="AF220" s="110">
        <v>19578.7</v>
      </c>
      <c r="AG220" s="110">
        <v>21222.080000000002</v>
      </c>
      <c r="AH220" s="110">
        <v>22995.03</v>
      </c>
      <c r="AI220" s="110">
        <v>32917.230000000003</v>
      </c>
      <c r="AJ220" s="110">
        <v>28055.21</v>
      </c>
      <c r="AK220" s="110">
        <v>33738.42</v>
      </c>
      <c r="AL220" s="110">
        <v>27888.66</v>
      </c>
      <c r="AM220" s="110">
        <v>101402.82</v>
      </c>
      <c r="AN220" s="110">
        <v>36205.01</v>
      </c>
      <c r="AO220" s="109"/>
      <c r="AP220" s="110">
        <v>15739.78</v>
      </c>
      <c r="AQ220" s="110">
        <v>12852.630000000001</v>
      </c>
      <c r="AR220" s="110">
        <v>60864.08</v>
      </c>
      <c r="AS220" s="110">
        <v>0</v>
      </c>
      <c r="AT220" s="110">
        <v>0</v>
      </c>
      <c r="AU220" s="110">
        <v>0</v>
      </c>
      <c r="AV220" s="110">
        <v>0</v>
      </c>
      <c r="AW220" s="110">
        <v>0</v>
      </c>
      <c r="AX220" s="110">
        <v>0</v>
      </c>
      <c r="AY220" s="110">
        <v>0</v>
      </c>
      <c r="AZ220" s="110">
        <v>0</v>
      </c>
      <c r="BA220" s="110">
        <v>0</v>
      </c>
    </row>
    <row r="221" spans="1:53" s="102" customFormat="1" outlineLevel="2">
      <c r="A221" s="102" t="s">
        <v>684</v>
      </c>
      <c r="B221" s="103" t="s">
        <v>685</v>
      </c>
      <c r="C221" s="104" t="s">
        <v>618</v>
      </c>
      <c r="D221" s="298"/>
      <c r="E221" s="299"/>
      <c r="F221" s="105">
        <v>13773.19</v>
      </c>
      <c r="G221" s="105">
        <v>46327.79</v>
      </c>
      <c r="H221" s="106">
        <f t="shared" si="50"/>
        <v>-32554.6</v>
      </c>
      <c r="I221" s="300">
        <f t="shared" si="51"/>
        <v>-0.70270133757729425</v>
      </c>
      <c r="J221" s="107"/>
      <c r="K221" s="105">
        <v>47937.74</v>
      </c>
      <c r="L221" s="105">
        <v>110357.82</v>
      </c>
      <c r="M221" s="106">
        <f t="shared" si="52"/>
        <v>-62420.080000000009</v>
      </c>
      <c r="N221" s="300">
        <f t="shared" si="53"/>
        <v>-0.56561537732441625</v>
      </c>
      <c r="O221" s="301"/>
      <c r="P221" s="107"/>
      <c r="Q221" s="105">
        <v>47937.74</v>
      </c>
      <c r="R221" s="105">
        <v>110357.82</v>
      </c>
      <c r="S221" s="106">
        <f t="shared" si="54"/>
        <v>-62420.080000000009</v>
      </c>
      <c r="T221" s="300">
        <f t="shared" si="55"/>
        <v>-0.56561537732441625</v>
      </c>
      <c r="U221" s="107"/>
      <c r="V221" s="105">
        <v>288720.61</v>
      </c>
      <c r="W221" s="105">
        <v>393419.22000000003</v>
      </c>
      <c r="X221" s="106">
        <f t="shared" si="56"/>
        <v>-104698.61000000004</v>
      </c>
      <c r="Y221" s="300">
        <f t="shared" si="57"/>
        <v>-0.26612479685156215</v>
      </c>
      <c r="Z221" s="302"/>
      <c r="AA221" s="108">
        <v>57327.57</v>
      </c>
      <c r="AB221" s="109"/>
      <c r="AC221" s="110">
        <v>19269.48</v>
      </c>
      <c r="AD221" s="110">
        <v>44760.55</v>
      </c>
      <c r="AE221" s="110">
        <v>46327.79</v>
      </c>
      <c r="AF221" s="110">
        <v>45260.33</v>
      </c>
      <c r="AG221" s="110">
        <v>29449.600000000002</v>
      </c>
      <c r="AH221" s="110">
        <v>60247.090000000004</v>
      </c>
      <c r="AI221" s="110">
        <v>15227.470000000001</v>
      </c>
      <c r="AJ221" s="110">
        <v>-77826.210000000006</v>
      </c>
      <c r="AK221" s="110">
        <v>80578.67</v>
      </c>
      <c r="AL221" s="110">
        <v>52772.37</v>
      </c>
      <c r="AM221" s="110">
        <v>-9775.7000000000007</v>
      </c>
      <c r="AN221" s="110">
        <v>44849.25</v>
      </c>
      <c r="AO221" s="109"/>
      <c r="AP221" s="110">
        <v>24845.38</v>
      </c>
      <c r="AQ221" s="110">
        <v>9319.17</v>
      </c>
      <c r="AR221" s="110">
        <v>13773.19</v>
      </c>
      <c r="AS221" s="110">
        <v>-12261.25</v>
      </c>
      <c r="AT221" s="110">
        <v>0</v>
      </c>
      <c r="AU221" s="110">
        <v>0</v>
      </c>
      <c r="AV221" s="110">
        <v>0</v>
      </c>
      <c r="AW221" s="110">
        <v>0</v>
      </c>
      <c r="AX221" s="110">
        <v>0</v>
      </c>
      <c r="AY221" s="110">
        <v>0</v>
      </c>
      <c r="AZ221" s="110">
        <v>0</v>
      </c>
      <c r="BA221" s="110">
        <v>0</v>
      </c>
    </row>
    <row r="222" spans="1:53" s="102" customFormat="1" outlineLevel="2">
      <c r="A222" s="102" t="s">
        <v>686</v>
      </c>
      <c r="B222" s="103" t="s">
        <v>687</v>
      </c>
      <c r="C222" s="104" t="s">
        <v>621</v>
      </c>
      <c r="D222" s="298"/>
      <c r="E222" s="299"/>
      <c r="F222" s="105">
        <v>19378.39</v>
      </c>
      <c r="G222" s="105">
        <v>21481.84</v>
      </c>
      <c r="H222" s="106">
        <f t="shared" si="50"/>
        <v>-2103.4500000000007</v>
      </c>
      <c r="I222" s="300">
        <f t="shared" si="51"/>
        <v>-9.7917589927119866E-2</v>
      </c>
      <c r="J222" s="107"/>
      <c r="K222" s="105">
        <v>38153.730000000003</v>
      </c>
      <c r="L222" s="105">
        <v>40321.520000000004</v>
      </c>
      <c r="M222" s="106">
        <f t="shared" si="52"/>
        <v>-2167.7900000000009</v>
      </c>
      <c r="N222" s="300">
        <f t="shared" si="53"/>
        <v>-5.3762606171592751E-2</v>
      </c>
      <c r="O222" s="301"/>
      <c r="P222" s="107"/>
      <c r="Q222" s="105">
        <v>38153.730000000003</v>
      </c>
      <c r="R222" s="105">
        <v>40321.520000000004</v>
      </c>
      <c r="S222" s="106">
        <f t="shared" si="54"/>
        <v>-2167.7900000000009</v>
      </c>
      <c r="T222" s="300">
        <f t="shared" si="55"/>
        <v>-5.3762606171592751E-2</v>
      </c>
      <c r="U222" s="107"/>
      <c r="V222" s="105">
        <v>236693.18000000002</v>
      </c>
      <c r="W222" s="105">
        <v>171577.43</v>
      </c>
      <c r="X222" s="106">
        <f t="shared" si="56"/>
        <v>65115.750000000029</v>
      </c>
      <c r="Y222" s="300">
        <f t="shared" si="57"/>
        <v>0.37951232863203532</v>
      </c>
      <c r="Z222" s="302"/>
      <c r="AA222" s="108">
        <v>12900.32</v>
      </c>
      <c r="AB222" s="109"/>
      <c r="AC222" s="110">
        <v>15458.1</v>
      </c>
      <c r="AD222" s="110">
        <v>3381.58</v>
      </c>
      <c r="AE222" s="110">
        <v>21481.84</v>
      </c>
      <c r="AF222" s="110">
        <v>27431.91</v>
      </c>
      <c r="AG222" s="110">
        <v>4030.08</v>
      </c>
      <c r="AH222" s="110">
        <v>28929.27</v>
      </c>
      <c r="AI222" s="110">
        <v>10605.58</v>
      </c>
      <c r="AJ222" s="110">
        <v>39571.9</v>
      </c>
      <c r="AK222" s="110">
        <v>19575.37</v>
      </c>
      <c r="AL222" s="110">
        <v>53829.520000000004</v>
      </c>
      <c r="AM222" s="110">
        <v>-12371.83</v>
      </c>
      <c r="AN222" s="110">
        <v>26937.65</v>
      </c>
      <c r="AO222" s="109"/>
      <c r="AP222" s="110">
        <v>14255.23</v>
      </c>
      <c r="AQ222" s="110">
        <v>4520.1099999999997</v>
      </c>
      <c r="AR222" s="110">
        <v>19378.39</v>
      </c>
      <c r="AS222" s="110">
        <v>-17944.96</v>
      </c>
      <c r="AT222" s="110">
        <v>0</v>
      </c>
      <c r="AU222" s="110">
        <v>0</v>
      </c>
      <c r="AV222" s="110">
        <v>0</v>
      </c>
      <c r="AW222" s="110">
        <v>0</v>
      </c>
      <c r="AX222" s="110">
        <v>0</v>
      </c>
      <c r="AY222" s="110">
        <v>0</v>
      </c>
      <c r="AZ222" s="110">
        <v>0</v>
      </c>
      <c r="BA222" s="110">
        <v>0</v>
      </c>
    </row>
    <row r="223" spans="1:53" s="102" customFormat="1" outlineLevel="2">
      <c r="A223" s="102" t="s">
        <v>688</v>
      </c>
      <c r="B223" s="103" t="s">
        <v>689</v>
      </c>
      <c r="C223" s="104" t="s">
        <v>690</v>
      </c>
      <c r="D223" s="298"/>
      <c r="E223" s="299"/>
      <c r="F223" s="105">
        <v>12694.050000000001</v>
      </c>
      <c r="G223" s="105">
        <v>4004.01</v>
      </c>
      <c r="H223" s="106">
        <f t="shared" si="50"/>
        <v>8690.0400000000009</v>
      </c>
      <c r="I223" s="300">
        <f t="shared" si="51"/>
        <v>2.1703342399244758</v>
      </c>
      <c r="J223" s="107"/>
      <c r="K223" s="105">
        <v>20035.11</v>
      </c>
      <c r="L223" s="105">
        <v>5995.91</v>
      </c>
      <c r="M223" s="106">
        <f t="shared" si="52"/>
        <v>14039.2</v>
      </c>
      <c r="N223" s="300">
        <f t="shared" si="53"/>
        <v>2.3414627637839796</v>
      </c>
      <c r="O223" s="301"/>
      <c r="P223" s="107"/>
      <c r="Q223" s="105">
        <v>20035.11</v>
      </c>
      <c r="R223" s="105">
        <v>5995.91</v>
      </c>
      <c r="S223" s="106">
        <f t="shared" si="54"/>
        <v>14039.2</v>
      </c>
      <c r="T223" s="300">
        <f t="shared" si="55"/>
        <v>2.3414627637839796</v>
      </c>
      <c r="U223" s="107"/>
      <c r="V223" s="105">
        <v>60854.79</v>
      </c>
      <c r="W223" s="105">
        <v>72084.540000000008</v>
      </c>
      <c r="X223" s="106">
        <f t="shared" si="56"/>
        <v>-11229.750000000007</v>
      </c>
      <c r="Y223" s="300">
        <f t="shared" si="57"/>
        <v>-0.15578583146954958</v>
      </c>
      <c r="Z223" s="302"/>
      <c r="AA223" s="108">
        <v>563.03</v>
      </c>
      <c r="AB223" s="109"/>
      <c r="AC223" s="110">
        <v>1241.6200000000001</v>
      </c>
      <c r="AD223" s="110">
        <v>750.28</v>
      </c>
      <c r="AE223" s="110">
        <v>4004.01</v>
      </c>
      <c r="AF223" s="110">
        <v>4082.9500000000003</v>
      </c>
      <c r="AG223" s="110">
        <v>4042.09</v>
      </c>
      <c r="AH223" s="110">
        <v>6225.2300000000005</v>
      </c>
      <c r="AI223" s="110">
        <v>1873.76</v>
      </c>
      <c r="AJ223" s="110">
        <v>7312.22</v>
      </c>
      <c r="AK223" s="110">
        <v>786.53</v>
      </c>
      <c r="AL223" s="110">
        <v>5977</v>
      </c>
      <c r="AM223" s="110">
        <v>5755.63</v>
      </c>
      <c r="AN223" s="110">
        <v>4764.2700000000004</v>
      </c>
      <c r="AO223" s="109"/>
      <c r="AP223" s="110">
        <v>3930.29</v>
      </c>
      <c r="AQ223" s="110">
        <v>3410.77</v>
      </c>
      <c r="AR223" s="110">
        <v>12694.050000000001</v>
      </c>
      <c r="AS223" s="110">
        <v>768.22</v>
      </c>
      <c r="AT223" s="110">
        <v>0</v>
      </c>
      <c r="AU223" s="110">
        <v>0</v>
      </c>
      <c r="AV223" s="110">
        <v>0</v>
      </c>
      <c r="AW223" s="110">
        <v>0</v>
      </c>
      <c r="AX223" s="110">
        <v>0</v>
      </c>
      <c r="AY223" s="110">
        <v>0</v>
      </c>
      <c r="AZ223" s="110">
        <v>0</v>
      </c>
      <c r="BA223" s="110">
        <v>0</v>
      </c>
    </row>
    <row r="224" spans="1:53" s="102" customFormat="1" outlineLevel="2">
      <c r="A224" s="102" t="s">
        <v>691</v>
      </c>
      <c r="B224" s="103" t="s">
        <v>692</v>
      </c>
      <c r="C224" s="104" t="s">
        <v>693</v>
      </c>
      <c r="D224" s="298"/>
      <c r="E224" s="299"/>
      <c r="F224" s="105">
        <v>77978.55</v>
      </c>
      <c r="G224" s="105">
        <v>110141.22</v>
      </c>
      <c r="H224" s="106">
        <f t="shared" si="50"/>
        <v>-32162.67</v>
      </c>
      <c r="I224" s="300">
        <f t="shared" si="51"/>
        <v>-0.29201301746975383</v>
      </c>
      <c r="J224" s="107"/>
      <c r="K224" s="105">
        <v>272202.59000000003</v>
      </c>
      <c r="L224" s="105">
        <v>322201.63</v>
      </c>
      <c r="M224" s="106">
        <f t="shared" si="52"/>
        <v>-49999.039999999979</v>
      </c>
      <c r="N224" s="300">
        <f t="shared" si="53"/>
        <v>-0.15517935151352269</v>
      </c>
      <c r="O224" s="301"/>
      <c r="P224" s="107"/>
      <c r="Q224" s="105">
        <v>272202.59000000003</v>
      </c>
      <c r="R224" s="105">
        <v>322201.63</v>
      </c>
      <c r="S224" s="106">
        <f t="shared" si="54"/>
        <v>-49999.039999999979</v>
      </c>
      <c r="T224" s="300">
        <f t="shared" si="55"/>
        <v>-0.15517935151352269</v>
      </c>
      <c r="U224" s="107"/>
      <c r="V224" s="105">
        <v>1179732.93</v>
      </c>
      <c r="W224" s="105">
        <v>1203688.0899999999</v>
      </c>
      <c r="X224" s="106">
        <f t="shared" si="56"/>
        <v>-23955.159999999916</v>
      </c>
      <c r="Y224" s="300">
        <f t="shared" si="57"/>
        <v>-1.9901467995749562E-2</v>
      </c>
      <c r="Z224" s="302"/>
      <c r="AA224" s="108">
        <v>88180.39</v>
      </c>
      <c r="AB224" s="109"/>
      <c r="AC224" s="110">
        <v>116112.68000000001</v>
      </c>
      <c r="AD224" s="110">
        <v>95947.73</v>
      </c>
      <c r="AE224" s="110">
        <v>110141.22</v>
      </c>
      <c r="AF224" s="110">
        <v>112495.33</v>
      </c>
      <c r="AG224" s="110">
        <v>117486.96</v>
      </c>
      <c r="AH224" s="110">
        <v>101044.8</v>
      </c>
      <c r="AI224" s="110">
        <v>87904.88</v>
      </c>
      <c r="AJ224" s="110">
        <v>51100.05</v>
      </c>
      <c r="AK224" s="110">
        <v>86741.39</v>
      </c>
      <c r="AL224" s="110">
        <v>107001.75</v>
      </c>
      <c r="AM224" s="110">
        <v>94126.37</v>
      </c>
      <c r="AN224" s="110">
        <v>149628.81</v>
      </c>
      <c r="AO224" s="109"/>
      <c r="AP224" s="110">
        <v>72271.67</v>
      </c>
      <c r="AQ224" s="110">
        <v>121952.37</v>
      </c>
      <c r="AR224" s="110">
        <v>77978.55</v>
      </c>
      <c r="AS224" s="110">
        <v>-18512.689999999999</v>
      </c>
      <c r="AT224" s="110">
        <v>0</v>
      </c>
      <c r="AU224" s="110">
        <v>0</v>
      </c>
      <c r="AV224" s="110">
        <v>0</v>
      </c>
      <c r="AW224" s="110">
        <v>0</v>
      </c>
      <c r="AX224" s="110">
        <v>0</v>
      </c>
      <c r="AY224" s="110">
        <v>0</v>
      </c>
      <c r="AZ224" s="110">
        <v>0</v>
      </c>
      <c r="BA224" s="110">
        <v>0</v>
      </c>
    </row>
    <row r="225" spans="1:53" s="102" customFormat="1" outlineLevel="2">
      <c r="A225" s="102" t="s">
        <v>694</v>
      </c>
      <c r="B225" s="103" t="s">
        <v>695</v>
      </c>
      <c r="C225" s="104" t="s">
        <v>696</v>
      </c>
      <c r="D225" s="298"/>
      <c r="E225" s="299"/>
      <c r="F225" s="105">
        <v>17193.740000000002</v>
      </c>
      <c r="G225" s="105">
        <v>17738.02</v>
      </c>
      <c r="H225" s="106">
        <f t="shared" si="50"/>
        <v>-544.27999999999884</v>
      </c>
      <c r="I225" s="300">
        <f t="shared" si="51"/>
        <v>-3.0684371761898952E-2</v>
      </c>
      <c r="J225" s="107"/>
      <c r="K225" s="105">
        <v>56618.85</v>
      </c>
      <c r="L225" s="105">
        <v>50961.020000000004</v>
      </c>
      <c r="M225" s="106">
        <f t="shared" si="52"/>
        <v>5657.8299999999945</v>
      </c>
      <c r="N225" s="300">
        <f t="shared" si="53"/>
        <v>0.11102269931017852</v>
      </c>
      <c r="O225" s="301"/>
      <c r="P225" s="107"/>
      <c r="Q225" s="105">
        <v>56618.85</v>
      </c>
      <c r="R225" s="105">
        <v>50961.020000000004</v>
      </c>
      <c r="S225" s="106">
        <f t="shared" si="54"/>
        <v>5657.8299999999945</v>
      </c>
      <c r="T225" s="300">
        <f t="shared" si="55"/>
        <v>0.11102269931017852</v>
      </c>
      <c r="U225" s="107"/>
      <c r="V225" s="105">
        <v>206567.6</v>
      </c>
      <c r="W225" s="105">
        <v>197693.53000000003</v>
      </c>
      <c r="X225" s="106">
        <f t="shared" si="56"/>
        <v>8874.0699999999779</v>
      </c>
      <c r="Y225" s="300">
        <f t="shared" si="57"/>
        <v>4.4888014291615798E-2</v>
      </c>
      <c r="Z225" s="302"/>
      <c r="AA225" s="108">
        <v>9620.3000000000011</v>
      </c>
      <c r="AB225" s="109"/>
      <c r="AC225" s="110">
        <v>15037.300000000001</v>
      </c>
      <c r="AD225" s="110">
        <v>18185.7</v>
      </c>
      <c r="AE225" s="110">
        <v>17738.02</v>
      </c>
      <c r="AF225" s="110">
        <v>19701.990000000002</v>
      </c>
      <c r="AG225" s="110">
        <v>18143.82</v>
      </c>
      <c r="AH225" s="110">
        <v>17749.64</v>
      </c>
      <c r="AI225" s="110">
        <v>11420.300000000001</v>
      </c>
      <c r="AJ225" s="110">
        <v>6908.81</v>
      </c>
      <c r="AK225" s="110">
        <v>20283.48</v>
      </c>
      <c r="AL225" s="110">
        <v>20230.97</v>
      </c>
      <c r="AM225" s="110">
        <v>19020.28</v>
      </c>
      <c r="AN225" s="110">
        <v>16489.46</v>
      </c>
      <c r="AO225" s="109"/>
      <c r="AP225" s="110">
        <v>22061.56</v>
      </c>
      <c r="AQ225" s="110">
        <v>17363.55</v>
      </c>
      <c r="AR225" s="110">
        <v>17193.740000000002</v>
      </c>
      <c r="AS225" s="110">
        <v>-4946.7300000000005</v>
      </c>
      <c r="AT225" s="110">
        <v>0</v>
      </c>
      <c r="AU225" s="110">
        <v>0</v>
      </c>
      <c r="AV225" s="110">
        <v>0</v>
      </c>
      <c r="AW225" s="110">
        <v>0</v>
      </c>
      <c r="AX225" s="110">
        <v>0</v>
      </c>
      <c r="AY225" s="110">
        <v>0</v>
      </c>
      <c r="AZ225" s="110">
        <v>0</v>
      </c>
      <c r="BA225" s="110">
        <v>0</v>
      </c>
    </row>
    <row r="226" spans="1:53" s="102" customFormat="1" outlineLevel="2">
      <c r="A226" s="102" t="s">
        <v>697</v>
      </c>
      <c r="B226" s="103" t="s">
        <v>698</v>
      </c>
      <c r="C226" s="104" t="s">
        <v>699</v>
      </c>
      <c r="D226" s="298"/>
      <c r="E226" s="299"/>
      <c r="F226" s="105">
        <v>367432.87</v>
      </c>
      <c r="G226" s="105">
        <v>433765.67</v>
      </c>
      <c r="H226" s="106">
        <f t="shared" si="50"/>
        <v>-66332.799999999988</v>
      </c>
      <c r="I226" s="300">
        <f t="shared" si="51"/>
        <v>-0.15292312090996041</v>
      </c>
      <c r="J226" s="107"/>
      <c r="K226" s="105">
        <v>1024946.63</v>
      </c>
      <c r="L226" s="105">
        <v>580045.59</v>
      </c>
      <c r="M226" s="106">
        <f t="shared" si="52"/>
        <v>444901.04000000004</v>
      </c>
      <c r="N226" s="300">
        <f t="shared" si="53"/>
        <v>0.76701046895296643</v>
      </c>
      <c r="O226" s="301"/>
      <c r="P226" s="107"/>
      <c r="Q226" s="105">
        <v>1024946.63</v>
      </c>
      <c r="R226" s="105">
        <v>580045.59</v>
      </c>
      <c r="S226" s="106">
        <f t="shared" si="54"/>
        <v>444901.04000000004</v>
      </c>
      <c r="T226" s="300">
        <f t="shared" si="55"/>
        <v>0.76701046895296643</v>
      </c>
      <c r="U226" s="107"/>
      <c r="V226" s="105">
        <v>3637287.87</v>
      </c>
      <c r="W226" s="105">
        <v>3577006.8499999996</v>
      </c>
      <c r="X226" s="106">
        <f t="shared" si="56"/>
        <v>60281.020000000484</v>
      </c>
      <c r="Y226" s="300">
        <f t="shared" si="57"/>
        <v>1.6852363589966425E-2</v>
      </c>
      <c r="Z226" s="302"/>
      <c r="AA226" s="108">
        <v>681187.20000000007</v>
      </c>
      <c r="AB226" s="109"/>
      <c r="AC226" s="110">
        <v>-116268.89</v>
      </c>
      <c r="AD226" s="110">
        <v>262548.81</v>
      </c>
      <c r="AE226" s="110">
        <v>433765.67</v>
      </c>
      <c r="AF226" s="110">
        <v>169745.61000000002</v>
      </c>
      <c r="AG226" s="110">
        <v>339304.58</v>
      </c>
      <c r="AH226" s="110">
        <v>360598.41000000003</v>
      </c>
      <c r="AI226" s="110">
        <v>235764.59</v>
      </c>
      <c r="AJ226" s="110">
        <v>276821.09000000003</v>
      </c>
      <c r="AK226" s="110">
        <v>324139.28000000003</v>
      </c>
      <c r="AL226" s="110">
        <v>313774.76</v>
      </c>
      <c r="AM226" s="110">
        <v>266189.3</v>
      </c>
      <c r="AN226" s="110">
        <v>326003.62</v>
      </c>
      <c r="AO226" s="109"/>
      <c r="AP226" s="110">
        <v>288978.78999999998</v>
      </c>
      <c r="AQ226" s="110">
        <v>368534.97000000003</v>
      </c>
      <c r="AR226" s="110">
        <v>367432.87</v>
      </c>
      <c r="AS226" s="110">
        <v>-111557.06</v>
      </c>
      <c r="AT226" s="110">
        <v>0</v>
      </c>
      <c r="AU226" s="110">
        <v>0</v>
      </c>
      <c r="AV226" s="110">
        <v>0</v>
      </c>
      <c r="AW226" s="110">
        <v>0</v>
      </c>
      <c r="AX226" s="110">
        <v>0</v>
      </c>
      <c r="AY226" s="110">
        <v>0</v>
      </c>
      <c r="AZ226" s="110">
        <v>0</v>
      </c>
      <c r="BA226" s="110">
        <v>0</v>
      </c>
    </row>
    <row r="227" spans="1:53" s="102" customFormat="1" outlineLevel="2">
      <c r="A227" s="102" t="s">
        <v>700</v>
      </c>
      <c r="B227" s="103" t="s">
        <v>701</v>
      </c>
      <c r="C227" s="104" t="s">
        <v>662</v>
      </c>
      <c r="D227" s="298"/>
      <c r="E227" s="299"/>
      <c r="F227" s="105">
        <v>79630.55</v>
      </c>
      <c r="G227" s="105">
        <v>79745.440000000002</v>
      </c>
      <c r="H227" s="106">
        <f t="shared" si="50"/>
        <v>-114.88999999999942</v>
      </c>
      <c r="I227" s="300">
        <f t="shared" si="51"/>
        <v>-1.4407093371106789E-3</v>
      </c>
      <c r="J227" s="107"/>
      <c r="K227" s="105">
        <v>233970.49</v>
      </c>
      <c r="L227" s="105">
        <v>233494.39999999999</v>
      </c>
      <c r="M227" s="106">
        <f t="shared" si="52"/>
        <v>476.08999999999651</v>
      </c>
      <c r="N227" s="300">
        <f t="shared" si="53"/>
        <v>2.0389782367371402E-3</v>
      </c>
      <c r="O227" s="301"/>
      <c r="P227" s="107"/>
      <c r="Q227" s="105">
        <v>233970.49</v>
      </c>
      <c r="R227" s="105">
        <v>233494.39999999999</v>
      </c>
      <c r="S227" s="106">
        <f t="shared" si="54"/>
        <v>476.08999999999651</v>
      </c>
      <c r="T227" s="300">
        <f t="shared" si="55"/>
        <v>2.0389782367371402E-3</v>
      </c>
      <c r="U227" s="107"/>
      <c r="V227" s="105">
        <v>924961.74</v>
      </c>
      <c r="W227" s="105">
        <v>118716.42</v>
      </c>
      <c r="X227" s="106">
        <f t="shared" si="56"/>
        <v>806245.32</v>
      </c>
      <c r="Y227" s="300">
        <f t="shared" si="57"/>
        <v>6.7913547258247844</v>
      </c>
      <c r="Z227" s="302"/>
      <c r="AA227" s="108">
        <v>34675.93</v>
      </c>
      <c r="AB227" s="109"/>
      <c r="AC227" s="110">
        <v>74815.75</v>
      </c>
      <c r="AD227" s="110">
        <v>78933.210000000006</v>
      </c>
      <c r="AE227" s="110">
        <v>79745.440000000002</v>
      </c>
      <c r="AF227" s="110">
        <v>75509.759999999995</v>
      </c>
      <c r="AG227" s="110">
        <v>75165.59</v>
      </c>
      <c r="AH227" s="110">
        <v>76441.23</v>
      </c>
      <c r="AI227" s="110">
        <v>90912.03</v>
      </c>
      <c r="AJ227" s="110">
        <v>71746.080000000002</v>
      </c>
      <c r="AK227" s="110">
        <v>71481.66</v>
      </c>
      <c r="AL227" s="110">
        <v>71609.72</v>
      </c>
      <c r="AM227" s="110">
        <v>86689.46</v>
      </c>
      <c r="AN227" s="110">
        <v>71435.72</v>
      </c>
      <c r="AO227" s="109"/>
      <c r="AP227" s="110">
        <v>77239.97</v>
      </c>
      <c r="AQ227" s="110">
        <v>77099.97</v>
      </c>
      <c r="AR227" s="110">
        <v>79630.55</v>
      </c>
      <c r="AS227" s="110">
        <v>0</v>
      </c>
      <c r="AT227" s="110">
        <v>0</v>
      </c>
      <c r="AU227" s="110">
        <v>0</v>
      </c>
      <c r="AV227" s="110">
        <v>0</v>
      </c>
      <c r="AW227" s="110">
        <v>0</v>
      </c>
      <c r="AX227" s="110">
        <v>0</v>
      </c>
      <c r="AY227" s="110">
        <v>0</v>
      </c>
      <c r="AZ227" s="110">
        <v>0</v>
      </c>
      <c r="BA227" s="110">
        <v>0</v>
      </c>
    </row>
    <row r="228" spans="1:53" s="102" customFormat="1" outlineLevel="2">
      <c r="A228" s="102" t="s">
        <v>702</v>
      </c>
      <c r="B228" s="103" t="s">
        <v>703</v>
      </c>
      <c r="C228" s="104" t="s">
        <v>665</v>
      </c>
      <c r="D228" s="298"/>
      <c r="E228" s="299"/>
      <c r="F228" s="105">
        <v>1857.88</v>
      </c>
      <c r="G228" s="105">
        <v>753.51200000000006</v>
      </c>
      <c r="H228" s="106">
        <f t="shared" si="50"/>
        <v>1104.3679999999999</v>
      </c>
      <c r="I228" s="300">
        <f t="shared" si="51"/>
        <v>1.4656276210597838</v>
      </c>
      <c r="J228" s="107"/>
      <c r="K228" s="105">
        <v>5573.64</v>
      </c>
      <c r="L228" s="105">
        <v>2260.5360000000001</v>
      </c>
      <c r="M228" s="106">
        <f t="shared" si="52"/>
        <v>3313.1040000000003</v>
      </c>
      <c r="N228" s="300">
        <f t="shared" si="53"/>
        <v>1.4656276210597841</v>
      </c>
      <c r="O228" s="301"/>
      <c r="P228" s="107"/>
      <c r="Q228" s="105">
        <v>5573.64</v>
      </c>
      <c r="R228" s="105">
        <v>2260.5360000000001</v>
      </c>
      <c r="S228" s="106">
        <f t="shared" si="54"/>
        <v>3313.1040000000003</v>
      </c>
      <c r="T228" s="300">
        <f t="shared" si="55"/>
        <v>1.4656276210597841</v>
      </c>
      <c r="U228" s="107"/>
      <c r="V228" s="105">
        <v>12355.248</v>
      </c>
      <c r="W228" s="105">
        <v>14441.847</v>
      </c>
      <c r="X228" s="106">
        <f t="shared" si="56"/>
        <v>-2086.5990000000002</v>
      </c>
      <c r="Y228" s="300">
        <f t="shared" si="57"/>
        <v>-0.14448283519414104</v>
      </c>
      <c r="Z228" s="302"/>
      <c r="AA228" s="108">
        <v>1353.479</v>
      </c>
      <c r="AB228" s="109"/>
      <c r="AC228" s="110">
        <v>753.51200000000006</v>
      </c>
      <c r="AD228" s="110">
        <v>753.51200000000006</v>
      </c>
      <c r="AE228" s="110">
        <v>753.51200000000006</v>
      </c>
      <c r="AF228" s="110">
        <v>753.51200000000006</v>
      </c>
      <c r="AG228" s="110">
        <v>753.51200000000006</v>
      </c>
      <c r="AH228" s="110">
        <v>753.51200000000006</v>
      </c>
      <c r="AI228" s="110">
        <v>753.51200000000006</v>
      </c>
      <c r="AJ228" s="110">
        <v>753.51200000000006</v>
      </c>
      <c r="AK228" s="110">
        <v>753.51200000000006</v>
      </c>
      <c r="AL228" s="110">
        <v>753.51200000000006</v>
      </c>
      <c r="AM228" s="110">
        <v>753.51200000000006</v>
      </c>
      <c r="AN228" s="110">
        <v>753.51200000000006</v>
      </c>
      <c r="AO228" s="109"/>
      <c r="AP228" s="110">
        <v>1857.88</v>
      </c>
      <c r="AQ228" s="110">
        <v>1857.88</v>
      </c>
      <c r="AR228" s="110">
        <v>1857.88</v>
      </c>
      <c r="AS228" s="110">
        <v>0</v>
      </c>
      <c r="AT228" s="110">
        <v>0</v>
      </c>
      <c r="AU228" s="110">
        <v>0</v>
      </c>
      <c r="AV228" s="110">
        <v>0</v>
      </c>
      <c r="AW228" s="110">
        <v>0</v>
      </c>
      <c r="AX228" s="110">
        <v>0</v>
      </c>
      <c r="AY228" s="110">
        <v>0</v>
      </c>
      <c r="AZ228" s="110">
        <v>0</v>
      </c>
      <c r="BA228" s="110">
        <v>0</v>
      </c>
    </row>
    <row r="229" spans="1:53" outlineLevel="1">
      <c r="A229" s="111" t="s">
        <v>704</v>
      </c>
      <c r="B229" s="331"/>
      <c r="C229" s="332" t="s">
        <v>705</v>
      </c>
      <c r="D229" s="342"/>
      <c r="E229" s="342"/>
      <c r="F229" s="333">
        <v>734605.50000000012</v>
      </c>
      <c r="G229" s="333">
        <v>840950.82200000004</v>
      </c>
      <c r="H229" s="133">
        <f t="shared" si="50"/>
        <v>-106345.32199999993</v>
      </c>
      <c r="I229" s="138">
        <f t="shared" si="51"/>
        <v>-0.12645843159660997</v>
      </c>
      <c r="J229" s="157"/>
      <c r="K229" s="333">
        <v>2028546.5599999998</v>
      </c>
      <c r="L229" s="333">
        <v>1612424.406</v>
      </c>
      <c r="M229" s="133">
        <f t="shared" si="52"/>
        <v>416122.15399999986</v>
      </c>
      <c r="N229" s="137">
        <f t="shared" si="53"/>
        <v>0.25807234897435549</v>
      </c>
      <c r="O229" s="344"/>
      <c r="P229" s="344"/>
      <c r="Q229" s="333">
        <v>2028546.5599999998</v>
      </c>
      <c r="R229" s="333">
        <v>1612424.406</v>
      </c>
      <c r="S229" s="133">
        <f t="shared" si="54"/>
        <v>416122.15399999986</v>
      </c>
      <c r="T229" s="138">
        <f t="shared" si="55"/>
        <v>0.25807234897435549</v>
      </c>
      <c r="U229" s="344"/>
      <c r="V229" s="333">
        <v>7805597.6180000007</v>
      </c>
      <c r="W229" s="333">
        <v>6824290.7669999991</v>
      </c>
      <c r="X229" s="133">
        <f t="shared" si="56"/>
        <v>981306.85100000165</v>
      </c>
      <c r="Y229" s="137">
        <f t="shared" si="57"/>
        <v>0.14379616644491106</v>
      </c>
      <c r="Z229" s="111"/>
      <c r="AA229" s="139">
        <v>936480.87900000019</v>
      </c>
      <c r="AB229" s="346"/>
      <c r="AC229" s="333">
        <v>215769.08199999999</v>
      </c>
      <c r="AD229" s="333">
        <v>555704.50199999998</v>
      </c>
      <c r="AE229" s="333">
        <v>840950.82200000004</v>
      </c>
      <c r="AF229" s="333">
        <v>519735.17200000002</v>
      </c>
      <c r="AG229" s="333">
        <v>703394.18200000003</v>
      </c>
      <c r="AH229" s="333">
        <v>750532.10200000007</v>
      </c>
      <c r="AI229" s="333">
        <v>581757.30200000003</v>
      </c>
      <c r="AJ229" s="333">
        <v>478858.23200000002</v>
      </c>
      <c r="AK229" s="333">
        <v>602076.902</v>
      </c>
      <c r="AL229" s="333">
        <v>817841.21199999994</v>
      </c>
      <c r="AM229" s="333">
        <v>644104.56200000003</v>
      </c>
      <c r="AN229" s="333">
        <v>678751.39199999999</v>
      </c>
      <c r="AO229" s="346"/>
      <c r="AP229" s="333">
        <v>600749.57999999996</v>
      </c>
      <c r="AQ229" s="333">
        <v>693191.48</v>
      </c>
      <c r="AR229" s="333">
        <v>734605.50000000012</v>
      </c>
      <c r="AS229" s="333">
        <v>-377892.5</v>
      </c>
      <c r="AT229" s="333">
        <v>0</v>
      </c>
      <c r="AU229" s="333">
        <v>0</v>
      </c>
      <c r="AV229" s="333">
        <v>0</v>
      </c>
      <c r="AW229" s="333">
        <v>0</v>
      </c>
      <c r="AX229" s="333">
        <v>0</v>
      </c>
      <c r="AY229" s="333">
        <v>0</v>
      </c>
      <c r="AZ229" s="333">
        <v>0</v>
      </c>
      <c r="BA229" s="333">
        <v>0</v>
      </c>
    </row>
    <row r="230" spans="1:53" ht="0.75" customHeight="1" outlineLevel="2">
      <c r="B230" s="331"/>
      <c r="C230" s="332"/>
      <c r="D230" s="342"/>
      <c r="E230" s="342"/>
      <c r="F230" s="333"/>
      <c r="G230" s="333"/>
      <c r="H230" s="133"/>
      <c r="I230" s="138"/>
      <c r="J230" s="157"/>
      <c r="K230" s="333"/>
      <c r="L230" s="333"/>
      <c r="M230" s="133"/>
      <c r="N230" s="137"/>
      <c r="O230" s="344"/>
      <c r="P230" s="344"/>
      <c r="Q230" s="333"/>
      <c r="R230" s="333"/>
      <c r="S230" s="133"/>
      <c r="T230" s="138"/>
      <c r="U230" s="344"/>
      <c r="V230" s="333"/>
      <c r="W230" s="333"/>
      <c r="X230" s="133"/>
      <c r="Y230" s="137"/>
      <c r="Z230" s="111"/>
      <c r="AA230" s="139"/>
      <c r="AB230" s="346"/>
      <c r="AC230" s="333"/>
      <c r="AD230" s="333"/>
      <c r="AE230" s="333"/>
      <c r="AF230" s="333"/>
      <c r="AG230" s="333"/>
      <c r="AH230" s="333"/>
      <c r="AI230" s="333"/>
      <c r="AJ230" s="333"/>
      <c r="AK230" s="333"/>
      <c r="AL230" s="333"/>
      <c r="AM230" s="333"/>
      <c r="AN230" s="333"/>
      <c r="AO230" s="346"/>
      <c r="AP230" s="333"/>
      <c r="AQ230" s="333"/>
      <c r="AR230" s="333"/>
      <c r="AS230" s="333"/>
      <c r="AT230" s="333"/>
      <c r="AU230" s="333"/>
      <c r="AV230" s="333"/>
      <c r="AW230" s="333"/>
      <c r="AX230" s="333"/>
      <c r="AY230" s="333"/>
      <c r="AZ230" s="333"/>
      <c r="BA230" s="333"/>
    </row>
    <row r="231" spans="1:53" outlineLevel="1">
      <c r="A231" s="111" t="s">
        <v>706</v>
      </c>
      <c r="B231" s="331"/>
      <c r="C231" s="332" t="s">
        <v>707</v>
      </c>
      <c r="D231" s="342"/>
      <c r="E231" s="342"/>
      <c r="F231" s="333">
        <v>0</v>
      </c>
      <c r="G231" s="333">
        <v>0</v>
      </c>
      <c r="H231" s="133">
        <f>+F231-G231</f>
        <v>0</v>
      </c>
      <c r="I231" s="138">
        <f>IF(G231&lt;0,IF(H231=0,0,IF(OR(G231=0,F231=0),"N.M.",IF(ABS(H231/G231)&gt;=10,"N.M.",H231/(-G231)))),IF(H231=0,0,IF(OR(G231=0,F231=0),"N.M.",IF(ABS(H231/G231)&gt;=10,"N.M.",H231/G231))))</f>
        <v>0</v>
      </c>
      <c r="J231" s="157"/>
      <c r="K231" s="333">
        <v>0</v>
      </c>
      <c r="L231" s="333">
        <v>0</v>
      </c>
      <c r="M231" s="133">
        <f>+K231-L231</f>
        <v>0</v>
      </c>
      <c r="N231" s="137">
        <f>IF(L231&lt;0,IF(M231=0,0,IF(OR(L231=0,K231=0),"N.M.",IF(ABS(M231/L231)&gt;=10,"N.M.",M231/(-L231)))),IF(M231=0,0,IF(OR(L231=0,K231=0),"N.M.",IF(ABS(M231/L231)&gt;=10,"N.M.",M231/L231))))</f>
        <v>0</v>
      </c>
      <c r="O231" s="344"/>
      <c r="P231" s="344"/>
      <c r="Q231" s="333">
        <v>0</v>
      </c>
      <c r="R231" s="333">
        <v>0</v>
      </c>
      <c r="S231" s="133">
        <f>+Q231-R231</f>
        <v>0</v>
      </c>
      <c r="T231" s="138">
        <f>IF(R231&lt;0,IF(S231=0,0,IF(OR(R231=0,Q231=0),"N.M.",IF(ABS(S231/R231)&gt;=10,"N.M.",S231/(-R231)))),IF(S231=0,0,IF(OR(R231=0,Q231=0),"N.M.",IF(ABS(S231/R231)&gt;=10,"N.M.",S231/R231))))</f>
        <v>0</v>
      </c>
      <c r="U231" s="344"/>
      <c r="V231" s="333">
        <v>0</v>
      </c>
      <c r="W231" s="333">
        <v>0</v>
      </c>
      <c r="X231" s="133">
        <f>+V231-W231</f>
        <v>0</v>
      </c>
      <c r="Y231" s="137">
        <f>IF(W231&lt;0,IF(X231=0,0,IF(OR(W231=0,V231=0),"N.M.",IF(ABS(X231/W231)&gt;=10,"N.M.",X231/(-W231)))),IF(X231=0,0,IF(OR(W231=0,V231=0),"N.M.",IF(ABS(X231/W231)&gt;=10,"N.M.",X231/W231))))</f>
        <v>0</v>
      </c>
      <c r="Z231" s="111"/>
      <c r="AA231" s="139">
        <v>0</v>
      </c>
      <c r="AB231" s="346"/>
      <c r="AC231" s="333">
        <v>0</v>
      </c>
      <c r="AD231" s="333">
        <v>0</v>
      </c>
      <c r="AE231" s="333">
        <v>0</v>
      </c>
      <c r="AF231" s="333">
        <v>0</v>
      </c>
      <c r="AG231" s="333">
        <v>0</v>
      </c>
      <c r="AH231" s="333">
        <v>0</v>
      </c>
      <c r="AI231" s="333">
        <v>0</v>
      </c>
      <c r="AJ231" s="333">
        <v>0</v>
      </c>
      <c r="AK231" s="333">
        <v>0</v>
      </c>
      <c r="AL231" s="333">
        <v>0</v>
      </c>
      <c r="AM231" s="333">
        <v>0</v>
      </c>
      <c r="AN231" s="333">
        <v>0</v>
      </c>
      <c r="AO231" s="346"/>
      <c r="AP231" s="333">
        <v>0</v>
      </c>
      <c r="AQ231" s="333">
        <v>0</v>
      </c>
      <c r="AR231" s="333">
        <v>0</v>
      </c>
      <c r="AS231" s="333">
        <v>0</v>
      </c>
      <c r="AT231" s="333">
        <v>0</v>
      </c>
      <c r="AU231" s="333">
        <v>0</v>
      </c>
      <c r="AV231" s="333">
        <v>0</v>
      </c>
      <c r="AW231" s="333">
        <v>0</v>
      </c>
      <c r="AX231" s="333">
        <v>0</v>
      </c>
      <c r="AY231" s="333">
        <v>0</v>
      </c>
      <c r="AZ231" s="333">
        <v>0</v>
      </c>
      <c r="BA231" s="333">
        <v>0</v>
      </c>
    </row>
    <row r="232" spans="1:53" ht="0.75" customHeight="1" outlineLevel="2">
      <c r="B232" s="331"/>
      <c r="C232" s="332"/>
      <c r="D232" s="342"/>
      <c r="E232" s="342"/>
      <c r="F232" s="333"/>
      <c r="G232" s="333"/>
      <c r="H232" s="133"/>
      <c r="I232" s="138"/>
      <c r="J232" s="157"/>
      <c r="K232" s="333"/>
      <c r="L232" s="333"/>
      <c r="M232" s="133"/>
      <c r="N232" s="137"/>
      <c r="O232" s="344"/>
      <c r="P232" s="344"/>
      <c r="Q232" s="333"/>
      <c r="R232" s="333"/>
      <c r="S232" s="133"/>
      <c r="T232" s="138"/>
      <c r="U232" s="344"/>
      <c r="V232" s="333"/>
      <c r="W232" s="333"/>
      <c r="X232" s="133"/>
      <c r="Y232" s="137"/>
      <c r="Z232" s="111"/>
      <c r="AA232" s="139"/>
      <c r="AB232" s="346"/>
      <c r="AC232" s="333"/>
      <c r="AD232" s="333"/>
      <c r="AE232" s="333"/>
      <c r="AF232" s="333"/>
      <c r="AG232" s="333"/>
      <c r="AH232" s="333"/>
      <c r="AI232" s="333"/>
      <c r="AJ232" s="333"/>
      <c r="AK232" s="333"/>
      <c r="AL232" s="333"/>
      <c r="AM232" s="333"/>
      <c r="AN232" s="333"/>
      <c r="AO232" s="346"/>
      <c r="AP232" s="333"/>
      <c r="AQ232" s="333"/>
      <c r="AR232" s="333"/>
      <c r="AS232" s="333"/>
      <c r="AT232" s="333"/>
      <c r="AU232" s="333"/>
      <c r="AV232" s="333"/>
      <c r="AW232" s="333"/>
      <c r="AX232" s="333"/>
      <c r="AY232" s="333"/>
      <c r="AZ232" s="333"/>
      <c r="BA232" s="333"/>
    </row>
    <row r="233" spans="1:53" s="102" customFormat="1" outlineLevel="2">
      <c r="A233" s="102" t="s">
        <v>708</v>
      </c>
      <c r="B233" s="103" t="s">
        <v>709</v>
      </c>
      <c r="C233" s="104" t="s">
        <v>710</v>
      </c>
      <c r="D233" s="298"/>
      <c r="E233" s="299"/>
      <c r="F233" s="105">
        <v>1621.51</v>
      </c>
      <c r="G233" s="105">
        <v>1626.46</v>
      </c>
      <c r="H233" s="106">
        <f t="shared" ref="H233:H249" si="58">+F233-G233</f>
        <v>-4.9500000000000455</v>
      </c>
      <c r="I233" s="300">
        <f t="shared" ref="I233:I249" si="59">IF(G233&lt;0,IF(H233=0,0,IF(OR(G233=0,F233=0),"N.M.",IF(ABS(H233/G233)&gt;=10,"N.M.",H233/(-G233)))),IF(H233=0,0,IF(OR(G233=0,F233=0),"N.M.",IF(ABS(H233/G233)&gt;=10,"N.M.",H233/G233))))</f>
        <v>-3.043419450831896E-3</v>
      </c>
      <c r="J233" s="107"/>
      <c r="K233" s="105">
        <v>4900.1400000000003</v>
      </c>
      <c r="L233" s="105">
        <v>4796.83</v>
      </c>
      <c r="M233" s="106">
        <f t="shared" ref="M233:M249" si="60">+K233-L233</f>
        <v>103.3100000000004</v>
      </c>
      <c r="N233" s="300">
        <f t="shared" ref="N233:N249" si="61">IF(L233&lt;0,IF(M233=0,0,IF(OR(L233=0,K233=0),"N.M.",IF(ABS(M233/L233)&gt;=10,"N.M.",M233/(-L233)))),IF(M233=0,0,IF(OR(L233=0,K233=0),"N.M.",IF(ABS(M233/L233)&gt;=10,"N.M.",M233/L233))))</f>
        <v>2.1537140152976111E-2</v>
      </c>
      <c r="O233" s="301"/>
      <c r="P233" s="107"/>
      <c r="Q233" s="105">
        <v>4900.1400000000003</v>
      </c>
      <c r="R233" s="105">
        <v>4796.83</v>
      </c>
      <c r="S233" s="106">
        <f t="shared" ref="S233:S249" si="62">+Q233-R233</f>
        <v>103.3100000000004</v>
      </c>
      <c r="T233" s="300">
        <f t="shared" ref="T233:T249" si="63">IF(R233&lt;0,IF(S233=0,0,IF(OR(R233=0,Q233=0),"N.M.",IF(ABS(S233/R233)&gt;=10,"N.M.",S233/(-R233)))),IF(S233=0,0,IF(OR(R233=0,Q233=0),"N.M.",IF(ABS(S233/R233)&gt;=10,"N.M.",S233/R233))))</f>
        <v>2.1537140152976111E-2</v>
      </c>
      <c r="U233" s="107"/>
      <c r="V233" s="105">
        <v>17501.600000000002</v>
      </c>
      <c r="W233" s="105">
        <v>21769.5</v>
      </c>
      <c r="X233" s="106">
        <f t="shared" ref="X233:X249" si="64">+V233-W233</f>
        <v>-4267.8999999999978</v>
      </c>
      <c r="Y233" s="300">
        <f t="shared" ref="Y233:Y249" si="65">IF(W233&lt;0,IF(X233=0,0,IF(OR(W233=0,V233=0),"N.M.",IF(ABS(X233/W233)&gt;=10,"N.M.",X233/(-W233)))),IF(X233=0,0,IF(OR(W233=0,V233=0),"N.M.",IF(ABS(X233/W233)&gt;=10,"N.M.",X233/W233))))</f>
        <v>-0.19604951882220528</v>
      </c>
      <c r="Z233" s="302"/>
      <c r="AA233" s="108">
        <v>864.16</v>
      </c>
      <c r="AB233" s="109"/>
      <c r="AC233" s="110">
        <v>1590.8400000000001</v>
      </c>
      <c r="AD233" s="110">
        <v>1579.53</v>
      </c>
      <c r="AE233" s="110">
        <v>1626.46</v>
      </c>
      <c r="AF233" s="110">
        <v>1905.6200000000001</v>
      </c>
      <c r="AG233" s="110">
        <v>1359.84</v>
      </c>
      <c r="AH233" s="110">
        <v>1389.51</v>
      </c>
      <c r="AI233" s="110">
        <v>1143.05</v>
      </c>
      <c r="AJ233" s="110">
        <v>1672</v>
      </c>
      <c r="AK233" s="110">
        <v>1622.76</v>
      </c>
      <c r="AL233" s="110">
        <v>1255.23</v>
      </c>
      <c r="AM233" s="110">
        <v>1305.95</v>
      </c>
      <c r="AN233" s="110">
        <v>947.5</v>
      </c>
      <c r="AO233" s="109"/>
      <c r="AP233" s="110">
        <v>1364.88</v>
      </c>
      <c r="AQ233" s="110">
        <v>1913.75</v>
      </c>
      <c r="AR233" s="110">
        <v>1621.51</v>
      </c>
      <c r="AS233" s="110">
        <v>0</v>
      </c>
      <c r="AT233" s="110">
        <v>0</v>
      </c>
      <c r="AU233" s="110">
        <v>0</v>
      </c>
      <c r="AV233" s="110">
        <v>0</v>
      </c>
      <c r="AW233" s="110">
        <v>0</v>
      </c>
      <c r="AX233" s="110">
        <v>0</v>
      </c>
      <c r="AY233" s="110">
        <v>0</v>
      </c>
      <c r="AZ233" s="110">
        <v>0</v>
      </c>
      <c r="BA233" s="110">
        <v>0</v>
      </c>
    </row>
    <row r="234" spans="1:53" s="102" customFormat="1" outlineLevel="2">
      <c r="A234" s="102" t="s">
        <v>711</v>
      </c>
      <c r="B234" s="103" t="s">
        <v>712</v>
      </c>
      <c r="C234" s="104" t="s">
        <v>713</v>
      </c>
      <c r="D234" s="298"/>
      <c r="E234" s="299"/>
      <c r="F234" s="105">
        <v>979.53</v>
      </c>
      <c r="G234" s="105">
        <v>-29932.07</v>
      </c>
      <c r="H234" s="106">
        <f t="shared" si="58"/>
        <v>30911.599999999999</v>
      </c>
      <c r="I234" s="300">
        <f t="shared" si="59"/>
        <v>1.0327251005359803</v>
      </c>
      <c r="J234" s="107"/>
      <c r="K234" s="105">
        <v>17978.54</v>
      </c>
      <c r="L234" s="105">
        <v>-41301.620000000003</v>
      </c>
      <c r="M234" s="106">
        <f t="shared" si="60"/>
        <v>59280.160000000003</v>
      </c>
      <c r="N234" s="300">
        <f t="shared" si="61"/>
        <v>1.4352986638296512</v>
      </c>
      <c r="O234" s="301"/>
      <c r="P234" s="107"/>
      <c r="Q234" s="105">
        <v>17978.54</v>
      </c>
      <c r="R234" s="105">
        <v>-41301.620000000003</v>
      </c>
      <c r="S234" s="106">
        <f t="shared" si="62"/>
        <v>59280.160000000003</v>
      </c>
      <c r="T234" s="300">
        <f t="shared" si="63"/>
        <v>1.4352986638296512</v>
      </c>
      <c r="U234" s="107"/>
      <c r="V234" s="105">
        <v>100438.42000000001</v>
      </c>
      <c r="W234" s="105">
        <v>-22235.120000000003</v>
      </c>
      <c r="X234" s="106">
        <f t="shared" si="64"/>
        <v>122673.54000000001</v>
      </c>
      <c r="Y234" s="300">
        <f t="shared" si="65"/>
        <v>5.5171071709979529</v>
      </c>
      <c r="Z234" s="302"/>
      <c r="AA234" s="108">
        <v>12353.32</v>
      </c>
      <c r="AB234" s="109"/>
      <c r="AC234" s="110">
        <v>-9029.0400000000009</v>
      </c>
      <c r="AD234" s="110">
        <v>-2340.5100000000002</v>
      </c>
      <c r="AE234" s="110">
        <v>-29932.07</v>
      </c>
      <c r="AF234" s="110">
        <v>-12477.84</v>
      </c>
      <c r="AG234" s="110">
        <v>26687.11</v>
      </c>
      <c r="AH234" s="110">
        <v>486.29</v>
      </c>
      <c r="AI234" s="110">
        <v>19225.48</v>
      </c>
      <c r="AJ234" s="110">
        <v>7195.9400000000005</v>
      </c>
      <c r="AK234" s="110">
        <v>12935.62</v>
      </c>
      <c r="AL234" s="110">
        <v>-33840</v>
      </c>
      <c r="AM234" s="110">
        <v>38816.720000000001</v>
      </c>
      <c r="AN234" s="110">
        <v>23430.560000000001</v>
      </c>
      <c r="AO234" s="109"/>
      <c r="AP234" s="110">
        <v>1867.29</v>
      </c>
      <c r="AQ234" s="110">
        <v>15131.720000000001</v>
      </c>
      <c r="AR234" s="110">
        <v>979.53</v>
      </c>
      <c r="AS234" s="110">
        <v>-12.1</v>
      </c>
      <c r="AT234" s="110">
        <v>0</v>
      </c>
      <c r="AU234" s="110">
        <v>0</v>
      </c>
      <c r="AV234" s="110">
        <v>0</v>
      </c>
      <c r="AW234" s="110">
        <v>0</v>
      </c>
      <c r="AX234" s="110">
        <v>0</v>
      </c>
      <c r="AY234" s="110">
        <v>0</v>
      </c>
      <c r="AZ234" s="110">
        <v>0</v>
      </c>
      <c r="BA234" s="110">
        <v>0</v>
      </c>
    </row>
    <row r="235" spans="1:53" s="102" customFormat="1" outlineLevel="2">
      <c r="A235" s="102" t="s">
        <v>714</v>
      </c>
      <c r="B235" s="103" t="s">
        <v>715</v>
      </c>
      <c r="C235" s="104" t="s">
        <v>716</v>
      </c>
      <c r="D235" s="298"/>
      <c r="E235" s="299"/>
      <c r="F235" s="105">
        <v>24066.23</v>
      </c>
      <c r="G235" s="105">
        <v>47594.86</v>
      </c>
      <c r="H235" s="106">
        <f t="shared" si="58"/>
        <v>-23528.63</v>
      </c>
      <c r="I235" s="300">
        <f t="shared" si="59"/>
        <v>-0.4943523313231723</v>
      </c>
      <c r="J235" s="107"/>
      <c r="K235" s="105">
        <v>62858.68</v>
      </c>
      <c r="L235" s="105">
        <v>127406.97</v>
      </c>
      <c r="M235" s="106">
        <f t="shared" si="60"/>
        <v>-64548.29</v>
      </c>
      <c r="N235" s="300">
        <f t="shared" si="61"/>
        <v>-0.50663075968292792</v>
      </c>
      <c r="O235" s="301"/>
      <c r="P235" s="107"/>
      <c r="Q235" s="105">
        <v>62858.68</v>
      </c>
      <c r="R235" s="105">
        <v>127406.97</v>
      </c>
      <c r="S235" s="106">
        <f t="shared" si="62"/>
        <v>-64548.29</v>
      </c>
      <c r="T235" s="300">
        <f t="shared" si="63"/>
        <v>-0.50663075968292792</v>
      </c>
      <c r="U235" s="107"/>
      <c r="V235" s="105">
        <v>315022.85000000003</v>
      </c>
      <c r="W235" s="105">
        <v>478811.35</v>
      </c>
      <c r="X235" s="106">
        <f t="shared" si="64"/>
        <v>-163788.49999999994</v>
      </c>
      <c r="Y235" s="300">
        <f t="shared" si="65"/>
        <v>-0.34207313590206234</v>
      </c>
      <c r="Z235" s="302"/>
      <c r="AA235" s="108">
        <v>39015.040000000001</v>
      </c>
      <c r="AB235" s="109"/>
      <c r="AC235" s="110">
        <v>49832.68</v>
      </c>
      <c r="AD235" s="110">
        <v>29979.43</v>
      </c>
      <c r="AE235" s="110">
        <v>47594.86</v>
      </c>
      <c r="AF235" s="110">
        <v>48866.720000000001</v>
      </c>
      <c r="AG235" s="110">
        <v>29112.560000000001</v>
      </c>
      <c r="AH235" s="110">
        <v>31476.34</v>
      </c>
      <c r="AI235" s="110">
        <v>35789.090000000004</v>
      </c>
      <c r="AJ235" s="110">
        <v>31459.190000000002</v>
      </c>
      <c r="AK235" s="110">
        <v>14500.06</v>
      </c>
      <c r="AL235" s="110">
        <v>20143.580000000002</v>
      </c>
      <c r="AM235" s="110">
        <v>19900.11</v>
      </c>
      <c r="AN235" s="110">
        <v>20916.52</v>
      </c>
      <c r="AO235" s="109"/>
      <c r="AP235" s="110">
        <v>15714.11</v>
      </c>
      <c r="AQ235" s="110">
        <v>23078.34</v>
      </c>
      <c r="AR235" s="110">
        <v>24066.23</v>
      </c>
      <c r="AS235" s="110">
        <v>3125.54</v>
      </c>
      <c r="AT235" s="110">
        <v>0</v>
      </c>
      <c r="AU235" s="110">
        <v>0</v>
      </c>
      <c r="AV235" s="110">
        <v>0</v>
      </c>
      <c r="AW235" s="110">
        <v>0</v>
      </c>
      <c r="AX235" s="110">
        <v>0</v>
      </c>
      <c r="AY235" s="110">
        <v>0</v>
      </c>
      <c r="AZ235" s="110">
        <v>0</v>
      </c>
      <c r="BA235" s="110">
        <v>0</v>
      </c>
    </row>
    <row r="236" spans="1:53" s="102" customFormat="1" outlineLevel="2">
      <c r="A236" s="102" t="s">
        <v>717</v>
      </c>
      <c r="B236" s="103" t="s">
        <v>718</v>
      </c>
      <c r="C236" s="104" t="s">
        <v>719</v>
      </c>
      <c r="D236" s="298"/>
      <c r="E236" s="299"/>
      <c r="F236" s="105">
        <v>3470.92</v>
      </c>
      <c r="G236" s="105">
        <v>1790.46</v>
      </c>
      <c r="H236" s="106">
        <f t="shared" si="58"/>
        <v>1680.46</v>
      </c>
      <c r="I236" s="300">
        <f t="shared" si="59"/>
        <v>0.93856327424237351</v>
      </c>
      <c r="J236" s="107"/>
      <c r="K236" s="105">
        <v>9895.44</v>
      </c>
      <c r="L236" s="105">
        <v>7014.8</v>
      </c>
      <c r="M236" s="106">
        <f t="shared" si="60"/>
        <v>2880.6400000000003</v>
      </c>
      <c r="N236" s="300">
        <f t="shared" si="61"/>
        <v>0.4106517648400525</v>
      </c>
      <c r="O236" s="301"/>
      <c r="P236" s="107"/>
      <c r="Q236" s="105">
        <v>9895.44</v>
      </c>
      <c r="R236" s="105">
        <v>7014.8</v>
      </c>
      <c r="S236" s="106">
        <f t="shared" si="62"/>
        <v>2880.6400000000003</v>
      </c>
      <c r="T236" s="300">
        <f t="shared" si="63"/>
        <v>0.4106517648400525</v>
      </c>
      <c r="U236" s="107"/>
      <c r="V236" s="105">
        <v>35736.639999999999</v>
      </c>
      <c r="W236" s="105">
        <v>51730.01</v>
      </c>
      <c r="X236" s="106">
        <f t="shared" si="64"/>
        <v>-15993.370000000003</v>
      </c>
      <c r="Y236" s="300">
        <f t="shared" si="65"/>
        <v>-0.30917005428763694</v>
      </c>
      <c r="Z236" s="302"/>
      <c r="AA236" s="108">
        <v>4525.99</v>
      </c>
      <c r="AB236" s="109"/>
      <c r="AC236" s="110">
        <v>3685.33</v>
      </c>
      <c r="AD236" s="110">
        <v>1539.01</v>
      </c>
      <c r="AE236" s="110">
        <v>1790.46</v>
      </c>
      <c r="AF236" s="110">
        <v>3439.4700000000003</v>
      </c>
      <c r="AG236" s="110">
        <v>2729.29</v>
      </c>
      <c r="AH236" s="110">
        <v>3482.87</v>
      </c>
      <c r="AI236" s="110">
        <v>3444.31</v>
      </c>
      <c r="AJ236" s="110">
        <v>2735.2000000000003</v>
      </c>
      <c r="AK236" s="110">
        <v>2190.7200000000003</v>
      </c>
      <c r="AL236" s="110">
        <v>2820.38</v>
      </c>
      <c r="AM236" s="110">
        <v>2403.2600000000002</v>
      </c>
      <c r="AN236" s="110">
        <v>2595.7000000000003</v>
      </c>
      <c r="AO236" s="109"/>
      <c r="AP236" s="110">
        <v>3020.1</v>
      </c>
      <c r="AQ236" s="110">
        <v>3404.42</v>
      </c>
      <c r="AR236" s="110">
        <v>3470.92</v>
      </c>
      <c r="AS236" s="110">
        <v>0</v>
      </c>
      <c r="AT236" s="110">
        <v>0</v>
      </c>
      <c r="AU236" s="110">
        <v>0</v>
      </c>
      <c r="AV236" s="110">
        <v>0</v>
      </c>
      <c r="AW236" s="110">
        <v>0</v>
      </c>
      <c r="AX236" s="110">
        <v>0</v>
      </c>
      <c r="AY236" s="110">
        <v>0</v>
      </c>
      <c r="AZ236" s="110">
        <v>0</v>
      </c>
      <c r="BA236" s="110">
        <v>0</v>
      </c>
    </row>
    <row r="237" spans="1:53" s="102" customFormat="1" outlineLevel="2">
      <c r="A237" s="102" t="s">
        <v>720</v>
      </c>
      <c r="B237" s="103" t="s">
        <v>721</v>
      </c>
      <c r="C237" s="104" t="s">
        <v>722</v>
      </c>
      <c r="D237" s="298"/>
      <c r="E237" s="299"/>
      <c r="F237" s="105">
        <v>25179.420000000002</v>
      </c>
      <c r="G237" s="105">
        <v>28910.31</v>
      </c>
      <c r="H237" s="106">
        <f t="shared" si="58"/>
        <v>-3730.8899999999994</v>
      </c>
      <c r="I237" s="300">
        <f t="shared" si="59"/>
        <v>-0.12905050136093316</v>
      </c>
      <c r="J237" s="107"/>
      <c r="K237" s="105">
        <v>76963.839999999997</v>
      </c>
      <c r="L237" s="105">
        <v>81355.350000000006</v>
      </c>
      <c r="M237" s="106">
        <f t="shared" si="60"/>
        <v>-4391.5100000000093</v>
      </c>
      <c r="N237" s="300">
        <f t="shared" si="61"/>
        <v>-5.3979363373152581E-2</v>
      </c>
      <c r="O237" s="301"/>
      <c r="P237" s="107"/>
      <c r="Q237" s="105">
        <v>76963.839999999997</v>
      </c>
      <c r="R237" s="105">
        <v>81355.350000000006</v>
      </c>
      <c r="S237" s="106">
        <f t="shared" si="62"/>
        <v>-4391.5100000000093</v>
      </c>
      <c r="T237" s="300">
        <f t="shared" si="63"/>
        <v>-5.3979363373152581E-2</v>
      </c>
      <c r="U237" s="107"/>
      <c r="V237" s="105">
        <v>315722.93</v>
      </c>
      <c r="W237" s="105">
        <v>329763.29000000004</v>
      </c>
      <c r="X237" s="106">
        <f t="shared" si="64"/>
        <v>-14040.360000000044</v>
      </c>
      <c r="Y237" s="300">
        <f t="shared" si="65"/>
        <v>-4.2577086127446276E-2</v>
      </c>
      <c r="Z237" s="302"/>
      <c r="AA237" s="108">
        <v>22656.58</v>
      </c>
      <c r="AB237" s="109"/>
      <c r="AC237" s="110">
        <v>29344.39</v>
      </c>
      <c r="AD237" s="110">
        <v>23100.65</v>
      </c>
      <c r="AE237" s="110">
        <v>28910.31</v>
      </c>
      <c r="AF237" s="110">
        <v>32002.16</v>
      </c>
      <c r="AG237" s="110">
        <v>22780.06</v>
      </c>
      <c r="AH237" s="110">
        <v>22393.11</v>
      </c>
      <c r="AI237" s="110">
        <v>20896.82</v>
      </c>
      <c r="AJ237" s="110">
        <v>31451.16</v>
      </c>
      <c r="AK237" s="110">
        <v>29781.02</v>
      </c>
      <c r="AL237" s="110">
        <v>26709.29</v>
      </c>
      <c r="AM237" s="110">
        <v>30345.38</v>
      </c>
      <c r="AN237" s="110">
        <v>22400.09</v>
      </c>
      <c r="AO237" s="109"/>
      <c r="AP237" s="110">
        <v>23226.09</v>
      </c>
      <c r="AQ237" s="110">
        <v>28558.33</v>
      </c>
      <c r="AR237" s="110">
        <v>25179.420000000002</v>
      </c>
      <c r="AS237" s="110">
        <v>0</v>
      </c>
      <c r="AT237" s="110">
        <v>0</v>
      </c>
      <c r="AU237" s="110">
        <v>0</v>
      </c>
      <c r="AV237" s="110">
        <v>0</v>
      </c>
      <c r="AW237" s="110">
        <v>0</v>
      </c>
      <c r="AX237" s="110">
        <v>0</v>
      </c>
      <c r="AY237" s="110">
        <v>0</v>
      </c>
      <c r="AZ237" s="110">
        <v>0</v>
      </c>
      <c r="BA237" s="110">
        <v>0</v>
      </c>
    </row>
    <row r="238" spans="1:53" s="102" customFormat="1" outlineLevel="2">
      <c r="A238" s="102" t="s">
        <v>723</v>
      </c>
      <c r="B238" s="103" t="s">
        <v>724</v>
      </c>
      <c r="C238" s="104" t="s">
        <v>725</v>
      </c>
      <c r="D238" s="298"/>
      <c r="E238" s="299"/>
      <c r="F238" s="105">
        <v>268652.44</v>
      </c>
      <c r="G238" s="105">
        <v>263834.81</v>
      </c>
      <c r="H238" s="106">
        <f t="shared" si="58"/>
        <v>4817.6300000000047</v>
      </c>
      <c r="I238" s="300">
        <f t="shared" si="59"/>
        <v>1.8260024141621058E-2</v>
      </c>
      <c r="J238" s="107"/>
      <c r="K238" s="105">
        <v>832438.04</v>
      </c>
      <c r="L238" s="105">
        <v>772729.96</v>
      </c>
      <c r="M238" s="106">
        <f t="shared" si="60"/>
        <v>59708.080000000075</v>
      </c>
      <c r="N238" s="300">
        <f t="shared" si="61"/>
        <v>7.7269011285650266E-2</v>
      </c>
      <c r="O238" s="301"/>
      <c r="P238" s="107"/>
      <c r="Q238" s="105">
        <v>832438.04</v>
      </c>
      <c r="R238" s="105">
        <v>772729.96</v>
      </c>
      <c r="S238" s="106">
        <f t="shared" si="62"/>
        <v>59708.080000000075</v>
      </c>
      <c r="T238" s="300">
        <f t="shared" si="63"/>
        <v>7.7269011285650266E-2</v>
      </c>
      <c r="U238" s="107"/>
      <c r="V238" s="105">
        <v>3197936.3200000003</v>
      </c>
      <c r="W238" s="105">
        <v>3033016.31</v>
      </c>
      <c r="X238" s="106">
        <f t="shared" si="64"/>
        <v>164920.01000000024</v>
      </c>
      <c r="Y238" s="300">
        <f t="shared" si="65"/>
        <v>5.4374916961788526E-2</v>
      </c>
      <c r="Z238" s="302"/>
      <c r="AA238" s="108">
        <v>238874.61000000002</v>
      </c>
      <c r="AB238" s="109"/>
      <c r="AC238" s="110">
        <v>253171.28</v>
      </c>
      <c r="AD238" s="110">
        <v>255723.87</v>
      </c>
      <c r="AE238" s="110">
        <v>263834.81</v>
      </c>
      <c r="AF238" s="110">
        <v>254698.97</v>
      </c>
      <c r="AG238" s="110">
        <v>222824.42</v>
      </c>
      <c r="AH238" s="110">
        <v>257392.89</v>
      </c>
      <c r="AI238" s="110">
        <v>256923.73</v>
      </c>
      <c r="AJ238" s="110">
        <v>282745.05</v>
      </c>
      <c r="AK238" s="110">
        <v>250419</v>
      </c>
      <c r="AL238" s="110">
        <v>257801.83000000002</v>
      </c>
      <c r="AM238" s="110">
        <v>248670.42</v>
      </c>
      <c r="AN238" s="110">
        <v>334021.97000000003</v>
      </c>
      <c r="AO238" s="109"/>
      <c r="AP238" s="110">
        <v>291481.75</v>
      </c>
      <c r="AQ238" s="110">
        <v>272303.84999999998</v>
      </c>
      <c r="AR238" s="110">
        <v>268652.44</v>
      </c>
      <c r="AS238" s="110">
        <v>-12983.960000000001</v>
      </c>
      <c r="AT238" s="110">
        <v>0</v>
      </c>
      <c r="AU238" s="110">
        <v>0</v>
      </c>
      <c r="AV238" s="110">
        <v>0</v>
      </c>
      <c r="AW238" s="110">
        <v>0</v>
      </c>
      <c r="AX238" s="110">
        <v>0</v>
      </c>
      <c r="AY238" s="110">
        <v>0</v>
      </c>
      <c r="AZ238" s="110">
        <v>0</v>
      </c>
      <c r="BA238" s="110">
        <v>0</v>
      </c>
    </row>
    <row r="239" spans="1:53" s="102" customFormat="1" outlineLevel="2">
      <c r="A239" s="102" t="s">
        <v>726</v>
      </c>
      <c r="B239" s="103" t="s">
        <v>727</v>
      </c>
      <c r="C239" s="104" t="s">
        <v>728</v>
      </c>
      <c r="D239" s="298"/>
      <c r="E239" s="299"/>
      <c r="F239" s="105">
        <v>1400.3600000000001</v>
      </c>
      <c r="G239" s="105">
        <v>1492.3500000000001</v>
      </c>
      <c r="H239" s="106">
        <f t="shared" si="58"/>
        <v>-91.990000000000009</v>
      </c>
      <c r="I239" s="300">
        <f t="shared" si="59"/>
        <v>-6.1641035950011726E-2</v>
      </c>
      <c r="J239" s="107"/>
      <c r="K239" s="105">
        <v>4290.17</v>
      </c>
      <c r="L239" s="105">
        <v>4502.38</v>
      </c>
      <c r="M239" s="106">
        <f t="shared" si="60"/>
        <v>-212.21000000000004</v>
      </c>
      <c r="N239" s="300">
        <f t="shared" si="61"/>
        <v>-4.7132849737250085E-2</v>
      </c>
      <c r="O239" s="301"/>
      <c r="P239" s="107"/>
      <c r="Q239" s="105">
        <v>4290.17</v>
      </c>
      <c r="R239" s="105">
        <v>4502.38</v>
      </c>
      <c r="S239" s="106">
        <f t="shared" si="62"/>
        <v>-212.21000000000004</v>
      </c>
      <c r="T239" s="300">
        <f t="shared" si="63"/>
        <v>-4.7132849737250085E-2</v>
      </c>
      <c r="U239" s="107"/>
      <c r="V239" s="105">
        <v>15539</v>
      </c>
      <c r="W239" s="105">
        <v>16405.8</v>
      </c>
      <c r="X239" s="106">
        <f t="shared" si="64"/>
        <v>-866.79999999999927</v>
      </c>
      <c r="Y239" s="300">
        <f t="shared" si="65"/>
        <v>-5.2834972997354554E-2</v>
      </c>
      <c r="Z239" s="302"/>
      <c r="AA239" s="108">
        <v>1115.96</v>
      </c>
      <c r="AB239" s="109"/>
      <c r="AC239" s="110">
        <v>1723.07</v>
      </c>
      <c r="AD239" s="110">
        <v>1286.96</v>
      </c>
      <c r="AE239" s="110">
        <v>1492.3500000000001</v>
      </c>
      <c r="AF239" s="110">
        <v>1221.3800000000001</v>
      </c>
      <c r="AG239" s="110">
        <v>1528.45</v>
      </c>
      <c r="AH239" s="110">
        <v>1978.74</v>
      </c>
      <c r="AI239" s="110">
        <v>481.79</v>
      </c>
      <c r="AJ239" s="110">
        <v>1416.4</v>
      </c>
      <c r="AK239" s="110">
        <v>1281.1200000000001</v>
      </c>
      <c r="AL239" s="110">
        <v>1367.91</v>
      </c>
      <c r="AM239" s="110">
        <v>917.93000000000006</v>
      </c>
      <c r="AN239" s="110">
        <v>1055.1100000000001</v>
      </c>
      <c r="AO239" s="109"/>
      <c r="AP239" s="110">
        <v>1499.01</v>
      </c>
      <c r="AQ239" s="110">
        <v>1390.8</v>
      </c>
      <c r="AR239" s="110">
        <v>1400.3600000000001</v>
      </c>
      <c r="AS239" s="110">
        <v>0</v>
      </c>
      <c r="AT239" s="110">
        <v>0</v>
      </c>
      <c r="AU239" s="110">
        <v>0</v>
      </c>
      <c r="AV239" s="110">
        <v>0</v>
      </c>
      <c r="AW239" s="110">
        <v>0</v>
      </c>
      <c r="AX239" s="110">
        <v>0</v>
      </c>
      <c r="AY239" s="110">
        <v>0</v>
      </c>
      <c r="AZ239" s="110">
        <v>0</v>
      </c>
      <c r="BA239" s="110">
        <v>0</v>
      </c>
    </row>
    <row r="240" spans="1:53" s="102" customFormat="1" outlineLevel="2">
      <c r="A240" s="102" t="s">
        <v>729</v>
      </c>
      <c r="B240" s="103" t="s">
        <v>730</v>
      </c>
      <c r="C240" s="104" t="s">
        <v>731</v>
      </c>
      <c r="D240" s="298"/>
      <c r="E240" s="299"/>
      <c r="F240" s="105">
        <v>54251</v>
      </c>
      <c r="G240" s="105">
        <v>50999.35</v>
      </c>
      <c r="H240" s="106">
        <f t="shared" si="58"/>
        <v>3251.6500000000015</v>
      </c>
      <c r="I240" s="300">
        <f t="shared" si="59"/>
        <v>6.3758655747573278E-2</v>
      </c>
      <c r="J240" s="107"/>
      <c r="K240" s="105">
        <v>151086.26999999999</v>
      </c>
      <c r="L240" s="105">
        <v>144852.24</v>
      </c>
      <c r="M240" s="106">
        <f t="shared" si="60"/>
        <v>6234.0299999999988</v>
      </c>
      <c r="N240" s="300">
        <f t="shared" si="61"/>
        <v>4.3037166701736879E-2</v>
      </c>
      <c r="O240" s="301"/>
      <c r="P240" s="107"/>
      <c r="Q240" s="105">
        <v>151086.26999999999</v>
      </c>
      <c r="R240" s="105">
        <v>144852.24</v>
      </c>
      <c r="S240" s="106">
        <f t="shared" si="62"/>
        <v>6234.0299999999988</v>
      </c>
      <c r="T240" s="300">
        <f t="shared" si="63"/>
        <v>4.3037166701736879E-2</v>
      </c>
      <c r="U240" s="107"/>
      <c r="V240" s="105">
        <v>608077.35</v>
      </c>
      <c r="W240" s="105">
        <v>584592.31000000006</v>
      </c>
      <c r="X240" s="106">
        <f t="shared" si="64"/>
        <v>23485.039999999921</v>
      </c>
      <c r="Y240" s="300">
        <f t="shared" si="65"/>
        <v>4.0173364579496294E-2</v>
      </c>
      <c r="Z240" s="302"/>
      <c r="AA240" s="108">
        <v>46821.86</v>
      </c>
      <c r="AB240" s="109"/>
      <c r="AC240" s="110">
        <v>47519.42</v>
      </c>
      <c r="AD240" s="110">
        <v>46333.47</v>
      </c>
      <c r="AE240" s="110">
        <v>50999.35</v>
      </c>
      <c r="AF240" s="110">
        <v>50355.08</v>
      </c>
      <c r="AG240" s="110">
        <v>45978.22</v>
      </c>
      <c r="AH240" s="110">
        <v>49494.61</v>
      </c>
      <c r="AI240" s="110">
        <v>50146.78</v>
      </c>
      <c r="AJ240" s="110">
        <v>53969.46</v>
      </c>
      <c r="AK240" s="110">
        <v>59413.78</v>
      </c>
      <c r="AL240" s="110">
        <v>51586.61</v>
      </c>
      <c r="AM240" s="110">
        <v>48842.01</v>
      </c>
      <c r="AN240" s="110">
        <v>47204.53</v>
      </c>
      <c r="AO240" s="109"/>
      <c r="AP240" s="110">
        <v>48598.400000000001</v>
      </c>
      <c r="AQ240" s="110">
        <v>48236.87</v>
      </c>
      <c r="AR240" s="110">
        <v>54251</v>
      </c>
      <c r="AS240" s="110">
        <v>0</v>
      </c>
      <c r="AT240" s="110">
        <v>0</v>
      </c>
      <c r="AU240" s="110">
        <v>0</v>
      </c>
      <c r="AV240" s="110">
        <v>0</v>
      </c>
      <c r="AW240" s="110">
        <v>0</v>
      </c>
      <c r="AX240" s="110">
        <v>0</v>
      </c>
      <c r="AY240" s="110">
        <v>0</v>
      </c>
      <c r="AZ240" s="110">
        <v>0</v>
      </c>
      <c r="BA240" s="110">
        <v>0</v>
      </c>
    </row>
    <row r="241" spans="1:53" s="102" customFormat="1" outlineLevel="2">
      <c r="A241" s="102" t="s">
        <v>732</v>
      </c>
      <c r="B241" s="103" t="s">
        <v>733</v>
      </c>
      <c r="C241" s="104" t="s">
        <v>734</v>
      </c>
      <c r="D241" s="298"/>
      <c r="E241" s="299"/>
      <c r="F241" s="105">
        <v>4632.6500000000005</v>
      </c>
      <c r="G241" s="105">
        <v>4050.71</v>
      </c>
      <c r="H241" s="106">
        <f t="shared" si="58"/>
        <v>581.94000000000051</v>
      </c>
      <c r="I241" s="300">
        <f t="shared" si="59"/>
        <v>0.14366370340014478</v>
      </c>
      <c r="J241" s="107"/>
      <c r="K241" s="105">
        <v>14116.32</v>
      </c>
      <c r="L241" s="105">
        <v>12327.09</v>
      </c>
      <c r="M241" s="106">
        <f t="shared" si="60"/>
        <v>1789.2299999999996</v>
      </c>
      <c r="N241" s="300">
        <f t="shared" si="61"/>
        <v>0.14514617805175428</v>
      </c>
      <c r="O241" s="301"/>
      <c r="P241" s="107"/>
      <c r="Q241" s="105">
        <v>14116.32</v>
      </c>
      <c r="R241" s="105">
        <v>12327.09</v>
      </c>
      <c r="S241" s="106">
        <f t="shared" si="62"/>
        <v>1789.2299999999996</v>
      </c>
      <c r="T241" s="300">
        <f t="shared" si="63"/>
        <v>0.14514617805175428</v>
      </c>
      <c r="U241" s="107"/>
      <c r="V241" s="105">
        <v>54880.19</v>
      </c>
      <c r="W241" s="105">
        <v>52599.69</v>
      </c>
      <c r="X241" s="106">
        <f t="shared" si="64"/>
        <v>2280.5</v>
      </c>
      <c r="Y241" s="300">
        <f t="shared" si="65"/>
        <v>4.335576882677445E-2</v>
      </c>
      <c r="Z241" s="302"/>
      <c r="AA241" s="108">
        <v>4924</v>
      </c>
      <c r="AB241" s="109"/>
      <c r="AC241" s="110">
        <v>4814.21</v>
      </c>
      <c r="AD241" s="110">
        <v>3462.17</v>
      </c>
      <c r="AE241" s="110">
        <v>4050.71</v>
      </c>
      <c r="AF241" s="110">
        <v>3842.21</v>
      </c>
      <c r="AG241" s="110">
        <v>4397.6099999999997</v>
      </c>
      <c r="AH241" s="110">
        <v>4492.21</v>
      </c>
      <c r="AI241" s="110">
        <v>4800.1099999999997</v>
      </c>
      <c r="AJ241" s="110">
        <v>4284.3599999999997</v>
      </c>
      <c r="AK241" s="110">
        <v>4188.22</v>
      </c>
      <c r="AL241" s="110">
        <v>4495.82</v>
      </c>
      <c r="AM241" s="110">
        <v>4523.5600000000004</v>
      </c>
      <c r="AN241" s="110">
        <v>5739.77</v>
      </c>
      <c r="AO241" s="109"/>
      <c r="AP241" s="110">
        <v>4910.4000000000005</v>
      </c>
      <c r="AQ241" s="110">
        <v>4573.2700000000004</v>
      </c>
      <c r="AR241" s="110">
        <v>4632.6500000000005</v>
      </c>
      <c r="AS241" s="110">
        <v>0</v>
      </c>
      <c r="AT241" s="110">
        <v>0</v>
      </c>
      <c r="AU241" s="110">
        <v>0</v>
      </c>
      <c r="AV241" s="110">
        <v>0</v>
      </c>
      <c r="AW241" s="110">
        <v>0</v>
      </c>
      <c r="AX241" s="110">
        <v>0</v>
      </c>
      <c r="AY241" s="110">
        <v>0</v>
      </c>
      <c r="AZ241" s="110">
        <v>0</v>
      </c>
      <c r="BA241" s="110">
        <v>0</v>
      </c>
    </row>
    <row r="242" spans="1:53" s="102" customFormat="1" outlineLevel="2">
      <c r="A242" s="102" t="s">
        <v>735</v>
      </c>
      <c r="B242" s="103" t="s">
        <v>736</v>
      </c>
      <c r="C242" s="104" t="s">
        <v>737</v>
      </c>
      <c r="D242" s="298"/>
      <c r="E242" s="299"/>
      <c r="F242" s="105">
        <v>2252.52</v>
      </c>
      <c r="G242" s="105">
        <v>2063.06</v>
      </c>
      <c r="H242" s="106">
        <f t="shared" si="58"/>
        <v>189.46000000000004</v>
      </c>
      <c r="I242" s="300">
        <f t="shared" si="59"/>
        <v>9.1834459492210627E-2</v>
      </c>
      <c r="J242" s="107"/>
      <c r="K242" s="105">
        <v>6030.84</v>
      </c>
      <c r="L242" s="105">
        <v>8247.0400000000009</v>
      </c>
      <c r="M242" s="106">
        <f t="shared" si="60"/>
        <v>-2216.2000000000007</v>
      </c>
      <c r="N242" s="300">
        <f t="shared" si="61"/>
        <v>-0.26872671891975791</v>
      </c>
      <c r="O242" s="301"/>
      <c r="P242" s="107"/>
      <c r="Q242" s="105">
        <v>6030.84</v>
      </c>
      <c r="R242" s="105">
        <v>8247.0400000000009</v>
      </c>
      <c r="S242" s="106">
        <f t="shared" si="62"/>
        <v>-2216.2000000000007</v>
      </c>
      <c r="T242" s="300">
        <f t="shared" si="63"/>
        <v>-0.26872671891975791</v>
      </c>
      <c r="U242" s="107"/>
      <c r="V242" s="105">
        <v>22261.989999999998</v>
      </c>
      <c r="W242" s="105">
        <v>26300.010000000002</v>
      </c>
      <c r="X242" s="106">
        <f t="shared" si="64"/>
        <v>-4038.0200000000041</v>
      </c>
      <c r="Y242" s="300">
        <f t="shared" si="65"/>
        <v>-0.15353682375025726</v>
      </c>
      <c r="Z242" s="302"/>
      <c r="AA242" s="108">
        <v>53.54</v>
      </c>
      <c r="AB242" s="109"/>
      <c r="AC242" s="110">
        <v>4173.71</v>
      </c>
      <c r="AD242" s="110">
        <v>2010.27</v>
      </c>
      <c r="AE242" s="110">
        <v>2063.06</v>
      </c>
      <c r="AF242" s="110">
        <v>42.57</v>
      </c>
      <c r="AG242" s="110">
        <v>2338.2000000000003</v>
      </c>
      <c r="AH242" s="110">
        <v>4212.49</v>
      </c>
      <c r="AI242" s="110">
        <v>2228.1</v>
      </c>
      <c r="AJ242" s="110">
        <v>1909.8600000000001</v>
      </c>
      <c r="AK242" s="110">
        <v>1770.05</v>
      </c>
      <c r="AL242" s="110">
        <v>1850.8700000000001</v>
      </c>
      <c r="AM242" s="110">
        <v>41.34</v>
      </c>
      <c r="AN242" s="110">
        <v>1837.67</v>
      </c>
      <c r="AO242" s="109"/>
      <c r="AP242" s="110">
        <v>3708.66</v>
      </c>
      <c r="AQ242" s="110">
        <v>69.66</v>
      </c>
      <c r="AR242" s="110">
        <v>2252.52</v>
      </c>
      <c r="AS242" s="110">
        <v>0</v>
      </c>
      <c r="AT242" s="110">
        <v>0</v>
      </c>
      <c r="AU242" s="110">
        <v>0</v>
      </c>
      <c r="AV242" s="110">
        <v>0</v>
      </c>
      <c r="AW242" s="110">
        <v>0</v>
      </c>
      <c r="AX242" s="110">
        <v>0</v>
      </c>
      <c r="AY242" s="110">
        <v>0</v>
      </c>
      <c r="AZ242" s="110">
        <v>0</v>
      </c>
      <c r="BA242" s="110">
        <v>0</v>
      </c>
    </row>
    <row r="243" spans="1:53" s="102" customFormat="1" outlineLevel="2">
      <c r="A243" s="102" t="s">
        <v>738</v>
      </c>
      <c r="B243" s="103" t="s">
        <v>739</v>
      </c>
      <c r="C243" s="104" t="s">
        <v>740</v>
      </c>
      <c r="D243" s="298"/>
      <c r="E243" s="299"/>
      <c r="F243" s="105">
        <v>44237.19</v>
      </c>
      <c r="G243" s="105">
        <v>82636.12</v>
      </c>
      <c r="H243" s="106">
        <f t="shared" si="58"/>
        <v>-38398.929999999993</v>
      </c>
      <c r="I243" s="300">
        <f t="shared" si="59"/>
        <v>-0.46467489035061177</v>
      </c>
      <c r="J243" s="107"/>
      <c r="K243" s="105">
        <v>124585.67</v>
      </c>
      <c r="L243" s="105">
        <v>179040.62</v>
      </c>
      <c r="M243" s="106">
        <f t="shared" si="60"/>
        <v>-54454.95</v>
      </c>
      <c r="N243" s="300">
        <f t="shared" si="61"/>
        <v>-0.30414857812713114</v>
      </c>
      <c r="O243" s="301"/>
      <c r="P243" s="107"/>
      <c r="Q243" s="105">
        <v>124585.67</v>
      </c>
      <c r="R243" s="105">
        <v>179040.62</v>
      </c>
      <c r="S243" s="106">
        <f t="shared" si="62"/>
        <v>-54454.95</v>
      </c>
      <c r="T243" s="300">
        <f t="shared" si="63"/>
        <v>-0.30414857812713114</v>
      </c>
      <c r="U243" s="107"/>
      <c r="V243" s="105">
        <v>589247.97</v>
      </c>
      <c r="W243" s="105">
        <v>897457.47</v>
      </c>
      <c r="X243" s="106">
        <f t="shared" si="64"/>
        <v>-308209.5</v>
      </c>
      <c r="Y243" s="300">
        <f t="shared" si="65"/>
        <v>-0.34342518760248331</v>
      </c>
      <c r="Z243" s="302"/>
      <c r="AA243" s="108">
        <v>61496.15</v>
      </c>
      <c r="AB243" s="109"/>
      <c r="AC243" s="110">
        <v>34686.03</v>
      </c>
      <c r="AD243" s="110">
        <v>61718.47</v>
      </c>
      <c r="AE243" s="110">
        <v>82636.12</v>
      </c>
      <c r="AF243" s="110">
        <v>66091.27</v>
      </c>
      <c r="AG243" s="110">
        <v>57475.49</v>
      </c>
      <c r="AH243" s="110">
        <v>70221.77</v>
      </c>
      <c r="AI243" s="110">
        <v>36065.270000000004</v>
      </c>
      <c r="AJ243" s="110">
        <v>27726.639999999999</v>
      </c>
      <c r="AK243" s="110">
        <v>59616.590000000004</v>
      </c>
      <c r="AL243" s="110">
        <v>56528.43</v>
      </c>
      <c r="AM243" s="110">
        <v>59781.760000000002</v>
      </c>
      <c r="AN243" s="110">
        <v>31155.08</v>
      </c>
      <c r="AO243" s="109"/>
      <c r="AP243" s="110">
        <v>45989.919999999998</v>
      </c>
      <c r="AQ243" s="110">
        <v>34358.559999999998</v>
      </c>
      <c r="AR243" s="110">
        <v>44237.19</v>
      </c>
      <c r="AS243" s="110">
        <v>-10460.790000000001</v>
      </c>
      <c r="AT243" s="110">
        <v>0</v>
      </c>
      <c r="AU243" s="110">
        <v>0</v>
      </c>
      <c r="AV243" s="110">
        <v>0</v>
      </c>
      <c r="AW243" s="110">
        <v>0</v>
      </c>
      <c r="AX243" s="110">
        <v>0</v>
      </c>
      <c r="AY243" s="110">
        <v>0</v>
      </c>
      <c r="AZ243" s="110">
        <v>0</v>
      </c>
      <c r="BA243" s="110">
        <v>0</v>
      </c>
    </row>
    <row r="244" spans="1:53" s="102" customFormat="1" outlineLevel="2">
      <c r="A244" s="102" t="s">
        <v>741</v>
      </c>
      <c r="B244" s="103" t="s">
        <v>742</v>
      </c>
      <c r="C244" s="104" t="s">
        <v>743</v>
      </c>
      <c r="D244" s="298"/>
      <c r="E244" s="299"/>
      <c r="F244" s="105">
        <v>30872.41</v>
      </c>
      <c r="G244" s="105">
        <v>26597.56</v>
      </c>
      <c r="H244" s="106">
        <f t="shared" si="58"/>
        <v>4274.8499999999985</v>
      </c>
      <c r="I244" s="300">
        <f t="shared" si="59"/>
        <v>0.16072338966431501</v>
      </c>
      <c r="J244" s="107"/>
      <c r="K244" s="105">
        <v>98004</v>
      </c>
      <c r="L244" s="105">
        <v>81710.77</v>
      </c>
      <c r="M244" s="106">
        <f t="shared" si="60"/>
        <v>16293.229999999996</v>
      </c>
      <c r="N244" s="300">
        <f t="shared" si="61"/>
        <v>0.1994012539595453</v>
      </c>
      <c r="O244" s="301"/>
      <c r="P244" s="107"/>
      <c r="Q244" s="105">
        <v>98004</v>
      </c>
      <c r="R244" s="105">
        <v>81710.77</v>
      </c>
      <c r="S244" s="106">
        <f t="shared" si="62"/>
        <v>16293.229999999996</v>
      </c>
      <c r="T244" s="300">
        <f t="shared" si="63"/>
        <v>0.1994012539595453</v>
      </c>
      <c r="U244" s="107"/>
      <c r="V244" s="105">
        <v>356733.87</v>
      </c>
      <c r="W244" s="105">
        <v>297628.05</v>
      </c>
      <c r="X244" s="106">
        <f t="shared" si="64"/>
        <v>59105.820000000007</v>
      </c>
      <c r="Y244" s="300">
        <f t="shared" si="65"/>
        <v>0.19858954826334416</v>
      </c>
      <c r="Z244" s="302"/>
      <c r="AA244" s="108">
        <v>26910.05</v>
      </c>
      <c r="AB244" s="109"/>
      <c r="AC244" s="110">
        <v>28926.760000000002</v>
      </c>
      <c r="AD244" s="110">
        <v>26186.45</v>
      </c>
      <c r="AE244" s="110">
        <v>26597.56</v>
      </c>
      <c r="AF244" s="110">
        <v>29071.8</v>
      </c>
      <c r="AG244" s="110">
        <v>25507.7</v>
      </c>
      <c r="AH244" s="110">
        <v>28959.41</v>
      </c>
      <c r="AI244" s="110">
        <v>28785.260000000002</v>
      </c>
      <c r="AJ244" s="110">
        <v>30385.15</v>
      </c>
      <c r="AK244" s="110">
        <v>25203.850000000002</v>
      </c>
      <c r="AL244" s="110">
        <v>28613</v>
      </c>
      <c r="AM244" s="110">
        <v>27439.05</v>
      </c>
      <c r="AN244" s="110">
        <v>34764.65</v>
      </c>
      <c r="AO244" s="109"/>
      <c r="AP244" s="110">
        <v>32029.7</v>
      </c>
      <c r="AQ244" s="110">
        <v>35101.89</v>
      </c>
      <c r="AR244" s="110">
        <v>30872.41</v>
      </c>
      <c r="AS244" s="110">
        <v>0</v>
      </c>
      <c r="AT244" s="110">
        <v>0</v>
      </c>
      <c r="AU244" s="110">
        <v>0</v>
      </c>
      <c r="AV244" s="110">
        <v>0</v>
      </c>
      <c r="AW244" s="110">
        <v>0</v>
      </c>
      <c r="AX244" s="110">
        <v>0</v>
      </c>
      <c r="AY244" s="110">
        <v>0</v>
      </c>
      <c r="AZ244" s="110">
        <v>0</v>
      </c>
      <c r="BA244" s="110">
        <v>0</v>
      </c>
    </row>
    <row r="245" spans="1:53" s="102" customFormat="1" outlineLevel="2">
      <c r="A245" s="102" t="s">
        <v>744</v>
      </c>
      <c r="B245" s="103" t="s">
        <v>745</v>
      </c>
      <c r="C245" s="104" t="s">
        <v>746</v>
      </c>
      <c r="D245" s="298"/>
      <c r="E245" s="299"/>
      <c r="F245" s="105">
        <v>3443.21</v>
      </c>
      <c r="G245" s="105">
        <v>6815.84</v>
      </c>
      <c r="H245" s="106">
        <f t="shared" si="58"/>
        <v>-3372.63</v>
      </c>
      <c r="I245" s="300">
        <f t="shared" si="59"/>
        <v>-0.49482235498485883</v>
      </c>
      <c r="J245" s="107"/>
      <c r="K245" s="105">
        <v>10380.41</v>
      </c>
      <c r="L245" s="105">
        <v>19263.560000000001</v>
      </c>
      <c r="M245" s="106">
        <f t="shared" si="60"/>
        <v>-8883.1500000000015</v>
      </c>
      <c r="N245" s="300">
        <f t="shared" si="61"/>
        <v>-0.46113750521710428</v>
      </c>
      <c r="O245" s="301"/>
      <c r="P245" s="107"/>
      <c r="Q245" s="105">
        <v>10380.41</v>
      </c>
      <c r="R245" s="105">
        <v>19263.560000000001</v>
      </c>
      <c r="S245" s="106">
        <f t="shared" si="62"/>
        <v>-8883.1500000000015</v>
      </c>
      <c r="T245" s="300">
        <f t="shared" si="63"/>
        <v>-0.46113750521710428</v>
      </c>
      <c r="U245" s="107"/>
      <c r="V245" s="105">
        <v>38194.82</v>
      </c>
      <c r="W245" s="105">
        <v>73411.460000000006</v>
      </c>
      <c r="X245" s="106">
        <f t="shared" si="64"/>
        <v>-35216.640000000007</v>
      </c>
      <c r="Y245" s="300">
        <f t="shared" si="65"/>
        <v>-0.47971583728208106</v>
      </c>
      <c r="Z245" s="302"/>
      <c r="AA245" s="108">
        <v>4467.49</v>
      </c>
      <c r="AB245" s="109"/>
      <c r="AC245" s="110">
        <v>6988.2</v>
      </c>
      <c r="AD245" s="110">
        <v>5459.52</v>
      </c>
      <c r="AE245" s="110">
        <v>6815.84</v>
      </c>
      <c r="AF245" s="110">
        <v>4775.75</v>
      </c>
      <c r="AG245" s="110">
        <v>4416.43</v>
      </c>
      <c r="AH245" s="110">
        <v>3000.7000000000003</v>
      </c>
      <c r="AI245" s="110">
        <v>4028.11</v>
      </c>
      <c r="AJ245" s="110">
        <v>3129.38</v>
      </c>
      <c r="AK245" s="110">
        <v>2221.14</v>
      </c>
      <c r="AL245" s="110">
        <v>1824.55</v>
      </c>
      <c r="AM245" s="110">
        <v>1167.19</v>
      </c>
      <c r="AN245" s="110">
        <v>3251.16</v>
      </c>
      <c r="AO245" s="109"/>
      <c r="AP245" s="110">
        <v>3764.39</v>
      </c>
      <c r="AQ245" s="110">
        <v>3172.81</v>
      </c>
      <c r="AR245" s="110">
        <v>3443.21</v>
      </c>
      <c r="AS245" s="110">
        <v>-953.12</v>
      </c>
      <c r="AT245" s="110">
        <v>0</v>
      </c>
      <c r="AU245" s="110">
        <v>0</v>
      </c>
      <c r="AV245" s="110">
        <v>0</v>
      </c>
      <c r="AW245" s="110">
        <v>0</v>
      </c>
      <c r="AX245" s="110">
        <v>0</v>
      </c>
      <c r="AY245" s="110">
        <v>0</v>
      </c>
      <c r="AZ245" s="110">
        <v>0</v>
      </c>
      <c r="BA245" s="110">
        <v>0</v>
      </c>
    </row>
    <row r="246" spans="1:53" s="102" customFormat="1" outlineLevel="2">
      <c r="A246" s="102" t="s">
        <v>1710</v>
      </c>
      <c r="B246" s="103" t="s">
        <v>1711</v>
      </c>
      <c r="C246" s="104" t="s">
        <v>1712</v>
      </c>
      <c r="D246" s="298"/>
      <c r="E246" s="299"/>
      <c r="F246" s="105">
        <v>-419836.05</v>
      </c>
      <c r="G246" s="105">
        <v>865638.72</v>
      </c>
      <c r="H246" s="106">
        <f t="shared" si="58"/>
        <v>-1285474.77</v>
      </c>
      <c r="I246" s="300">
        <f t="shared" si="59"/>
        <v>-1.4850014680489338</v>
      </c>
      <c r="J246" s="107"/>
      <c r="K246" s="105">
        <v>285568.09000000003</v>
      </c>
      <c r="L246" s="105">
        <v>865638.72</v>
      </c>
      <c r="M246" s="106">
        <f t="shared" si="60"/>
        <v>-580070.62999999989</v>
      </c>
      <c r="N246" s="300">
        <f t="shared" si="61"/>
        <v>-0.67010707423069049</v>
      </c>
      <c r="O246" s="301"/>
      <c r="P246" s="107"/>
      <c r="Q246" s="105">
        <v>285568.09000000003</v>
      </c>
      <c r="R246" s="105">
        <v>865638.72</v>
      </c>
      <c r="S246" s="106">
        <f t="shared" si="62"/>
        <v>-580070.62999999989</v>
      </c>
      <c r="T246" s="300">
        <f t="shared" si="63"/>
        <v>-0.67010707423069049</v>
      </c>
      <c r="U246" s="107"/>
      <c r="V246" s="105">
        <v>2164206.29</v>
      </c>
      <c r="W246" s="105">
        <v>865638.72</v>
      </c>
      <c r="X246" s="106">
        <f t="shared" si="64"/>
        <v>1298567.57</v>
      </c>
      <c r="Y246" s="300">
        <f t="shared" si="65"/>
        <v>1.5001264846378408</v>
      </c>
      <c r="Z246" s="302"/>
      <c r="AA246" s="108">
        <v>0</v>
      </c>
      <c r="AB246" s="109"/>
      <c r="AC246" s="110">
        <v>0</v>
      </c>
      <c r="AD246" s="110">
        <v>0</v>
      </c>
      <c r="AE246" s="110">
        <v>865638.72</v>
      </c>
      <c r="AF246" s="110">
        <v>27907.98</v>
      </c>
      <c r="AG246" s="110">
        <v>1097.17</v>
      </c>
      <c r="AH246" s="110">
        <v>308150.3</v>
      </c>
      <c r="AI246" s="110">
        <v>291825.7</v>
      </c>
      <c r="AJ246" s="110">
        <v>199558.09</v>
      </c>
      <c r="AK246" s="110">
        <v>206540.34</v>
      </c>
      <c r="AL246" s="110">
        <v>160122.26</v>
      </c>
      <c r="AM246" s="110">
        <v>302199.63</v>
      </c>
      <c r="AN246" s="110">
        <v>381236.73</v>
      </c>
      <c r="AO246" s="109"/>
      <c r="AP246" s="110">
        <v>539253.14</v>
      </c>
      <c r="AQ246" s="110">
        <v>166151</v>
      </c>
      <c r="AR246" s="110">
        <v>-419836.05</v>
      </c>
      <c r="AS246" s="110">
        <v>0</v>
      </c>
      <c r="AT246" s="110">
        <v>0</v>
      </c>
      <c r="AU246" s="110">
        <v>0</v>
      </c>
      <c r="AV246" s="110">
        <v>0</v>
      </c>
      <c r="AW246" s="110">
        <v>0</v>
      </c>
      <c r="AX246" s="110">
        <v>0</v>
      </c>
      <c r="AY246" s="110">
        <v>0</v>
      </c>
      <c r="AZ246" s="110">
        <v>0</v>
      </c>
      <c r="BA246" s="110">
        <v>0</v>
      </c>
    </row>
    <row r="247" spans="1:53" s="102" customFormat="1" outlineLevel="2">
      <c r="A247" s="102" t="s">
        <v>747</v>
      </c>
      <c r="B247" s="103" t="s">
        <v>748</v>
      </c>
      <c r="C247" s="104" t="s">
        <v>749</v>
      </c>
      <c r="D247" s="298"/>
      <c r="E247" s="299"/>
      <c r="F247" s="105">
        <v>3257.1</v>
      </c>
      <c r="G247" s="105">
        <v>-1051450.6499999999</v>
      </c>
      <c r="H247" s="106">
        <f t="shared" si="58"/>
        <v>1054707.75</v>
      </c>
      <c r="I247" s="300">
        <f t="shared" si="59"/>
        <v>1.0030977202781701</v>
      </c>
      <c r="J247" s="107"/>
      <c r="K247" s="105">
        <v>5029.78</v>
      </c>
      <c r="L247" s="105">
        <v>3053.62</v>
      </c>
      <c r="M247" s="106">
        <f t="shared" si="60"/>
        <v>1976.1599999999999</v>
      </c>
      <c r="N247" s="300">
        <f t="shared" si="61"/>
        <v>0.64715321487283939</v>
      </c>
      <c r="O247" s="301"/>
      <c r="P247" s="107"/>
      <c r="Q247" s="105">
        <v>5029.78</v>
      </c>
      <c r="R247" s="105">
        <v>3053.62</v>
      </c>
      <c r="S247" s="106">
        <f t="shared" si="62"/>
        <v>1976.1599999999999</v>
      </c>
      <c r="T247" s="300">
        <f t="shared" si="63"/>
        <v>0.64715321487283939</v>
      </c>
      <c r="U247" s="107"/>
      <c r="V247" s="105">
        <v>557680.17000000004</v>
      </c>
      <c r="W247" s="105">
        <v>25687.75</v>
      </c>
      <c r="X247" s="106">
        <f t="shared" si="64"/>
        <v>531992.42000000004</v>
      </c>
      <c r="Y247" s="300" t="str">
        <f t="shared" si="65"/>
        <v>N.M.</v>
      </c>
      <c r="Z247" s="302"/>
      <c r="AA247" s="108">
        <v>1929.63</v>
      </c>
      <c r="AB247" s="109"/>
      <c r="AC247" s="110">
        <v>-1601.3600000000001</v>
      </c>
      <c r="AD247" s="110">
        <v>1056105.6299999999</v>
      </c>
      <c r="AE247" s="110">
        <v>-1051450.6499999999</v>
      </c>
      <c r="AF247" s="110">
        <v>-1178.57</v>
      </c>
      <c r="AG247" s="110">
        <v>84674.150000000009</v>
      </c>
      <c r="AH247" s="110">
        <v>11545.93</v>
      </c>
      <c r="AI247" s="110">
        <v>48980.42</v>
      </c>
      <c r="AJ247" s="110">
        <v>-6105.75</v>
      </c>
      <c r="AK247" s="110">
        <v>8068.9400000000005</v>
      </c>
      <c r="AL247" s="110">
        <v>-1270.27</v>
      </c>
      <c r="AM247" s="110">
        <v>468644.16000000003</v>
      </c>
      <c r="AN247" s="110">
        <v>-60708.62</v>
      </c>
      <c r="AO247" s="109"/>
      <c r="AP247" s="110">
        <v>-5261.88</v>
      </c>
      <c r="AQ247" s="110">
        <v>7034.56</v>
      </c>
      <c r="AR247" s="110">
        <v>3257.1</v>
      </c>
      <c r="AS247" s="110">
        <v>-7794.3</v>
      </c>
      <c r="AT247" s="110">
        <v>0</v>
      </c>
      <c r="AU247" s="110">
        <v>0</v>
      </c>
      <c r="AV247" s="110">
        <v>0</v>
      </c>
      <c r="AW247" s="110">
        <v>0</v>
      </c>
      <c r="AX247" s="110">
        <v>0</v>
      </c>
      <c r="AY247" s="110">
        <v>0</v>
      </c>
      <c r="AZ247" s="110">
        <v>0</v>
      </c>
      <c r="BA247" s="110">
        <v>0</v>
      </c>
    </row>
    <row r="248" spans="1:53" s="102" customFormat="1" outlineLevel="2">
      <c r="A248" s="102" t="s">
        <v>750</v>
      </c>
      <c r="B248" s="103" t="s">
        <v>751</v>
      </c>
      <c r="C248" s="104" t="s">
        <v>752</v>
      </c>
      <c r="D248" s="298"/>
      <c r="E248" s="299"/>
      <c r="F248" s="105">
        <v>8771.76</v>
      </c>
      <c r="G248" s="105">
        <v>4479.07</v>
      </c>
      <c r="H248" s="106">
        <f t="shared" si="58"/>
        <v>4292.6900000000005</v>
      </c>
      <c r="I248" s="300">
        <f t="shared" si="59"/>
        <v>0.95838868336507377</v>
      </c>
      <c r="J248" s="107"/>
      <c r="K248" s="105">
        <v>12294.53</v>
      </c>
      <c r="L248" s="105">
        <v>6716.51</v>
      </c>
      <c r="M248" s="106">
        <f t="shared" si="60"/>
        <v>5578.02</v>
      </c>
      <c r="N248" s="300">
        <f t="shared" si="61"/>
        <v>0.83049381300705283</v>
      </c>
      <c r="O248" s="301"/>
      <c r="P248" s="107"/>
      <c r="Q248" s="105">
        <v>12294.53</v>
      </c>
      <c r="R248" s="105">
        <v>6716.51</v>
      </c>
      <c r="S248" s="106">
        <f t="shared" si="62"/>
        <v>5578.02</v>
      </c>
      <c r="T248" s="300">
        <f t="shared" si="63"/>
        <v>0.83049381300705283</v>
      </c>
      <c r="U248" s="107"/>
      <c r="V248" s="105">
        <v>23110.09</v>
      </c>
      <c r="W248" s="105">
        <v>26186.5</v>
      </c>
      <c r="X248" s="106">
        <f t="shared" si="64"/>
        <v>-3076.41</v>
      </c>
      <c r="Y248" s="300">
        <f t="shared" si="65"/>
        <v>-0.1174807629885628</v>
      </c>
      <c r="Z248" s="302"/>
      <c r="AA248" s="108">
        <v>846.11</v>
      </c>
      <c r="AB248" s="109"/>
      <c r="AC248" s="110">
        <v>1185.3900000000001</v>
      </c>
      <c r="AD248" s="110">
        <v>1052.05</v>
      </c>
      <c r="AE248" s="110">
        <v>4479.07</v>
      </c>
      <c r="AF248" s="110">
        <v>1252.6400000000001</v>
      </c>
      <c r="AG248" s="110">
        <v>1049.3499999999999</v>
      </c>
      <c r="AH248" s="110">
        <v>1196.7</v>
      </c>
      <c r="AI248" s="110">
        <v>1252.54</v>
      </c>
      <c r="AJ248" s="110">
        <v>1011.21</v>
      </c>
      <c r="AK248" s="110">
        <v>1135.07</v>
      </c>
      <c r="AL248" s="110">
        <v>1038.3499999999999</v>
      </c>
      <c r="AM248" s="110">
        <v>879.92000000000007</v>
      </c>
      <c r="AN248" s="110">
        <v>1999.78</v>
      </c>
      <c r="AO248" s="109"/>
      <c r="AP248" s="110">
        <v>1934.16</v>
      </c>
      <c r="AQ248" s="110">
        <v>1588.6100000000001</v>
      </c>
      <c r="AR248" s="110">
        <v>8771.76</v>
      </c>
      <c r="AS248" s="110">
        <v>0</v>
      </c>
      <c r="AT248" s="110">
        <v>0</v>
      </c>
      <c r="AU248" s="110">
        <v>0</v>
      </c>
      <c r="AV248" s="110">
        <v>0</v>
      </c>
      <c r="AW248" s="110">
        <v>0</v>
      </c>
      <c r="AX248" s="110">
        <v>0</v>
      </c>
      <c r="AY248" s="110">
        <v>0</v>
      </c>
      <c r="AZ248" s="110">
        <v>0</v>
      </c>
      <c r="BA248" s="110">
        <v>0</v>
      </c>
    </row>
    <row r="249" spans="1:53" outlineLevel="1">
      <c r="A249" s="111" t="s">
        <v>753</v>
      </c>
      <c r="B249" s="331"/>
      <c r="C249" s="332" t="s">
        <v>754</v>
      </c>
      <c r="D249" s="342"/>
      <c r="E249" s="342"/>
      <c r="F249" s="333">
        <v>57252.200000000026</v>
      </c>
      <c r="G249" s="333">
        <v>307146.96000000014</v>
      </c>
      <c r="H249" s="133">
        <f t="shared" si="58"/>
        <v>-249894.76000000013</v>
      </c>
      <c r="I249" s="138">
        <f t="shared" si="59"/>
        <v>-0.81359997832959186</v>
      </c>
      <c r="J249" s="157"/>
      <c r="K249" s="333">
        <v>1716420.7600000002</v>
      </c>
      <c r="L249" s="333">
        <v>2277354.84</v>
      </c>
      <c r="M249" s="133">
        <f t="shared" si="60"/>
        <v>-560934.07999999961</v>
      </c>
      <c r="N249" s="137">
        <f t="shared" si="61"/>
        <v>-0.24630947718274754</v>
      </c>
      <c r="O249" s="344"/>
      <c r="P249" s="344"/>
      <c r="Q249" s="333">
        <v>1716420.7600000002</v>
      </c>
      <c r="R249" s="333">
        <v>2277354.84</v>
      </c>
      <c r="S249" s="133">
        <f t="shared" si="62"/>
        <v>-560934.07999999961</v>
      </c>
      <c r="T249" s="138">
        <f t="shared" si="63"/>
        <v>-0.24630947718274754</v>
      </c>
      <c r="U249" s="344"/>
      <c r="V249" s="333">
        <v>8412290.4999999981</v>
      </c>
      <c r="W249" s="333">
        <v>6758763.0999999987</v>
      </c>
      <c r="X249" s="133">
        <f t="shared" si="64"/>
        <v>1653527.3999999994</v>
      </c>
      <c r="Y249" s="137">
        <f t="shared" si="65"/>
        <v>0.24464940929798232</v>
      </c>
      <c r="Z249" s="111"/>
      <c r="AA249" s="139">
        <v>466854.49</v>
      </c>
      <c r="AB249" s="346"/>
      <c r="AC249" s="333">
        <v>457010.91000000009</v>
      </c>
      <c r="AD249" s="333">
        <v>1513196.97</v>
      </c>
      <c r="AE249" s="333">
        <v>307146.96000000014</v>
      </c>
      <c r="AF249" s="333">
        <v>511817.21</v>
      </c>
      <c r="AG249" s="333">
        <v>533956.05000000005</v>
      </c>
      <c r="AH249" s="333">
        <v>799873.87</v>
      </c>
      <c r="AI249" s="333">
        <v>806016.55999999994</v>
      </c>
      <c r="AJ249" s="333">
        <v>674543.34</v>
      </c>
      <c r="AK249" s="333">
        <v>680888.2799999998</v>
      </c>
      <c r="AL249" s="333">
        <v>581047.84</v>
      </c>
      <c r="AM249" s="333">
        <v>1255878.3900000001</v>
      </c>
      <c r="AN249" s="333">
        <v>851848.20000000007</v>
      </c>
      <c r="AO249" s="346"/>
      <c r="AP249" s="333">
        <v>1013100.1200000001</v>
      </c>
      <c r="AQ249" s="333">
        <v>646068.44000000006</v>
      </c>
      <c r="AR249" s="333">
        <v>57252.200000000026</v>
      </c>
      <c r="AS249" s="333">
        <v>-29078.73</v>
      </c>
      <c r="AT249" s="333">
        <v>0</v>
      </c>
      <c r="AU249" s="333">
        <v>0</v>
      </c>
      <c r="AV249" s="333">
        <v>0</v>
      </c>
      <c r="AW249" s="333">
        <v>0</v>
      </c>
      <c r="AX249" s="333">
        <v>0</v>
      </c>
      <c r="AY249" s="333">
        <v>0</v>
      </c>
      <c r="AZ249" s="333">
        <v>0</v>
      </c>
      <c r="BA249" s="333">
        <v>0</v>
      </c>
    </row>
    <row r="250" spans="1:53" ht="0.75" customHeight="1" outlineLevel="2">
      <c r="B250" s="331"/>
      <c r="C250" s="332"/>
      <c r="D250" s="342"/>
      <c r="E250" s="342"/>
      <c r="F250" s="333"/>
      <c r="G250" s="333"/>
      <c r="H250" s="133"/>
      <c r="I250" s="138"/>
      <c r="J250" s="157"/>
      <c r="K250" s="333"/>
      <c r="L250" s="333"/>
      <c r="M250" s="133"/>
      <c r="N250" s="137"/>
      <c r="O250" s="344"/>
      <c r="P250" s="344"/>
      <c r="Q250" s="333"/>
      <c r="R250" s="333"/>
      <c r="S250" s="133"/>
      <c r="T250" s="138"/>
      <c r="U250" s="344"/>
      <c r="V250" s="333"/>
      <c r="W250" s="333"/>
      <c r="X250" s="133"/>
      <c r="Y250" s="137"/>
      <c r="Z250" s="111"/>
      <c r="AA250" s="139"/>
      <c r="AB250" s="346"/>
      <c r="AC250" s="333"/>
      <c r="AD250" s="333"/>
      <c r="AE250" s="333"/>
      <c r="AF250" s="333"/>
      <c r="AG250" s="333"/>
      <c r="AH250" s="333"/>
      <c r="AI250" s="333"/>
      <c r="AJ250" s="333"/>
      <c r="AK250" s="333"/>
      <c r="AL250" s="333"/>
      <c r="AM250" s="333"/>
      <c r="AN250" s="333"/>
      <c r="AO250" s="346"/>
      <c r="AP250" s="333"/>
      <c r="AQ250" s="333"/>
      <c r="AR250" s="333"/>
      <c r="AS250" s="333"/>
      <c r="AT250" s="333"/>
      <c r="AU250" s="333"/>
      <c r="AV250" s="333"/>
      <c r="AW250" s="333"/>
      <c r="AX250" s="333"/>
      <c r="AY250" s="333"/>
      <c r="AZ250" s="333"/>
      <c r="BA250" s="333"/>
    </row>
    <row r="251" spans="1:53" s="102" customFormat="1" outlineLevel="2">
      <c r="A251" s="102" t="s">
        <v>755</v>
      </c>
      <c r="B251" s="103" t="s">
        <v>756</v>
      </c>
      <c r="C251" s="104" t="s">
        <v>757</v>
      </c>
      <c r="D251" s="298"/>
      <c r="E251" s="299"/>
      <c r="F251" s="105">
        <v>1505.32</v>
      </c>
      <c r="G251" s="105">
        <v>2234.4</v>
      </c>
      <c r="H251" s="106">
        <f t="shared" ref="H251:H262" si="66">+F251-G251</f>
        <v>-729.08000000000015</v>
      </c>
      <c r="I251" s="300">
        <f t="shared" ref="I251:I262" si="67">IF(G251&lt;0,IF(H251=0,0,IF(OR(G251=0,F251=0),"N.M.",IF(ABS(H251/G251)&gt;=10,"N.M.",H251/(-G251)))),IF(H251=0,0,IF(OR(G251=0,F251=0),"N.M.",IF(ABS(H251/G251)&gt;=10,"N.M.",H251/G251))))</f>
        <v>-0.32629788757608313</v>
      </c>
      <c r="J251" s="107"/>
      <c r="K251" s="105">
        <v>4799.96</v>
      </c>
      <c r="L251" s="105">
        <v>147521.28</v>
      </c>
      <c r="M251" s="106">
        <f t="shared" ref="M251:M262" si="68">+K251-L251</f>
        <v>-142721.32</v>
      </c>
      <c r="N251" s="300">
        <f t="shared" ref="N251:N262" si="69">IF(L251&lt;0,IF(M251=0,0,IF(OR(L251=0,K251=0),"N.M.",IF(ABS(M251/L251)&gt;=10,"N.M.",M251/(-L251)))),IF(M251=0,0,IF(OR(L251=0,K251=0),"N.M.",IF(ABS(M251/L251)&gt;=10,"N.M.",M251/L251))))</f>
        <v>-0.96746259251546629</v>
      </c>
      <c r="O251" s="301"/>
      <c r="P251" s="107"/>
      <c r="Q251" s="105">
        <v>4799.96</v>
      </c>
      <c r="R251" s="105">
        <v>147521.28</v>
      </c>
      <c r="S251" s="106">
        <f t="shared" ref="S251:S262" si="70">+Q251-R251</f>
        <v>-142721.32</v>
      </c>
      <c r="T251" s="300">
        <f t="shared" ref="T251:T262" si="71">IF(R251&lt;0,IF(S251=0,0,IF(OR(R251=0,Q251=0),"N.M.",IF(ABS(S251/R251)&gt;=10,"N.M.",S251/(-R251)))),IF(S251=0,0,IF(OR(R251=0,Q251=0),"N.M.",IF(ABS(S251/R251)&gt;=10,"N.M.",S251/R251))))</f>
        <v>-0.96746259251546629</v>
      </c>
      <c r="U251" s="107"/>
      <c r="V251" s="105">
        <v>21931.86</v>
      </c>
      <c r="W251" s="105">
        <v>180005.75</v>
      </c>
      <c r="X251" s="106">
        <f t="shared" ref="X251:X262" si="72">+V251-W251</f>
        <v>-158073.89000000001</v>
      </c>
      <c r="Y251" s="300">
        <f t="shared" ref="Y251:Y262" si="73">IF(W251&lt;0,IF(X251=0,0,IF(OR(W251=0,V251=0),"N.M.",IF(ABS(X251/W251)&gt;=10,"N.M.",X251/(-W251)))),IF(X251=0,0,IF(OR(W251=0,V251=0),"N.M.",IF(ABS(X251/W251)&gt;=10,"N.M.",X251/W251))))</f>
        <v>-0.87816022543724304</v>
      </c>
      <c r="Z251" s="302"/>
      <c r="AA251" s="108">
        <v>2160.8200000000002</v>
      </c>
      <c r="AB251" s="109"/>
      <c r="AC251" s="110">
        <v>4130.22</v>
      </c>
      <c r="AD251" s="110">
        <v>141156.66</v>
      </c>
      <c r="AE251" s="110">
        <v>2234.4</v>
      </c>
      <c r="AF251" s="110">
        <v>2875.15</v>
      </c>
      <c r="AG251" s="110">
        <v>1963.24</v>
      </c>
      <c r="AH251" s="110">
        <v>3488.75</v>
      </c>
      <c r="AI251" s="110">
        <v>1261.6400000000001</v>
      </c>
      <c r="AJ251" s="110">
        <v>1895.26</v>
      </c>
      <c r="AK251" s="110">
        <v>1230.76</v>
      </c>
      <c r="AL251" s="110">
        <v>1448.1200000000001</v>
      </c>
      <c r="AM251" s="110">
        <v>1374.27</v>
      </c>
      <c r="AN251" s="110">
        <v>1594.71</v>
      </c>
      <c r="AO251" s="109"/>
      <c r="AP251" s="110">
        <v>1451.01</v>
      </c>
      <c r="AQ251" s="110">
        <v>1843.63</v>
      </c>
      <c r="AR251" s="110">
        <v>1505.32</v>
      </c>
      <c r="AS251" s="110">
        <v>0</v>
      </c>
      <c r="AT251" s="110">
        <v>0</v>
      </c>
      <c r="AU251" s="110">
        <v>0</v>
      </c>
      <c r="AV251" s="110">
        <v>0</v>
      </c>
      <c r="AW251" s="110">
        <v>0</v>
      </c>
      <c r="AX251" s="110">
        <v>0</v>
      </c>
      <c r="AY251" s="110">
        <v>0</v>
      </c>
      <c r="AZ251" s="110">
        <v>0</v>
      </c>
      <c r="BA251" s="110">
        <v>0</v>
      </c>
    </row>
    <row r="252" spans="1:53" s="102" customFormat="1" outlineLevel="2">
      <c r="A252" s="102" t="s">
        <v>758</v>
      </c>
      <c r="B252" s="103" t="s">
        <v>759</v>
      </c>
      <c r="C252" s="104" t="s">
        <v>760</v>
      </c>
      <c r="D252" s="298"/>
      <c r="E252" s="299"/>
      <c r="F252" s="105">
        <v>0</v>
      </c>
      <c r="G252" s="105">
        <v>-15.9</v>
      </c>
      <c r="H252" s="106">
        <f t="shared" si="66"/>
        <v>15.9</v>
      </c>
      <c r="I252" s="300" t="str">
        <f t="shared" si="67"/>
        <v>N.M.</v>
      </c>
      <c r="J252" s="107"/>
      <c r="K252" s="105">
        <v>0</v>
      </c>
      <c r="L252" s="105">
        <v>0</v>
      </c>
      <c r="M252" s="106">
        <f t="shared" si="68"/>
        <v>0</v>
      </c>
      <c r="N252" s="300">
        <f t="shared" si="69"/>
        <v>0</v>
      </c>
      <c r="O252" s="301"/>
      <c r="P252" s="107"/>
      <c r="Q252" s="105">
        <v>0</v>
      </c>
      <c r="R252" s="105">
        <v>0</v>
      </c>
      <c r="S252" s="106">
        <f t="shared" si="70"/>
        <v>0</v>
      </c>
      <c r="T252" s="300">
        <f t="shared" si="71"/>
        <v>0</v>
      </c>
      <c r="U252" s="107"/>
      <c r="V252" s="105">
        <v>0</v>
      </c>
      <c r="W252" s="105">
        <v>0</v>
      </c>
      <c r="X252" s="106">
        <f t="shared" si="72"/>
        <v>0</v>
      </c>
      <c r="Y252" s="300">
        <f t="shared" si="73"/>
        <v>0</v>
      </c>
      <c r="Z252" s="302"/>
      <c r="AA252" s="108">
        <v>0</v>
      </c>
      <c r="AB252" s="109"/>
      <c r="AC252" s="110">
        <v>0</v>
      </c>
      <c r="AD252" s="110">
        <v>15.9</v>
      </c>
      <c r="AE252" s="110">
        <v>-15.9</v>
      </c>
      <c r="AF252" s="110">
        <v>0</v>
      </c>
      <c r="AG252" s="110">
        <v>0</v>
      </c>
      <c r="AH252" s="110">
        <v>0</v>
      </c>
      <c r="AI252" s="110">
        <v>0</v>
      </c>
      <c r="AJ252" s="110">
        <v>0</v>
      </c>
      <c r="AK252" s="110">
        <v>0</v>
      </c>
      <c r="AL252" s="110">
        <v>0</v>
      </c>
      <c r="AM252" s="110">
        <v>0</v>
      </c>
      <c r="AN252" s="110">
        <v>0</v>
      </c>
      <c r="AO252" s="109"/>
      <c r="AP252" s="110">
        <v>0</v>
      </c>
      <c r="AQ252" s="110">
        <v>0</v>
      </c>
      <c r="AR252" s="110">
        <v>0</v>
      </c>
      <c r="AS252" s="110">
        <v>0</v>
      </c>
      <c r="AT252" s="110">
        <v>0</v>
      </c>
      <c r="AU252" s="110">
        <v>0</v>
      </c>
      <c r="AV252" s="110">
        <v>0</v>
      </c>
      <c r="AW252" s="110">
        <v>0</v>
      </c>
      <c r="AX252" s="110">
        <v>0</v>
      </c>
      <c r="AY252" s="110">
        <v>0</v>
      </c>
      <c r="AZ252" s="110">
        <v>0</v>
      </c>
      <c r="BA252" s="110">
        <v>0</v>
      </c>
    </row>
    <row r="253" spans="1:53" s="102" customFormat="1" outlineLevel="2">
      <c r="A253" s="102" t="s">
        <v>761</v>
      </c>
      <c r="B253" s="103" t="s">
        <v>762</v>
      </c>
      <c r="C253" s="104" t="s">
        <v>763</v>
      </c>
      <c r="D253" s="298"/>
      <c r="E253" s="299"/>
      <c r="F253" s="105">
        <v>83628.479999999996</v>
      </c>
      <c r="G253" s="105">
        <v>89650.95</v>
      </c>
      <c r="H253" s="106">
        <f t="shared" si="66"/>
        <v>-6022.4700000000012</v>
      </c>
      <c r="I253" s="300">
        <f t="shared" si="67"/>
        <v>-6.7176867618246108E-2</v>
      </c>
      <c r="J253" s="107"/>
      <c r="K253" s="105">
        <v>248931.56</v>
      </c>
      <c r="L253" s="105">
        <v>270334.86</v>
      </c>
      <c r="M253" s="106">
        <f t="shared" si="68"/>
        <v>-21403.299999999988</v>
      </c>
      <c r="N253" s="300">
        <f t="shared" si="69"/>
        <v>-7.9173289009046008E-2</v>
      </c>
      <c r="O253" s="301"/>
      <c r="P253" s="107"/>
      <c r="Q253" s="105">
        <v>248931.56</v>
      </c>
      <c r="R253" s="105">
        <v>270334.86</v>
      </c>
      <c r="S253" s="106">
        <f t="shared" si="70"/>
        <v>-21403.299999999988</v>
      </c>
      <c r="T253" s="300">
        <f t="shared" si="71"/>
        <v>-7.9173289009046008E-2</v>
      </c>
      <c r="U253" s="107"/>
      <c r="V253" s="105">
        <v>1019248.1300000001</v>
      </c>
      <c r="W253" s="105">
        <v>1085613.8</v>
      </c>
      <c r="X253" s="106">
        <f t="shared" si="72"/>
        <v>-66365.669999999925</v>
      </c>
      <c r="Y253" s="300">
        <f t="shared" si="73"/>
        <v>-6.11319329212653E-2</v>
      </c>
      <c r="Z253" s="302"/>
      <c r="AA253" s="108">
        <v>83046.559999999998</v>
      </c>
      <c r="AB253" s="109"/>
      <c r="AC253" s="110">
        <v>89611.32</v>
      </c>
      <c r="AD253" s="110">
        <v>91072.59</v>
      </c>
      <c r="AE253" s="110">
        <v>89650.95</v>
      </c>
      <c r="AF253" s="110">
        <v>90688.67</v>
      </c>
      <c r="AG253" s="110">
        <v>84653.64</v>
      </c>
      <c r="AH253" s="110">
        <v>82474.45</v>
      </c>
      <c r="AI253" s="110">
        <v>86067.09</v>
      </c>
      <c r="AJ253" s="110">
        <v>85348.62</v>
      </c>
      <c r="AK253" s="110">
        <v>87936.51</v>
      </c>
      <c r="AL253" s="110">
        <v>82687.13</v>
      </c>
      <c r="AM253" s="110">
        <v>83795.06</v>
      </c>
      <c r="AN253" s="110">
        <v>86665.400000000009</v>
      </c>
      <c r="AO253" s="109"/>
      <c r="AP253" s="110">
        <v>83754.48</v>
      </c>
      <c r="AQ253" s="110">
        <v>81548.600000000006</v>
      </c>
      <c r="AR253" s="110">
        <v>83628.479999999996</v>
      </c>
      <c r="AS253" s="110">
        <v>-4434.9000000000005</v>
      </c>
      <c r="AT253" s="110">
        <v>0</v>
      </c>
      <c r="AU253" s="110">
        <v>0</v>
      </c>
      <c r="AV253" s="110">
        <v>0</v>
      </c>
      <c r="AW253" s="110">
        <v>0</v>
      </c>
      <c r="AX253" s="110">
        <v>0</v>
      </c>
      <c r="AY253" s="110">
        <v>0</v>
      </c>
      <c r="AZ253" s="110">
        <v>0</v>
      </c>
      <c r="BA253" s="110">
        <v>0</v>
      </c>
    </row>
    <row r="254" spans="1:53" s="102" customFormat="1" outlineLevel="2">
      <c r="A254" s="102" t="s">
        <v>764</v>
      </c>
      <c r="B254" s="103" t="s">
        <v>765</v>
      </c>
      <c r="C254" s="104" t="s">
        <v>766</v>
      </c>
      <c r="D254" s="298"/>
      <c r="E254" s="299"/>
      <c r="F254" s="105">
        <v>36457.46</v>
      </c>
      <c r="G254" s="105">
        <v>24111.45</v>
      </c>
      <c r="H254" s="106">
        <f t="shared" si="66"/>
        <v>12346.009999999998</v>
      </c>
      <c r="I254" s="300">
        <f t="shared" si="67"/>
        <v>0.51203930083010341</v>
      </c>
      <c r="J254" s="107"/>
      <c r="K254" s="105">
        <v>124419.79000000001</v>
      </c>
      <c r="L254" s="105">
        <v>86211.39</v>
      </c>
      <c r="M254" s="106">
        <f t="shared" si="68"/>
        <v>38208.400000000009</v>
      </c>
      <c r="N254" s="300">
        <f t="shared" si="69"/>
        <v>0.44319433893827731</v>
      </c>
      <c r="O254" s="301"/>
      <c r="P254" s="107"/>
      <c r="Q254" s="105">
        <v>124419.79000000001</v>
      </c>
      <c r="R254" s="105">
        <v>86211.39</v>
      </c>
      <c r="S254" s="106">
        <f t="shared" si="70"/>
        <v>38208.400000000009</v>
      </c>
      <c r="T254" s="300">
        <f t="shared" si="71"/>
        <v>0.44319433893827731</v>
      </c>
      <c r="U254" s="107"/>
      <c r="V254" s="105">
        <v>307541.79000000004</v>
      </c>
      <c r="W254" s="105">
        <v>257569.66999999998</v>
      </c>
      <c r="X254" s="106">
        <f t="shared" si="72"/>
        <v>49972.120000000054</v>
      </c>
      <c r="Y254" s="300">
        <f t="shared" si="73"/>
        <v>0.19401399240834549</v>
      </c>
      <c r="Z254" s="302"/>
      <c r="AA254" s="108">
        <v>25733.18</v>
      </c>
      <c r="AB254" s="109"/>
      <c r="AC254" s="110">
        <v>28980.83</v>
      </c>
      <c r="AD254" s="110">
        <v>33119.11</v>
      </c>
      <c r="AE254" s="110">
        <v>24111.45</v>
      </c>
      <c r="AF254" s="110">
        <v>19773.330000000002</v>
      </c>
      <c r="AG254" s="110">
        <v>16628.170000000002</v>
      </c>
      <c r="AH254" s="110">
        <v>18369.61</v>
      </c>
      <c r="AI254" s="110">
        <v>21985.88</v>
      </c>
      <c r="AJ254" s="110">
        <v>24040.53</v>
      </c>
      <c r="AK254" s="110">
        <v>20366.95</v>
      </c>
      <c r="AL254" s="110">
        <v>16101.59</v>
      </c>
      <c r="AM254" s="110">
        <v>18130.11</v>
      </c>
      <c r="AN254" s="110">
        <v>27725.83</v>
      </c>
      <c r="AO254" s="109"/>
      <c r="AP254" s="110">
        <v>42653.9</v>
      </c>
      <c r="AQ254" s="110">
        <v>45308.43</v>
      </c>
      <c r="AR254" s="110">
        <v>36457.46</v>
      </c>
      <c r="AS254" s="110">
        <v>7511.71</v>
      </c>
      <c r="AT254" s="110">
        <v>0</v>
      </c>
      <c r="AU254" s="110">
        <v>0</v>
      </c>
      <c r="AV254" s="110">
        <v>0</v>
      </c>
      <c r="AW254" s="110">
        <v>0</v>
      </c>
      <c r="AX254" s="110">
        <v>0</v>
      </c>
      <c r="AY254" s="110">
        <v>0</v>
      </c>
      <c r="AZ254" s="110">
        <v>0</v>
      </c>
      <c r="BA254" s="110">
        <v>0</v>
      </c>
    </row>
    <row r="255" spans="1:53" s="102" customFormat="1" outlineLevel="2">
      <c r="A255" s="102" t="s">
        <v>767</v>
      </c>
      <c r="B255" s="103" t="s">
        <v>768</v>
      </c>
      <c r="C255" s="104" t="s">
        <v>769</v>
      </c>
      <c r="D255" s="298"/>
      <c r="E255" s="299"/>
      <c r="F255" s="105">
        <v>0</v>
      </c>
      <c r="G255" s="105">
        <v>12975</v>
      </c>
      <c r="H255" s="106">
        <f t="shared" si="66"/>
        <v>-12975</v>
      </c>
      <c r="I255" s="300" t="str">
        <f t="shared" si="67"/>
        <v>N.M.</v>
      </c>
      <c r="J255" s="107"/>
      <c r="K255" s="105">
        <v>42919</v>
      </c>
      <c r="L255" s="105">
        <v>12975</v>
      </c>
      <c r="M255" s="106">
        <f t="shared" si="68"/>
        <v>29944</v>
      </c>
      <c r="N255" s="300">
        <f t="shared" si="69"/>
        <v>2.3078227360308285</v>
      </c>
      <c r="O255" s="301"/>
      <c r="P255" s="107"/>
      <c r="Q255" s="105">
        <v>42919</v>
      </c>
      <c r="R255" s="105">
        <v>12975</v>
      </c>
      <c r="S255" s="106">
        <f t="shared" si="70"/>
        <v>29944</v>
      </c>
      <c r="T255" s="300">
        <f t="shared" si="71"/>
        <v>2.3078227360308285</v>
      </c>
      <c r="U255" s="107"/>
      <c r="V255" s="105">
        <v>61011.19</v>
      </c>
      <c r="W255" s="105">
        <v>97753.8</v>
      </c>
      <c r="X255" s="106">
        <f t="shared" si="72"/>
        <v>-36742.61</v>
      </c>
      <c r="Y255" s="300">
        <f t="shared" si="73"/>
        <v>-0.37586886647884787</v>
      </c>
      <c r="Z255" s="302"/>
      <c r="AA255" s="108">
        <v>84778.8</v>
      </c>
      <c r="AB255" s="109"/>
      <c r="AC255" s="110">
        <v>0</v>
      </c>
      <c r="AD255" s="110">
        <v>0</v>
      </c>
      <c r="AE255" s="110">
        <v>12975</v>
      </c>
      <c r="AF255" s="110">
        <v>0</v>
      </c>
      <c r="AG255" s="110">
        <v>7187.5</v>
      </c>
      <c r="AH255" s="110">
        <v>3125</v>
      </c>
      <c r="AI255" s="110">
        <v>0</v>
      </c>
      <c r="AJ255" s="110">
        <v>7529.7</v>
      </c>
      <c r="AK255" s="110">
        <v>0</v>
      </c>
      <c r="AL255" s="110">
        <v>0</v>
      </c>
      <c r="AM255" s="110">
        <v>0</v>
      </c>
      <c r="AN255" s="110">
        <v>249.99</v>
      </c>
      <c r="AO255" s="109"/>
      <c r="AP255" s="110">
        <v>32500</v>
      </c>
      <c r="AQ255" s="110">
        <v>10419</v>
      </c>
      <c r="AR255" s="110">
        <v>0</v>
      </c>
      <c r="AS255" s="110">
        <v>0</v>
      </c>
      <c r="AT255" s="110">
        <v>0</v>
      </c>
      <c r="AU255" s="110">
        <v>0</v>
      </c>
      <c r="AV255" s="110">
        <v>0</v>
      </c>
      <c r="AW255" s="110">
        <v>0</v>
      </c>
      <c r="AX255" s="110">
        <v>0</v>
      </c>
      <c r="AY255" s="110">
        <v>0</v>
      </c>
      <c r="AZ255" s="110">
        <v>0</v>
      </c>
      <c r="BA255" s="110">
        <v>0</v>
      </c>
    </row>
    <row r="256" spans="1:53" s="102" customFormat="1" outlineLevel="2">
      <c r="A256" s="102" t="s">
        <v>770</v>
      </c>
      <c r="B256" s="103" t="s">
        <v>771</v>
      </c>
      <c r="C256" s="104" t="s">
        <v>772</v>
      </c>
      <c r="D256" s="298"/>
      <c r="E256" s="299"/>
      <c r="F256" s="105">
        <v>7536.85</v>
      </c>
      <c r="G256" s="105">
        <v>2036.71</v>
      </c>
      <c r="H256" s="106">
        <f t="shared" si="66"/>
        <v>5500.14</v>
      </c>
      <c r="I256" s="300">
        <f t="shared" si="67"/>
        <v>2.7005022806388737</v>
      </c>
      <c r="J256" s="107"/>
      <c r="K256" s="105">
        <v>10738.02</v>
      </c>
      <c r="L256" s="105">
        <v>5877.7300000000005</v>
      </c>
      <c r="M256" s="106">
        <f t="shared" si="68"/>
        <v>4860.29</v>
      </c>
      <c r="N256" s="300">
        <f t="shared" si="69"/>
        <v>0.82689916004988318</v>
      </c>
      <c r="O256" s="301"/>
      <c r="P256" s="107"/>
      <c r="Q256" s="105">
        <v>10738.02</v>
      </c>
      <c r="R256" s="105">
        <v>5877.7300000000005</v>
      </c>
      <c r="S256" s="106">
        <f t="shared" si="70"/>
        <v>4860.29</v>
      </c>
      <c r="T256" s="300">
        <f t="shared" si="71"/>
        <v>0.82689916004988318</v>
      </c>
      <c r="U256" s="107"/>
      <c r="V256" s="105">
        <v>36979.339999999997</v>
      </c>
      <c r="W256" s="105">
        <v>33123.03</v>
      </c>
      <c r="X256" s="106">
        <f t="shared" si="72"/>
        <v>3856.3099999999977</v>
      </c>
      <c r="Y256" s="300">
        <f t="shared" si="73"/>
        <v>0.11642382958322345</v>
      </c>
      <c r="Z256" s="302"/>
      <c r="AA256" s="108">
        <v>544.20000000000005</v>
      </c>
      <c r="AB256" s="109"/>
      <c r="AC256" s="110">
        <v>1414.56</v>
      </c>
      <c r="AD256" s="110">
        <v>2426.46</v>
      </c>
      <c r="AE256" s="110">
        <v>2036.71</v>
      </c>
      <c r="AF256" s="110">
        <v>4778.58</v>
      </c>
      <c r="AG256" s="110">
        <v>2025.44</v>
      </c>
      <c r="AH256" s="110">
        <v>2187.61</v>
      </c>
      <c r="AI256" s="110">
        <v>1145.8500000000001</v>
      </c>
      <c r="AJ256" s="110">
        <v>1954.27</v>
      </c>
      <c r="AK256" s="110">
        <v>6353.02</v>
      </c>
      <c r="AL256" s="110">
        <v>3981.52</v>
      </c>
      <c r="AM256" s="110">
        <v>2724.79</v>
      </c>
      <c r="AN256" s="110">
        <v>1090.24</v>
      </c>
      <c r="AO256" s="109"/>
      <c r="AP256" s="110">
        <v>1875.33</v>
      </c>
      <c r="AQ256" s="110">
        <v>1325.84</v>
      </c>
      <c r="AR256" s="110">
        <v>7536.85</v>
      </c>
      <c r="AS256" s="110">
        <v>312.86</v>
      </c>
      <c r="AT256" s="110">
        <v>0</v>
      </c>
      <c r="AU256" s="110">
        <v>0</v>
      </c>
      <c r="AV256" s="110">
        <v>0</v>
      </c>
      <c r="AW256" s="110">
        <v>0</v>
      </c>
      <c r="AX256" s="110">
        <v>0</v>
      </c>
      <c r="AY256" s="110">
        <v>0</v>
      </c>
      <c r="AZ256" s="110">
        <v>0</v>
      </c>
      <c r="BA256" s="110">
        <v>0</v>
      </c>
    </row>
    <row r="257" spans="1:53" s="102" customFormat="1" outlineLevel="2">
      <c r="A257" s="102" t="s">
        <v>773</v>
      </c>
      <c r="B257" s="103" t="s">
        <v>774</v>
      </c>
      <c r="C257" s="104" t="s">
        <v>775</v>
      </c>
      <c r="D257" s="298"/>
      <c r="E257" s="299"/>
      <c r="F257" s="105">
        <v>0.67</v>
      </c>
      <c r="G257" s="105">
        <v>0</v>
      </c>
      <c r="H257" s="106">
        <f t="shared" si="66"/>
        <v>0.67</v>
      </c>
      <c r="I257" s="300" t="str">
        <f t="shared" si="67"/>
        <v>N.M.</v>
      </c>
      <c r="J257" s="107"/>
      <c r="K257" s="105">
        <v>0.67</v>
      </c>
      <c r="L257" s="105">
        <v>0</v>
      </c>
      <c r="M257" s="106">
        <f t="shared" si="68"/>
        <v>0.67</v>
      </c>
      <c r="N257" s="300" t="str">
        <f t="shared" si="69"/>
        <v>N.M.</v>
      </c>
      <c r="O257" s="301"/>
      <c r="P257" s="107"/>
      <c r="Q257" s="105">
        <v>0.67</v>
      </c>
      <c r="R257" s="105">
        <v>0</v>
      </c>
      <c r="S257" s="106">
        <f t="shared" si="70"/>
        <v>0.67</v>
      </c>
      <c r="T257" s="300" t="str">
        <f t="shared" si="71"/>
        <v>N.M.</v>
      </c>
      <c r="U257" s="107"/>
      <c r="V257" s="105">
        <v>0.67</v>
      </c>
      <c r="W257" s="105">
        <v>1791.51</v>
      </c>
      <c r="X257" s="106">
        <f t="shared" si="72"/>
        <v>-1790.84</v>
      </c>
      <c r="Y257" s="300">
        <f t="shared" si="73"/>
        <v>-0.99962601380957961</v>
      </c>
      <c r="Z257" s="302"/>
      <c r="AA257" s="108">
        <v>0</v>
      </c>
      <c r="AB257" s="109"/>
      <c r="AC257" s="110">
        <v>0</v>
      </c>
      <c r="AD257" s="110">
        <v>0</v>
      </c>
      <c r="AE257" s="110">
        <v>0</v>
      </c>
      <c r="AF257" s="110">
        <v>0</v>
      </c>
      <c r="AG257" s="110">
        <v>0</v>
      </c>
      <c r="AH257" s="110">
        <v>0</v>
      </c>
      <c r="AI257" s="110">
        <v>0</v>
      </c>
      <c r="AJ257" s="110">
        <v>0</v>
      </c>
      <c r="AK257" s="110">
        <v>0</v>
      </c>
      <c r="AL257" s="110">
        <v>0</v>
      </c>
      <c r="AM257" s="110">
        <v>0</v>
      </c>
      <c r="AN257" s="110">
        <v>0</v>
      </c>
      <c r="AO257" s="109"/>
      <c r="AP257" s="110">
        <v>0</v>
      </c>
      <c r="AQ257" s="110">
        <v>0</v>
      </c>
      <c r="AR257" s="110">
        <v>0.67</v>
      </c>
      <c r="AS257" s="110">
        <v>0</v>
      </c>
      <c r="AT257" s="110">
        <v>0</v>
      </c>
      <c r="AU257" s="110">
        <v>0</v>
      </c>
      <c r="AV257" s="110">
        <v>0</v>
      </c>
      <c r="AW257" s="110">
        <v>0</v>
      </c>
      <c r="AX257" s="110">
        <v>0</v>
      </c>
      <c r="AY257" s="110">
        <v>0</v>
      </c>
      <c r="AZ257" s="110">
        <v>0</v>
      </c>
      <c r="BA257" s="110">
        <v>0</v>
      </c>
    </row>
    <row r="258" spans="1:53" s="102" customFormat="1" outlineLevel="2">
      <c r="A258" s="102" t="s">
        <v>776</v>
      </c>
      <c r="B258" s="103" t="s">
        <v>777</v>
      </c>
      <c r="C258" s="104" t="s">
        <v>778</v>
      </c>
      <c r="D258" s="298"/>
      <c r="E258" s="299"/>
      <c r="F258" s="105">
        <v>809.80000000000007</v>
      </c>
      <c r="G258" s="105">
        <v>2539.75</v>
      </c>
      <c r="H258" s="106">
        <f t="shared" si="66"/>
        <v>-1729.9499999999998</v>
      </c>
      <c r="I258" s="300">
        <f t="shared" si="67"/>
        <v>-0.68114971946057679</v>
      </c>
      <c r="J258" s="107"/>
      <c r="K258" s="105">
        <v>2588.6799999999998</v>
      </c>
      <c r="L258" s="105">
        <v>3688.65</v>
      </c>
      <c r="M258" s="106">
        <f t="shared" si="68"/>
        <v>-1099.9700000000003</v>
      </c>
      <c r="N258" s="300">
        <f t="shared" si="69"/>
        <v>-0.29820394995459049</v>
      </c>
      <c r="O258" s="301"/>
      <c r="P258" s="107"/>
      <c r="Q258" s="105">
        <v>2588.6799999999998</v>
      </c>
      <c r="R258" s="105">
        <v>3688.65</v>
      </c>
      <c r="S258" s="106">
        <f t="shared" si="70"/>
        <v>-1099.9700000000003</v>
      </c>
      <c r="T258" s="300">
        <f t="shared" si="71"/>
        <v>-0.29820394995459049</v>
      </c>
      <c r="U258" s="107"/>
      <c r="V258" s="105">
        <v>44813.31</v>
      </c>
      <c r="W258" s="105">
        <v>28497.780000000002</v>
      </c>
      <c r="X258" s="106">
        <f t="shared" si="72"/>
        <v>16315.529999999995</v>
      </c>
      <c r="Y258" s="300">
        <f t="shared" si="73"/>
        <v>0.57251933308489267</v>
      </c>
      <c r="Z258" s="302"/>
      <c r="AA258" s="108">
        <v>3539.76</v>
      </c>
      <c r="AB258" s="109"/>
      <c r="AC258" s="110">
        <v>611.33000000000004</v>
      </c>
      <c r="AD258" s="110">
        <v>537.57000000000005</v>
      </c>
      <c r="AE258" s="110">
        <v>2539.75</v>
      </c>
      <c r="AF258" s="110">
        <v>3124.5</v>
      </c>
      <c r="AG258" s="110">
        <v>7679.85</v>
      </c>
      <c r="AH258" s="110">
        <v>18397.32</v>
      </c>
      <c r="AI258" s="110">
        <v>493.39</v>
      </c>
      <c r="AJ258" s="110">
        <v>1030.4100000000001</v>
      </c>
      <c r="AK258" s="110">
        <v>3298.55</v>
      </c>
      <c r="AL258" s="110">
        <v>1704.29</v>
      </c>
      <c r="AM258" s="110">
        <v>2807.4</v>
      </c>
      <c r="AN258" s="110">
        <v>3688.92</v>
      </c>
      <c r="AO258" s="109"/>
      <c r="AP258" s="110">
        <v>1313.89</v>
      </c>
      <c r="AQ258" s="110">
        <v>464.99</v>
      </c>
      <c r="AR258" s="110">
        <v>809.80000000000007</v>
      </c>
      <c r="AS258" s="110">
        <v>0</v>
      </c>
      <c r="AT258" s="110">
        <v>0</v>
      </c>
      <c r="AU258" s="110">
        <v>0</v>
      </c>
      <c r="AV258" s="110">
        <v>0</v>
      </c>
      <c r="AW258" s="110">
        <v>0</v>
      </c>
      <c r="AX258" s="110">
        <v>0</v>
      </c>
      <c r="AY258" s="110">
        <v>0</v>
      </c>
      <c r="AZ258" s="110">
        <v>0</v>
      </c>
      <c r="BA258" s="110">
        <v>0</v>
      </c>
    </row>
    <row r="259" spans="1:53" s="102" customFormat="1" outlineLevel="2">
      <c r="A259" s="102" t="s">
        <v>779</v>
      </c>
      <c r="B259" s="103" t="s">
        <v>780</v>
      </c>
      <c r="C259" s="104" t="s">
        <v>781</v>
      </c>
      <c r="D259" s="298"/>
      <c r="E259" s="299"/>
      <c r="F259" s="105">
        <v>0</v>
      </c>
      <c r="G259" s="105">
        <v>0</v>
      </c>
      <c r="H259" s="106">
        <f t="shared" si="66"/>
        <v>0</v>
      </c>
      <c r="I259" s="300">
        <f t="shared" si="67"/>
        <v>0</v>
      </c>
      <c r="J259" s="107"/>
      <c r="K259" s="105">
        <v>0</v>
      </c>
      <c r="L259" s="105">
        <v>0</v>
      </c>
      <c r="M259" s="106">
        <f t="shared" si="68"/>
        <v>0</v>
      </c>
      <c r="N259" s="300">
        <f t="shared" si="69"/>
        <v>0</v>
      </c>
      <c r="O259" s="301"/>
      <c r="P259" s="107"/>
      <c r="Q259" s="105">
        <v>0</v>
      </c>
      <c r="R259" s="105">
        <v>0</v>
      </c>
      <c r="S259" s="106">
        <f t="shared" si="70"/>
        <v>0</v>
      </c>
      <c r="T259" s="300">
        <f t="shared" si="71"/>
        <v>0</v>
      </c>
      <c r="U259" s="107"/>
      <c r="V259" s="105">
        <v>2587.02</v>
      </c>
      <c r="W259" s="105">
        <v>0</v>
      </c>
      <c r="X259" s="106">
        <f t="shared" si="72"/>
        <v>2587.02</v>
      </c>
      <c r="Y259" s="300" t="str">
        <f t="shared" si="73"/>
        <v>N.M.</v>
      </c>
      <c r="Z259" s="302"/>
      <c r="AA259" s="108">
        <v>0</v>
      </c>
      <c r="AB259" s="109"/>
      <c r="AC259" s="110">
        <v>0</v>
      </c>
      <c r="AD259" s="110">
        <v>0</v>
      </c>
      <c r="AE259" s="110">
        <v>0</v>
      </c>
      <c r="AF259" s="110">
        <v>0</v>
      </c>
      <c r="AG259" s="110">
        <v>2587.02</v>
      </c>
      <c r="AH259" s="110">
        <v>0</v>
      </c>
      <c r="AI259" s="110">
        <v>0</v>
      </c>
      <c r="AJ259" s="110">
        <v>0</v>
      </c>
      <c r="AK259" s="110">
        <v>0</v>
      </c>
      <c r="AL259" s="110">
        <v>0</v>
      </c>
      <c r="AM259" s="110">
        <v>0</v>
      </c>
      <c r="AN259" s="110">
        <v>0</v>
      </c>
      <c r="AO259" s="109"/>
      <c r="AP259" s="110">
        <v>0</v>
      </c>
      <c r="AQ259" s="110">
        <v>0</v>
      </c>
      <c r="AR259" s="110">
        <v>0</v>
      </c>
      <c r="AS259" s="110">
        <v>0</v>
      </c>
      <c r="AT259" s="110">
        <v>0</v>
      </c>
      <c r="AU259" s="110">
        <v>0</v>
      </c>
      <c r="AV259" s="110">
        <v>0</v>
      </c>
      <c r="AW259" s="110">
        <v>0</v>
      </c>
      <c r="AX259" s="110">
        <v>0</v>
      </c>
      <c r="AY259" s="110">
        <v>0</v>
      </c>
      <c r="AZ259" s="110">
        <v>0</v>
      </c>
      <c r="BA259" s="110">
        <v>0</v>
      </c>
    </row>
    <row r="260" spans="1:53" s="102" customFormat="1" outlineLevel="2">
      <c r="A260" s="102" t="s">
        <v>782</v>
      </c>
      <c r="B260" s="103" t="s">
        <v>783</v>
      </c>
      <c r="C260" s="104" t="s">
        <v>784</v>
      </c>
      <c r="D260" s="298"/>
      <c r="E260" s="299"/>
      <c r="F260" s="105">
        <v>0</v>
      </c>
      <c r="G260" s="105">
        <v>0.17</v>
      </c>
      <c r="H260" s="106">
        <f t="shared" si="66"/>
        <v>-0.17</v>
      </c>
      <c r="I260" s="300" t="str">
        <f t="shared" si="67"/>
        <v>N.M.</v>
      </c>
      <c r="J260" s="107"/>
      <c r="K260" s="105">
        <v>2.82</v>
      </c>
      <c r="L260" s="105">
        <v>1.68</v>
      </c>
      <c r="M260" s="106">
        <f t="shared" si="68"/>
        <v>1.1399999999999999</v>
      </c>
      <c r="N260" s="300">
        <f t="shared" si="69"/>
        <v>0.67857142857142849</v>
      </c>
      <c r="O260" s="301"/>
      <c r="P260" s="107"/>
      <c r="Q260" s="105">
        <v>2.82</v>
      </c>
      <c r="R260" s="105">
        <v>1.68</v>
      </c>
      <c r="S260" s="106">
        <f t="shared" si="70"/>
        <v>1.1399999999999999</v>
      </c>
      <c r="T260" s="300">
        <f t="shared" si="71"/>
        <v>0.67857142857142849</v>
      </c>
      <c r="U260" s="107"/>
      <c r="V260" s="105">
        <v>29.6</v>
      </c>
      <c r="W260" s="105">
        <v>8.67</v>
      </c>
      <c r="X260" s="106">
        <f t="shared" si="72"/>
        <v>20.93</v>
      </c>
      <c r="Y260" s="300">
        <f t="shared" si="73"/>
        <v>2.4140715109573243</v>
      </c>
      <c r="Z260" s="302"/>
      <c r="AA260" s="108">
        <v>0</v>
      </c>
      <c r="AB260" s="109"/>
      <c r="AC260" s="110">
        <v>0</v>
      </c>
      <c r="AD260" s="110">
        <v>1.51</v>
      </c>
      <c r="AE260" s="110">
        <v>0.17</v>
      </c>
      <c r="AF260" s="110">
        <v>0</v>
      </c>
      <c r="AG260" s="110">
        <v>1.94</v>
      </c>
      <c r="AH260" s="110">
        <v>0</v>
      </c>
      <c r="AI260" s="110">
        <v>0</v>
      </c>
      <c r="AJ260" s="110">
        <v>0</v>
      </c>
      <c r="AK260" s="110">
        <v>1.18</v>
      </c>
      <c r="AL260" s="110">
        <v>3.5500000000000003</v>
      </c>
      <c r="AM260" s="110">
        <v>0</v>
      </c>
      <c r="AN260" s="110">
        <v>20.11</v>
      </c>
      <c r="AO260" s="109"/>
      <c r="AP260" s="110">
        <v>1.7</v>
      </c>
      <c r="AQ260" s="110">
        <v>1.1200000000000001</v>
      </c>
      <c r="AR260" s="110">
        <v>0</v>
      </c>
      <c r="AS260" s="110">
        <v>0</v>
      </c>
      <c r="AT260" s="110">
        <v>0</v>
      </c>
      <c r="AU260" s="110">
        <v>0</v>
      </c>
      <c r="AV260" s="110">
        <v>0</v>
      </c>
      <c r="AW260" s="110">
        <v>0</v>
      </c>
      <c r="AX260" s="110">
        <v>0</v>
      </c>
      <c r="AY260" s="110">
        <v>0</v>
      </c>
      <c r="AZ260" s="110">
        <v>0</v>
      </c>
      <c r="BA260" s="110">
        <v>0</v>
      </c>
    </row>
    <row r="261" spans="1:53" s="102" customFormat="1" outlineLevel="2">
      <c r="A261" s="102" t="s">
        <v>785</v>
      </c>
      <c r="B261" s="103" t="s">
        <v>786</v>
      </c>
      <c r="C261" s="104" t="s">
        <v>787</v>
      </c>
      <c r="D261" s="298"/>
      <c r="E261" s="299"/>
      <c r="F261" s="105">
        <v>0</v>
      </c>
      <c r="G261" s="105">
        <v>0</v>
      </c>
      <c r="H261" s="106">
        <f t="shared" si="66"/>
        <v>0</v>
      </c>
      <c r="I261" s="300">
        <f t="shared" si="67"/>
        <v>0</v>
      </c>
      <c r="J261" s="107"/>
      <c r="K261" s="105">
        <v>0</v>
      </c>
      <c r="L261" s="105">
        <v>0</v>
      </c>
      <c r="M261" s="106">
        <f t="shared" si="68"/>
        <v>0</v>
      </c>
      <c r="N261" s="300">
        <f t="shared" si="69"/>
        <v>0</v>
      </c>
      <c r="O261" s="301"/>
      <c r="P261" s="107"/>
      <c r="Q261" s="105">
        <v>0</v>
      </c>
      <c r="R261" s="105">
        <v>0</v>
      </c>
      <c r="S261" s="106">
        <f t="shared" si="70"/>
        <v>0</v>
      </c>
      <c r="T261" s="300">
        <f t="shared" si="71"/>
        <v>0</v>
      </c>
      <c r="U261" s="107"/>
      <c r="V261" s="105">
        <v>0</v>
      </c>
      <c r="W261" s="105">
        <v>5902.49</v>
      </c>
      <c r="X261" s="106">
        <f t="shared" si="72"/>
        <v>-5902.49</v>
      </c>
      <c r="Y261" s="300" t="str">
        <f t="shared" si="73"/>
        <v>N.M.</v>
      </c>
      <c r="Z261" s="302"/>
      <c r="AA261" s="108">
        <v>0</v>
      </c>
      <c r="AB261" s="109"/>
      <c r="AC261" s="110">
        <v>0</v>
      </c>
      <c r="AD261" s="110">
        <v>0</v>
      </c>
      <c r="AE261" s="110">
        <v>0</v>
      </c>
      <c r="AF261" s="110">
        <v>0</v>
      </c>
      <c r="AG261" s="110">
        <v>0</v>
      </c>
      <c r="AH261" s="110">
        <v>0</v>
      </c>
      <c r="AI261" s="110">
        <v>0</v>
      </c>
      <c r="AJ261" s="110">
        <v>0</v>
      </c>
      <c r="AK261" s="110">
        <v>0</v>
      </c>
      <c r="AL261" s="110">
        <v>0</v>
      </c>
      <c r="AM261" s="110">
        <v>0</v>
      </c>
      <c r="AN261" s="110">
        <v>0</v>
      </c>
      <c r="AO261" s="109"/>
      <c r="AP261" s="110">
        <v>0</v>
      </c>
      <c r="AQ261" s="110">
        <v>0</v>
      </c>
      <c r="AR261" s="110">
        <v>0</v>
      </c>
      <c r="AS261" s="110">
        <v>0</v>
      </c>
      <c r="AT261" s="110">
        <v>0</v>
      </c>
      <c r="AU261" s="110">
        <v>0</v>
      </c>
      <c r="AV261" s="110">
        <v>0</v>
      </c>
      <c r="AW261" s="110">
        <v>0</v>
      </c>
      <c r="AX261" s="110">
        <v>0</v>
      </c>
      <c r="AY261" s="110">
        <v>0</v>
      </c>
      <c r="AZ261" s="110">
        <v>0</v>
      </c>
      <c r="BA261" s="110">
        <v>0</v>
      </c>
    </row>
    <row r="262" spans="1:53" outlineLevel="1">
      <c r="A262" s="111" t="s">
        <v>788</v>
      </c>
      <c r="B262" s="331"/>
      <c r="C262" s="332" t="s">
        <v>789</v>
      </c>
      <c r="D262" s="342"/>
      <c r="E262" s="342"/>
      <c r="F262" s="333">
        <v>129938.58000000002</v>
      </c>
      <c r="G262" s="333">
        <v>133532.53</v>
      </c>
      <c r="H262" s="133">
        <f t="shared" si="66"/>
        <v>-3593.9499999999825</v>
      </c>
      <c r="I262" s="138">
        <f t="shared" si="67"/>
        <v>-2.69144155360494E-2</v>
      </c>
      <c r="J262" s="157"/>
      <c r="K262" s="333">
        <v>434400.5</v>
      </c>
      <c r="L262" s="333">
        <v>526610.59000000008</v>
      </c>
      <c r="M262" s="133">
        <f t="shared" si="68"/>
        <v>-92210.090000000084</v>
      </c>
      <c r="N262" s="137">
        <f t="shared" si="69"/>
        <v>-0.17510109320057554</v>
      </c>
      <c r="O262" s="344"/>
      <c r="P262" s="344"/>
      <c r="Q262" s="333">
        <v>434400.5</v>
      </c>
      <c r="R262" s="333">
        <v>526610.59000000008</v>
      </c>
      <c r="S262" s="133">
        <f t="shared" si="70"/>
        <v>-92210.090000000084</v>
      </c>
      <c r="T262" s="138">
        <f t="shared" si="71"/>
        <v>-0.17510109320057554</v>
      </c>
      <c r="U262" s="344"/>
      <c r="V262" s="333">
        <v>1494142.91</v>
      </c>
      <c r="W262" s="333">
        <v>1690266.4999999995</v>
      </c>
      <c r="X262" s="133">
        <f t="shared" si="72"/>
        <v>-196123.58999999962</v>
      </c>
      <c r="Y262" s="137">
        <f t="shared" si="73"/>
        <v>-0.11603116431639607</v>
      </c>
      <c r="Z262" s="111"/>
      <c r="AA262" s="139">
        <v>199803.32</v>
      </c>
      <c r="AB262" s="346"/>
      <c r="AC262" s="333">
        <v>124748.26000000001</v>
      </c>
      <c r="AD262" s="333">
        <v>268329.80000000005</v>
      </c>
      <c r="AE262" s="333">
        <v>133532.53</v>
      </c>
      <c r="AF262" s="333">
        <v>121240.23</v>
      </c>
      <c r="AG262" s="333">
        <v>122726.80000000002</v>
      </c>
      <c r="AH262" s="333">
        <v>128042.73999999999</v>
      </c>
      <c r="AI262" s="333">
        <v>110953.85</v>
      </c>
      <c r="AJ262" s="333">
        <v>121798.79</v>
      </c>
      <c r="AK262" s="333">
        <v>119186.96999999999</v>
      </c>
      <c r="AL262" s="333">
        <v>105926.2</v>
      </c>
      <c r="AM262" s="333">
        <v>108831.62999999999</v>
      </c>
      <c r="AN262" s="333">
        <v>121035.20000000003</v>
      </c>
      <c r="AO262" s="346"/>
      <c r="AP262" s="333">
        <v>163550.31</v>
      </c>
      <c r="AQ262" s="333">
        <v>140911.60999999999</v>
      </c>
      <c r="AR262" s="333">
        <v>129938.58000000002</v>
      </c>
      <c r="AS262" s="333">
        <v>3389.6699999999996</v>
      </c>
      <c r="AT262" s="333">
        <v>0</v>
      </c>
      <c r="AU262" s="333">
        <v>0</v>
      </c>
      <c r="AV262" s="333">
        <v>0</v>
      </c>
      <c r="AW262" s="333">
        <v>0</v>
      </c>
      <c r="AX262" s="333">
        <v>0</v>
      </c>
      <c r="AY262" s="333">
        <v>0</v>
      </c>
      <c r="AZ262" s="333">
        <v>0</v>
      </c>
      <c r="BA262" s="333">
        <v>0</v>
      </c>
    </row>
    <row r="263" spans="1:53" ht="0.75" customHeight="1" outlineLevel="2">
      <c r="B263" s="331"/>
      <c r="C263" s="332"/>
      <c r="D263" s="342"/>
      <c r="E263" s="342"/>
      <c r="F263" s="333"/>
      <c r="G263" s="333"/>
      <c r="H263" s="133"/>
      <c r="I263" s="138"/>
      <c r="J263" s="157"/>
      <c r="K263" s="333"/>
      <c r="L263" s="333"/>
      <c r="M263" s="133"/>
      <c r="N263" s="137"/>
      <c r="O263" s="344"/>
      <c r="P263" s="344"/>
      <c r="Q263" s="333"/>
      <c r="R263" s="333"/>
      <c r="S263" s="133"/>
      <c r="T263" s="138"/>
      <c r="U263" s="344"/>
      <c r="V263" s="333"/>
      <c r="W263" s="333"/>
      <c r="X263" s="133"/>
      <c r="Y263" s="137"/>
      <c r="Z263" s="111"/>
      <c r="AA263" s="139"/>
      <c r="AB263" s="346"/>
      <c r="AC263" s="333"/>
      <c r="AD263" s="333"/>
      <c r="AE263" s="333"/>
      <c r="AF263" s="333"/>
      <c r="AG263" s="333"/>
      <c r="AH263" s="333"/>
      <c r="AI263" s="333"/>
      <c r="AJ263" s="333"/>
      <c r="AK263" s="333"/>
      <c r="AL263" s="333"/>
      <c r="AM263" s="333"/>
      <c r="AN263" s="333"/>
      <c r="AO263" s="346"/>
      <c r="AP263" s="333"/>
      <c r="AQ263" s="333"/>
      <c r="AR263" s="333"/>
      <c r="AS263" s="333"/>
      <c r="AT263" s="333"/>
      <c r="AU263" s="333"/>
      <c r="AV263" s="333"/>
      <c r="AW263" s="333"/>
      <c r="AX263" s="333"/>
      <c r="AY263" s="333"/>
      <c r="AZ263" s="333"/>
      <c r="BA263" s="333"/>
    </row>
    <row r="264" spans="1:53" s="102" customFormat="1" outlineLevel="2">
      <c r="A264" s="102" t="s">
        <v>790</v>
      </c>
      <c r="B264" s="103" t="s">
        <v>791</v>
      </c>
      <c r="C264" s="104" t="s">
        <v>792</v>
      </c>
      <c r="D264" s="298"/>
      <c r="E264" s="299"/>
      <c r="F264" s="105">
        <v>1022973.53</v>
      </c>
      <c r="G264" s="105">
        <v>1150024.19</v>
      </c>
      <c r="H264" s="106">
        <f t="shared" ref="H264:H327" si="74">+F264-G264</f>
        <v>-127050.65999999992</v>
      </c>
      <c r="I264" s="300">
        <f t="shared" ref="I264:I327" si="75">IF(G264&lt;0,IF(H264=0,0,IF(OR(G264=0,F264=0),"N.M.",IF(ABS(H264/G264)&gt;=10,"N.M.",H264/(-G264)))),IF(H264=0,0,IF(OR(G264=0,F264=0),"N.M.",IF(ABS(H264/G264)&gt;=10,"N.M.",H264/G264))))</f>
        <v>-0.11047651093321778</v>
      </c>
      <c r="J264" s="107"/>
      <c r="K264" s="105">
        <v>2893730.1</v>
      </c>
      <c r="L264" s="105">
        <v>2968278.5700000003</v>
      </c>
      <c r="M264" s="106">
        <f t="shared" ref="M264:M327" si="76">+K264-L264</f>
        <v>-74548.470000000205</v>
      </c>
      <c r="N264" s="300">
        <f t="shared" ref="N264:N327" si="77">IF(L264&lt;0,IF(M264=0,0,IF(OR(L264=0,K264=0),"N.M.",IF(ABS(M264/L264)&gt;=10,"N.M.",M264/(-L264)))),IF(M264=0,0,IF(OR(L264=0,K264=0),"N.M.",IF(ABS(M264/L264)&gt;=10,"N.M.",M264/L264))))</f>
        <v>-2.5115051785722455E-2</v>
      </c>
      <c r="O264" s="301"/>
      <c r="P264" s="107"/>
      <c r="Q264" s="105">
        <v>2893730.1</v>
      </c>
      <c r="R264" s="105">
        <v>2968278.5700000003</v>
      </c>
      <c r="S264" s="106">
        <f t="shared" ref="S264:S327" si="78">+Q264-R264</f>
        <v>-74548.470000000205</v>
      </c>
      <c r="T264" s="300">
        <f t="shared" ref="T264:T327" si="79">IF(R264&lt;0,IF(S264=0,0,IF(OR(R264=0,Q264=0),"N.M.",IF(ABS(S264/R264)&gt;=10,"N.M.",S264/(-R264)))),IF(S264=0,0,IF(OR(R264=0,Q264=0),"N.M.",IF(ABS(S264/R264)&gt;=10,"N.M.",S264/R264))))</f>
        <v>-2.5115051785722455E-2</v>
      </c>
      <c r="U264" s="107"/>
      <c r="V264" s="105">
        <v>10530346.91</v>
      </c>
      <c r="W264" s="105">
        <v>10588253.880000001</v>
      </c>
      <c r="X264" s="106">
        <f t="shared" ref="X264:X327" si="80">+V264-W264</f>
        <v>-57906.970000000671</v>
      </c>
      <c r="Y264" s="300">
        <f t="shared" ref="Y264:Y327" si="81">IF(W264&lt;0,IF(X264=0,0,IF(OR(W264=0,V264=0),"N.M.",IF(ABS(X264/W264)&gt;=10,"N.M.",X264/(-W264)))),IF(X264=0,0,IF(OR(W264=0,V264=0),"N.M.",IF(ABS(X264/W264)&gt;=10,"N.M.",X264/W264))))</f>
        <v>-5.4689820112247501E-3</v>
      </c>
      <c r="Z264" s="302"/>
      <c r="AA264" s="108">
        <v>672447.56</v>
      </c>
      <c r="AB264" s="109"/>
      <c r="AC264" s="110">
        <v>1004432.04</v>
      </c>
      <c r="AD264" s="110">
        <v>813822.34</v>
      </c>
      <c r="AE264" s="110">
        <v>1150024.19</v>
      </c>
      <c r="AF264" s="110">
        <v>589348.68000000005</v>
      </c>
      <c r="AG264" s="110">
        <v>814683.04</v>
      </c>
      <c r="AH264" s="110">
        <v>1007890.06</v>
      </c>
      <c r="AI264" s="110">
        <v>635733.69000000006</v>
      </c>
      <c r="AJ264" s="110">
        <v>1161160.99</v>
      </c>
      <c r="AK264" s="110">
        <v>511131.25</v>
      </c>
      <c r="AL264" s="110">
        <v>1216088.81</v>
      </c>
      <c r="AM264" s="110">
        <v>823466.18</v>
      </c>
      <c r="AN264" s="110">
        <v>877114.11</v>
      </c>
      <c r="AO264" s="109"/>
      <c r="AP264" s="110">
        <v>1009806.62</v>
      </c>
      <c r="AQ264" s="110">
        <v>860949.95000000007</v>
      </c>
      <c r="AR264" s="110">
        <v>1022973.53</v>
      </c>
      <c r="AS264" s="110">
        <v>-53348.9</v>
      </c>
      <c r="AT264" s="110">
        <v>0</v>
      </c>
      <c r="AU264" s="110">
        <v>0</v>
      </c>
      <c r="AV264" s="110">
        <v>0</v>
      </c>
      <c r="AW264" s="110">
        <v>0</v>
      </c>
      <c r="AX264" s="110">
        <v>0</v>
      </c>
      <c r="AY264" s="110">
        <v>0</v>
      </c>
      <c r="AZ264" s="110">
        <v>0</v>
      </c>
      <c r="BA264" s="110">
        <v>0</v>
      </c>
    </row>
    <row r="265" spans="1:53" s="102" customFormat="1" outlineLevel="2">
      <c r="A265" s="102" t="s">
        <v>793</v>
      </c>
      <c r="B265" s="103" t="s">
        <v>794</v>
      </c>
      <c r="C265" s="104" t="s">
        <v>795</v>
      </c>
      <c r="D265" s="298"/>
      <c r="E265" s="299"/>
      <c r="F265" s="105">
        <v>31597.81</v>
      </c>
      <c r="G265" s="105">
        <v>61427.020000000004</v>
      </c>
      <c r="H265" s="106">
        <f t="shared" si="74"/>
        <v>-29829.210000000003</v>
      </c>
      <c r="I265" s="300">
        <f t="shared" si="75"/>
        <v>-0.48560405502334314</v>
      </c>
      <c r="J265" s="107"/>
      <c r="K265" s="105">
        <v>186686.67</v>
      </c>
      <c r="L265" s="105">
        <v>195634.33000000002</v>
      </c>
      <c r="M265" s="106">
        <f t="shared" si="76"/>
        <v>-8947.6600000000035</v>
      </c>
      <c r="N265" s="300">
        <f t="shared" si="77"/>
        <v>-4.5736655729083961E-2</v>
      </c>
      <c r="O265" s="301"/>
      <c r="P265" s="107"/>
      <c r="Q265" s="105">
        <v>186686.67</v>
      </c>
      <c r="R265" s="105">
        <v>195634.33000000002</v>
      </c>
      <c r="S265" s="106">
        <f t="shared" si="78"/>
        <v>-8947.6600000000035</v>
      </c>
      <c r="T265" s="300">
        <f t="shared" si="79"/>
        <v>-4.5736655729083961E-2</v>
      </c>
      <c r="U265" s="107"/>
      <c r="V265" s="105">
        <v>730605.12</v>
      </c>
      <c r="W265" s="105">
        <v>533140.3600000001</v>
      </c>
      <c r="X265" s="106">
        <f t="shared" si="80"/>
        <v>197464.75999999989</v>
      </c>
      <c r="Y265" s="300">
        <f t="shared" si="81"/>
        <v>0.37038043790194358</v>
      </c>
      <c r="Z265" s="302"/>
      <c r="AA265" s="108">
        <v>-55745.66</v>
      </c>
      <c r="AB265" s="109"/>
      <c r="AC265" s="110">
        <v>85992.86</v>
      </c>
      <c r="AD265" s="110">
        <v>48214.450000000004</v>
      </c>
      <c r="AE265" s="110">
        <v>61427.020000000004</v>
      </c>
      <c r="AF265" s="110">
        <v>25355.39</v>
      </c>
      <c r="AG265" s="110">
        <v>52055.46</v>
      </c>
      <c r="AH265" s="110">
        <v>113469.32</v>
      </c>
      <c r="AI265" s="110">
        <v>10353.93</v>
      </c>
      <c r="AJ265" s="110">
        <v>293768.88</v>
      </c>
      <c r="AK265" s="110">
        <v>-108521.58</v>
      </c>
      <c r="AL265" s="110">
        <v>64304.94</v>
      </c>
      <c r="AM265" s="110">
        <v>91941.440000000002</v>
      </c>
      <c r="AN265" s="110">
        <v>1190.67</v>
      </c>
      <c r="AO265" s="109"/>
      <c r="AP265" s="110">
        <v>76183.320000000007</v>
      </c>
      <c r="AQ265" s="110">
        <v>78905.540000000008</v>
      </c>
      <c r="AR265" s="110">
        <v>31597.81</v>
      </c>
      <c r="AS265" s="110">
        <v>-42105.57</v>
      </c>
      <c r="AT265" s="110">
        <v>0</v>
      </c>
      <c r="AU265" s="110">
        <v>0</v>
      </c>
      <c r="AV265" s="110">
        <v>0</v>
      </c>
      <c r="AW265" s="110">
        <v>0</v>
      </c>
      <c r="AX265" s="110">
        <v>0</v>
      </c>
      <c r="AY265" s="110">
        <v>0</v>
      </c>
      <c r="AZ265" s="110">
        <v>0</v>
      </c>
      <c r="BA265" s="110">
        <v>0</v>
      </c>
    </row>
    <row r="266" spans="1:53" s="102" customFormat="1" outlineLevel="2">
      <c r="A266" s="102" t="s">
        <v>796</v>
      </c>
      <c r="B266" s="103" t="s">
        <v>797</v>
      </c>
      <c r="C266" s="104" t="s">
        <v>798</v>
      </c>
      <c r="D266" s="298"/>
      <c r="E266" s="299"/>
      <c r="F266" s="105">
        <v>34.550000000000004</v>
      </c>
      <c r="G266" s="105">
        <v>314.41000000000003</v>
      </c>
      <c r="H266" s="106">
        <f t="shared" si="74"/>
        <v>-279.86</v>
      </c>
      <c r="I266" s="300">
        <f t="shared" si="75"/>
        <v>-0.89011163767055757</v>
      </c>
      <c r="J266" s="107"/>
      <c r="K266" s="105">
        <v>54.730000000000004</v>
      </c>
      <c r="L266" s="105">
        <v>331.57</v>
      </c>
      <c r="M266" s="106">
        <f t="shared" si="76"/>
        <v>-276.83999999999997</v>
      </c>
      <c r="N266" s="300">
        <f t="shared" si="77"/>
        <v>-0.83493681575534573</v>
      </c>
      <c r="O266" s="301"/>
      <c r="P266" s="107"/>
      <c r="Q266" s="105">
        <v>54.730000000000004</v>
      </c>
      <c r="R266" s="105">
        <v>331.57</v>
      </c>
      <c r="S266" s="106">
        <f t="shared" si="78"/>
        <v>-276.83999999999997</v>
      </c>
      <c r="T266" s="300">
        <f t="shared" si="79"/>
        <v>-0.83493681575534573</v>
      </c>
      <c r="U266" s="107"/>
      <c r="V266" s="105">
        <v>289.29000000000002</v>
      </c>
      <c r="W266" s="105">
        <v>334.21</v>
      </c>
      <c r="X266" s="106">
        <f t="shared" si="80"/>
        <v>-44.919999999999959</v>
      </c>
      <c r="Y266" s="300">
        <f t="shared" si="81"/>
        <v>-0.13440651087639496</v>
      </c>
      <c r="Z266" s="302"/>
      <c r="AA266" s="108">
        <v>1.32</v>
      </c>
      <c r="AB266" s="109"/>
      <c r="AC266" s="110">
        <v>17.16</v>
      </c>
      <c r="AD266" s="110">
        <v>0</v>
      </c>
      <c r="AE266" s="110">
        <v>314.41000000000003</v>
      </c>
      <c r="AF266" s="110">
        <v>4.25</v>
      </c>
      <c r="AG266" s="110">
        <v>0</v>
      </c>
      <c r="AH266" s="110">
        <v>86.62</v>
      </c>
      <c r="AI266" s="110">
        <v>0.01</v>
      </c>
      <c r="AJ266" s="110">
        <v>0</v>
      </c>
      <c r="AK266" s="110">
        <v>0</v>
      </c>
      <c r="AL266" s="110">
        <v>16.27</v>
      </c>
      <c r="AM266" s="110">
        <v>127.41</v>
      </c>
      <c r="AN266" s="110">
        <v>0</v>
      </c>
      <c r="AO266" s="109"/>
      <c r="AP266" s="110">
        <v>17.95</v>
      </c>
      <c r="AQ266" s="110">
        <v>2.23</v>
      </c>
      <c r="AR266" s="110">
        <v>34.550000000000004</v>
      </c>
      <c r="AS266" s="110">
        <v>0</v>
      </c>
      <c r="AT266" s="110">
        <v>0</v>
      </c>
      <c r="AU266" s="110">
        <v>0</v>
      </c>
      <c r="AV266" s="110">
        <v>0</v>
      </c>
      <c r="AW266" s="110">
        <v>0</v>
      </c>
      <c r="AX266" s="110">
        <v>0</v>
      </c>
      <c r="AY266" s="110">
        <v>0</v>
      </c>
      <c r="AZ266" s="110">
        <v>0</v>
      </c>
      <c r="BA266" s="110">
        <v>0</v>
      </c>
    </row>
    <row r="267" spans="1:53" s="102" customFormat="1" outlineLevel="2">
      <c r="A267" s="102" t="s">
        <v>799</v>
      </c>
      <c r="B267" s="103" t="s">
        <v>800</v>
      </c>
      <c r="C267" s="104" t="s">
        <v>801</v>
      </c>
      <c r="D267" s="298"/>
      <c r="E267" s="299"/>
      <c r="F267" s="105">
        <v>9.9500000000000011</v>
      </c>
      <c r="G267" s="105">
        <v>24.69</v>
      </c>
      <c r="H267" s="106">
        <f t="shared" si="74"/>
        <v>-14.74</v>
      </c>
      <c r="I267" s="300">
        <f t="shared" si="75"/>
        <v>-0.59700283515593355</v>
      </c>
      <c r="J267" s="107"/>
      <c r="K267" s="105">
        <v>38.47</v>
      </c>
      <c r="L267" s="105">
        <v>8.1999999999999993</v>
      </c>
      <c r="M267" s="106">
        <f t="shared" si="76"/>
        <v>30.27</v>
      </c>
      <c r="N267" s="300">
        <f t="shared" si="77"/>
        <v>3.6914634146341467</v>
      </c>
      <c r="O267" s="301"/>
      <c r="P267" s="107"/>
      <c r="Q267" s="105">
        <v>38.47</v>
      </c>
      <c r="R267" s="105">
        <v>8.1999999999999993</v>
      </c>
      <c r="S267" s="106">
        <f t="shared" si="78"/>
        <v>30.27</v>
      </c>
      <c r="T267" s="300">
        <f t="shared" si="79"/>
        <v>3.6914634146341467</v>
      </c>
      <c r="U267" s="107"/>
      <c r="V267" s="105">
        <v>99.87</v>
      </c>
      <c r="W267" s="105">
        <v>90.73</v>
      </c>
      <c r="X267" s="106">
        <f t="shared" si="80"/>
        <v>9.14</v>
      </c>
      <c r="Y267" s="300">
        <f t="shared" si="81"/>
        <v>0.10073845475586907</v>
      </c>
      <c r="Z267" s="302"/>
      <c r="AA267" s="108">
        <v>8.49</v>
      </c>
      <c r="AB267" s="109"/>
      <c r="AC267" s="110">
        <v>-16.490000000000002</v>
      </c>
      <c r="AD267" s="110">
        <v>0</v>
      </c>
      <c r="AE267" s="110">
        <v>24.69</v>
      </c>
      <c r="AF267" s="110">
        <v>8.5400000000000009</v>
      </c>
      <c r="AG267" s="110">
        <v>0</v>
      </c>
      <c r="AH267" s="110">
        <v>0</v>
      </c>
      <c r="AI267" s="110">
        <v>16.72</v>
      </c>
      <c r="AJ267" s="110">
        <v>0</v>
      </c>
      <c r="AK267" s="110">
        <v>17.86</v>
      </c>
      <c r="AL267" s="110">
        <v>0</v>
      </c>
      <c r="AM267" s="110">
        <v>0</v>
      </c>
      <c r="AN267" s="110">
        <v>18.28</v>
      </c>
      <c r="AO267" s="109"/>
      <c r="AP267" s="110">
        <v>18.490000000000002</v>
      </c>
      <c r="AQ267" s="110">
        <v>10.029999999999999</v>
      </c>
      <c r="AR267" s="110">
        <v>9.9500000000000011</v>
      </c>
      <c r="AS267" s="110">
        <v>0</v>
      </c>
      <c r="AT267" s="110">
        <v>0</v>
      </c>
      <c r="AU267" s="110">
        <v>0</v>
      </c>
      <c r="AV267" s="110">
        <v>0</v>
      </c>
      <c r="AW267" s="110">
        <v>0</v>
      </c>
      <c r="AX267" s="110">
        <v>0</v>
      </c>
      <c r="AY267" s="110">
        <v>0</v>
      </c>
      <c r="AZ267" s="110">
        <v>0</v>
      </c>
      <c r="BA267" s="110">
        <v>0</v>
      </c>
    </row>
    <row r="268" spans="1:53" s="102" customFormat="1" outlineLevel="2">
      <c r="A268" s="102" t="s">
        <v>802</v>
      </c>
      <c r="B268" s="103" t="s">
        <v>803</v>
      </c>
      <c r="C268" s="104" t="s">
        <v>804</v>
      </c>
      <c r="D268" s="298"/>
      <c r="E268" s="299"/>
      <c r="F268" s="105">
        <v>0</v>
      </c>
      <c r="G268" s="105">
        <v>0</v>
      </c>
      <c r="H268" s="106">
        <f t="shared" si="74"/>
        <v>0</v>
      </c>
      <c r="I268" s="300">
        <f t="shared" si="75"/>
        <v>0</v>
      </c>
      <c r="J268" s="107"/>
      <c r="K268" s="105">
        <v>5.3</v>
      </c>
      <c r="L268" s="105">
        <v>0</v>
      </c>
      <c r="M268" s="106">
        <f t="shared" si="76"/>
        <v>5.3</v>
      </c>
      <c r="N268" s="300" t="str">
        <f t="shared" si="77"/>
        <v>N.M.</v>
      </c>
      <c r="O268" s="301"/>
      <c r="P268" s="107"/>
      <c r="Q268" s="105">
        <v>5.3</v>
      </c>
      <c r="R268" s="105">
        <v>0</v>
      </c>
      <c r="S268" s="106">
        <f t="shared" si="78"/>
        <v>5.3</v>
      </c>
      <c r="T268" s="300" t="str">
        <f t="shared" si="79"/>
        <v>N.M.</v>
      </c>
      <c r="U268" s="107"/>
      <c r="V268" s="105">
        <v>5.3</v>
      </c>
      <c r="W268" s="105">
        <v>0</v>
      </c>
      <c r="X268" s="106">
        <f t="shared" si="80"/>
        <v>5.3</v>
      </c>
      <c r="Y268" s="300" t="str">
        <f t="shared" si="81"/>
        <v>N.M.</v>
      </c>
      <c r="Z268" s="302"/>
      <c r="AA268" s="108">
        <v>0</v>
      </c>
      <c r="AB268" s="109"/>
      <c r="AC268" s="110">
        <v>0</v>
      </c>
      <c r="AD268" s="110">
        <v>0</v>
      </c>
      <c r="AE268" s="110">
        <v>0</v>
      </c>
      <c r="AF268" s="110">
        <v>0</v>
      </c>
      <c r="AG268" s="110">
        <v>0</v>
      </c>
      <c r="AH268" s="110">
        <v>0</v>
      </c>
      <c r="AI268" s="110">
        <v>0</v>
      </c>
      <c r="AJ268" s="110">
        <v>0</v>
      </c>
      <c r="AK268" s="110">
        <v>0</v>
      </c>
      <c r="AL268" s="110">
        <v>0</v>
      </c>
      <c r="AM268" s="110">
        <v>0</v>
      </c>
      <c r="AN268" s="110">
        <v>0</v>
      </c>
      <c r="AO268" s="109"/>
      <c r="AP268" s="110">
        <v>5.3</v>
      </c>
      <c r="AQ268" s="110">
        <v>0</v>
      </c>
      <c r="AR268" s="110">
        <v>0</v>
      </c>
      <c r="AS268" s="110">
        <v>0</v>
      </c>
      <c r="AT268" s="110">
        <v>0</v>
      </c>
      <c r="AU268" s="110">
        <v>0</v>
      </c>
      <c r="AV268" s="110">
        <v>0</v>
      </c>
      <c r="AW268" s="110">
        <v>0</v>
      </c>
      <c r="AX268" s="110">
        <v>0</v>
      </c>
      <c r="AY268" s="110">
        <v>0</v>
      </c>
      <c r="AZ268" s="110">
        <v>0</v>
      </c>
      <c r="BA268" s="110">
        <v>0</v>
      </c>
    </row>
    <row r="269" spans="1:53" s="102" customFormat="1" outlineLevel="2">
      <c r="A269" s="102" t="s">
        <v>805</v>
      </c>
      <c r="B269" s="103" t="s">
        <v>806</v>
      </c>
      <c r="C269" s="104" t="s">
        <v>807</v>
      </c>
      <c r="D269" s="298"/>
      <c r="E269" s="299"/>
      <c r="F269" s="105">
        <v>12.51</v>
      </c>
      <c r="G269" s="105">
        <v>0</v>
      </c>
      <c r="H269" s="106">
        <f t="shared" si="74"/>
        <v>12.51</v>
      </c>
      <c r="I269" s="300" t="str">
        <f t="shared" si="75"/>
        <v>N.M.</v>
      </c>
      <c r="J269" s="107"/>
      <c r="K269" s="105">
        <v>12.51</v>
      </c>
      <c r="L269" s="105">
        <v>0</v>
      </c>
      <c r="M269" s="106">
        <f t="shared" si="76"/>
        <v>12.51</v>
      </c>
      <c r="N269" s="300" t="str">
        <f t="shared" si="77"/>
        <v>N.M.</v>
      </c>
      <c r="O269" s="301"/>
      <c r="P269" s="107"/>
      <c r="Q269" s="105">
        <v>12.51</v>
      </c>
      <c r="R269" s="105">
        <v>0</v>
      </c>
      <c r="S269" s="106">
        <f t="shared" si="78"/>
        <v>12.51</v>
      </c>
      <c r="T269" s="300" t="str">
        <f t="shared" si="79"/>
        <v>N.M.</v>
      </c>
      <c r="U269" s="107"/>
      <c r="V269" s="105">
        <v>12.58</v>
      </c>
      <c r="W269" s="105">
        <v>0</v>
      </c>
      <c r="X269" s="106">
        <f t="shared" si="80"/>
        <v>12.58</v>
      </c>
      <c r="Y269" s="300" t="str">
        <f t="shared" si="81"/>
        <v>N.M.</v>
      </c>
      <c r="Z269" s="302"/>
      <c r="AA269" s="108">
        <v>0</v>
      </c>
      <c r="AB269" s="109"/>
      <c r="AC269" s="110">
        <v>0</v>
      </c>
      <c r="AD269" s="110">
        <v>0</v>
      </c>
      <c r="AE269" s="110">
        <v>0</v>
      </c>
      <c r="AF269" s="110">
        <v>0</v>
      </c>
      <c r="AG269" s="110">
        <v>0.01</v>
      </c>
      <c r="AH269" s="110">
        <v>0.02</v>
      </c>
      <c r="AI269" s="110">
        <v>-0.02</v>
      </c>
      <c r="AJ269" s="110">
        <v>-0.01</v>
      </c>
      <c r="AK269" s="110">
        <v>0.03</v>
      </c>
      <c r="AL269" s="110">
        <v>0.05</v>
      </c>
      <c r="AM269" s="110">
        <v>0</v>
      </c>
      <c r="AN269" s="110">
        <v>-0.01</v>
      </c>
      <c r="AO269" s="109"/>
      <c r="AP269" s="110">
        <v>-0.01</v>
      </c>
      <c r="AQ269" s="110">
        <v>0.01</v>
      </c>
      <c r="AR269" s="110">
        <v>12.51</v>
      </c>
      <c r="AS269" s="110">
        <v>0</v>
      </c>
      <c r="AT269" s="110">
        <v>0</v>
      </c>
      <c r="AU269" s="110">
        <v>0</v>
      </c>
      <c r="AV269" s="110">
        <v>0</v>
      </c>
      <c r="AW269" s="110">
        <v>0</v>
      </c>
      <c r="AX269" s="110">
        <v>0</v>
      </c>
      <c r="AY269" s="110">
        <v>0</v>
      </c>
      <c r="AZ269" s="110">
        <v>0</v>
      </c>
      <c r="BA269" s="110">
        <v>0</v>
      </c>
    </row>
    <row r="270" spans="1:53" s="102" customFormat="1" outlineLevel="2">
      <c r="A270" s="102" t="s">
        <v>1713</v>
      </c>
      <c r="B270" s="103" t="s">
        <v>1714</v>
      </c>
      <c r="C270" s="104" t="s">
        <v>1715</v>
      </c>
      <c r="D270" s="298"/>
      <c r="E270" s="299"/>
      <c r="F270" s="105">
        <v>2.96</v>
      </c>
      <c r="G270" s="105">
        <v>0</v>
      </c>
      <c r="H270" s="106">
        <f t="shared" si="74"/>
        <v>2.96</v>
      </c>
      <c r="I270" s="300" t="str">
        <f t="shared" si="75"/>
        <v>N.M.</v>
      </c>
      <c r="J270" s="107"/>
      <c r="K270" s="105">
        <v>6.16</v>
      </c>
      <c r="L270" s="105">
        <v>0</v>
      </c>
      <c r="M270" s="106">
        <f t="shared" si="76"/>
        <v>6.16</v>
      </c>
      <c r="N270" s="300" t="str">
        <f t="shared" si="77"/>
        <v>N.M.</v>
      </c>
      <c r="O270" s="301"/>
      <c r="P270" s="107"/>
      <c r="Q270" s="105">
        <v>6.16</v>
      </c>
      <c r="R270" s="105">
        <v>0</v>
      </c>
      <c r="S270" s="106">
        <f t="shared" si="78"/>
        <v>6.16</v>
      </c>
      <c r="T270" s="300" t="str">
        <f t="shared" si="79"/>
        <v>N.M.</v>
      </c>
      <c r="U270" s="107"/>
      <c r="V270" s="105">
        <v>18.96</v>
      </c>
      <c r="W270" s="105">
        <v>1.73</v>
      </c>
      <c r="X270" s="106">
        <f t="shared" si="80"/>
        <v>17.23</v>
      </c>
      <c r="Y270" s="300">
        <f t="shared" si="81"/>
        <v>9.9595375722543356</v>
      </c>
      <c r="Z270" s="302"/>
      <c r="AA270" s="108">
        <v>1.73</v>
      </c>
      <c r="AB270" s="109"/>
      <c r="AC270" s="110">
        <v>0</v>
      </c>
      <c r="AD270" s="110">
        <v>0</v>
      </c>
      <c r="AE270" s="110">
        <v>0</v>
      </c>
      <c r="AF270" s="110">
        <v>0</v>
      </c>
      <c r="AG270" s="110">
        <v>0</v>
      </c>
      <c r="AH270" s="110">
        <v>0</v>
      </c>
      <c r="AI270" s="110">
        <v>0.17</v>
      </c>
      <c r="AJ270" s="110">
        <v>0</v>
      </c>
      <c r="AK270" s="110">
        <v>5.17</v>
      </c>
      <c r="AL270" s="110">
        <v>0</v>
      </c>
      <c r="AM270" s="110">
        <v>5.65</v>
      </c>
      <c r="AN270" s="110">
        <v>1.81</v>
      </c>
      <c r="AO270" s="109"/>
      <c r="AP270" s="110">
        <v>3.2</v>
      </c>
      <c r="AQ270" s="110">
        <v>0</v>
      </c>
      <c r="AR270" s="110">
        <v>2.96</v>
      </c>
      <c r="AS270" s="110">
        <v>0</v>
      </c>
      <c r="AT270" s="110">
        <v>0</v>
      </c>
      <c r="AU270" s="110">
        <v>0</v>
      </c>
      <c r="AV270" s="110">
        <v>0</v>
      </c>
      <c r="AW270" s="110">
        <v>0</v>
      </c>
      <c r="AX270" s="110">
        <v>0</v>
      </c>
      <c r="AY270" s="110">
        <v>0</v>
      </c>
      <c r="AZ270" s="110">
        <v>0</v>
      </c>
      <c r="BA270" s="110">
        <v>0</v>
      </c>
    </row>
    <row r="271" spans="1:53" s="102" customFormat="1" outlineLevel="2">
      <c r="A271" s="102" t="s">
        <v>808</v>
      </c>
      <c r="B271" s="103" t="s">
        <v>809</v>
      </c>
      <c r="C271" s="104" t="s">
        <v>810</v>
      </c>
      <c r="D271" s="298"/>
      <c r="E271" s="299"/>
      <c r="F271" s="105">
        <v>20.03</v>
      </c>
      <c r="G271" s="105">
        <v>9.91</v>
      </c>
      <c r="H271" s="106">
        <f t="shared" si="74"/>
        <v>10.120000000000001</v>
      </c>
      <c r="I271" s="300">
        <f t="shared" si="75"/>
        <v>1.0211907164480323</v>
      </c>
      <c r="J271" s="107"/>
      <c r="K271" s="105">
        <v>20.420000000000002</v>
      </c>
      <c r="L271" s="105">
        <v>33.94</v>
      </c>
      <c r="M271" s="106">
        <f t="shared" si="76"/>
        <v>-13.519999999999996</v>
      </c>
      <c r="N271" s="300">
        <f t="shared" si="77"/>
        <v>-0.39835002946375947</v>
      </c>
      <c r="O271" s="301"/>
      <c r="P271" s="107"/>
      <c r="Q271" s="105">
        <v>20.420000000000002</v>
      </c>
      <c r="R271" s="105">
        <v>33.94</v>
      </c>
      <c r="S271" s="106">
        <f t="shared" si="78"/>
        <v>-13.519999999999996</v>
      </c>
      <c r="T271" s="300">
        <f t="shared" si="79"/>
        <v>-0.39835002946375947</v>
      </c>
      <c r="U271" s="107"/>
      <c r="V271" s="105">
        <v>286.52000000000004</v>
      </c>
      <c r="W271" s="105">
        <v>112.89</v>
      </c>
      <c r="X271" s="106">
        <f t="shared" si="80"/>
        <v>173.63000000000005</v>
      </c>
      <c r="Y271" s="300">
        <f t="shared" si="81"/>
        <v>1.5380458853751444</v>
      </c>
      <c r="Z271" s="302"/>
      <c r="AA271" s="108">
        <v>0</v>
      </c>
      <c r="AB271" s="109"/>
      <c r="AC271" s="110">
        <v>0</v>
      </c>
      <c r="AD271" s="110">
        <v>24.03</v>
      </c>
      <c r="AE271" s="110">
        <v>9.91</v>
      </c>
      <c r="AF271" s="110">
        <v>7.47</v>
      </c>
      <c r="AG271" s="110">
        <v>28.150000000000002</v>
      </c>
      <c r="AH271" s="110">
        <v>1.85</v>
      </c>
      <c r="AI271" s="110">
        <v>41.51</v>
      </c>
      <c r="AJ271" s="110">
        <v>8.84</v>
      </c>
      <c r="AK271" s="110">
        <v>82.87</v>
      </c>
      <c r="AL271" s="110">
        <v>68.989999999999995</v>
      </c>
      <c r="AM271" s="110">
        <v>26.42</v>
      </c>
      <c r="AN271" s="110">
        <v>0</v>
      </c>
      <c r="AO271" s="109"/>
      <c r="AP271" s="110">
        <v>0.39</v>
      </c>
      <c r="AQ271" s="110">
        <v>0</v>
      </c>
      <c r="AR271" s="110">
        <v>20.03</v>
      </c>
      <c r="AS271" s="110">
        <v>0</v>
      </c>
      <c r="AT271" s="110">
        <v>0</v>
      </c>
      <c r="AU271" s="110">
        <v>0</v>
      </c>
      <c r="AV271" s="110">
        <v>0</v>
      </c>
      <c r="AW271" s="110">
        <v>0</v>
      </c>
      <c r="AX271" s="110">
        <v>0</v>
      </c>
      <c r="AY271" s="110">
        <v>0</v>
      </c>
      <c r="AZ271" s="110">
        <v>0</v>
      </c>
      <c r="BA271" s="110">
        <v>0</v>
      </c>
    </row>
    <row r="272" spans="1:53" s="102" customFormat="1" outlineLevel="2">
      <c r="A272" s="102" t="s">
        <v>811</v>
      </c>
      <c r="B272" s="103" t="s">
        <v>812</v>
      </c>
      <c r="C272" s="104" t="s">
        <v>813</v>
      </c>
      <c r="D272" s="298"/>
      <c r="E272" s="299"/>
      <c r="F272" s="105">
        <v>154.09</v>
      </c>
      <c r="G272" s="105">
        <v>10.73</v>
      </c>
      <c r="H272" s="106">
        <f t="shared" si="74"/>
        <v>143.36000000000001</v>
      </c>
      <c r="I272" s="300" t="str">
        <f t="shared" si="75"/>
        <v>N.M.</v>
      </c>
      <c r="J272" s="107"/>
      <c r="K272" s="105">
        <v>550.06000000000006</v>
      </c>
      <c r="L272" s="105">
        <v>30.37</v>
      </c>
      <c r="M272" s="106">
        <f t="shared" si="76"/>
        <v>519.69000000000005</v>
      </c>
      <c r="N272" s="300" t="str">
        <f t="shared" si="77"/>
        <v>N.M.</v>
      </c>
      <c r="O272" s="301"/>
      <c r="P272" s="107"/>
      <c r="Q272" s="105">
        <v>550.06000000000006</v>
      </c>
      <c r="R272" s="105">
        <v>30.37</v>
      </c>
      <c r="S272" s="106">
        <f t="shared" si="78"/>
        <v>519.69000000000005</v>
      </c>
      <c r="T272" s="300" t="str">
        <f t="shared" si="79"/>
        <v>N.M.</v>
      </c>
      <c r="U272" s="107"/>
      <c r="V272" s="105">
        <v>1282.8600000000001</v>
      </c>
      <c r="W272" s="105">
        <v>1990.49</v>
      </c>
      <c r="X272" s="106">
        <f t="shared" si="80"/>
        <v>-707.62999999999988</v>
      </c>
      <c r="Y272" s="300">
        <f t="shared" si="81"/>
        <v>-0.35550542831162169</v>
      </c>
      <c r="Z272" s="302"/>
      <c r="AA272" s="108">
        <v>1492.21</v>
      </c>
      <c r="AB272" s="109"/>
      <c r="AC272" s="110">
        <v>13.11</v>
      </c>
      <c r="AD272" s="110">
        <v>6.53</v>
      </c>
      <c r="AE272" s="110">
        <v>10.73</v>
      </c>
      <c r="AF272" s="110">
        <v>6.6400000000000006</v>
      </c>
      <c r="AG272" s="110">
        <v>19.98</v>
      </c>
      <c r="AH272" s="110">
        <v>22.95</v>
      </c>
      <c r="AI272" s="110">
        <v>56.11</v>
      </c>
      <c r="AJ272" s="110">
        <v>29.84</v>
      </c>
      <c r="AK272" s="110">
        <v>184.55</v>
      </c>
      <c r="AL272" s="110">
        <v>78.72</v>
      </c>
      <c r="AM272" s="110">
        <v>234.5</v>
      </c>
      <c r="AN272" s="110">
        <v>99.51</v>
      </c>
      <c r="AO272" s="109"/>
      <c r="AP272" s="110">
        <v>102.3</v>
      </c>
      <c r="AQ272" s="110">
        <v>293.67</v>
      </c>
      <c r="AR272" s="110">
        <v>154.09</v>
      </c>
      <c r="AS272" s="110">
        <v>0</v>
      </c>
      <c r="AT272" s="110">
        <v>0</v>
      </c>
      <c r="AU272" s="110">
        <v>0</v>
      </c>
      <c r="AV272" s="110">
        <v>0</v>
      </c>
      <c r="AW272" s="110">
        <v>0</v>
      </c>
      <c r="AX272" s="110">
        <v>0</v>
      </c>
      <c r="AY272" s="110">
        <v>0</v>
      </c>
      <c r="AZ272" s="110">
        <v>0</v>
      </c>
      <c r="BA272" s="110">
        <v>0</v>
      </c>
    </row>
    <row r="273" spans="1:53" s="102" customFormat="1" outlineLevel="2">
      <c r="A273" s="102" t="s">
        <v>814</v>
      </c>
      <c r="B273" s="103" t="s">
        <v>815</v>
      </c>
      <c r="C273" s="104" t="s">
        <v>816</v>
      </c>
      <c r="D273" s="298"/>
      <c r="E273" s="299"/>
      <c r="F273" s="105">
        <v>16.02</v>
      </c>
      <c r="G273" s="105">
        <v>0</v>
      </c>
      <c r="H273" s="106">
        <f t="shared" si="74"/>
        <v>16.02</v>
      </c>
      <c r="I273" s="300" t="str">
        <f t="shared" si="75"/>
        <v>N.M.</v>
      </c>
      <c r="J273" s="107"/>
      <c r="K273" s="105">
        <v>32.54</v>
      </c>
      <c r="L273" s="105">
        <v>0</v>
      </c>
      <c r="M273" s="106">
        <f t="shared" si="76"/>
        <v>32.54</v>
      </c>
      <c r="N273" s="300" t="str">
        <f t="shared" si="77"/>
        <v>N.M.</v>
      </c>
      <c r="O273" s="301"/>
      <c r="P273" s="107"/>
      <c r="Q273" s="105">
        <v>32.54</v>
      </c>
      <c r="R273" s="105">
        <v>0</v>
      </c>
      <c r="S273" s="106">
        <f t="shared" si="78"/>
        <v>32.54</v>
      </c>
      <c r="T273" s="300" t="str">
        <f t="shared" si="79"/>
        <v>N.M.</v>
      </c>
      <c r="U273" s="107"/>
      <c r="V273" s="105">
        <v>146.05000000000001</v>
      </c>
      <c r="W273" s="105">
        <v>14.540000000000001</v>
      </c>
      <c r="X273" s="106">
        <f t="shared" si="80"/>
        <v>131.51000000000002</v>
      </c>
      <c r="Y273" s="300">
        <f t="shared" si="81"/>
        <v>9.0447042640990372</v>
      </c>
      <c r="Z273" s="302"/>
      <c r="AA273" s="108">
        <v>1.37</v>
      </c>
      <c r="AB273" s="109"/>
      <c r="AC273" s="110">
        <v>0</v>
      </c>
      <c r="AD273" s="110">
        <v>0</v>
      </c>
      <c r="AE273" s="110">
        <v>0</v>
      </c>
      <c r="AF273" s="110">
        <v>4.07</v>
      </c>
      <c r="AG273" s="110">
        <v>4.01</v>
      </c>
      <c r="AH273" s="110">
        <v>9.82</v>
      </c>
      <c r="AI273" s="110">
        <v>4.16</v>
      </c>
      <c r="AJ273" s="110">
        <v>37.74</v>
      </c>
      <c r="AK273" s="110">
        <v>-4.95</v>
      </c>
      <c r="AL273" s="110">
        <v>12.19</v>
      </c>
      <c r="AM273" s="110">
        <v>19.11</v>
      </c>
      <c r="AN273" s="110">
        <v>27.36</v>
      </c>
      <c r="AO273" s="109"/>
      <c r="AP273" s="110">
        <v>0.27</v>
      </c>
      <c r="AQ273" s="110">
        <v>16.25</v>
      </c>
      <c r="AR273" s="110">
        <v>16.02</v>
      </c>
      <c r="AS273" s="110">
        <v>0</v>
      </c>
      <c r="AT273" s="110">
        <v>0</v>
      </c>
      <c r="AU273" s="110">
        <v>0</v>
      </c>
      <c r="AV273" s="110">
        <v>0</v>
      </c>
      <c r="AW273" s="110">
        <v>0</v>
      </c>
      <c r="AX273" s="110">
        <v>0</v>
      </c>
      <c r="AY273" s="110">
        <v>0</v>
      </c>
      <c r="AZ273" s="110">
        <v>0</v>
      </c>
      <c r="BA273" s="110">
        <v>0</v>
      </c>
    </row>
    <row r="274" spans="1:53" s="102" customFormat="1" outlineLevel="2">
      <c r="A274" s="102" t="s">
        <v>817</v>
      </c>
      <c r="B274" s="103" t="s">
        <v>818</v>
      </c>
      <c r="C274" s="104" t="s">
        <v>819</v>
      </c>
      <c r="D274" s="298"/>
      <c r="E274" s="299"/>
      <c r="F274" s="105">
        <v>9.85</v>
      </c>
      <c r="G274" s="105">
        <v>3.09</v>
      </c>
      <c r="H274" s="106">
        <f t="shared" si="74"/>
        <v>6.76</v>
      </c>
      <c r="I274" s="300">
        <f t="shared" si="75"/>
        <v>2.1877022653721685</v>
      </c>
      <c r="J274" s="107"/>
      <c r="K274" s="105">
        <v>15.64</v>
      </c>
      <c r="L274" s="105">
        <v>3.09</v>
      </c>
      <c r="M274" s="106">
        <f t="shared" si="76"/>
        <v>12.55</v>
      </c>
      <c r="N274" s="300">
        <f t="shared" si="77"/>
        <v>4.0614886731391593</v>
      </c>
      <c r="O274" s="301"/>
      <c r="P274" s="107"/>
      <c r="Q274" s="105">
        <v>15.64</v>
      </c>
      <c r="R274" s="105">
        <v>3.09</v>
      </c>
      <c r="S274" s="106">
        <f t="shared" si="78"/>
        <v>12.55</v>
      </c>
      <c r="T274" s="300">
        <f t="shared" si="79"/>
        <v>4.0614886731391593</v>
      </c>
      <c r="U274" s="107"/>
      <c r="V274" s="105">
        <v>34.22</v>
      </c>
      <c r="W274" s="105">
        <v>3.17</v>
      </c>
      <c r="X274" s="106">
        <f t="shared" si="80"/>
        <v>31.049999999999997</v>
      </c>
      <c r="Y274" s="300">
        <f t="shared" si="81"/>
        <v>9.7949526813880112</v>
      </c>
      <c r="Z274" s="302"/>
      <c r="AA274" s="108">
        <v>0.08</v>
      </c>
      <c r="AB274" s="109"/>
      <c r="AC274" s="110">
        <v>0</v>
      </c>
      <c r="AD274" s="110">
        <v>0</v>
      </c>
      <c r="AE274" s="110">
        <v>3.09</v>
      </c>
      <c r="AF274" s="110">
        <v>0</v>
      </c>
      <c r="AG274" s="110">
        <v>0.51</v>
      </c>
      <c r="AH274" s="110">
        <v>4.67</v>
      </c>
      <c r="AI274" s="110">
        <v>0.75</v>
      </c>
      <c r="AJ274" s="110">
        <v>0</v>
      </c>
      <c r="AK274" s="110">
        <v>2.89</v>
      </c>
      <c r="AL274" s="110">
        <v>2.4</v>
      </c>
      <c r="AM274" s="110">
        <v>5.65</v>
      </c>
      <c r="AN274" s="110">
        <v>1.71</v>
      </c>
      <c r="AO274" s="109"/>
      <c r="AP274" s="110">
        <v>4.2</v>
      </c>
      <c r="AQ274" s="110">
        <v>1.59</v>
      </c>
      <c r="AR274" s="110">
        <v>9.85</v>
      </c>
      <c r="AS274" s="110">
        <v>0</v>
      </c>
      <c r="AT274" s="110">
        <v>0</v>
      </c>
      <c r="AU274" s="110">
        <v>0</v>
      </c>
      <c r="AV274" s="110">
        <v>0</v>
      </c>
      <c r="AW274" s="110">
        <v>0</v>
      </c>
      <c r="AX274" s="110">
        <v>0</v>
      </c>
      <c r="AY274" s="110">
        <v>0</v>
      </c>
      <c r="AZ274" s="110">
        <v>0</v>
      </c>
      <c r="BA274" s="110">
        <v>0</v>
      </c>
    </row>
    <row r="275" spans="1:53" s="102" customFormat="1" outlineLevel="2">
      <c r="A275" s="102" t="s">
        <v>820</v>
      </c>
      <c r="B275" s="103" t="s">
        <v>821</v>
      </c>
      <c r="C275" s="104" t="s">
        <v>822</v>
      </c>
      <c r="D275" s="298"/>
      <c r="E275" s="299"/>
      <c r="F275" s="105">
        <v>28.84</v>
      </c>
      <c r="G275" s="105">
        <v>0</v>
      </c>
      <c r="H275" s="106">
        <f t="shared" si="74"/>
        <v>28.84</v>
      </c>
      <c r="I275" s="300" t="str">
        <f t="shared" si="75"/>
        <v>N.M.</v>
      </c>
      <c r="J275" s="107"/>
      <c r="K275" s="105">
        <v>38.119999999999997</v>
      </c>
      <c r="L275" s="105">
        <v>0</v>
      </c>
      <c r="M275" s="106">
        <f t="shared" si="76"/>
        <v>38.119999999999997</v>
      </c>
      <c r="N275" s="300" t="str">
        <f t="shared" si="77"/>
        <v>N.M.</v>
      </c>
      <c r="O275" s="301"/>
      <c r="P275" s="107"/>
      <c r="Q275" s="105">
        <v>38.119999999999997</v>
      </c>
      <c r="R275" s="105">
        <v>0</v>
      </c>
      <c r="S275" s="106">
        <f t="shared" si="78"/>
        <v>38.119999999999997</v>
      </c>
      <c r="T275" s="300" t="str">
        <f t="shared" si="79"/>
        <v>N.M.</v>
      </c>
      <c r="U275" s="107"/>
      <c r="V275" s="105">
        <v>46.839999999999996</v>
      </c>
      <c r="W275" s="105">
        <v>0</v>
      </c>
      <c r="X275" s="106">
        <f t="shared" si="80"/>
        <v>46.839999999999996</v>
      </c>
      <c r="Y275" s="300" t="str">
        <f t="shared" si="81"/>
        <v>N.M.</v>
      </c>
      <c r="Z275" s="302"/>
      <c r="AA275" s="108">
        <v>0</v>
      </c>
      <c r="AB275" s="109"/>
      <c r="AC275" s="110">
        <v>0</v>
      </c>
      <c r="AD275" s="110">
        <v>0</v>
      </c>
      <c r="AE275" s="110">
        <v>0</v>
      </c>
      <c r="AF275" s="110">
        <v>0</v>
      </c>
      <c r="AG275" s="110">
        <v>1.1500000000000001</v>
      </c>
      <c r="AH275" s="110">
        <v>0</v>
      </c>
      <c r="AI275" s="110">
        <v>0</v>
      </c>
      <c r="AJ275" s="110">
        <v>1.6400000000000001</v>
      </c>
      <c r="AK275" s="110">
        <v>-0.31</v>
      </c>
      <c r="AL275" s="110">
        <v>0</v>
      </c>
      <c r="AM275" s="110">
        <v>0</v>
      </c>
      <c r="AN275" s="110">
        <v>6.24</v>
      </c>
      <c r="AO275" s="109"/>
      <c r="AP275" s="110">
        <v>9.2799999999999994</v>
      </c>
      <c r="AQ275" s="110">
        <v>0</v>
      </c>
      <c r="AR275" s="110">
        <v>28.84</v>
      </c>
      <c r="AS275" s="110">
        <v>0</v>
      </c>
      <c r="AT275" s="110">
        <v>0</v>
      </c>
      <c r="AU275" s="110">
        <v>0</v>
      </c>
      <c r="AV275" s="110">
        <v>0</v>
      </c>
      <c r="AW275" s="110">
        <v>0</v>
      </c>
      <c r="AX275" s="110">
        <v>0</v>
      </c>
      <c r="AY275" s="110">
        <v>0</v>
      </c>
      <c r="AZ275" s="110">
        <v>0</v>
      </c>
      <c r="BA275" s="110">
        <v>0</v>
      </c>
    </row>
    <row r="276" spans="1:53" s="102" customFormat="1" outlineLevel="2">
      <c r="A276" s="102" t="s">
        <v>823</v>
      </c>
      <c r="B276" s="103" t="s">
        <v>824</v>
      </c>
      <c r="C276" s="104" t="s">
        <v>825</v>
      </c>
      <c r="D276" s="298"/>
      <c r="E276" s="299"/>
      <c r="F276" s="105">
        <v>0</v>
      </c>
      <c r="G276" s="105">
        <v>10.59</v>
      </c>
      <c r="H276" s="106">
        <f t="shared" si="74"/>
        <v>-10.59</v>
      </c>
      <c r="I276" s="300" t="str">
        <f t="shared" si="75"/>
        <v>N.M.</v>
      </c>
      <c r="J276" s="107"/>
      <c r="K276" s="105">
        <v>30.69</v>
      </c>
      <c r="L276" s="105">
        <v>10.59</v>
      </c>
      <c r="M276" s="106">
        <f t="shared" si="76"/>
        <v>20.100000000000001</v>
      </c>
      <c r="N276" s="300">
        <f t="shared" si="77"/>
        <v>1.898016997167139</v>
      </c>
      <c r="O276" s="301"/>
      <c r="P276" s="107"/>
      <c r="Q276" s="105">
        <v>30.69</v>
      </c>
      <c r="R276" s="105">
        <v>10.59</v>
      </c>
      <c r="S276" s="106">
        <f t="shared" si="78"/>
        <v>20.100000000000001</v>
      </c>
      <c r="T276" s="300">
        <f t="shared" si="79"/>
        <v>1.898016997167139</v>
      </c>
      <c r="U276" s="107"/>
      <c r="V276" s="105">
        <v>157.14000000000001</v>
      </c>
      <c r="W276" s="105">
        <v>28.830000000000002</v>
      </c>
      <c r="X276" s="106">
        <f t="shared" si="80"/>
        <v>128.31</v>
      </c>
      <c r="Y276" s="300">
        <f t="shared" si="81"/>
        <v>4.4505723204994796</v>
      </c>
      <c r="Z276" s="302"/>
      <c r="AA276" s="108">
        <v>12.4</v>
      </c>
      <c r="AB276" s="109"/>
      <c r="AC276" s="110">
        <v>0</v>
      </c>
      <c r="AD276" s="110">
        <v>0</v>
      </c>
      <c r="AE276" s="110">
        <v>10.59</v>
      </c>
      <c r="AF276" s="110">
        <v>5.2700000000000005</v>
      </c>
      <c r="AG276" s="110">
        <v>2.62</v>
      </c>
      <c r="AH276" s="110">
        <v>2.9</v>
      </c>
      <c r="AI276" s="110">
        <v>8.14</v>
      </c>
      <c r="AJ276" s="110">
        <v>24.51</v>
      </c>
      <c r="AK276" s="110">
        <v>-2.65</v>
      </c>
      <c r="AL276" s="110">
        <v>21.79</v>
      </c>
      <c r="AM276" s="110">
        <v>38.5</v>
      </c>
      <c r="AN276" s="110">
        <v>25.37</v>
      </c>
      <c r="AO276" s="109"/>
      <c r="AP276" s="110">
        <v>8.68</v>
      </c>
      <c r="AQ276" s="110">
        <v>22.01</v>
      </c>
      <c r="AR276" s="110">
        <v>0</v>
      </c>
      <c r="AS276" s="110">
        <v>0</v>
      </c>
      <c r="AT276" s="110">
        <v>0</v>
      </c>
      <c r="AU276" s="110">
        <v>0</v>
      </c>
      <c r="AV276" s="110">
        <v>0</v>
      </c>
      <c r="AW276" s="110">
        <v>0</v>
      </c>
      <c r="AX276" s="110">
        <v>0</v>
      </c>
      <c r="AY276" s="110">
        <v>0</v>
      </c>
      <c r="AZ276" s="110">
        <v>0</v>
      </c>
      <c r="BA276" s="110">
        <v>0</v>
      </c>
    </row>
    <row r="277" spans="1:53" s="102" customFormat="1" outlineLevel="2">
      <c r="A277" s="102" t="s">
        <v>826</v>
      </c>
      <c r="B277" s="103" t="s">
        <v>827</v>
      </c>
      <c r="C277" s="104" t="s">
        <v>828</v>
      </c>
      <c r="D277" s="298"/>
      <c r="E277" s="299"/>
      <c r="F277" s="105">
        <v>1.97</v>
      </c>
      <c r="G277" s="105">
        <v>0</v>
      </c>
      <c r="H277" s="106">
        <f t="shared" si="74"/>
        <v>1.97</v>
      </c>
      <c r="I277" s="300" t="str">
        <f t="shared" si="75"/>
        <v>N.M.</v>
      </c>
      <c r="J277" s="107"/>
      <c r="K277" s="105">
        <v>1.97</v>
      </c>
      <c r="L277" s="105">
        <v>0</v>
      </c>
      <c r="M277" s="106">
        <f t="shared" si="76"/>
        <v>1.97</v>
      </c>
      <c r="N277" s="300" t="str">
        <f t="shared" si="77"/>
        <v>N.M.</v>
      </c>
      <c r="O277" s="301"/>
      <c r="P277" s="107"/>
      <c r="Q277" s="105">
        <v>1.97</v>
      </c>
      <c r="R277" s="105">
        <v>0</v>
      </c>
      <c r="S277" s="106">
        <f t="shared" si="78"/>
        <v>1.97</v>
      </c>
      <c r="T277" s="300" t="str">
        <f t="shared" si="79"/>
        <v>N.M.</v>
      </c>
      <c r="U277" s="107"/>
      <c r="V277" s="105">
        <v>28.53</v>
      </c>
      <c r="W277" s="105">
        <v>0</v>
      </c>
      <c r="X277" s="106">
        <f t="shared" si="80"/>
        <v>28.53</v>
      </c>
      <c r="Y277" s="300" t="str">
        <f t="shared" si="81"/>
        <v>N.M.</v>
      </c>
      <c r="Z277" s="302"/>
      <c r="AA277" s="108">
        <v>0</v>
      </c>
      <c r="AB277" s="109"/>
      <c r="AC277" s="110">
        <v>0</v>
      </c>
      <c r="AD277" s="110">
        <v>0</v>
      </c>
      <c r="AE277" s="110">
        <v>0</v>
      </c>
      <c r="AF277" s="110">
        <v>0.78</v>
      </c>
      <c r="AG277" s="110">
        <v>0</v>
      </c>
      <c r="AH277" s="110">
        <v>10.67</v>
      </c>
      <c r="AI277" s="110">
        <v>0</v>
      </c>
      <c r="AJ277" s="110">
        <v>2.68</v>
      </c>
      <c r="AK277" s="110">
        <v>2.34</v>
      </c>
      <c r="AL277" s="110">
        <v>4.22</v>
      </c>
      <c r="AM277" s="110">
        <v>2.92</v>
      </c>
      <c r="AN277" s="110">
        <v>2.95</v>
      </c>
      <c r="AO277" s="109"/>
      <c r="AP277" s="110">
        <v>0</v>
      </c>
      <c r="AQ277" s="110">
        <v>0</v>
      </c>
      <c r="AR277" s="110">
        <v>1.97</v>
      </c>
      <c r="AS277" s="110">
        <v>0</v>
      </c>
      <c r="AT277" s="110">
        <v>0</v>
      </c>
      <c r="AU277" s="110">
        <v>0</v>
      </c>
      <c r="AV277" s="110">
        <v>0</v>
      </c>
      <c r="AW277" s="110">
        <v>0</v>
      </c>
      <c r="AX277" s="110">
        <v>0</v>
      </c>
      <c r="AY277" s="110">
        <v>0</v>
      </c>
      <c r="AZ277" s="110">
        <v>0</v>
      </c>
      <c r="BA277" s="110">
        <v>0</v>
      </c>
    </row>
    <row r="278" spans="1:53" s="102" customFormat="1" outlineLevel="2">
      <c r="A278" s="102" t="s">
        <v>829</v>
      </c>
      <c r="B278" s="103" t="s">
        <v>830</v>
      </c>
      <c r="C278" s="104" t="s">
        <v>831</v>
      </c>
      <c r="D278" s="298"/>
      <c r="E278" s="299"/>
      <c r="F278" s="105">
        <v>182.34</v>
      </c>
      <c r="G278" s="105">
        <v>31</v>
      </c>
      <c r="H278" s="106">
        <f t="shared" si="74"/>
        <v>151.34</v>
      </c>
      <c r="I278" s="300">
        <f t="shared" si="75"/>
        <v>4.8819354838709677</v>
      </c>
      <c r="J278" s="107"/>
      <c r="K278" s="105">
        <v>588.5</v>
      </c>
      <c r="L278" s="105">
        <v>42.59</v>
      </c>
      <c r="M278" s="106">
        <f t="shared" si="76"/>
        <v>545.91</v>
      </c>
      <c r="N278" s="300" t="str">
        <f t="shared" si="77"/>
        <v>N.M.</v>
      </c>
      <c r="O278" s="301"/>
      <c r="P278" s="107"/>
      <c r="Q278" s="105">
        <v>588.5</v>
      </c>
      <c r="R278" s="105">
        <v>42.59</v>
      </c>
      <c r="S278" s="106">
        <f t="shared" si="78"/>
        <v>545.91</v>
      </c>
      <c r="T278" s="300" t="str">
        <f t="shared" si="79"/>
        <v>N.M.</v>
      </c>
      <c r="U278" s="107"/>
      <c r="V278" s="105">
        <v>2114.75</v>
      </c>
      <c r="W278" s="105">
        <v>664.11</v>
      </c>
      <c r="X278" s="106">
        <f t="shared" si="80"/>
        <v>1450.6399999999999</v>
      </c>
      <c r="Y278" s="300">
        <f t="shared" si="81"/>
        <v>2.1843369321347366</v>
      </c>
      <c r="Z278" s="302"/>
      <c r="AA278" s="108">
        <v>10.040000000000001</v>
      </c>
      <c r="AB278" s="109"/>
      <c r="AC278" s="110">
        <v>0</v>
      </c>
      <c r="AD278" s="110">
        <v>11.59</v>
      </c>
      <c r="AE278" s="110">
        <v>31</v>
      </c>
      <c r="AF278" s="110">
        <v>19.740000000000002</v>
      </c>
      <c r="AG278" s="110">
        <v>60.76</v>
      </c>
      <c r="AH278" s="110">
        <v>125.25</v>
      </c>
      <c r="AI278" s="110">
        <v>151.80000000000001</v>
      </c>
      <c r="AJ278" s="110">
        <v>95.03</v>
      </c>
      <c r="AK278" s="110">
        <v>191.99</v>
      </c>
      <c r="AL278" s="110">
        <v>263.56</v>
      </c>
      <c r="AM278" s="110">
        <v>464.07</v>
      </c>
      <c r="AN278" s="110">
        <v>154.05000000000001</v>
      </c>
      <c r="AO278" s="109"/>
      <c r="AP278" s="110">
        <v>335.87</v>
      </c>
      <c r="AQ278" s="110">
        <v>70.290000000000006</v>
      </c>
      <c r="AR278" s="110">
        <v>182.34</v>
      </c>
      <c r="AS278" s="110">
        <v>0</v>
      </c>
      <c r="AT278" s="110">
        <v>0</v>
      </c>
      <c r="AU278" s="110">
        <v>0</v>
      </c>
      <c r="AV278" s="110">
        <v>0</v>
      </c>
      <c r="AW278" s="110">
        <v>0</v>
      </c>
      <c r="AX278" s="110">
        <v>0</v>
      </c>
      <c r="AY278" s="110">
        <v>0</v>
      </c>
      <c r="AZ278" s="110">
        <v>0</v>
      </c>
      <c r="BA278" s="110">
        <v>0</v>
      </c>
    </row>
    <row r="279" spans="1:53" s="102" customFormat="1" outlineLevel="2">
      <c r="A279" s="102" t="s">
        <v>1716</v>
      </c>
      <c r="B279" s="103" t="s">
        <v>1717</v>
      </c>
      <c r="C279" s="104" t="s">
        <v>1718</v>
      </c>
      <c r="D279" s="298"/>
      <c r="E279" s="299"/>
      <c r="F279" s="105">
        <v>0</v>
      </c>
      <c r="G279" s="105">
        <v>0</v>
      </c>
      <c r="H279" s="106">
        <f t="shared" si="74"/>
        <v>0</v>
      </c>
      <c r="I279" s="300">
        <f t="shared" si="75"/>
        <v>0</v>
      </c>
      <c r="J279" s="107"/>
      <c r="K279" s="105">
        <v>0</v>
      </c>
      <c r="L279" s="105">
        <v>0</v>
      </c>
      <c r="M279" s="106">
        <f t="shared" si="76"/>
        <v>0</v>
      </c>
      <c r="N279" s="300">
        <f t="shared" si="77"/>
        <v>0</v>
      </c>
      <c r="O279" s="301"/>
      <c r="P279" s="107"/>
      <c r="Q279" s="105">
        <v>0</v>
      </c>
      <c r="R279" s="105">
        <v>0</v>
      </c>
      <c r="S279" s="106">
        <f t="shared" si="78"/>
        <v>0</v>
      </c>
      <c r="T279" s="300">
        <f t="shared" si="79"/>
        <v>0</v>
      </c>
      <c r="U279" s="107"/>
      <c r="V279" s="105">
        <v>87.320000000000007</v>
      </c>
      <c r="W279" s="105">
        <v>0</v>
      </c>
      <c r="X279" s="106">
        <f t="shared" si="80"/>
        <v>87.320000000000007</v>
      </c>
      <c r="Y279" s="300" t="str">
        <f t="shared" si="81"/>
        <v>N.M.</v>
      </c>
      <c r="Z279" s="302"/>
      <c r="AA279" s="108">
        <v>0</v>
      </c>
      <c r="AB279" s="109"/>
      <c r="AC279" s="110">
        <v>0</v>
      </c>
      <c r="AD279" s="110">
        <v>0</v>
      </c>
      <c r="AE279" s="110">
        <v>0</v>
      </c>
      <c r="AF279" s="110">
        <v>0</v>
      </c>
      <c r="AG279" s="110">
        <v>0</v>
      </c>
      <c r="AH279" s="110">
        <v>0</v>
      </c>
      <c r="AI279" s="110">
        <v>25.32</v>
      </c>
      <c r="AJ279" s="110">
        <v>0</v>
      </c>
      <c r="AK279" s="110">
        <v>54.33</v>
      </c>
      <c r="AL279" s="110">
        <v>7.67</v>
      </c>
      <c r="AM279" s="110">
        <v>0</v>
      </c>
      <c r="AN279" s="110">
        <v>0</v>
      </c>
      <c r="AO279" s="109"/>
      <c r="AP279" s="110">
        <v>0</v>
      </c>
      <c r="AQ279" s="110">
        <v>0</v>
      </c>
      <c r="AR279" s="110">
        <v>0</v>
      </c>
      <c r="AS279" s="110">
        <v>0</v>
      </c>
      <c r="AT279" s="110">
        <v>0</v>
      </c>
      <c r="AU279" s="110">
        <v>0</v>
      </c>
      <c r="AV279" s="110">
        <v>0</v>
      </c>
      <c r="AW279" s="110">
        <v>0</v>
      </c>
      <c r="AX279" s="110">
        <v>0</v>
      </c>
      <c r="AY279" s="110">
        <v>0</v>
      </c>
      <c r="AZ279" s="110">
        <v>0</v>
      </c>
      <c r="BA279" s="110">
        <v>0</v>
      </c>
    </row>
    <row r="280" spans="1:53" s="102" customFormat="1" outlineLevel="2">
      <c r="A280" s="102" t="s">
        <v>832</v>
      </c>
      <c r="B280" s="103" t="s">
        <v>833</v>
      </c>
      <c r="C280" s="104" t="s">
        <v>834</v>
      </c>
      <c r="D280" s="298"/>
      <c r="E280" s="299"/>
      <c r="F280" s="105">
        <v>44.37</v>
      </c>
      <c r="G280" s="105">
        <v>9.49</v>
      </c>
      <c r="H280" s="106">
        <f t="shared" si="74"/>
        <v>34.879999999999995</v>
      </c>
      <c r="I280" s="300">
        <f t="shared" si="75"/>
        <v>3.675447839831401</v>
      </c>
      <c r="J280" s="107"/>
      <c r="K280" s="105">
        <v>44.37</v>
      </c>
      <c r="L280" s="105">
        <v>9.49</v>
      </c>
      <c r="M280" s="106">
        <f t="shared" si="76"/>
        <v>34.879999999999995</v>
      </c>
      <c r="N280" s="300">
        <f t="shared" si="77"/>
        <v>3.675447839831401</v>
      </c>
      <c r="O280" s="301"/>
      <c r="P280" s="107"/>
      <c r="Q280" s="105">
        <v>44.37</v>
      </c>
      <c r="R280" s="105">
        <v>9.49</v>
      </c>
      <c r="S280" s="106">
        <f t="shared" si="78"/>
        <v>34.879999999999995</v>
      </c>
      <c r="T280" s="300">
        <f t="shared" si="79"/>
        <v>3.675447839831401</v>
      </c>
      <c r="U280" s="107"/>
      <c r="V280" s="105">
        <v>158.96</v>
      </c>
      <c r="W280" s="105">
        <v>9.49</v>
      </c>
      <c r="X280" s="106">
        <f t="shared" si="80"/>
        <v>149.47</v>
      </c>
      <c r="Y280" s="300" t="str">
        <f t="shared" si="81"/>
        <v>N.M.</v>
      </c>
      <c r="Z280" s="302"/>
      <c r="AA280" s="108">
        <v>0</v>
      </c>
      <c r="AB280" s="109"/>
      <c r="AC280" s="110">
        <v>0</v>
      </c>
      <c r="AD280" s="110">
        <v>0</v>
      </c>
      <c r="AE280" s="110">
        <v>9.49</v>
      </c>
      <c r="AF280" s="110">
        <v>0</v>
      </c>
      <c r="AG280" s="110">
        <v>33.86</v>
      </c>
      <c r="AH280" s="110">
        <v>0.53</v>
      </c>
      <c r="AI280" s="110">
        <v>1.1599999999999999</v>
      </c>
      <c r="AJ280" s="110">
        <v>9.52</v>
      </c>
      <c r="AK280" s="110">
        <v>-3.5700000000000003</v>
      </c>
      <c r="AL280" s="110">
        <v>12.120000000000001</v>
      </c>
      <c r="AM280" s="110">
        <v>60.97</v>
      </c>
      <c r="AN280" s="110">
        <v>0</v>
      </c>
      <c r="AO280" s="109"/>
      <c r="AP280" s="110">
        <v>0</v>
      </c>
      <c r="AQ280" s="110">
        <v>0</v>
      </c>
      <c r="AR280" s="110">
        <v>44.37</v>
      </c>
      <c r="AS280" s="110">
        <v>0</v>
      </c>
      <c r="AT280" s="110">
        <v>0</v>
      </c>
      <c r="AU280" s="110">
        <v>0</v>
      </c>
      <c r="AV280" s="110">
        <v>0</v>
      </c>
      <c r="AW280" s="110">
        <v>0</v>
      </c>
      <c r="AX280" s="110">
        <v>0</v>
      </c>
      <c r="AY280" s="110">
        <v>0</v>
      </c>
      <c r="AZ280" s="110">
        <v>0</v>
      </c>
      <c r="BA280" s="110">
        <v>0</v>
      </c>
    </row>
    <row r="281" spans="1:53" s="102" customFormat="1" outlineLevel="2">
      <c r="A281" s="102" t="s">
        <v>835</v>
      </c>
      <c r="B281" s="103" t="s">
        <v>836</v>
      </c>
      <c r="C281" s="104" t="s">
        <v>837</v>
      </c>
      <c r="D281" s="298"/>
      <c r="E281" s="299"/>
      <c r="F281" s="105">
        <v>0</v>
      </c>
      <c r="G281" s="105">
        <v>0</v>
      </c>
      <c r="H281" s="106">
        <f t="shared" si="74"/>
        <v>0</v>
      </c>
      <c r="I281" s="300">
        <f t="shared" si="75"/>
        <v>0</v>
      </c>
      <c r="J281" s="107"/>
      <c r="K281" s="105">
        <v>0</v>
      </c>
      <c r="L281" s="105">
        <v>91.36</v>
      </c>
      <c r="M281" s="106">
        <f t="shared" si="76"/>
        <v>-91.36</v>
      </c>
      <c r="N281" s="300" t="str">
        <f t="shared" si="77"/>
        <v>N.M.</v>
      </c>
      <c r="O281" s="301"/>
      <c r="P281" s="107"/>
      <c r="Q281" s="105">
        <v>0</v>
      </c>
      <c r="R281" s="105">
        <v>91.36</v>
      </c>
      <c r="S281" s="106">
        <f t="shared" si="78"/>
        <v>-91.36</v>
      </c>
      <c r="T281" s="300" t="str">
        <f t="shared" si="79"/>
        <v>N.M.</v>
      </c>
      <c r="U281" s="107"/>
      <c r="V281" s="105">
        <v>53.47</v>
      </c>
      <c r="W281" s="105">
        <v>447.78000000000003</v>
      </c>
      <c r="X281" s="106">
        <f t="shared" si="80"/>
        <v>-394.31000000000006</v>
      </c>
      <c r="Y281" s="300">
        <f t="shared" si="81"/>
        <v>-0.88058868194202522</v>
      </c>
      <c r="Z281" s="302"/>
      <c r="AA281" s="108">
        <v>0</v>
      </c>
      <c r="AB281" s="109"/>
      <c r="AC281" s="110">
        <v>0</v>
      </c>
      <c r="AD281" s="110">
        <v>91.36</v>
      </c>
      <c r="AE281" s="110">
        <v>0</v>
      </c>
      <c r="AF281" s="110">
        <v>0</v>
      </c>
      <c r="AG281" s="110">
        <v>0</v>
      </c>
      <c r="AH281" s="110">
        <v>44.02</v>
      </c>
      <c r="AI281" s="110">
        <v>0</v>
      </c>
      <c r="AJ281" s="110">
        <v>0</v>
      </c>
      <c r="AK281" s="110">
        <v>7.11</v>
      </c>
      <c r="AL281" s="110">
        <v>2.34</v>
      </c>
      <c r="AM281" s="110">
        <v>0</v>
      </c>
      <c r="AN281" s="110">
        <v>0</v>
      </c>
      <c r="AO281" s="109"/>
      <c r="AP281" s="110">
        <v>0</v>
      </c>
      <c r="AQ281" s="110">
        <v>0</v>
      </c>
      <c r="AR281" s="110">
        <v>0</v>
      </c>
      <c r="AS281" s="110">
        <v>0</v>
      </c>
      <c r="AT281" s="110">
        <v>0</v>
      </c>
      <c r="AU281" s="110">
        <v>0</v>
      </c>
      <c r="AV281" s="110">
        <v>0</v>
      </c>
      <c r="AW281" s="110">
        <v>0</v>
      </c>
      <c r="AX281" s="110">
        <v>0</v>
      </c>
      <c r="AY281" s="110">
        <v>0</v>
      </c>
      <c r="AZ281" s="110">
        <v>0</v>
      </c>
      <c r="BA281" s="110">
        <v>0</v>
      </c>
    </row>
    <row r="282" spans="1:53" s="102" customFormat="1" outlineLevel="2">
      <c r="A282" s="102" t="s">
        <v>838</v>
      </c>
      <c r="B282" s="103" t="s">
        <v>839</v>
      </c>
      <c r="C282" s="104" t="s">
        <v>840</v>
      </c>
      <c r="D282" s="298"/>
      <c r="E282" s="299"/>
      <c r="F282" s="105">
        <v>0.69000000000000006</v>
      </c>
      <c r="G282" s="105">
        <v>0</v>
      </c>
      <c r="H282" s="106">
        <f t="shared" si="74"/>
        <v>0.69000000000000006</v>
      </c>
      <c r="I282" s="300" t="str">
        <f t="shared" si="75"/>
        <v>N.M.</v>
      </c>
      <c r="J282" s="107"/>
      <c r="K282" s="105">
        <v>1.67</v>
      </c>
      <c r="L282" s="105">
        <v>1.52</v>
      </c>
      <c r="M282" s="106">
        <f t="shared" si="76"/>
        <v>0.14999999999999991</v>
      </c>
      <c r="N282" s="300">
        <f t="shared" si="77"/>
        <v>9.8684210526315735E-2</v>
      </c>
      <c r="O282" s="301"/>
      <c r="P282" s="107"/>
      <c r="Q282" s="105">
        <v>1.67</v>
      </c>
      <c r="R282" s="105">
        <v>1.52</v>
      </c>
      <c r="S282" s="106">
        <f t="shared" si="78"/>
        <v>0.14999999999999991</v>
      </c>
      <c r="T282" s="300">
        <f t="shared" si="79"/>
        <v>9.8684210526315735E-2</v>
      </c>
      <c r="U282" s="107"/>
      <c r="V282" s="105">
        <v>21.369999999999997</v>
      </c>
      <c r="W282" s="105">
        <v>42.010000000000005</v>
      </c>
      <c r="X282" s="106">
        <f t="shared" si="80"/>
        <v>-20.640000000000008</v>
      </c>
      <c r="Y282" s="300">
        <f t="shared" si="81"/>
        <v>-0.49131159247798156</v>
      </c>
      <c r="Z282" s="302"/>
      <c r="AA282" s="108">
        <v>25.19</v>
      </c>
      <c r="AB282" s="109"/>
      <c r="AC282" s="110">
        <v>0</v>
      </c>
      <c r="AD282" s="110">
        <v>1.52</v>
      </c>
      <c r="AE282" s="110">
        <v>0</v>
      </c>
      <c r="AF282" s="110">
        <v>2.85</v>
      </c>
      <c r="AG282" s="110">
        <v>1.75</v>
      </c>
      <c r="AH282" s="110">
        <v>1.7</v>
      </c>
      <c r="AI282" s="110">
        <v>1.53</v>
      </c>
      <c r="AJ282" s="110">
        <v>6.43</v>
      </c>
      <c r="AK282" s="110">
        <v>-0.45</v>
      </c>
      <c r="AL282" s="110">
        <v>3.5300000000000002</v>
      </c>
      <c r="AM282" s="110">
        <v>0.42</v>
      </c>
      <c r="AN282" s="110">
        <v>1.94</v>
      </c>
      <c r="AO282" s="109"/>
      <c r="AP282" s="110">
        <v>0.98</v>
      </c>
      <c r="AQ282" s="110">
        <v>0</v>
      </c>
      <c r="AR282" s="110">
        <v>0.69000000000000006</v>
      </c>
      <c r="AS282" s="110">
        <v>0</v>
      </c>
      <c r="AT282" s="110">
        <v>0</v>
      </c>
      <c r="AU282" s="110">
        <v>0</v>
      </c>
      <c r="AV282" s="110">
        <v>0</v>
      </c>
      <c r="AW282" s="110">
        <v>0</v>
      </c>
      <c r="AX282" s="110">
        <v>0</v>
      </c>
      <c r="AY282" s="110">
        <v>0</v>
      </c>
      <c r="AZ282" s="110">
        <v>0</v>
      </c>
      <c r="BA282" s="110">
        <v>0</v>
      </c>
    </row>
    <row r="283" spans="1:53" s="102" customFormat="1" outlineLevel="2">
      <c r="A283" s="102" t="s">
        <v>841</v>
      </c>
      <c r="B283" s="103" t="s">
        <v>842</v>
      </c>
      <c r="C283" s="104" t="s">
        <v>843</v>
      </c>
      <c r="D283" s="298"/>
      <c r="E283" s="299"/>
      <c r="F283" s="105">
        <v>0</v>
      </c>
      <c r="G283" s="105">
        <v>0</v>
      </c>
      <c r="H283" s="106">
        <f t="shared" si="74"/>
        <v>0</v>
      </c>
      <c r="I283" s="300">
        <f t="shared" si="75"/>
        <v>0</v>
      </c>
      <c r="J283" s="107"/>
      <c r="K283" s="105">
        <v>8.1300000000000008</v>
      </c>
      <c r="L283" s="105">
        <v>0</v>
      </c>
      <c r="M283" s="106">
        <f t="shared" si="76"/>
        <v>8.1300000000000008</v>
      </c>
      <c r="N283" s="300" t="str">
        <f t="shared" si="77"/>
        <v>N.M.</v>
      </c>
      <c r="O283" s="301"/>
      <c r="P283" s="107"/>
      <c r="Q283" s="105">
        <v>8.1300000000000008</v>
      </c>
      <c r="R283" s="105">
        <v>0</v>
      </c>
      <c r="S283" s="106">
        <f t="shared" si="78"/>
        <v>8.1300000000000008</v>
      </c>
      <c r="T283" s="300" t="str">
        <f t="shared" si="79"/>
        <v>N.M.</v>
      </c>
      <c r="U283" s="107"/>
      <c r="V283" s="105">
        <v>60.77</v>
      </c>
      <c r="W283" s="105">
        <v>18.650000000000002</v>
      </c>
      <c r="X283" s="106">
        <f t="shared" si="80"/>
        <v>42.120000000000005</v>
      </c>
      <c r="Y283" s="300">
        <f t="shared" si="81"/>
        <v>2.2584450402144771</v>
      </c>
      <c r="Z283" s="302"/>
      <c r="AA283" s="108">
        <v>0</v>
      </c>
      <c r="AB283" s="109"/>
      <c r="AC283" s="110">
        <v>0</v>
      </c>
      <c r="AD283" s="110">
        <v>0</v>
      </c>
      <c r="AE283" s="110">
        <v>0</v>
      </c>
      <c r="AF283" s="110">
        <v>0</v>
      </c>
      <c r="AG283" s="110">
        <v>19.07</v>
      </c>
      <c r="AH283" s="110">
        <v>31.28</v>
      </c>
      <c r="AI283" s="110">
        <v>0</v>
      </c>
      <c r="AJ283" s="110">
        <v>0</v>
      </c>
      <c r="AK283" s="110">
        <v>0</v>
      </c>
      <c r="AL283" s="110">
        <v>2.29</v>
      </c>
      <c r="AM283" s="110">
        <v>0</v>
      </c>
      <c r="AN283" s="110">
        <v>0</v>
      </c>
      <c r="AO283" s="109"/>
      <c r="AP283" s="110">
        <v>0</v>
      </c>
      <c r="AQ283" s="110">
        <v>8.1300000000000008</v>
      </c>
      <c r="AR283" s="110">
        <v>0</v>
      </c>
      <c r="AS283" s="110">
        <v>0</v>
      </c>
      <c r="AT283" s="110">
        <v>0</v>
      </c>
      <c r="AU283" s="110">
        <v>0</v>
      </c>
      <c r="AV283" s="110">
        <v>0</v>
      </c>
      <c r="AW283" s="110">
        <v>0</v>
      </c>
      <c r="AX283" s="110">
        <v>0</v>
      </c>
      <c r="AY283" s="110">
        <v>0</v>
      </c>
      <c r="AZ283" s="110">
        <v>0</v>
      </c>
      <c r="BA283" s="110">
        <v>0</v>
      </c>
    </row>
    <row r="284" spans="1:53" s="102" customFormat="1" outlineLevel="2">
      <c r="A284" s="102" t="s">
        <v>844</v>
      </c>
      <c r="B284" s="103" t="s">
        <v>845</v>
      </c>
      <c r="C284" s="104" t="s">
        <v>846</v>
      </c>
      <c r="D284" s="298"/>
      <c r="E284" s="299"/>
      <c r="F284" s="105">
        <v>0</v>
      </c>
      <c r="G284" s="105">
        <v>0</v>
      </c>
      <c r="H284" s="106">
        <f t="shared" si="74"/>
        <v>0</v>
      </c>
      <c r="I284" s="300">
        <f t="shared" si="75"/>
        <v>0</v>
      </c>
      <c r="J284" s="107"/>
      <c r="K284" s="105">
        <v>0</v>
      </c>
      <c r="L284" s="105">
        <v>0</v>
      </c>
      <c r="M284" s="106">
        <f t="shared" si="76"/>
        <v>0</v>
      </c>
      <c r="N284" s="300">
        <f t="shared" si="77"/>
        <v>0</v>
      </c>
      <c r="O284" s="301"/>
      <c r="P284" s="107"/>
      <c r="Q284" s="105">
        <v>0</v>
      </c>
      <c r="R284" s="105">
        <v>0</v>
      </c>
      <c r="S284" s="106">
        <f t="shared" si="78"/>
        <v>0</v>
      </c>
      <c r="T284" s="300">
        <f t="shared" si="79"/>
        <v>0</v>
      </c>
      <c r="U284" s="107"/>
      <c r="V284" s="105">
        <v>92.13</v>
      </c>
      <c r="W284" s="105">
        <v>54.34</v>
      </c>
      <c r="X284" s="106">
        <f t="shared" si="80"/>
        <v>37.789999999999992</v>
      </c>
      <c r="Y284" s="300">
        <f t="shared" si="81"/>
        <v>0.69543614280456367</v>
      </c>
      <c r="Z284" s="302"/>
      <c r="AA284" s="108">
        <v>0</v>
      </c>
      <c r="AB284" s="109"/>
      <c r="AC284" s="110">
        <v>0</v>
      </c>
      <c r="AD284" s="110">
        <v>0</v>
      </c>
      <c r="AE284" s="110">
        <v>0</v>
      </c>
      <c r="AF284" s="110">
        <v>0</v>
      </c>
      <c r="AG284" s="110">
        <v>0</v>
      </c>
      <c r="AH284" s="110">
        <v>0</v>
      </c>
      <c r="AI284" s="110">
        <v>50.120000000000005</v>
      </c>
      <c r="AJ284" s="110">
        <v>24.59</v>
      </c>
      <c r="AK284" s="110">
        <v>17.420000000000002</v>
      </c>
      <c r="AL284" s="110">
        <v>0</v>
      </c>
      <c r="AM284" s="110">
        <v>0</v>
      </c>
      <c r="AN284" s="110">
        <v>0</v>
      </c>
      <c r="AO284" s="109"/>
      <c r="AP284" s="110">
        <v>0</v>
      </c>
      <c r="AQ284" s="110">
        <v>0</v>
      </c>
      <c r="AR284" s="110">
        <v>0</v>
      </c>
      <c r="AS284" s="110">
        <v>0</v>
      </c>
      <c r="AT284" s="110">
        <v>0</v>
      </c>
      <c r="AU284" s="110">
        <v>0</v>
      </c>
      <c r="AV284" s="110">
        <v>0</v>
      </c>
      <c r="AW284" s="110">
        <v>0</v>
      </c>
      <c r="AX284" s="110">
        <v>0</v>
      </c>
      <c r="AY284" s="110">
        <v>0</v>
      </c>
      <c r="AZ284" s="110">
        <v>0</v>
      </c>
      <c r="BA284" s="110">
        <v>0</v>
      </c>
    </row>
    <row r="285" spans="1:53" s="102" customFormat="1" outlineLevel="2">
      <c r="A285" s="102" t="s">
        <v>847</v>
      </c>
      <c r="B285" s="103" t="s">
        <v>848</v>
      </c>
      <c r="C285" s="104" t="s">
        <v>849</v>
      </c>
      <c r="D285" s="298"/>
      <c r="E285" s="299"/>
      <c r="F285" s="105">
        <v>5.63</v>
      </c>
      <c r="G285" s="105">
        <v>0</v>
      </c>
      <c r="H285" s="106">
        <f t="shared" si="74"/>
        <v>5.63</v>
      </c>
      <c r="I285" s="300" t="str">
        <f t="shared" si="75"/>
        <v>N.M.</v>
      </c>
      <c r="J285" s="107"/>
      <c r="K285" s="105">
        <v>5.63</v>
      </c>
      <c r="L285" s="105">
        <v>0</v>
      </c>
      <c r="M285" s="106">
        <f t="shared" si="76"/>
        <v>5.63</v>
      </c>
      <c r="N285" s="300" t="str">
        <f t="shared" si="77"/>
        <v>N.M.</v>
      </c>
      <c r="O285" s="301"/>
      <c r="P285" s="107"/>
      <c r="Q285" s="105">
        <v>5.63</v>
      </c>
      <c r="R285" s="105">
        <v>0</v>
      </c>
      <c r="S285" s="106">
        <f t="shared" si="78"/>
        <v>5.63</v>
      </c>
      <c r="T285" s="300" t="str">
        <f t="shared" si="79"/>
        <v>N.M.</v>
      </c>
      <c r="U285" s="107"/>
      <c r="V285" s="105">
        <v>32.24</v>
      </c>
      <c r="W285" s="105">
        <v>0</v>
      </c>
      <c r="X285" s="106">
        <f t="shared" si="80"/>
        <v>32.24</v>
      </c>
      <c r="Y285" s="300" t="str">
        <f t="shared" si="81"/>
        <v>N.M.</v>
      </c>
      <c r="Z285" s="302"/>
      <c r="AA285" s="108">
        <v>0</v>
      </c>
      <c r="AB285" s="109"/>
      <c r="AC285" s="110">
        <v>0</v>
      </c>
      <c r="AD285" s="110">
        <v>0</v>
      </c>
      <c r="AE285" s="110">
        <v>0</v>
      </c>
      <c r="AF285" s="110">
        <v>0</v>
      </c>
      <c r="AG285" s="110">
        <v>12.290000000000001</v>
      </c>
      <c r="AH285" s="110">
        <v>0</v>
      </c>
      <c r="AI285" s="110">
        <v>0</v>
      </c>
      <c r="AJ285" s="110">
        <v>0</v>
      </c>
      <c r="AK285" s="110">
        <v>3.68</v>
      </c>
      <c r="AL285" s="110">
        <v>10.64</v>
      </c>
      <c r="AM285" s="110">
        <v>0</v>
      </c>
      <c r="AN285" s="110">
        <v>0</v>
      </c>
      <c r="AO285" s="109"/>
      <c r="AP285" s="110">
        <v>0</v>
      </c>
      <c r="AQ285" s="110">
        <v>0</v>
      </c>
      <c r="AR285" s="110">
        <v>5.63</v>
      </c>
      <c r="AS285" s="110">
        <v>0</v>
      </c>
      <c r="AT285" s="110">
        <v>0</v>
      </c>
      <c r="AU285" s="110">
        <v>0</v>
      </c>
      <c r="AV285" s="110">
        <v>0</v>
      </c>
      <c r="AW285" s="110">
        <v>0</v>
      </c>
      <c r="AX285" s="110">
        <v>0</v>
      </c>
      <c r="AY285" s="110">
        <v>0</v>
      </c>
      <c r="AZ285" s="110">
        <v>0</v>
      </c>
      <c r="BA285" s="110">
        <v>0</v>
      </c>
    </row>
    <row r="286" spans="1:53" s="102" customFormat="1" outlineLevel="2">
      <c r="A286" s="102" t="s">
        <v>850</v>
      </c>
      <c r="B286" s="103" t="s">
        <v>851</v>
      </c>
      <c r="C286" s="104" t="s">
        <v>852</v>
      </c>
      <c r="D286" s="298"/>
      <c r="E286" s="299"/>
      <c r="F286" s="105">
        <v>41.97</v>
      </c>
      <c r="G286" s="105">
        <v>0</v>
      </c>
      <c r="H286" s="106">
        <f t="shared" si="74"/>
        <v>41.97</v>
      </c>
      <c r="I286" s="300" t="str">
        <f t="shared" si="75"/>
        <v>N.M.</v>
      </c>
      <c r="J286" s="107"/>
      <c r="K286" s="105">
        <v>41.97</v>
      </c>
      <c r="L286" s="105">
        <v>0</v>
      </c>
      <c r="M286" s="106">
        <f t="shared" si="76"/>
        <v>41.97</v>
      </c>
      <c r="N286" s="300" t="str">
        <f t="shared" si="77"/>
        <v>N.M.</v>
      </c>
      <c r="O286" s="301"/>
      <c r="P286" s="107"/>
      <c r="Q286" s="105">
        <v>41.97</v>
      </c>
      <c r="R286" s="105">
        <v>0</v>
      </c>
      <c r="S286" s="106">
        <f t="shared" si="78"/>
        <v>41.97</v>
      </c>
      <c r="T286" s="300" t="str">
        <f t="shared" si="79"/>
        <v>N.M.</v>
      </c>
      <c r="U286" s="107"/>
      <c r="V286" s="105">
        <v>49.47</v>
      </c>
      <c r="W286" s="105">
        <v>0</v>
      </c>
      <c r="X286" s="106">
        <f t="shared" si="80"/>
        <v>49.47</v>
      </c>
      <c r="Y286" s="300" t="str">
        <f t="shared" si="81"/>
        <v>N.M.</v>
      </c>
      <c r="Z286" s="302"/>
      <c r="AA286" s="108">
        <v>0</v>
      </c>
      <c r="AB286" s="109"/>
      <c r="AC286" s="110">
        <v>0</v>
      </c>
      <c r="AD286" s="110">
        <v>0</v>
      </c>
      <c r="AE286" s="110">
        <v>0</v>
      </c>
      <c r="AF286" s="110">
        <v>0</v>
      </c>
      <c r="AG286" s="110">
        <v>0</v>
      </c>
      <c r="AH286" s="110">
        <v>0</v>
      </c>
      <c r="AI286" s="110">
        <v>0</v>
      </c>
      <c r="AJ286" s="110">
        <v>7.5</v>
      </c>
      <c r="AK286" s="110">
        <v>0</v>
      </c>
      <c r="AL286" s="110">
        <v>0</v>
      </c>
      <c r="AM286" s="110">
        <v>0</v>
      </c>
      <c r="AN286" s="110">
        <v>0</v>
      </c>
      <c r="AO286" s="109"/>
      <c r="AP286" s="110">
        <v>0</v>
      </c>
      <c r="AQ286" s="110">
        <v>0</v>
      </c>
      <c r="AR286" s="110">
        <v>41.97</v>
      </c>
      <c r="AS286" s="110">
        <v>0</v>
      </c>
      <c r="AT286" s="110">
        <v>0</v>
      </c>
      <c r="AU286" s="110">
        <v>0</v>
      </c>
      <c r="AV286" s="110">
        <v>0</v>
      </c>
      <c r="AW286" s="110">
        <v>0</v>
      </c>
      <c r="AX286" s="110">
        <v>0</v>
      </c>
      <c r="AY286" s="110">
        <v>0</v>
      </c>
      <c r="AZ286" s="110">
        <v>0</v>
      </c>
      <c r="BA286" s="110">
        <v>0</v>
      </c>
    </row>
    <row r="287" spans="1:53" s="102" customFormat="1" outlineLevel="2">
      <c r="A287" s="102" t="s">
        <v>1719</v>
      </c>
      <c r="B287" s="103" t="s">
        <v>1720</v>
      </c>
      <c r="C287" s="104" t="s">
        <v>1721</v>
      </c>
      <c r="D287" s="298"/>
      <c r="E287" s="299"/>
      <c r="F287" s="105">
        <v>0</v>
      </c>
      <c r="G287" s="105">
        <v>0</v>
      </c>
      <c r="H287" s="106">
        <f t="shared" si="74"/>
        <v>0</v>
      </c>
      <c r="I287" s="300">
        <f t="shared" si="75"/>
        <v>0</v>
      </c>
      <c r="J287" s="107"/>
      <c r="K287" s="105">
        <v>0</v>
      </c>
      <c r="L287" s="105">
        <v>0</v>
      </c>
      <c r="M287" s="106">
        <f t="shared" si="76"/>
        <v>0</v>
      </c>
      <c r="N287" s="300">
        <f t="shared" si="77"/>
        <v>0</v>
      </c>
      <c r="O287" s="301"/>
      <c r="P287" s="107"/>
      <c r="Q287" s="105">
        <v>0</v>
      </c>
      <c r="R287" s="105">
        <v>0</v>
      </c>
      <c r="S287" s="106">
        <f t="shared" si="78"/>
        <v>0</v>
      </c>
      <c r="T287" s="300">
        <f t="shared" si="79"/>
        <v>0</v>
      </c>
      <c r="U287" s="107"/>
      <c r="V287" s="105">
        <v>129.65</v>
      </c>
      <c r="W287" s="105">
        <v>8.1300000000000008</v>
      </c>
      <c r="X287" s="106">
        <f t="shared" si="80"/>
        <v>121.52000000000001</v>
      </c>
      <c r="Y287" s="300" t="str">
        <f t="shared" si="81"/>
        <v>N.M.</v>
      </c>
      <c r="Z287" s="302"/>
      <c r="AA287" s="108">
        <v>0</v>
      </c>
      <c r="AB287" s="109"/>
      <c r="AC287" s="110">
        <v>0</v>
      </c>
      <c r="AD287" s="110">
        <v>0</v>
      </c>
      <c r="AE287" s="110">
        <v>0</v>
      </c>
      <c r="AF287" s="110">
        <v>10.83</v>
      </c>
      <c r="AG287" s="110">
        <v>1.04</v>
      </c>
      <c r="AH287" s="110">
        <v>0</v>
      </c>
      <c r="AI287" s="110">
        <v>0</v>
      </c>
      <c r="AJ287" s="110">
        <v>0</v>
      </c>
      <c r="AK287" s="110">
        <v>0</v>
      </c>
      <c r="AL287" s="110">
        <v>117.78</v>
      </c>
      <c r="AM287" s="110">
        <v>0</v>
      </c>
      <c r="AN287" s="110">
        <v>0</v>
      </c>
      <c r="AO287" s="109"/>
      <c r="AP287" s="110">
        <v>0</v>
      </c>
      <c r="AQ287" s="110">
        <v>0</v>
      </c>
      <c r="AR287" s="110">
        <v>0</v>
      </c>
      <c r="AS287" s="110">
        <v>0</v>
      </c>
      <c r="AT287" s="110">
        <v>0</v>
      </c>
      <c r="AU287" s="110">
        <v>0</v>
      </c>
      <c r="AV287" s="110">
        <v>0</v>
      </c>
      <c r="AW287" s="110">
        <v>0</v>
      </c>
      <c r="AX287" s="110">
        <v>0</v>
      </c>
      <c r="AY287" s="110">
        <v>0</v>
      </c>
      <c r="AZ287" s="110">
        <v>0</v>
      </c>
      <c r="BA287" s="110">
        <v>0</v>
      </c>
    </row>
    <row r="288" spans="1:53" s="102" customFormat="1" outlineLevel="2">
      <c r="A288" s="102" t="s">
        <v>853</v>
      </c>
      <c r="B288" s="103" t="s">
        <v>854</v>
      </c>
      <c r="C288" s="104" t="s">
        <v>855</v>
      </c>
      <c r="D288" s="298"/>
      <c r="E288" s="299"/>
      <c r="F288" s="105">
        <v>0</v>
      </c>
      <c r="G288" s="105">
        <v>4.3899999999999997</v>
      </c>
      <c r="H288" s="106">
        <f t="shared" si="74"/>
        <v>-4.3899999999999997</v>
      </c>
      <c r="I288" s="300" t="str">
        <f t="shared" si="75"/>
        <v>N.M.</v>
      </c>
      <c r="J288" s="107"/>
      <c r="K288" s="105">
        <v>19.05</v>
      </c>
      <c r="L288" s="105">
        <v>14.51</v>
      </c>
      <c r="M288" s="106">
        <f t="shared" si="76"/>
        <v>4.5400000000000009</v>
      </c>
      <c r="N288" s="300">
        <f t="shared" si="77"/>
        <v>0.31288766368022058</v>
      </c>
      <c r="O288" s="301"/>
      <c r="P288" s="107"/>
      <c r="Q288" s="105">
        <v>19.05</v>
      </c>
      <c r="R288" s="105">
        <v>14.51</v>
      </c>
      <c r="S288" s="106">
        <f t="shared" si="78"/>
        <v>4.5400000000000009</v>
      </c>
      <c r="T288" s="300">
        <f t="shared" si="79"/>
        <v>0.31288766368022058</v>
      </c>
      <c r="U288" s="107"/>
      <c r="V288" s="105">
        <v>44.63</v>
      </c>
      <c r="W288" s="105">
        <v>14.51</v>
      </c>
      <c r="X288" s="106">
        <f t="shared" si="80"/>
        <v>30.120000000000005</v>
      </c>
      <c r="Y288" s="300">
        <f t="shared" si="81"/>
        <v>2.0758097863542386</v>
      </c>
      <c r="Z288" s="302"/>
      <c r="AA288" s="108">
        <v>0</v>
      </c>
      <c r="AB288" s="109"/>
      <c r="AC288" s="110">
        <v>0</v>
      </c>
      <c r="AD288" s="110">
        <v>10.120000000000001</v>
      </c>
      <c r="AE288" s="110">
        <v>4.3899999999999997</v>
      </c>
      <c r="AF288" s="110">
        <v>5.74</v>
      </c>
      <c r="AG288" s="110">
        <v>0</v>
      </c>
      <c r="AH288" s="110">
        <v>0</v>
      </c>
      <c r="AI288" s="110">
        <v>8.41</v>
      </c>
      <c r="AJ288" s="110">
        <v>0</v>
      </c>
      <c r="AK288" s="110">
        <v>8.23</v>
      </c>
      <c r="AL288" s="110">
        <v>0</v>
      </c>
      <c r="AM288" s="110">
        <v>0</v>
      </c>
      <c r="AN288" s="110">
        <v>3.2</v>
      </c>
      <c r="AO288" s="109"/>
      <c r="AP288" s="110">
        <v>12.64</v>
      </c>
      <c r="AQ288" s="110">
        <v>6.41</v>
      </c>
      <c r="AR288" s="110">
        <v>0</v>
      </c>
      <c r="AS288" s="110">
        <v>0</v>
      </c>
      <c r="AT288" s="110">
        <v>0</v>
      </c>
      <c r="AU288" s="110">
        <v>0</v>
      </c>
      <c r="AV288" s="110">
        <v>0</v>
      </c>
      <c r="AW288" s="110">
        <v>0</v>
      </c>
      <c r="AX288" s="110">
        <v>0</v>
      </c>
      <c r="AY288" s="110">
        <v>0</v>
      </c>
      <c r="AZ288" s="110">
        <v>0</v>
      </c>
      <c r="BA288" s="110">
        <v>0</v>
      </c>
    </row>
    <row r="289" spans="1:53" s="102" customFormat="1" outlineLevel="2">
      <c r="A289" s="102" t="s">
        <v>856</v>
      </c>
      <c r="B289" s="103" t="s">
        <v>857</v>
      </c>
      <c r="C289" s="104" t="s">
        <v>858</v>
      </c>
      <c r="D289" s="298"/>
      <c r="E289" s="299"/>
      <c r="F289" s="105">
        <v>-10257.94</v>
      </c>
      <c r="G289" s="105">
        <v>-33042.550000000003</v>
      </c>
      <c r="H289" s="106">
        <f t="shared" si="74"/>
        <v>22784.61</v>
      </c>
      <c r="I289" s="300">
        <f t="shared" si="75"/>
        <v>0.68955362101290607</v>
      </c>
      <c r="J289" s="107"/>
      <c r="K289" s="105">
        <v>-32419.58</v>
      </c>
      <c r="L289" s="105">
        <v>-113460.40000000001</v>
      </c>
      <c r="M289" s="106">
        <f t="shared" si="76"/>
        <v>81040.820000000007</v>
      </c>
      <c r="N289" s="300">
        <f t="shared" si="77"/>
        <v>0.71426524144106662</v>
      </c>
      <c r="O289" s="301"/>
      <c r="P289" s="107"/>
      <c r="Q289" s="105">
        <v>-32419.58</v>
      </c>
      <c r="R289" s="105">
        <v>-113460.40000000001</v>
      </c>
      <c r="S289" s="106">
        <f t="shared" si="78"/>
        <v>81040.820000000007</v>
      </c>
      <c r="T289" s="300">
        <f t="shared" si="79"/>
        <v>0.71426524144106662</v>
      </c>
      <c r="U289" s="107"/>
      <c r="V289" s="105">
        <v>-319594.66000000003</v>
      </c>
      <c r="W289" s="105">
        <v>-673047.44000000006</v>
      </c>
      <c r="X289" s="106">
        <f t="shared" si="80"/>
        <v>353452.78</v>
      </c>
      <c r="Y289" s="300">
        <f t="shared" si="81"/>
        <v>0.52515284806669793</v>
      </c>
      <c r="Z289" s="302"/>
      <c r="AA289" s="108">
        <v>-115719.19</v>
      </c>
      <c r="AB289" s="109"/>
      <c r="AC289" s="110">
        <v>-43146.75</v>
      </c>
      <c r="AD289" s="110">
        <v>-37271.1</v>
      </c>
      <c r="AE289" s="110">
        <v>-33042.550000000003</v>
      </c>
      <c r="AF289" s="110">
        <v>-29065.08</v>
      </c>
      <c r="AG289" s="110">
        <v>-47289.91</v>
      </c>
      <c r="AH289" s="110">
        <v>-21771.08</v>
      </c>
      <c r="AI289" s="110">
        <v>-28934.53</v>
      </c>
      <c r="AJ289" s="110">
        <v>-28801.940000000002</v>
      </c>
      <c r="AK289" s="110">
        <v>-39738.81</v>
      </c>
      <c r="AL289" s="110">
        <v>-25177.93</v>
      </c>
      <c r="AM289" s="110">
        <v>-32761.200000000001</v>
      </c>
      <c r="AN289" s="110">
        <v>-33634.6</v>
      </c>
      <c r="AO289" s="109"/>
      <c r="AP289" s="110">
        <v>-13948.04</v>
      </c>
      <c r="AQ289" s="110">
        <v>-8213.6</v>
      </c>
      <c r="AR289" s="110">
        <v>-10257.94</v>
      </c>
      <c r="AS289" s="110">
        <v>0</v>
      </c>
      <c r="AT289" s="110">
        <v>0</v>
      </c>
      <c r="AU289" s="110">
        <v>0</v>
      </c>
      <c r="AV289" s="110">
        <v>0</v>
      </c>
      <c r="AW289" s="110">
        <v>0</v>
      </c>
      <c r="AX289" s="110">
        <v>0</v>
      </c>
      <c r="AY289" s="110">
        <v>0</v>
      </c>
      <c r="AZ289" s="110">
        <v>0</v>
      </c>
      <c r="BA289" s="110">
        <v>0</v>
      </c>
    </row>
    <row r="290" spans="1:53" s="102" customFormat="1" outlineLevel="2">
      <c r="A290" s="102" t="s">
        <v>859</v>
      </c>
      <c r="B290" s="103" t="s">
        <v>860</v>
      </c>
      <c r="C290" s="104" t="s">
        <v>861</v>
      </c>
      <c r="D290" s="298"/>
      <c r="E290" s="299"/>
      <c r="F290" s="105">
        <v>-57464</v>
      </c>
      <c r="G290" s="105">
        <v>-31140</v>
      </c>
      <c r="H290" s="106">
        <f t="shared" si="74"/>
        <v>-26324</v>
      </c>
      <c r="I290" s="300">
        <f t="shared" si="75"/>
        <v>-0.84534360950545917</v>
      </c>
      <c r="J290" s="107"/>
      <c r="K290" s="105">
        <v>-172517</v>
      </c>
      <c r="L290" s="105">
        <v>-96070</v>
      </c>
      <c r="M290" s="106">
        <f t="shared" si="76"/>
        <v>-76447</v>
      </c>
      <c r="N290" s="300">
        <f t="shared" si="77"/>
        <v>-0.79574268762360778</v>
      </c>
      <c r="O290" s="301"/>
      <c r="P290" s="107"/>
      <c r="Q290" s="105">
        <v>-172517</v>
      </c>
      <c r="R290" s="105">
        <v>-96070</v>
      </c>
      <c r="S290" s="106">
        <f t="shared" si="78"/>
        <v>-76447</v>
      </c>
      <c r="T290" s="300">
        <f t="shared" si="79"/>
        <v>-0.79574268762360778</v>
      </c>
      <c r="U290" s="107"/>
      <c r="V290" s="105">
        <v>-599930</v>
      </c>
      <c r="W290" s="105">
        <v>-387891</v>
      </c>
      <c r="X290" s="106">
        <f t="shared" si="80"/>
        <v>-212039</v>
      </c>
      <c r="Y290" s="300">
        <f t="shared" si="81"/>
        <v>-0.54664583607250494</v>
      </c>
      <c r="Z290" s="302"/>
      <c r="AA290" s="108">
        <v>-16383</v>
      </c>
      <c r="AB290" s="109"/>
      <c r="AC290" s="110">
        <v>-29604</v>
      </c>
      <c r="AD290" s="110">
        <v>-35326</v>
      </c>
      <c r="AE290" s="110">
        <v>-31140</v>
      </c>
      <c r="AF290" s="110">
        <v>-32908</v>
      </c>
      <c r="AG290" s="110">
        <v>-39399</v>
      </c>
      <c r="AH290" s="110">
        <v>-49558</v>
      </c>
      <c r="AI290" s="110">
        <v>-38623</v>
      </c>
      <c r="AJ290" s="110">
        <v>-69491</v>
      </c>
      <c r="AK290" s="110">
        <v>-59748</v>
      </c>
      <c r="AL290" s="110">
        <v>-45577</v>
      </c>
      <c r="AM290" s="110">
        <v>-50291</v>
      </c>
      <c r="AN290" s="110">
        <v>-41818</v>
      </c>
      <c r="AO290" s="109"/>
      <c r="AP290" s="110">
        <v>-66759</v>
      </c>
      <c r="AQ290" s="110">
        <v>-48294</v>
      </c>
      <c r="AR290" s="110">
        <v>-57464</v>
      </c>
      <c r="AS290" s="110">
        <v>0</v>
      </c>
      <c r="AT290" s="110">
        <v>0</v>
      </c>
      <c r="AU290" s="110">
        <v>0</v>
      </c>
      <c r="AV290" s="110">
        <v>0</v>
      </c>
      <c r="AW290" s="110">
        <v>0</v>
      </c>
      <c r="AX290" s="110">
        <v>0</v>
      </c>
      <c r="AY290" s="110">
        <v>0</v>
      </c>
      <c r="AZ290" s="110">
        <v>0</v>
      </c>
      <c r="BA290" s="110">
        <v>0</v>
      </c>
    </row>
    <row r="291" spans="1:53" s="102" customFormat="1" outlineLevel="2">
      <c r="A291" s="102" t="s">
        <v>1722</v>
      </c>
      <c r="B291" s="103" t="s">
        <v>1723</v>
      </c>
      <c r="C291" s="104" t="s">
        <v>1724</v>
      </c>
      <c r="D291" s="298"/>
      <c r="E291" s="299"/>
      <c r="F291" s="105">
        <v>0.02</v>
      </c>
      <c r="G291" s="105">
        <v>0.01</v>
      </c>
      <c r="H291" s="106">
        <f t="shared" si="74"/>
        <v>0.01</v>
      </c>
      <c r="I291" s="300">
        <f t="shared" si="75"/>
        <v>1</v>
      </c>
      <c r="J291" s="107"/>
      <c r="K291" s="105">
        <v>0.02</v>
      </c>
      <c r="L291" s="105">
        <v>0.01</v>
      </c>
      <c r="M291" s="106">
        <f t="shared" si="76"/>
        <v>0.01</v>
      </c>
      <c r="N291" s="300">
        <f t="shared" si="77"/>
        <v>1</v>
      </c>
      <c r="O291" s="301"/>
      <c r="P291" s="107"/>
      <c r="Q291" s="105">
        <v>0.02</v>
      </c>
      <c r="R291" s="105">
        <v>0.01</v>
      </c>
      <c r="S291" s="106">
        <f t="shared" si="78"/>
        <v>0.01</v>
      </c>
      <c r="T291" s="300">
        <f t="shared" si="79"/>
        <v>1</v>
      </c>
      <c r="U291" s="107"/>
      <c r="V291" s="105">
        <v>9.0000000000000011E-2</v>
      </c>
      <c r="W291" s="105">
        <v>0.03</v>
      </c>
      <c r="X291" s="106">
        <f t="shared" si="80"/>
        <v>6.0000000000000012E-2</v>
      </c>
      <c r="Y291" s="300">
        <f t="shared" si="81"/>
        <v>2.0000000000000004</v>
      </c>
      <c r="Z291" s="302"/>
      <c r="AA291" s="108">
        <v>0</v>
      </c>
      <c r="AB291" s="109"/>
      <c r="AC291" s="110">
        <v>0</v>
      </c>
      <c r="AD291" s="110">
        <v>0</v>
      </c>
      <c r="AE291" s="110">
        <v>0.01</v>
      </c>
      <c r="AF291" s="110">
        <v>0</v>
      </c>
      <c r="AG291" s="110">
        <v>0.01</v>
      </c>
      <c r="AH291" s="110">
        <v>-0.01</v>
      </c>
      <c r="AI291" s="110">
        <v>0</v>
      </c>
      <c r="AJ291" s="110">
        <v>0</v>
      </c>
      <c r="AK291" s="110">
        <v>0.06</v>
      </c>
      <c r="AL291" s="110">
        <v>0.02</v>
      </c>
      <c r="AM291" s="110">
        <v>0</v>
      </c>
      <c r="AN291" s="110">
        <v>-0.01</v>
      </c>
      <c r="AO291" s="109"/>
      <c r="AP291" s="110">
        <v>0</v>
      </c>
      <c r="AQ291" s="110">
        <v>0</v>
      </c>
      <c r="AR291" s="110">
        <v>0.02</v>
      </c>
      <c r="AS291" s="110">
        <v>0</v>
      </c>
      <c r="AT291" s="110">
        <v>0</v>
      </c>
      <c r="AU291" s="110">
        <v>0</v>
      </c>
      <c r="AV291" s="110">
        <v>0</v>
      </c>
      <c r="AW291" s="110">
        <v>0</v>
      </c>
      <c r="AX291" s="110">
        <v>0</v>
      </c>
      <c r="AY291" s="110">
        <v>0</v>
      </c>
      <c r="AZ291" s="110">
        <v>0</v>
      </c>
      <c r="BA291" s="110">
        <v>0</v>
      </c>
    </row>
    <row r="292" spans="1:53" s="102" customFormat="1" outlineLevel="2">
      <c r="A292" s="102" t="s">
        <v>862</v>
      </c>
      <c r="B292" s="103" t="s">
        <v>863</v>
      </c>
      <c r="C292" s="104" t="s">
        <v>864</v>
      </c>
      <c r="D292" s="298"/>
      <c r="E292" s="299"/>
      <c r="F292" s="105">
        <v>-276.2</v>
      </c>
      <c r="G292" s="105">
        <v>-316.58</v>
      </c>
      <c r="H292" s="106">
        <f t="shared" si="74"/>
        <v>40.379999999999995</v>
      </c>
      <c r="I292" s="300">
        <f t="shared" si="75"/>
        <v>0.12755069808579189</v>
      </c>
      <c r="J292" s="107"/>
      <c r="K292" s="105">
        <v>-780.69</v>
      </c>
      <c r="L292" s="105">
        <v>-824.91</v>
      </c>
      <c r="M292" s="106">
        <f t="shared" si="76"/>
        <v>44.219999999999914</v>
      </c>
      <c r="N292" s="300">
        <f t="shared" si="77"/>
        <v>5.3605847910681063E-2</v>
      </c>
      <c r="O292" s="301"/>
      <c r="P292" s="107"/>
      <c r="Q292" s="105">
        <v>-780.69</v>
      </c>
      <c r="R292" s="105">
        <v>-824.91</v>
      </c>
      <c r="S292" s="106">
        <f t="shared" si="78"/>
        <v>44.219999999999914</v>
      </c>
      <c r="T292" s="300">
        <f t="shared" si="79"/>
        <v>5.3605847910681063E-2</v>
      </c>
      <c r="U292" s="107"/>
      <c r="V292" s="105">
        <v>-3518.46</v>
      </c>
      <c r="W292" s="105">
        <v>-5017.34</v>
      </c>
      <c r="X292" s="106">
        <f t="shared" si="80"/>
        <v>1498.88</v>
      </c>
      <c r="Y292" s="300">
        <f t="shared" si="81"/>
        <v>0.2987399697847864</v>
      </c>
      <c r="Z292" s="302"/>
      <c r="AA292" s="108">
        <v>-404.52</v>
      </c>
      <c r="AB292" s="109"/>
      <c r="AC292" s="110">
        <v>-279.69</v>
      </c>
      <c r="AD292" s="110">
        <v>-228.64000000000001</v>
      </c>
      <c r="AE292" s="110">
        <v>-316.58</v>
      </c>
      <c r="AF292" s="110">
        <v>-305.3</v>
      </c>
      <c r="AG292" s="110">
        <v>-201.70000000000002</v>
      </c>
      <c r="AH292" s="110">
        <v>-165.02</v>
      </c>
      <c r="AI292" s="110">
        <v>-212.61</v>
      </c>
      <c r="AJ292" s="110">
        <v>-165.02</v>
      </c>
      <c r="AK292" s="110">
        <v>-1047.6300000000001</v>
      </c>
      <c r="AL292" s="110">
        <v>-256.70999999999998</v>
      </c>
      <c r="AM292" s="110">
        <v>-165.03</v>
      </c>
      <c r="AN292" s="110">
        <v>-218.75</v>
      </c>
      <c r="AO292" s="109"/>
      <c r="AP292" s="110">
        <v>-45.2</v>
      </c>
      <c r="AQ292" s="110">
        <v>-459.29</v>
      </c>
      <c r="AR292" s="110">
        <v>-276.2</v>
      </c>
      <c r="AS292" s="110">
        <v>0</v>
      </c>
      <c r="AT292" s="110">
        <v>0</v>
      </c>
      <c r="AU292" s="110">
        <v>0</v>
      </c>
      <c r="AV292" s="110">
        <v>0</v>
      </c>
      <c r="AW292" s="110">
        <v>0</v>
      </c>
      <c r="AX292" s="110">
        <v>0</v>
      </c>
      <c r="AY292" s="110">
        <v>0</v>
      </c>
      <c r="AZ292" s="110">
        <v>0</v>
      </c>
      <c r="BA292" s="110">
        <v>0</v>
      </c>
    </row>
    <row r="293" spans="1:53" s="102" customFormat="1" outlineLevel="2">
      <c r="A293" s="102" t="s">
        <v>865</v>
      </c>
      <c r="B293" s="103" t="s">
        <v>866</v>
      </c>
      <c r="C293" s="104" t="s">
        <v>867</v>
      </c>
      <c r="D293" s="298"/>
      <c r="E293" s="299"/>
      <c r="F293" s="105">
        <v>206474.47</v>
      </c>
      <c r="G293" s="105">
        <v>225213.09</v>
      </c>
      <c r="H293" s="106">
        <f t="shared" si="74"/>
        <v>-18738.619999999995</v>
      </c>
      <c r="I293" s="300">
        <f t="shared" si="75"/>
        <v>-8.3203955862423434E-2</v>
      </c>
      <c r="J293" s="107"/>
      <c r="K293" s="105">
        <v>629748.41</v>
      </c>
      <c r="L293" s="105">
        <v>619555.19000000006</v>
      </c>
      <c r="M293" s="106">
        <f t="shared" si="76"/>
        <v>10193.219999999972</v>
      </c>
      <c r="N293" s="300">
        <f t="shared" si="77"/>
        <v>1.6452481013031255E-2</v>
      </c>
      <c r="O293" s="301"/>
      <c r="P293" s="107"/>
      <c r="Q293" s="105">
        <v>629748.41</v>
      </c>
      <c r="R293" s="105">
        <v>619555.19000000006</v>
      </c>
      <c r="S293" s="106">
        <f t="shared" si="78"/>
        <v>10193.219999999972</v>
      </c>
      <c r="T293" s="300">
        <f t="shared" si="79"/>
        <v>1.6452481013031255E-2</v>
      </c>
      <c r="U293" s="107"/>
      <c r="V293" s="105">
        <v>2824558.8400000003</v>
      </c>
      <c r="W293" s="105">
        <v>2998031.9619999998</v>
      </c>
      <c r="X293" s="106">
        <f t="shared" si="80"/>
        <v>-173473.12199999951</v>
      </c>
      <c r="Y293" s="300">
        <f t="shared" si="81"/>
        <v>-5.7862332422992199E-2</v>
      </c>
      <c r="Z293" s="302"/>
      <c r="AA293" s="108">
        <v>330742.50199999998</v>
      </c>
      <c r="AB293" s="109"/>
      <c r="AC293" s="110">
        <v>177651.04</v>
      </c>
      <c r="AD293" s="110">
        <v>216691.06</v>
      </c>
      <c r="AE293" s="110">
        <v>225213.09</v>
      </c>
      <c r="AF293" s="110">
        <v>234217.67</v>
      </c>
      <c r="AG293" s="110">
        <v>204056.4</v>
      </c>
      <c r="AH293" s="110">
        <v>222813.77000000002</v>
      </c>
      <c r="AI293" s="110">
        <v>239764.36000000002</v>
      </c>
      <c r="AJ293" s="110">
        <v>417813.8</v>
      </c>
      <c r="AK293" s="110">
        <v>82299.990000000005</v>
      </c>
      <c r="AL293" s="110">
        <v>340704.99</v>
      </c>
      <c r="AM293" s="110">
        <v>220471.73</v>
      </c>
      <c r="AN293" s="110">
        <v>232667.72</v>
      </c>
      <c r="AO293" s="109"/>
      <c r="AP293" s="110">
        <v>246993.63</v>
      </c>
      <c r="AQ293" s="110">
        <v>176280.31</v>
      </c>
      <c r="AR293" s="110">
        <v>206474.47</v>
      </c>
      <c r="AS293" s="110">
        <v>1186.52</v>
      </c>
      <c r="AT293" s="110">
        <v>0</v>
      </c>
      <c r="AU293" s="110">
        <v>0</v>
      </c>
      <c r="AV293" s="110">
        <v>0</v>
      </c>
      <c r="AW293" s="110">
        <v>0</v>
      </c>
      <c r="AX293" s="110">
        <v>0</v>
      </c>
      <c r="AY293" s="110">
        <v>0</v>
      </c>
      <c r="AZ293" s="110">
        <v>0</v>
      </c>
      <c r="BA293" s="110">
        <v>0</v>
      </c>
    </row>
    <row r="294" spans="1:53" s="102" customFormat="1" outlineLevel="2">
      <c r="A294" s="102" t="s">
        <v>868</v>
      </c>
      <c r="B294" s="103" t="s">
        <v>869</v>
      </c>
      <c r="C294" s="104" t="s">
        <v>870</v>
      </c>
      <c r="D294" s="298"/>
      <c r="E294" s="299"/>
      <c r="F294" s="105">
        <v>-78345.710000000006</v>
      </c>
      <c r="G294" s="105">
        <v>-16548.900000000001</v>
      </c>
      <c r="H294" s="106">
        <f t="shared" si="74"/>
        <v>-61796.810000000005</v>
      </c>
      <c r="I294" s="300">
        <f t="shared" si="75"/>
        <v>-3.7341944177558628</v>
      </c>
      <c r="J294" s="107"/>
      <c r="K294" s="105">
        <v>-358631.35000000003</v>
      </c>
      <c r="L294" s="105">
        <v>257838.77000000002</v>
      </c>
      <c r="M294" s="106">
        <f t="shared" si="76"/>
        <v>-616470.12000000011</v>
      </c>
      <c r="N294" s="300">
        <f t="shared" si="77"/>
        <v>-2.39091320517857</v>
      </c>
      <c r="O294" s="301"/>
      <c r="P294" s="107"/>
      <c r="Q294" s="105">
        <v>-358631.35000000003</v>
      </c>
      <c r="R294" s="105">
        <v>257838.77000000002</v>
      </c>
      <c r="S294" s="106">
        <f t="shared" si="78"/>
        <v>-616470.12000000011</v>
      </c>
      <c r="T294" s="300">
        <f t="shared" si="79"/>
        <v>-2.39091320517857</v>
      </c>
      <c r="U294" s="107"/>
      <c r="V294" s="105">
        <v>775278.45</v>
      </c>
      <c r="W294" s="105">
        <v>-267076.73</v>
      </c>
      <c r="X294" s="106">
        <f t="shared" si="80"/>
        <v>1042355.1799999999</v>
      </c>
      <c r="Y294" s="300">
        <f t="shared" si="81"/>
        <v>3.9028303963434028</v>
      </c>
      <c r="Z294" s="302"/>
      <c r="AA294" s="108">
        <v>-300340.89</v>
      </c>
      <c r="AB294" s="109"/>
      <c r="AC294" s="110">
        <v>167522.72</v>
      </c>
      <c r="AD294" s="110">
        <v>106864.95</v>
      </c>
      <c r="AE294" s="110">
        <v>-16548.900000000001</v>
      </c>
      <c r="AF294" s="110">
        <v>70682.259999999995</v>
      </c>
      <c r="AG294" s="110">
        <v>188470.72</v>
      </c>
      <c r="AH294" s="110">
        <v>287049</v>
      </c>
      <c r="AI294" s="110">
        <v>56236.87</v>
      </c>
      <c r="AJ294" s="110">
        <v>192569.49</v>
      </c>
      <c r="AK294" s="110">
        <v>339349.03</v>
      </c>
      <c r="AL294" s="110">
        <v>140912.26</v>
      </c>
      <c r="AM294" s="110">
        <v>-163638.15</v>
      </c>
      <c r="AN294" s="110">
        <v>22278.32</v>
      </c>
      <c r="AO294" s="109"/>
      <c r="AP294" s="110">
        <v>-396345.74</v>
      </c>
      <c r="AQ294" s="110">
        <v>116060.1</v>
      </c>
      <c r="AR294" s="110">
        <v>-78345.710000000006</v>
      </c>
      <c r="AS294" s="110">
        <v>0</v>
      </c>
      <c r="AT294" s="110">
        <v>0</v>
      </c>
      <c r="AU294" s="110">
        <v>0</v>
      </c>
      <c r="AV294" s="110">
        <v>0</v>
      </c>
      <c r="AW294" s="110">
        <v>0</v>
      </c>
      <c r="AX294" s="110">
        <v>0</v>
      </c>
      <c r="AY294" s="110">
        <v>0</v>
      </c>
      <c r="AZ294" s="110">
        <v>0</v>
      </c>
      <c r="BA294" s="110">
        <v>0</v>
      </c>
    </row>
    <row r="295" spans="1:53" s="102" customFormat="1" outlineLevel="2">
      <c r="A295" s="102" t="s">
        <v>871</v>
      </c>
      <c r="B295" s="103" t="s">
        <v>872</v>
      </c>
      <c r="C295" s="104" t="s">
        <v>873</v>
      </c>
      <c r="D295" s="298"/>
      <c r="E295" s="299"/>
      <c r="F295" s="105">
        <v>0</v>
      </c>
      <c r="G295" s="105">
        <v>0</v>
      </c>
      <c r="H295" s="106">
        <f t="shared" si="74"/>
        <v>0</v>
      </c>
      <c r="I295" s="300">
        <f t="shared" si="75"/>
        <v>0</v>
      </c>
      <c r="J295" s="107"/>
      <c r="K295" s="105">
        <v>20.14</v>
      </c>
      <c r="L295" s="105">
        <v>0</v>
      </c>
      <c r="M295" s="106">
        <f t="shared" si="76"/>
        <v>20.14</v>
      </c>
      <c r="N295" s="300" t="str">
        <f t="shared" si="77"/>
        <v>N.M.</v>
      </c>
      <c r="O295" s="301"/>
      <c r="P295" s="107"/>
      <c r="Q295" s="105">
        <v>20.14</v>
      </c>
      <c r="R295" s="105">
        <v>0</v>
      </c>
      <c r="S295" s="106">
        <f t="shared" si="78"/>
        <v>20.14</v>
      </c>
      <c r="T295" s="300" t="str">
        <f t="shared" si="79"/>
        <v>N.M.</v>
      </c>
      <c r="U295" s="107"/>
      <c r="V295" s="105">
        <v>636.91999999999996</v>
      </c>
      <c r="W295" s="105">
        <v>0</v>
      </c>
      <c r="X295" s="106">
        <f t="shared" si="80"/>
        <v>636.91999999999996</v>
      </c>
      <c r="Y295" s="300" t="str">
        <f t="shared" si="81"/>
        <v>N.M.</v>
      </c>
      <c r="Z295" s="302"/>
      <c r="AA295" s="108">
        <v>0</v>
      </c>
      <c r="AB295" s="109"/>
      <c r="AC295" s="110">
        <v>0</v>
      </c>
      <c r="AD295" s="110">
        <v>0</v>
      </c>
      <c r="AE295" s="110">
        <v>0</v>
      </c>
      <c r="AF295" s="110">
        <v>0</v>
      </c>
      <c r="AG295" s="110">
        <v>0</v>
      </c>
      <c r="AH295" s="110">
        <v>0</v>
      </c>
      <c r="AI295" s="110">
        <v>0</v>
      </c>
      <c r="AJ295" s="110">
        <v>0</v>
      </c>
      <c r="AK295" s="110">
        <v>0</v>
      </c>
      <c r="AL295" s="110">
        <v>573.75</v>
      </c>
      <c r="AM295" s="110">
        <v>43.03</v>
      </c>
      <c r="AN295" s="110">
        <v>0</v>
      </c>
      <c r="AO295" s="109"/>
      <c r="AP295" s="110">
        <v>0</v>
      </c>
      <c r="AQ295" s="110">
        <v>20.14</v>
      </c>
      <c r="AR295" s="110">
        <v>0</v>
      </c>
      <c r="AS295" s="110">
        <v>0</v>
      </c>
      <c r="AT295" s="110">
        <v>0</v>
      </c>
      <c r="AU295" s="110">
        <v>0</v>
      </c>
      <c r="AV295" s="110">
        <v>0</v>
      </c>
      <c r="AW295" s="110">
        <v>0</v>
      </c>
      <c r="AX295" s="110">
        <v>0</v>
      </c>
      <c r="AY295" s="110">
        <v>0</v>
      </c>
      <c r="AZ295" s="110">
        <v>0</v>
      </c>
      <c r="BA295" s="110">
        <v>0</v>
      </c>
    </row>
    <row r="296" spans="1:53" s="102" customFormat="1" outlineLevel="2">
      <c r="A296" s="102" t="s">
        <v>874</v>
      </c>
      <c r="B296" s="103" t="s">
        <v>875</v>
      </c>
      <c r="C296" s="104" t="s">
        <v>876</v>
      </c>
      <c r="D296" s="298"/>
      <c r="E296" s="299"/>
      <c r="F296" s="105">
        <v>120347.84</v>
      </c>
      <c r="G296" s="105">
        <v>42505.840000000004</v>
      </c>
      <c r="H296" s="106">
        <f t="shared" si="74"/>
        <v>77842</v>
      </c>
      <c r="I296" s="300">
        <f t="shared" si="75"/>
        <v>1.8313248250122804</v>
      </c>
      <c r="J296" s="107"/>
      <c r="K296" s="105">
        <v>294750.10000000003</v>
      </c>
      <c r="L296" s="105">
        <v>190998.44</v>
      </c>
      <c r="M296" s="106">
        <f t="shared" si="76"/>
        <v>103751.66000000003</v>
      </c>
      <c r="N296" s="300">
        <f t="shared" si="77"/>
        <v>0.54320684504020045</v>
      </c>
      <c r="O296" s="301"/>
      <c r="P296" s="107"/>
      <c r="Q296" s="105">
        <v>294750.10000000003</v>
      </c>
      <c r="R296" s="105">
        <v>190998.44</v>
      </c>
      <c r="S296" s="106">
        <f t="shared" si="78"/>
        <v>103751.66000000003</v>
      </c>
      <c r="T296" s="300">
        <f t="shared" si="79"/>
        <v>0.54320684504020045</v>
      </c>
      <c r="U296" s="107"/>
      <c r="V296" s="105">
        <v>1064153.72</v>
      </c>
      <c r="W296" s="105">
        <v>865197.40999999992</v>
      </c>
      <c r="X296" s="106">
        <f t="shared" si="80"/>
        <v>198956.31000000006</v>
      </c>
      <c r="Y296" s="300">
        <f t="shared" si="81"/>
        <v>0.22995481458965542</v>
      </c>
      <c r="Z296" s="302"/>
      <c r="AA296" s="108">
        <v>74246.3</v>
      </c>
      <c r="AB296" s="109"/>
      <c r="AC296" s="110">
        <v>74246.3</v>
      </c>
      <c r="AD296" s="110">
        <v>74246.3</v>
      </c>
      <c r="AE296" s="110">
        <v>42505.840000000004</v>
      </c>
      <c r="AF296" s="110">
        <v>74246.3</v>
      </c>
      <c r="AG296" s="110">
        <v>134219.51</v>
      </c>
      <c r="AH296" s="110">
        <v>71602.22</v>
      </c>
      <c r="AI296" s="110">
        <v>91098.03</v>
      </c>
      <c r="AJ296" s="110">
        <v>78669.89</v>
      </c>
      <c r="AK296" s="110">
        <v>66939.23</v>
      </c>
      <c r="AL296" s="110">
        <v>76285.09</v>
      </c>
      <c r="AM296" s="110">
        <v>108066.67</v>
      </c>
      <c r="AN296" s="110">
        <v>68276.680000000008</v>
      </c>
      <c r="AO296" s="109"/>
      <c r="AP296" s="110">
        <v>87201.13</v>
      </c>
      <c r="AQ296" s="110">
        <v>87201.13</v>
      </c>
      <c r="AR296" s="110">
        <v>120347.84</v>
      </c>
      <c r="AS296" s="110">
        <v>0</v>
      </c>
      <c r="AT296" s="110">
        <v>0</v>
      </c>
      <c r="AU296" s="110">
        <v>0</v>
      </c>
      <c r="AV296" s="110">
        <v>0</v>
      </c>
      <c r="AW296" s="110">
        <v>0</v>
      </c>
      <c r="AX296" s="110">
        <v>0</v>
      </c>
      <c r="AY296" s="110">
        <v>0</v>
      </c>
      <c r="AZ296" s="110">
        <v>0</v>
      </c>
      <c r="BA296" s="110">
        <v>0</v>
      </c>
    </row>
    <row r="297" spans="1:53" s="102" customFormat="1" outlineLevel="2">
      <c r="A297" s="102" t="s">
        <v>877</v>
      </c>
      <c r="B297" s="103" t="s">
        <v>878</v>
      </c>
      <c r="C297" s="104" t="s">
        <v>879</v>
      </c>
      <c r="D297" s="298"/>
      <c r="E297" s="299"/>
      <c r="F297" s="105">
        <v>105380.62</v>
      </c>
      <c r="G297" s="105">
        <v>35135.870000000003</v>
      </c>
      <c r="H297" s="106">
        <f t="shared" si="74"/>
        <v>70244.75</v>
      </c>
      <c r="I297" s="300">
        <f t="shared" si="75"/>
        <v>1.9992318391433026</v>
      </c>
      <c r="J297" s="107"/>
      <c r="K297" s="105">
        <v>375853.78</v>
      </c>
      <c r="L297" s="105">
        <v>259445.97</v>
      </c>
      <c r="M297" s="106">
        <f t="shared" si="76"/>
        <v>116407.81000000003</v>
      </c>
      <c r="N297" s="300">
        <f t="shared" si="77"/>
        <v>0.44867842811356839</v>
      </c>
      <c r="O297" s="301"/>
      <c r="P297" s="107"/>
      <c r="Q297" s="105">
        <v>375853.78</v>
      </c>
      <c r="R297" s="105">
        <v>259445.97</v>
      </c>
      <c r="S297" s="106">
        <f t="shared" si="78"/>
        <v>116407.81000000003</v>
      </c>
      <c r="T297" s="300">
        <f t="shared" si="79"/>
        <v>0.44867842811356839</v>
      </c>
      <c r="U297" s="107"/>
      <c r="V297" s="105">
        <v>-1133131.31</v>
      </c>
      <c r="W297" s="105">
        <v>1318649.818</v>
      </c>
      <c r="X297" s="106">
        <f t="shared" si="80"/>
        <v>-2451781.128</v>
      </c>
      <c r="Y297" s="300">
        <f t="shared" si="81"/>
        <v>-1.8593117706705664</v>
      </c>
      <c r="Z297" s="302"/>
      <c r="AA297" s="108">
        <v>111092.63</v>
      </c>
      <c r="AB297" s="109"/>
      <c r="AC297" s="110">
        <v>111727.93000000001</v>
      </c>
      <c r="AD297" s="110">
        <v>112582.17</v>
      </c>
      <c r="AE297" s="110">
        <v>35135.870000000003</v>
      </c>
      <c r="AF297" s="110">
        <v>114087.81</v>
      </c>
      <c r="AG297" s="110">
        <v>-1450200.82</v>
      </c>
      <c r="AH297" s="110">
        <v>60387.96</v>
      </c>
      <c r="AI297" s="110">
        <v>143889.69</v>
      </c>
      <c r="AJ297" s="110">
        <v>124827.03</v>
      </c>
      <c r="AK297" s="110">
        <v>-206898.21</v>
      </c>
      <c r="AL297" s="110">
        <v>117626.72</v>
      </c>
      <c r="AM297" s="110">
        <v>-546238.79</v>
      </c>
      <c r="AN297" s="110">
        <v>133533.51999999999</v>
      </c>
      <c r="AO297" s="109"/>
      <c r="AP297" s="110">
        <v>133170.65</v>
      </c>
      <c r="AQ297" s="110">
        <v>137302.51</v>
      </c>
      <c r="AR297" s="110">
        <v>105380.62</v>
      </c>
      <c r="AS297" s="110">
        <v>0</v>
      </c>
      <c r="AT297" s="110">
        <v>0</v>
      </c>
      <c r="AU297" s="110">
        <v>0</v>
      </c>
      <c r="AV297" s="110">
        <v>0</v>
      </c>
      <c r="AW297" s="110">
        <v>0</v>
      </c>
      <c r="AX297" s="110">
        <v>0</v>
      </c>
      <c r="AY297" s="110">
        <v>0</v>
      </c>
      <c r="AZ297" s="110">
        <v>0</v>
      </c>
      <c r="BA297" s="110">
        <v>0</v>
      </c>
    </row>
    <row r="298" spans="1:53" s="102" customFormat="1" outlineLevel="2">
      <c r="A298" s="102" t="s">
        <v>880</v>
      </c>
      <c r="B298" s="103" t="s">
        <v>881</v>
      </c>
      <c r="C298" s="104" t="s">
        <v>882</v>
      </c>
      <c r="D298" s="298"/>
      <c r="E298" s="299"/>
      <c r="F298" s="105">
        <v>159</v>
      </c>
      <c r="G298" s="105">
        <v>5.19</v>
      </c>
      <c r="H298" s="106">
        <f t="shared" si="74"/>
        <v>153.81</v>
      </c>
      <c r="I298" s="300" t="str">
        <f t="shared" si="75"/>
        <v>N.M.</v>
      </c>
      <c r="J298" s="107"/>
      <c r="K298" s="105">
        <v>159</v>
      </c>
      <c r="L298" s="105">
        <v>5.19</v>
      </c>
      <c r="M298" s="106">
        <f t="shared" si="76"/>
        <v>153.81</v>
      </c>
      <c r="N298" s="300" t="str">
        <f t="shared" si="77"/>
        <v>N.M.</v>
      </c>
      <c r="O298" s="301"/>
      <c r="P298" s="107"/>
      <c r="Q298" s="105">
        <v>159</v>
      </c>
      <c r="R298" s="105">
        <v>5.19</v>
      </c>
      <c r="S298" s="106">
        <f t="shared" si="78"/>
        <v>153.81</v>
      </c>
      <c r="T298" s="300" t="str">
        <f t="shared" si="79"/>
        <v>N.M.</v>
      </c>
      <c r="U298" s="107"/>
      <c r="V298" s="105">
        <v>4730.97</v>
      </c>
      <c r="W298" s="105">
        <v>6024.87</v>
      </c>
      <c r="X298" s="106">
        <f t="shared" si="80"/>
        <v>-1293.8999999999996</v>
      </c>
      <c r="Y298" s="300">
        <f t="shared" si="81"/>
        <v>-0.21475982054384571</v>
      </c>
      <c r="Z298" s="302"/>
      <c r="AA298" s="108">
        <v>1147.49</v>
      </c>
      <c r="AB298" s="109"/>
      <c r="AC298" s="110">
        <v>0</v>
      </c>
      <c r="AD298" s="110">
        <v>0</v>
      </c>
      <c r="AE298" s="110">
        <v>5.19</v>
      </c>
      <c r="AF298" s="110">
        <v>0</v>
      </c>
      <c r="AG298" s="110">
        <v>0</v>
      </c>
      <c r="AH298" s="110">
        <v>0.23</v>
      </c>
      <c r="AI298" s="110">
        <v>0</v>
      </c>
      <c r="AJ298" s="110">
        <v>0</v>
      </c>
      <c r="AK298" s="110">
        <v>92.77</v>
      </c>
      <c r="AL298" s="110">
        <v>3477.9300000000003</v>
      </c>
      <c r="AM298" s="110">
        <v>1001.0400000000001</v>
      </c>
      <c r="AN298" s="110">
        <v>0</v>
      </c>
      <c r="AO298" s="109"/>
      <c r="AP298" s="110">
        <v>0</v>
      </c>
      <c r="AQ298" s="110">
        <v>0</v>
      </c>
      <c r="AR298" s="110">
        <v>159</v>
      </c>
      <c r="AS298" s="110">
        <v>0</v>
      </c>
      <c r="AT298" s="110">
        <v>0</v>
      </c>
      <c r="AU298" s="110">
        <v>0</v>
      </c>
      <c r="AV298" s="110">
        <v>0</v>
      </c>
      <c r="AW298" s="110">
        <v>0</v>
      </c>
      <c r="AX298" s="110">
        <v>0</v>
      </c>
      <c r="AY298" s="110">
        <v>0</v>
      </c>
      <c r="AZ298" s="110">
        <v>0</v>
      </c>
      <c r="BA298" s="110">
        <v>0</v>
      </c>
    </row>
    <row r="299" spans="1:53" s="102" customFormat="1" outlineLevel="2">
      <c r="A299" s="102" t="s">
        <v>883</v>
      </c>
      <c r="B299" s="103" t="s">
        <v>884</v>
      </c>
      <c r="C299" s="104" t="s">
        <v>885</v>
      </c>
      <c r="D299" s="298"/>
      <c r="E299" s="299"/>
      <c r="F299" s="105">
        <v>50.04</v>
      </c>
      <c r="G299" s="105">
        <v>72.78</v>
      </c>
      <c r="H299" s="106">
        <f t="shared" si="74"/>
        <v>-22.740000000000002</v>
      </c>
      <c r="I299" s="300">
        <f t="shared" si="75"/>
        <v>-0.31244847485572963</v>
      </c>
      <c r="J299" s="107"/>
      <c r="K299" s="105">
        <v>71.55</v>
      </c>
      <c r="L299" s="105">
        <v>198.98000000000002</v>
      </c>
      <c r="M299" s="106">
        <f t="shared" si="76"/>
        <v>-127.43000000000002</v>
      </c>
      <c r="N299" s="300">
        <f t="shared" si="77"/>
        <v>-0.6404161222233391</v>
      </c>
      <c r="O299" s="301"/>
      <c r="P299" s="107"/>
      <c r="Q299" s="105">
        <v>71.55</v>
      </c>
      <c r="R299" s="105">
        <v>198.98000000000002</v>
      </c>
      <c r="S299" s="106">
        <f t="shared" si="78"/>
        <v>-127.43000000000002</v>
      </c>
      <c r="T299" s="300">
        <f t="shared" si="79"/>
        <v>-0.6404161222233391</v>
      </c>
      <c r="U299" s="107"/>
      <c r="V299" s="105">
        <v>-198.20999999999998</v>
      </c>
      <c r="W299" s="105">
        <v>-243.05</v>
      </c>
      <c r="X299" s="106">
        <f t="shared" si="80"/>
        <v>44.840000000000032</v>
      </c>
      <c r="Y299" s="300">
        <f t="shared" si="81"/>
        <v>0.18448878831516161</v>
      </c>
      <c r="Z299" s="302"/>
      <c r="AA299" s="108">
        <v>-181.49</v>
      </c>
      <c r="AB299" s="109"/>
      <c r="AC299" s="110">
        <v>138.18</v>
      </c>
      <c r="AD299" s="110">
        <v>-11.98</v>
      </c>
      <c r="AE299" s="110">
        <v>72.78</v>
      </c>
      <c r="AF299" s="110">
        <v>-7.17</v>
      </c>
      <c r="AG299" s="110">
        <v>66.13</v>
      </c>
      <c r="AH299" s="110">
        <v>-89.52</v>
      </c>
      <c r="AI299" s="110">
        <v>-187.13</v>
      </c>
      <c r="AJ299" s="110">
        <v>49.01</v>
      </c>
      <c r="AK299" s="110">
        <v>-28.810000000000002</v>
      </c>
      <c r="AL299" s="110">
        <v>-4.66</v>
      </c>
      <c r="AM299" s="110">
        <v>-14.370000000000001</v>
      </c>
      <c r="AN299" s="110">
        <v>-53.24</v>
      </c>
      <c r="AO299" s="109"/>
      <c r="AP299" s="110">
        <v>35.74</v>
      </c>
      <c r="AQ299" s="110">
        <v>-14.23</v>
      </c>
      <c r="AR299" s="110">
        <v>50.04</v>
      </c>
      <c r="AS299" s="110">
        <v>0</v>
      </c>
      <c r="AT299" s="110">
        <v>0</v>
      </c>
      <c r="AU299" s="110">
        <v>0</v>
      </c>
      <c r="AV299" s="110">
        <v>0</v>
      </c>
      <c r="AW299" s="110">
        <v>0</v>
      </c>
      <c r="AX299" s="110">
        <v>0</v>
      </c>
      <c r="AY299" s="110">
        <v>0</v>
      </c>
      <c r="AZ299" s="110">
        <v>0</v>
      </c>
      <c r="BA299" s="110">
        <v>0</v>
      </c>
    </row>
    <row r="300" spans="1:53" s="102" customFormat="1" outlineLevel="2">
      <c r="A300" s="102" t="s">
        <v>886</v>
      </c>
      <c r="B300" s="103" t="s">
        <v>887</v>
      </c>
      <c r="C300" s="104" t="s">
        <v>888</v>
      </c>
      <c r="D300" s="298"/>
      <c r="E300" s="299"/>
      <c r="F300" s="105">
        <v>-106572.7</v>
      </c>
      <c r="G300" s="105">
        <v>-53037.55</v>
      </c>
      <c r="H300" s="106">
        <f t="shared" si="74"/>
        <v>-53535.149999999994</v>
      </c>
      <c r="I300" s="300">
        <f t="shared" si="75"/>
        <v>-1.0093820321640044</v>
      </c>
      <c r="J300" s="107"/>
      <c r="K300" s="105">
        <v>99014.07</v>
      </c>
      <c r="L300" s="105">
        <v>543826.28</v>
      </c>
      <c r="M300" s="106">
        <f t="shared" si="76"/>
        <v>-444812.21</v>
      </c>
      <c r="N300" s="300">
        <f t="shared" si="77"/>
        <v>-0.81793070022287262</v>
      </c>
      <c r="O300" s="301"/>
      <c r="P300" s="107"/>
      <c r="Q300" s="105">
        <v>99014.07</v>
      </c>
      <c r="R300" s="105">
        <v>543826.28</v>
      </c>
      <c r="S300" s="106">
        <f t="shared" si="78"/>
        <v>-444812.21</v>
      </c>
      <c r="T300" s="300">
        <f t="shared" si="79"/>
        <v>-0.81793070022287262</v>
      </c>
      <c r="U300" s="107"/>
      <c r="V300" s="105">
        <v>-215078.53999999998</v>
      </c>
      <c r="W300" s="105">
        <v>1402223.96</v>
      </c>
      <c r="X300" s="106">
        <f t="shared" si="80"/>
        <v>-1617302.5</v>
      </c>
      <c r="Y300" s="300">
        <f t="shared" si="81"/>
        <v>-1.1533838717176106</v>
      </c>
      <c r="Z300" s="302"/>
      <c r="AA300" s="108">
        <v>297265.82</v>
      </c>
      <c r="AB300" s="109"/>
      <c r="AC300" s="110">
        <v>216104.06</v>
      </c>
      <c r="AD300" s="110">
        <v>380759.77</v>
      </c>
      <c r="AE300" s="110">
        <v>-53037.55</v>
      </c>
      <c r="AF300" s="110">
        <v>38743.910000000003</v>
      </c>
      <c r="AG300" s="110">
        <v>-127860.94</v>
      </c>
      <c r="AH300" s="110">
        <v>-41356.17</v>
      </c>
      <c r="AI300" s="110">
        <v>395690.55</v>
      </c>
      <c r="AJ300" s="110">
        <v>101887.56</v>
      </c>
      <c r="AK300" s="110">
        <v>-197150.98</v>
      </c>
      <c r="AL300" s="110">
        <v>286584.24</v>
      </c>
      <c r="AM300" s="110">
        <v>-753917.04</v>
      </c>
      <c r="AN300" s="110">
        <v>-16713.740000000002</v>
      </c>
      <c r="AO300" s="109"/>
      <c r="AP300" s="110">
        <v>-13637.710000000001</v>
      </c>
      <c r="AQ300" s="110">
        <v>219224.48</v>
      </c>
      <c r="AR300" s="110">
        <v>-106572.7</v>
      </c>
      <c r="AS300" s="110">
        <v>8298.07</v>
      </c>
      <c r="AT300" s="110">
        <v>0</v>
      </c>
      <c r="AU300" s="110">
        <v>0</v>
      </c>
      <c r="AV300" s="110">
        <v>0</v>
      </c>
      <c r="AW300" s="110">
        <v>0</v>
      </c>
      <c r="AX300" s="110">
        <v>0</v>
      </c>
      <c r="AY300" s="110">
        <v>0</v>
      </c>
      <c r="AZ300" s="110">
        <v>0</v>
      </c>
      <c r="BA300" s="110">
        <v>0</v>
      </c>
    </row>
    <row r="301" spans="1:53" s="102" customFormat="1" outlineLevel="2">
      <c r="A301" s="102" t="s">
        <v>889</v>
      </c>
      <c r="B301" s="103" t="s">
        <v>890</v>
      </c>
      <c r="C301" s="104" t="s">
        <v>891</v>
      </c>
      <c r="D301" s="298"/>
      <c r="E301" s="299"/>
      <c r="F301" s="105">
        <v>344.86</v>
      </c>
      <c r="G301" s="105">
        <v>161.25</v>
      </c>
      <c r="H301" s="106">
        <f t="shared" si="74"/>
        <v>183.61</v>
      </c>
      <c r="I301" s="300">
        <f t="shared" si="75"/>
        <v>1.1386666666666667</v>
      </c>
      <c r="J301" s="107"/>
      <c r="K301" s="105">
        <v>880.75</v>
      </c>
      <c r="L301" s="105">
        <v>228.6</v>
      </c>
      <c r="M301" s="106">
        <f t="shared" si="76"/>
        <v>652.15</v>
      </c>
      <c r="N301" s="300">
        <f t="shared" si="77"/>
        <v>2.8527996500437447</v>
      </c>
      <c r="O301" s="301"/>
      <c r="P301" s="107"/>
      <c r="Q301" s="105">
        <v>880.75</v>
      </c>
      <c r="R301" s="105">
        <v>228.6</v>
      </c>
      <c r="S301" s="106">
        <f t="shared" si="78"/>
        <v>652.15</v>
      </c>
      <c r="T301" s="300">
        <f t="shared" si="79"/>
        <v>2.8527996500437447</v>
      </c>
      <c r="U301" s="107"/>
      <c r="V301" s="105">
        <v>2562.34</v>
      </c>
      <c r="W301" s="105">
        <v>736.12</v>
      </c>
      <c r="X301" s="106">
        <f t="shared" si="80"/>
        <v>1826.2200000000003</v>
      </c>
      <c r="Y301" s="300">
        <f t="shared" si="81"/>
        <v>2.4808726838015542</v>
      </c>
      <c r="Z301" s="302"/>
      <c r="AA301" s="108">
        <v>88.3</v>
      </c>
      <c r="AB301" s="109"/>
      <c r="AC301" s="110">
        <v>31.3</v>
      </c>
      <c r="AD301" s="110">
        <v>36.050000000000004</v>
      </c>
      <c r="AE301" s="110">
        <v>161.25</v>
      </c>
      <c r="AF301" s="110">
        <v>181.29</v>
      </c>
      <c r="AG301" s="110">
        <v>92.41</v>
      </c>
      <c r="AH301" s="110">
        <v>186.23</v>
      </c>
      <c r="AI301" s="110">
        <v>-2.48</v>
      </c>
      <c r="AJ301" s="110">
        <v>404.51</v>
      </c>
      <c r="AK301" s="110">
        <v>179.8</v>
      </c>
      <c r="AL301" s="110">
        <v>223.96</v>
      </c>
      <c r="AM301" s="110">
        <v>119.36</v>
      </c>
      <c r="AN301" s="110">
        <v>296.51</v>
      </c>
      <c r="AO301" s="109"/>
      <c r="AP301" s="110">
        <v>0</v>
      </c>
      <c r="AQ301" s="110">
        <v>535.89</v>
      </c>
      <c r="AR301" s="110">
        <v>344.86</v>
      </c>
      <c r="AS301" s="110">
        <v>0</v>
      </c>
      <c r="AT301" s="110">
        <v>0</v>
      </c>
      <c r="AU301" s="110">
        <v>0</v>
      </c>
      <c r="AV301" s="110">
        <v>0</v>
      </c>
      <c r="AW301" s="110">
        <v>0</v>
      </c>
      <c r="AX301" s="110">
        <v>0</v>
      </c>
      <c r="AY301" s="110">
        <v>0</v>
      </c>
      <c r="AZ301" s="110">
        <v>0</v>
      </c>
      <c r="BA301" s="110">
        <v>0</v>
      </c>
    </row>
    <row r="302" spans="1:53" s="102" customFormat="1" outlineLevel="2">
      <c r="A302" s="102" t="s">
        <v>892</v>
      </c>
      <c r="B302" s="103" t="s">
        <v>893</v>
      </c>
      <c r="C302" s="104" t="s">
        <v>894</v>
      </c>
      <c r="D302" s="298"/>
      <c r="E302" s="299"/>
      <c r="F302" s="105">
        <v>-49460.03</v>
      </c>
      <c r="G302" s="105">
        <v>-20481.240000000002</v>
      </c>
      <c r="H302" s="106">
        <f t="shared" si="74"/>
        <v>-28978.789999999997</v>
      </c>
      <c r="I302" s="300">
        <f t="shared" si="75"/>
        <v>-1.4148943130396399</v>
      </c>
      <c r="J302" s="107"/>
      <c r="K302" s="105">
        <v>-146060.58000000002</v>
      </c>
      <c r="L302" s="105">
        <v>-63837.120000000003</v>
      </c>
      <c r="M302" s="106">
        <f t="shared" si="76"/>
        <v>-82223.460000000021</v>
      </c>
      <c r="N302" s="300">
        <f t="shared" si="77"/>
        <v>-1.2880195723115331</v>
      </c>
      <c r="O302" s="301"/>
      <c r="P302" s="107"/>
      <c r="Q302" s="105">
        <v>-146060.58000000002</v>
      </c>
      <c r="R302" s="105">
        <v>-63837.120000000003</v>
      </c>
      <c r="S302" s="106">
        <f t="shared" si="78"/>
        <v>-82223.460000000021</v>
      </c>
      <c r="T302" s="300">
        <f t="shared" si="79"/>
        <v>-1.2880195723115331</v>
      </c>
      <c r="U302" s="107"/>
      <c r="V302" s="105">
        <v>-586369.41</v>
      </c>
      <c r="W302" s="105">
        <v>-706788.92</v>
      </c>
      <c r="X302" s="106">
        <f t="shared" si="80"/>
        <v>120419.51000000001</v>
      </c>
      <c r="Y302" s="300">
        <f t="shared" si="81"/>
        <v>0.17037549202101243</v>
      </c>
      <c r="Z302" s="302"/>
      <c r="AA302" s="108">
        <v>-62651.450000000004</v>
      </c>
      <c r="AB302" s="109"/>
      <c r="AC302" s="110">
        <v>-23006.65</v>
      </c>
      <c r="AD302" s="110">
        <v>-20349.23</v>
      </c>
      <c r="AE302" s="110">
        <v>-20481.240000000002</v>
      </c>
      <c r="AF302" s="110">
        <v>-40598.090000000004</v>
      </c>
      <c r="AG302" s="110">
        <v>-43054.080000000002</v>
      </c>
      <c r="AH302" s="110">
        <v>-40475.620000000003</v>
      </c>
      <c r="AI302" s="110">
        <v>-45306.21</v>
      </c>
      <c r="AJ302" s="110">
        <v>-29955.940000000002</v>
      </c>
      <c r="AK302" s="110">
        <v>-33184.07</v>
      </c>
      <c r="AL302" s="110">
        <v>-61543.020000000004</v>
      </c>
      <c r="AM302" s="110">
        <v>-65458.73</v>
      </c>
      <c r="AN302" s="110">
        <v>-80733.070000000007</v>
      </c>
      <c r="AO302" s="109"/>
      <c r="AP302" s="110">
        <v>-45349.33</v>
      </c>
      <c r="AQ302" s="110">
        <v>-51251.22</v>
      </c>
      <c r="AR302" s="110">
        <v>-49460.03</v>
      </c>
      <c r="AS302" s="110">
        <v>0</v>
      </c>
      <c r="AT302" s="110">
        <v>0</v>
      </c>
      <c r="AU302" s="110">
        <v>0</v>
      </c>
      <c r="AV302" s="110">
        <v>0</v>
      </c>
      <c r="AW302" s="110">
        <v>0</v>
      </c>
      <c r="AX302" s="110">
        <v>0</v>
      </c>
      <c r="AY302" s="110">
        <v>0</v>
      </c>
      <c r="AZ302" s="110">
        <v>0</v>
      </c>
      <c r="BA302" s="110">
        <v>0</v>
      </c>
    </row>
    <row r="303" spans="1:53" s="102" customFormat="1" outlineLevel="2">
      <c r="A303" s="102" t="s">
        <v>895</v>
      </c>
      <c r="B303" s="103" t="s">
        <v>896</v>
      </c>
      <c r="C303" s="104" t="s">
        <v>897</v>
      </c>
      <c r="D303" s="298"/>
      <c r="E303" s="299"/>
      <c r="F303" s="105">
        <v>215.18</v>
      </c>
      <c r="G303" s="105">
        <v>260.59000000000003</v>
      </c>
      <c r="H303" s="106">
        <f t="shared" si="74"/>
        <v>-45.410000000000025</v>
      </c>
      <c r="I303" s="300">
        <f t="shared" si="75"/>
        <v>-0.17425841359990799</v>
      </c>
      <c r="J303" s="107"/>
      <c r="K303" s="105">
        <v>952.16</v>
      </c>
      <c r="L303" s="105">
        <v>1278.3800000000001</v>
      </c>
      <c r="M303" s="106">
        <f t="shared" si="76"/>
        <v>-326.22000000000014</v>
      </c>
      <c r="N303" s="300">
        <f t="shared" si="77"/>
        <v>-0.25518234014925151</v>
      </c>
      <c r="O303" s="301"/>
      <c r="P303" s="107"/>
      <c r="Q303" s="105">
        <v>952.16</v>
      </c>
      <c r="R303" s="105">
        <v>1278.3800000000001</v>
      </c>
      <c r="S303" s="106">
        <f t="shared" si="78"/>
        <v>-326.22000000000014</v>
      </c>
      <c r="T303" s="300">
        <f t="shared" si="79"/>
        <v>-0.25518234014925151</v>
      </c>
      <c r="U303" s="107"/>
      <c r="V303" s="105">
        <v>13695.44</v>
      </c>
      <c r="W303" s="105">
        <v>4043.92</v>
      </c>
      <c r="X303" s="106">
        <f t="shared" si="80"/>
        <v>9651.52</v>
      </c>
      <c r="Y303" s="300">
        <f t="shared" si="81"/>
        <v>2.386674316010208</v>
      </c>
      <c r="Z303" s="302"/>
      <c r="AA303" s="108">
        <v>242.51</v>
      </c>
      <c r="AB303" s="109"/>
      <c r="AC303" s="110">
        <v>328.75</v>
      </c>
      <c r="AD303" s="110">
        <v>689.04</v>
      </c>
      <c r="AE303" s="110">
        <v>260.59000000000003</v>
      </c>
      <c r="AF303" s="110">
        <v>230.91</v>
      </c>
      <c r="AG303" s="110">
        <v>218.97</v>
      </c>
      <c r="AH303" s="110">
        <v>10240.42</v>
      </c>
      <c r="AI303" s="110">
        <v>310.72000000000003</v>
      </c>
      <c r="AJ303" s="110">
        <v>672.29</v>
      </c>
      <c r="AK303" s="110">
        <v>332.61</v>
      </c>
      <c r="AL303" s="110">
        <v>215.03</v>
      </c>
      <c r="AM303" s="110">
        <v>221.31</v>
      </c>
      <c r="AN303" s="110">
        <v>301.02</v>
      </c>
      <c r="AO303" s="109"/>
      <c r="AP303" s="110">
        <v>230.06</v>
      </c>
      <c r="AQ303" s="110">
        <v>506.92</v>
      </c>
      <c r="AR303" s="110">
        <v>215.18</v>
      </c>
      <c r="AS303" s="110">
        <v>0</v>
      </c>
      <c r="AT303" s="110">
        <v>0</v>
      </c>
      <c r="AU303" s="110">
        <v>0</v>
      </c>
      <c r="AV303" s="110">
        <v>0</v>
      </c>
      <c r="AW303" s="110">
        <v>0</v>
      </c>
      <c r="AX303" s="110">
        <v>0</v>
      </c>
      <c r="AY303" s="110">
        <v>0</v>
      </c>
      <c r="AZ303" s="110">
        <v>0</v>
      </c>
      <c r="BA303" s="110">
        <v>0</v>
      </c>
    </row>
    <row r="304" spans="1:53" s="102" customFormat="1" outlineLevel="2">
      <c r="A304" s="102" t="s">
        <v>898</v>
      </c>
      <c r="B304" s="103" t="s">
        <v>899</v>
      </c>
      <c r="C304" s="104" t="s">
        <v>900</v>
      </c>
      <c r="D304" s="298"/>
      <c r="E304" s="299"/>
      <c r="F304" s="105">
        <v>0</v>
      </c>
      <c r="G304" s="105">
        <v>0</v>
      </c>
      <c r="H304" s="106">
        <f t="shared" si="74"/>
        <v>0</v>
      </c>
      <c r="I304" s="300">
        <f t="shared" si="75"/>
        <v>0</v>
      </c>
      <c r="J304" s="107"/>
      <c r="K304" s="105">
        <v>0</v>
      </c>
      <c r="L304" s="105">
        <v>0</v>
      </c>
      <c r="M304" s="106">
        <f t="shared" si="76"/>
        <v>0</v>
      </c>
      <c r="N304" s="300">
        <f t="shared" si="77"/>
        <v>0</v>
      </c>
      <c r="O304" s="301"/>
      <c r="P304" s="107"/>
      <c r="Q304" s="105">
        <v>0</v>
      </c>
      <c r="R304" s="105">
        <v>0</v>
      </c>
      <c r="S304" s="106">
        <f t="shared" si="78"/>
        <v>0</v>
      </c>
      <c r="T304" s="300">
        <f t="shared" si="79"/>
        <v>0</v>
      </c>
      <c r="U304" s="107"/>
      <c r="V304" s="105">
        <v>5.92</v>
      </c>
      <c r="W304" s="105">
        <v>18.43</v>
      </c>
      <c r="X304" s="106">
        <f t="shared" si="80"/>
        <v>-12.51</v>
      </c>
      <c r="Y304" s="300">
        <f t="shared" si="81"/>
        <v>-0.67878459034183392</v>
      </c>
      <c r="Z304" s="302"/>
      <c r="AA304" s="108">
        <v>0</v>
      </c>
      <c r="AB304" s="109"/>
      <c r="AC304" s="110">
        <v>0</v>
      </c>
      <c r="AD304" s="110">
        <v>0</v>
      </c>
      <c r="AE304" s="110">
        <v>0</v>
      </c>
      <c r="AF304" s="110">
        <v>0</v>
      </c>
      <c r="AG304" s="110">
        <v>0</v>
      </c>
      <c r="AH304" s="110">
        <v>0</v>
      </c>
      <c r="AI304" s="110">
        <v>0</v>
      </c>
      <c r="AJ304" s="110">
        <v>5.92</v>
      </c>
      <c r="AK304" s="110">
        <v>0</v>
      </c>
      <c r="AL304" s="110">
        <v>0</v>
      </c>
      <c r="AM304" s="110">
        <v>0</v>
      </c>
      <c r="AN304" s="110">
        <v>0</v>
      </c>
      <c r="AO304" s="109"/>
      <c r="AP304" s="110">
        <v>0</v>
      </c>
      <c r="AQ304" s="110">
        <v>0</v>
      </c>
      <c r="AR304" s="110">
        <v>0</v>
      </c>
      <c r="AS304" s="110">
        <v>0</v>
      </c>
      <c r="AT304" s="110">
        <v>0</v>
      </c>
      <c r="AU304" s="110">
        <v>0</v>
      </c>
      <c r="AV304" s="110">
        <v>0</v>
      </c>
      <c r="AW304" s="110">
        <v>0</v>
      </c>
      <c r="AX304" s="110">
        <v>0</v>
      </c>
      <c r="AY304" s="110">
        <v>0</v>
      </c>
      <c r="AZ304" s="110">
        <v>0</v>
      </c>
      <c r="BA304" s="110">
        <v>0</v>
      </c>
    </row>
    <row r="305" spans="1:53" s="102" customFormat="1" outlineLevel="2">
      <c r="A305" s="102" t="s">
        <v>901</v>
      </c>
      <c r="B305" s="103" t="s">
        <v>902</v>
      </c>
      <c r="C305" s="104" t="s">
        <v>903</v>
      </c>
      <c r="D305" s="298"/>
      <c r="E305" s="299"/>
      <c r="F305" s="105">
        <v>2966.07</v>
      </c>
      <c r="G305" s="105">
        <v>3449.87</v>
      </c>
      <c r="H305" s="106">
        <f t="shared" si="74"/>
        <v>-483.79999999999973</v>
      </c>
      <c r="I305" s="300">
        <f t="shared" si="75"/>
        <v>-0.14023716835706845</v>
      </c>
      <c r="J305" s="107"/>
      <c r="K305" s="105">
        <v>11188.82</v>
      </c>
      <c r="L305" s="105">
        <v>10596.34</v>
      </c>
      <c r="M305" s="106">
        <f t="shared" si="76"/>
        <v>592.47999999999956</v>
      </c>
      <c r="N305" s="300">
        <f t="shared" si="77"/>
        <v>5.5913645655009142E-2</v>
      </c>
      <c r="O305" s="301"/>
      <c r="P305" s="107"/>
      <c r="Q305" s="105">
        <v>11188.82</v>
      </c>
      <c r="R305" s="105">
        <v>10596.34</v>
      </c>
      <c r="S305" s="106">
        <f t="shared" si="78"/>
        <v>592.47999999999956</v>
      </c>
      <c r="T305" s="300">
        <f t="shared" si="79"/>
        <v>5.5913645655009142E-2</v>
      </c>
      <c r="U305" s="107"/>
      <c r="V305" s="105">
        <v>35521.46</v>
      </c>
      <c r="W305" s="105">
        <v>20361.849999999999</v>
      </c>
      <c r="X305" s="106">
        <f t="shared" si="80"/>
        <v>15159.61</v>
      </c>
      <c r="Y305" s="300">
        <f t="shared" si="81"/>
        <v>0.74451044477785666</v>
      </c>
      <c r="Z305" s="302"/>
      <c r="AA305" s="108">
        <v>-261.77</v>
      </c>
      <c r="AB305" s="109"/>
      <c r="AC305" s="110">
        <v>115.60000000000001</v>
      </c>
      <c r="AD305" s="110">
        <v>7030.87</v>
      </c>
      <c r="AE305" s="110">
        <v>3449.87</v>
      </c>
      <c r="AF305" s="110">
        <v>1165</v>
      </c>
      <c r="AG305" s="110">
        <v>6922.3</v>
      </c>
      <c r="AH305" s="110">
        <v>-5104</v>
      </c>
      <c r="AI305" s="110">
        <v>2289</v>
      </c>
      <c r="AJ305" s="110">
        <v>1798.1200000000001</v>
      </c>
      <c r="AK305" s="110">
        <v>2135</v>
      </c>
      <c r="AL305" s="110">
        <v>7566.77</v>
      </c>
      <c r="AM305" s="110">
        <v>4920.26</v>
      </c>
      <c r="AN305" s="110">
        <v>2640.19</v>
      </c>
      <c r="AO305" s="109"/>
      <c r="AP305" s="110">
        <v>1785.3700000000001</v>
      </c>
      <c r="AQ305" s="110">
        <v>6437.38</v>
      </c>
      <c r="AR305" s="110">
        <v>2966.07</v>
      </c>
      <c r="AS305" s="110">
        <v>-1307</v>
      </c>
      <c r="AT305" s="110">
        <v>0</v>
      </c>
      <c r="AU305" s="110">
        <v>0</v>
      </c>
      <c r="AV305" s="110">
        <v>0</v>
      </c>
      <c r="AW305" s="110">
        <v>0</v>
      </c>
      <c r="AX305" s="110">
        <v>0</v>
      </c>
      <c r="AY305" s="110">
        <v>0</v>
      </c>
      <c r="AZ305" s="110">
        <v>0</v>
      </c>
      <c r="BA305" s="110">
        <v>0</v>
      </c>
    </row>
    <row r="306" spans="1:53" s="102" customFormat="1" outlineLevel="2">
      <c r="A306" s="102" t="s">
        <v>904</v>
      </c>
      <c r="B306" s="103" t="s">
        <v>905</v>
      </c>
      <c r="C306" s="104" t="s">
        <v>906</v>
      </c>
      <c r="D306" s="298"/>
      <c r="E306" s="299"/>
      <c r="F306" s="105">
        <v>147915.62</v>
      </c>
      <c r="G306" s="105">
        <v>184455.54</v>
      </c>
      <c r="H306" s="106">
        <f t="shared" si="74"/>
        <v>-36539.920000000013</v>
      </c>
      <c r="I306" s="300">
        <f t="shared" si="75"/>
        <v>-0.19809608320791022</v>
      </c>
      <c r="J306" s="107"/>
      <c r="K306" s="105">
        <v>484996.14</v>
      </c>
      <c r="L306" s="105">
        <v>630519.62</v>
      </c>
      <c r="M306" s="106">
        <f t="shared" si="76"/>
        <v>-145523.47999999998</v>
      </c>
      <c r="N306" s="300">
        <f t="shared" si="77"/>
        <v>-0.23079928900547136</v>
      </c>
      <c r="O306" s="301"/>
      <c r="P306" s="107"/>
      <c r="Q306" s="105">
        <v>484996.14</v>
      </c>
      <c r="R306" s="105">
        <v>630519.62</v>
      </c>
      <c r="S306" s="106">
        <f t="shared" si="78"/>
        <v>-145523.47999999998</v>
      </c>
      <c r="T306" s="300">
        <f t="shared" si="79"/>
        <v>-0.23079928900547136</v>
      </c>
      <c r="U306" s="107"/>
      <c r="V306" s="105">
        <v>2376555.0300000003</v>
      </c>
      <c r="W306" s="105">
        <v>2665530.6800000002</v>
      </c>
      <c r="X306" s="106">
        <f t="shared" si="80"/>
        <v>-288975.64999999991</v>
      </c>
      <c r="Y306" s="300">
        <f t="shared" si="81"/>
        <v>-0.10841205174198178</v>
      </c>
      <c r="Z306" s="302"/>
      <c r="AA306" s="108">
        <v>226112.34</v>
      </c>
      <c r="AB306" s="109"/>
      <c r="AC306" s="110">
        <v>223032.04</v>
      </c>
      <c r="AD306" s="110">
        <v>223032.04</v>
      </c>
      <c r="AE306" s="110">
        <v>184455.54</v>
      </c>
      <c r="AF306" s="110">
        <v>210173.21</v>
      </c>
      <c r="AG306" s="110">
        <v>210173.21</v>
      </c>
      <c r="AH306" s="110">
        <v>210173.21</v>
      </c>
      <c r="AI306" s="110">
        <v>210173.21</v>
      </c>
      <c r="AJ306" s="110">
        <v>263333.67</v>
      </c>
      <c r="AK306" s="110">
        <v>157012.75</v>
      </c>
      <c r="AL306" s="110">
        <v>210173.21</v>
      </c>
      <c r="AM306" s="110">
        <v>210173.21</v>
      </c>
      <c r="AN306" s="110">
        <v>210173.21</v>
      </c>
      <c r="AO306" s="109"/>
      <c r="AP306" s="110">
        <v>168540.26</v>
      </c>
      <c r="AQ306" s="110">
        <v>168540.26</v>
      </c>
      <c r="AR306" s="110">
        <v>147915.62</v>
      </c>
      <c r="AS306" s="110">
        <v>0</v>
      </c>
      <c r="AT306" s="110">
        <v>0</v>
      </c>
      <c r="AU306" s="110">
        <v>0</v>
      </c>
      <c r="AV306" s="110">
        <v>0</v>
      </c>
      <c r="AW306" s="110">
        <v>0</v>
      </c>
      <c r="AX306" s="110">
        <v>0</v>
      </c>
      <c r="AY306" s="110">
        <v>0</v>
      </c>
      <c r="AZ306" s="110">
        <v>0</v>
      </c>
      <c r="BA306" s="110">
        <v>0</v>
      </c>
    </row>
    <row r="307" spans="1:53" s="102" customFormat="1" outlineLevel="2">
      <c r="A307" s="102" t="s">
        <v>907</v>
      </c>
      <c r="B307" s="103" t="s">
        <v>908</v>
      </c>
      <c r="C307" s="104" t="s">
        <v>909</v>
      </c>
      <c r="D307" s="298"/>
      <c r="E307" s="299"/>
      <c r="F307" s="105">
        <v>9564.75</v>
      </c>
      <c r="G307" s="105">
        <v>11957.84</v>
      </c>
      <c r="H307" s="106">
        <f t="shared" si="74"/>
        <v>-2393.09</v>
      </c>
      <c r="I307" s="300">
        <f t="shared" si="75"/>
        <v>-0.20012728051219955</v>
      </c>
      <c r="J307" s="107"/>
      <c r="K307" s="105">
        <v>35917.629999999997</v>
      </c>
      <c r="L307" s="105">
        <v>33894.730000000003</v>
      </c>
      <c r="M307" s="106">
        <f t="shared" si="76"/>
        <v>2022.8999999999942</v>
      </c>
      <c r="N307" s="300">
        <f t="shared" si="77"/>
        <v>5.968184434571374E-2</v>
      </c>
      <c r="O307" s="301"/>
      <c r="P307" s="107"/>
      <c r="Q307" s="105">
        <v>35917.629999999997</v>
      </c>
      <c r="R307" s="105">
        <v>33894.730000000003</v>
      </c>
      <c r="S307" s="106">
        <f t="shared" si="78"/>
        <v>2022.8999999999942</v>
      </c>
      <c r="T307" s="300">
        <f t="shared" si="79"/>
        <v>5.968184434571374E-2</v>
      </c>
      <c r="U307" s="107"/>
      <c r="V307" s="105">
        <v>142455.88</v>
      </c>
      <c r="W307" s="105">
        <v>140944.55000000002</v>
      </c>
      <c r="X307" s="106">
        <f t="shared" si="80"/>
        <v>1511.3299999999872</v>
      </c>
      <c r="Y307" s="300">
        <f t="shared" si="81"/>
        <v>1.0722869383739826E-2</v>
      </c>
      <c r="Z307" s="302"/>
      <c r="AA307" s="108">
        <v>11270.99</v>
      </c>
      <c r="AB307" s="109"/>
      <c r="AC307" s="110">
        <v>11090.4</v>
      </c>
      <c r="AD307" s="110">
        <v>10846.49</v>
      </c>
      <c r="AE307" s="110">
        <v>11957.84</v>
      </c>
      <c r="AF307" s="110">
        <v>11438.78</v>
      </c>
      <c r="AG307" s="110">
        <v>11265.12</v>
      </c>
      <c r="AH307" s="110">
        <v>11526.31</v>
      </c>
      <c r="AI307" s="110">
        <v>11657.01</v>
      </c>
      <c r="AJ307" s="110">
        <v>15124.960000000001</v>
      </c>
      <c r="AK307" s="110">
        <v>8496.43</v>
      </c>
      <c r="AL307" s="110">
        <v>12095.86</v>
      </c>
      <c r="AM307" s="110">
        <v>12941.59</v>
      </c>
      <c r="AN307" s="110">
        <v>11992.19</v>
      </c>
      <c r="AO307" s="109"/>
      <c r="AP307" s="110">
        <v>12446.99</v>
      </c>
      <c r="AQ307" s="110">
        <v>13905.89</v>
      </c>
      <c r="AR307" s="110">
        <v>9564.75</v>
      </c>
      <c r="AS307" s="110">
        <v>0</v>
      </c>
      <c r="AT307" s="110">
        <v>0</v>
      </c>
      <c r="AU307" s="110">
        <v>0</v>
      </c>
      <c r="AV307" s="110">
        <v>0</v>
      </c>
      <c r="AW307" s="110">
        <v>0</v>
      </c>
      <c r="AX307" s="110">
        <v>0</v>
      </c>
      <c r="AY307" s="110">
        <v>0</v>
      </c>
      <c r="AZ307" s="110">
        <v>0</v>
      </c>
      <c r="BA307" s="110">
        <v>0</v>
      </c>
    </row>
    <row r="308" spans="1:53" s="102" customFormat="1" outlineLevel="2">
      <c r="A308" s="102" t="s">
        <v>910</v>
      </c>
      <c r="B308" s="103" t="s">
        <v>911</v>
      </c>
      <c r="C308" s="104" t="s">
        <v>912</v>
      </c>
      <c r="D308" s="298"/>
      <c r="E308" s="299"/>
      <c r="F308" s="105">
        <v>416478.44</v>
      </c>
      <c r="G308" s="105">
        <v>371998.94</v>
      </c>
      <c r="H308" s="106">
        <f t="shared" si="74"/>
        <v>44479.5</v>
      </c>
      <c r="I308" s="300">
        <f t="shared" si="75"/>
        <v>0.11956888909414634</v>
      </c>
      <c r="J308" s="107"/>
      <c r="K308" s="105">
        <v>1238556.17</v>
      </c>
      <c r="L308" s="105">
        <v>1110866.21</v>
      </c>
      <c r="M308" s="106">
        <f t="shared" si="76"/>
        <v>127689.95999999996</v>
      </c>
      <c r="N308" s="300">
        <f t="shared" si="77"/>
        <v>0.11494629942880337</v>
      </c>
      <c r="O308" s="301"/>
      <c r="P308" s="107"/>
      <c r="Q308" s="105">
        <v>1238556.17</v>
      </c>
      <c r="R308" s="105">
        <v>1110866.21</v>
      </c>
      <c r="S308" s="106">
        <f t="shared" si="78"/>
        <v>127689.95999999996</v>
      </c>
      <c r="T308" s="300">
        <f t="shared" si="79"/>
        <v>0.11494629942880337</v>
      </c>
      <c r="U308" s="107"/>
      <c r="V308" s="105">
        <v>4592220.8100000005</v>
      </c>
      <c r="W308" s="105">
        <v>4447137.82</v>
      </c>
      <c r="X308" s="106">
        <f t="shared" si="80"/>
        <v>145082.99000000022</v>
      </c>
      <c r="Y308" s="300">
        <f t="shared" si="81"/>
        <v>3.2623902355245697E-2</v>
      </c>
      <c r="Z308" s="302"/>
      <c r="AA308" s="108">
        <v>356741.93</v>
      </c>
      <c r="AB308" s="109"/>
      <c r="AC308" s="110">
        <v>373525.37</v>
      </c>
      <c r="AD308" s="110">
        <v>365341.9</v>
      </c>
      <c r="AE308" s="110">
        <v>371998.94</v>
      </c>
      <c r="AF308" s="110">
        <v>365441.47000000003</v>
      </c>
      <c r="AG308" s="110">
        <v>361004.11</v>
      </c>
      <c r="AH308" s="110">
        <v>355945.41000000003</v>
      </c>
      <c r="AI308" s="110">
        <v>363752.94</v>
      </c>
      <c r="AJ308" s="110">
        <v>457459.61</v>
      </c>
      <c r="AK308" s="110">
        <v>291724.52</v>
      </c>
      <c r="AL308" s="110">
        <v>384368.89</v>
      </c>
      <c r="AM308" s="110">
        <v>384766.74</v>
      </c>
      <c r="AN308" s="110">
        <v>389200.95</v>
      </c>
      <c r="AO308" s="109"/>
      <c r="AP308" s="110">
        <v>389575.32</v>
      </c>
      <c r="AQ308" s="110">
        <v>432502.41000000003</v>
      </c>
      <c r="AR308" s="110">
        <v>416478.44</v>
      </c>
      <c r="AS308" s="110">
        <v>304013.86</v>
      </c>
      <c r="AT308" s="110">
        <v>0</v>
      </c>
      <c r="AU308" s="110">
        <v>0</v>
      </c>
      <c r="AV308" s="110">
        <v>0</v>
      </c>
      <c r="AW308" s="110">
        <v>0</v>
      </c>
      <c r="AX308" s="110">
        <v>0</v>
      </c>
      <c r="AY308" s="110">
        <v>0</v>
      </c>
      <c r="AZ308" s="110">
        <v>0</v>
      </c>
      <c r="BA308" s="110">
        <v>0</v>
      </c>
    </row>
    <row r="309" spans="1:53" s="102" customFormat="1" outlineLevel="2">
      <c r="A309" s="102" t="s">
        <v>913</v>
      </c>
      <c r="B309" s="103" t="s">
        <v>914</v>
      </c>
      <c r="C309" s="104" t="s">
        <v>915</v>
      </c>
      <c r="D309" s="298"/>
      <c r="E309" s="299"/>
      <c r="F309" s="105">
        <v>35160.400000000001</v>
      </c>
      <c r="G309" s="105">
        <v>42300.04</v>
      </c>
      <c r="H309" s="106">
        <f t="shared" si="74"/>
        <v>-7139.6399999999994</v>
      </c>
      <c r="I309" s="300">
        <f t="shared" si="75"/>
        <v>-0.16878565599465153</v>
      </c>
      <c r="J309" s="107"/>
      <c r="K309" s="105">
        <v>112917.24</v>
      </c>
      <c r="L309" s="105">
        <v>105572.42</v>
      </c>
      <c r="M309" s="106">
        <f t="shared" si="76"/>
        <v>7344.820000000007</v>
      </c>
      <c r="N309" s="300">
        <f t="shared" si="77"/>
        <v>6.9571389952034893E-2</v>
      </c>
      <c r="O309" s="301"/>
      <c r="P309" s="107"/>
      <c r="Q309" s="105">
        <v>112917.24</v>
      </c>
      <c r="R309" s="105">
        <v>105572.42</v>
      </c>
      <c r="S309" s="106">
        <f t="shared" si="78"/>
        <v>7344.820000000007</v>
      </c>
      <c r="T309" s="300">
        <f t="shared" si="79"/>
        <v>6.9571389952034893E-2</v>
      </c>
      <c r="U309" s="107"/>
      <c r="V309" s="105">
        <v>249006.97999999998</v>
      </c>
      <c r="W309" s="105">
        <v>412009.04</v>
      </c>
      <c r="X309" s="106">
        <f t="shared" si="80"/>
        <v>-163002.06</v>
      </c>
      <c r="Y309" s="300">
        <f t="shared" si="81"/>
        <v>-0.39562738720490215</v>
      </c>
      <c r="Z309" s="302"/>
      <c r="AA309" s="108">
        <v>35068.090000000004</v>
      </c>
      <c r="AB309" s="109"/>
      <c r="AC309" s="110">
        <v>30899.29</v>
      </c>
      <c r="AD309" s="110">
        <v>32373.09</v>
      </c>
      <c r="AE309" s="110">
        <v>42300.04</v>
      </c>
      <c r="AF309" s="110">
        <v>35828.61</v>
      </c>
      <c r="AG309" s="110">
        <v>32488.71</v>
      </c>
      <c r="AH309" s="110">
        <v>-21362.21</v>
      </c>
      <c r="AI309" s="110">
        <v>24571.98</v>
      </c>
      <c r="AJ309" s="110">
        <v>38661.9</v>
      </c>
      <c r="AK309" s="110">
        <v>-85349.51</v>
      </c>
      <c r="AL309" s="110">
        <v>33609.99</v>
      </c>
      <c r="AM309" s="110">
        <v>32539.21</v>
      </c>
      <c r="AN309" s="110">
        <v>45101.06</v>
      </c>
      <c r="AO309" s="109"/>
      <c r="AP309" s="110">
        <v>30155.690000000002</v>
      </c>
      <c r="AQ309" s="110">
        <v>47601.15</v>
      </c>
      <c r="AR309" s="110">
        <v>35160.400000000001</v>
      </c>
      <c r="AS309" s="110">
        <v>1087.02</v>
      </c>
      <c r="AT309" s="110">
        <v>0</v>
      </c>
      <c r="AU309" s="110">
        <v>0</v>
      </c>
      <c r="AV309" s="110">
        <v>0</v>
      </c>
      <c r="AW309" s="110">
        <v>0</v>
      </c>
      <c r="AX309" s="110">
        <v>0</v>
      </c>
      <c r="AY309" s="110">
        <v>0</v>
      </c>
      <c r="AZ309" s="110">
        <v>0</v>
      </c>
      <c r="BA309" s="110">
        <v>0</v>
      </c>
    </row>
    <row r="310" spans="1:53" s="102" customFormat="1" outlineLevel="2">
      <c r="A310" s="102" t="s">
        <v>916</v>
      </c>
      <c r="B310" s="103" t="s">
        <v>917</v>
      </c>
      <c r="C310" s="104" t="s">
        <v>918</v>
      </c>
      <c r="D310" s="298"/>
      <c r="E310" s="299"/>
      <c r="F310" s="105">
        <v>16064.24</v>
      </c>
      <c r="G310" s="105">
        <v>13632.48</v>
      </c>
      <c r="H310" s="106">
        <f t="shared" si="74"/>
        <v>2431.7600000000002</v>
      </c>
      <c r="I310" s="300">
        <f t="shared" si="75"/>
        <v>0.17837986925343008</v>
      </c>
      <c r="J310" s="107"/>
      <c r="K310" s="105">
        <v>48550.32</v>
      </c>
      <c r="L310" s="105">
        <v>42178.85</v>
      </c>
      <c r="M310" s="106">
        <f t="shared" si="76"/>
        <v>6371.4700000000012</v>
      </c>
      <c r="N310" s="300">
        <f t="shared" si="77"/>
        <v>0.15105840960576217</v>
      </c>
      <c r="O310" s="301"/>
      <c r="P310" s="107"/>
      <c r="Q310" s="105">
        <v>48550.32</v>
      </c>
      <c r="R310" s="105">
        <v>42178.85</v>
      </c>
      <c r="S310" s="106">
        <f t="shared" si="78"/>
        <v>6371.4700000000012</v>
      </c>
      <c r="T310" s="300">
        <f t="shared" si="79"/>
        <v>0.15105840960576217</v>
      </c>
      <c r="U310" s="107"/>
      <c r="V310" s="105">
        <v>176585.25</v>
      </c>
      <c r="W310" s="105">
        <v>170120.98</v>
      </c>
      <c r="X310" s="106">
        <f t="shared" si="80"/>
        <v>6464.2699999999895</v>
      </c>
      <c r="Y310" s="300">
        <f t="shared" si="81"/>
        <v>3.7998076427728018E-2</v>
      </c>
      <c r="Z310" s="302"/>
      <c r="AA310" s="108">
        <v>13467.23</v>
      </c>
      <c r="AB310" s="109"/>
      <c r="AC310" s="110">
        <v>14501.48</v>
      </c>
      <c r="AD310" s="110">
        <v>14044.89</v>
      </c>
      <c r="AE310" s="110">
        <v>13632.48</v>
      </c>
      <c r="AF310" s="110">
        <v>13926.95</v>
      </c>
      <c r="AG310" s="110">
        <v>13831.16</v>
      </c>
      <c r="AH310" s="110">
        <v>13820.11</v>
      </c>
      <c r="AI310" s="110">
        <v>13886.93</v>
      </c>
      <c r="AJ310" s="110">
        <v>17559.060000000001</v>
      </c>
      <c r="AK310" s="110">
        <v>10984.630000000001</v>
      </c>
      <c r="AL310" s="110">
        <v>14654.65</v>
      </c>
      <c r="AM310" s="110">
        <v>14626.73</v>
      </c>
      <c r="AN310" s="110">
        <v>14744.710000000001</v>
      </c>
      <c r="AO310" s="109"/>
      <c r="AP310" s="110">
        <v>14781.79</v>
      </c>
      <c r="AQ310" s="110">
        <v>17704.29</v>
      </c>
      <c r="AR310" s="110">
        <v>16064.24</v>
      </c>
      <c r="AS310" s="110">
        <v>11637.23</v>
      </c>
      <c r="AT310" s="110">
        <v>0</v>
      </c>
      <c r="AU310" s="110">
        <v>0</v>
      </c>
      <c r="AV310" s="110">
        <v>0</v>
      </c>
      <c r="AW310" s="110">
        <v>0</v>
      </c>
      <c r="AX310" s="110">
        <v>0</v>
      </c>
      <c r="AY310" s="110">
        <v>0</v>
      </c>
      <c r="AZ310" s="110">
        <v>0</v>
      </c>
      <c r="BA310" s="110">
        <v>0</v>
      </c>
    </row>
    <row r="311" spans="1:53" s="102" customFormat="1" outlineLevel="2">
      <c r="A311" s="102" t="s">
        <v>919</v>
      </c>
      <c r="B311" s="103" t="s">
        <v>920</v>
      </c>
      <c r="C311" s="104" t="s">
        <v>921</v>
      </c>
      <c r="D311" s="298"/>
      <c r="E311" s="299"/>
      <c r="F311" s="105">
        <v>-2.0300000000000002</v>
      </c>
      <c r="G311" s="105">
        <v>871.73</v>
      </c>
      <c r="H311" s="106">
        <f t="shared" si="74"/>
        <v>-873.76</v>
      </c>
      <c r="I311" s="300">
        <f t="shared" si="75"/>
        <v>-1.0023287026946417</v>
      </c>
      <c r="J311" s="107"/>
      <c r="K311" s="105">
        <v>3821.98</v>
      </c>
      <c r="L311" s="105">
        <v>1811.67</v>
      </c>
      <c r="M311" s="106">
        <f t="shared" si="76"/>
        <v>2010.31</v>
      </c>
      <c r="N311" s="300">
        <f t="shared" si="77"/>
        <v>1.1096446924660672</v>
      </c>
      <c r="O311" s="301"/>
      <c r="P311" s="107"/>
      <c r="Q311" s="105">
        <v>3821.98</v>
      </c>
      <c r="R311" s="105">
        <v>1811.67</v>
      </c>
      <c r="S311" s="106">
        <f t="shared" si="78"/>
        <v>2010.31</v>
      </c>
      <c r="T311" s="300">
        <f t="shared" si="79"/>
        <v>1.1096446924660672</v>
      </c>
      <c r="U311" s="107"/>
      <c r="V311" s="105">
        <v>13743.73</v>
      </c>
      <c r="W311" s="105">
        <v>8955.7999999999993</v>
      </c>
      <c r="X311" s="106">
        <f t="shared" si="80"/>
        <v>4787.93</v>
      </c>
      <c r="Y311" s="300">
        <f t="shared" si="81"/>
        <v>0.53461778958886985</v>
      </c>
      <c r="Z311" s="302"/>
      <c r="AA311" s="108">
        <v>98.72</v>
      </c>
      <c r="AB311" s="109"/>
      <c r="AC311" s="110">
        <v>443.55</v>
      </c>
      <c r="AD311" s="110">
        <v>496.39</v>
      </c>
      <c r="AE311" s="110">
        <v>871.73</v>
      </c>
      <c r="AF311" s="110">
        <v>644.16</v>
      </c>
      <c r="AG311" s="110">
        <v>717.37</v>
      </c>
      <c r="AH311" s="110">
        <v>718.03</v>
      </c>
      <c r="AI311" s="110">
        <v>255.29</v>
      </c>
      <c r="AJ311" s="110">
        <v>6367.6500000000005</v>
      </c>
      <c r="AK311" s="110">
        <v>675.89</v>
      </c>
      <c r="AL311" s="110">
        <v>229.09</v>
      </c>
      <c r="AM311" s="110">
        <v>-802.69</v>
      </c>
      <c r="AN311" s="110">
        <v>1116.96</v>
      </c>
      <c r="AO311" s="109"/>
      <c r="AP311" s="110">
        <v>3050.7000000000003</v>
      </c>
      <c r="AQ311" s="110">
        <v>773.31000000000006</v>
      </c>
      <c r="AR311" s="110">
        <v>-2.0300000000000002</v>
      </c>
      <c r="AS311" s="110">
        <v>0</v>
      </c>
      <c r="AT311" s="110">
        <v>0</v>
      </c>
      <c r="AU311" s="110">
        <v>0</v>
      </c>
      <c r="AV311" s="110">
        <v>0</v>
      </c>
      <c r="AW311" s="110">
        <v>0</v>
      </c>
      <c r="AX311" s="110">
        <v>0</v>
      </c>
      <c r="AY311" s="110">
        <v>0</v>
      </c>
      <c r="AZ311" s="110">
        <v>0</v>
      </c>
      <c r="BA311" s="110">
        <v>0</v>
      </c>
    </row>
    <row r="312" spans="1:53" s="102" customFormat="1" outlineLevel="2">
      <c r="A312" s="102" t="s">
        <v>922</v>
      </c>
      <c r="B312" s="103" t="s">
        <v>923</v>
      </c>
      <c r="C312" s="104" t="s">
        <v>924</v>
      </c>
      <c r="D312" s="298"/>
      <c r="E312" s="299"/>
      <c r="F312" s="105">
        <v>1175.52</v>
      </c>
      <c r="G312" s="105">
        <v>571.26</v>
      </c>
      <c r="H312" s="106">
        <f t="shared" si="74"/>
        <v>604.26</v>
      </c>
      <c r="I312" s="300">
        <f t="shared" si="75"/>
        <v>1.0577670412771767</v>
      </c>
      <c r="J312" s="107"/>
      <c r="K312" s="105">
        <v>1901.14</v>
      </c>
      <c r="L312" s="105">
        <v>3289.07</v>
      </c>
      <c r="M312" s="106">
        <f t="shared" si="76"/>
        <v>-1387.93</v>
      </c>
      <c r="N312" s="300">
        <f t="shared" si="77"/>
        <v>-0.42198250569309864</v>
      </c>
      <c r="O312" s="301"/>
      <c r="P312" s="107"/>
      <c r="Q312" s="105">
        <v>1901.14</v>
      </c>
      <c r="R312" s="105">
        <v>3289.07</v>
      </c>
      <c r="S312" s="106">
        <f t="shared" si="78"/>
        <v>-1387.93</v>
      </c>
      <c r="T312" s="300">
        <f t="shared" si="79"/>
        <v>-0.42198250569309864</v>
      </c>
      <c r="U312" s="107"/>
      <c r="V312" s="105">
        <v>9893.4600000000009</v>
      </c>
      <c r="W312" s="105">
        <v>20533.939999999999</v>
      </c>
      <c r="X312" s="106">
        <f t="shared" si="80"/>
        <v>-10640.479999999998</v>
      </c>
      <c r="Y312" s="300">
        <f t="shared" si="81"/>
        <v>-0.51818988464951188</v>
      </c>
      <c r="Z312" s="302"/>
      <c r="AA312" s="108">
        <v>5685.82</v>
      </c>
      <c r="AB312" s="109"/>
      <c r="AC312" s="110">
        <v>1832.3400000000001</v>
      </c>
      <c r="AD312" s="110">
        <v>885.47</v>
      </c>
      <c r="AE312" s="110">
        <v>571.26</v>
      </c>
      <c r="AF312" s="110">
        <v>1601.51</v>
      </c>
      <c r="AG312" s="110">
        <v>1191.93</v>
      </c>
      <c r="AH312" s="110">
        <v>1361.68</v>
      </c>
      <c r="AI312" s="110">
        <v>188.98</v>
      </c>
      <c r="AJ312" s="110">
        <v>1678.55</v>
      </c>
      <c r="AK312" s="110">
        <v>478.14</v>
      </c>
      <c r="AL312" s="110">
        <v>216.04</v>
      </c>
      <c r="AM312" s="110">
        <v>761.43000000000006</v>
      </c>
      <c r="AN312" s="110">
        <v>514.06000000000006</v>
      </c>
      <c r="AO312" s="109"/>
      <c r="AP312" s="110">
        <v>522.45000000000005</v>
      </c>
      <c r="AQ312" s="110">
        <v>203.17000000000002</v>
      </c>
      <c r="AR312" s="110">
        <v>1175.52</v>
      </c>
      <c r="AS312" s="110">
        <v>0</v>
      </c>
      <c r="AT312" s="110">
        <v>0</v>
      </c>
      <c r="AU312" s="110">
        <v>0</v>
      </c>
      <c r="AV312" s="110">
        <v>0</v>
      </c>
      <c r="AW312" s="110">
        <v>0</v>
      </c>
      <c r="AX312" s="110">
        <v>0</v>
      </c>
      <c r="AY312" s="110">
        <v>0</v>
      </c>
      <c r="AZ312" s="110">
        <v>0</v>
      </c>
      <c r="BA312" s="110">
        <v>0</v>
      </c>
    </row>
    <row r="313" spans="1:53" s="102" customFormat="1" outlineLevel="2">
      <c r="A313" s="102" t="s">
        <v>925</v>
      </c>
      <c r="B313" s="103" t="s">
        <v>926</v>
      </c>
      <c r="C313" s="104" t="s">
        <v>927</v>
      </c>
      <c r="D313" s="298"/>
      <c r="E313" s="299"/>
      <c r="F313" s="105">
        <v>0</v>
      </c>
      <c r="G313" s="105">
        <v>0</v>
      </c>
      <c r="H313" s="106">
        <f t="shared" si="74"/>
        <v>0</v>
      </c>
      <c r="I313" s="300">
        <f t="shared" si="75"/>
        <v>0</v>
      </c>
      <c r="J313" s="107"/>
      <c r="K313" s="105">
        <v>0</v>
      </c>
      <c r="L313" s="105">
        <v>0</v>
      </c>
      <c r="M313" s="106">
        <f t="shared" si="76"/>
        <v>0</v>
      </c>
      <c r="N313" s="300">
        <f t="shared" si="77"/>
        <v>0</v>
      </c>
      <c r="O313" s="301"/>
      <c r="P313" s="107"/>
      <c r="Q313" s="105">
        <v>0</v>
      </c>
      <c r="R313" s="105">
        <v>0</v>
      </c>
      <c r="S313" s="106">
        <f t="shared" si="78"/>
        <v>0</v>
      </c>
      <c r="T313" s="300">
        <f t="shared" si="79"/>
        <v>0</v>
      </c>
      <c r="U313" s="107"/>
      <c r="V313" s="105">
        <v>0</v>
      </c>
      <c r="W313" s="105">
        <v>30829.59</v>
      </c>
      <c r="X313" s="106">
        <f t="shared" si="80"/>
        <v>-30829.59</v>
      </c>
      <c r="Y313" s="300" t="str">
        <f t="shared" si="81"/>
        <v>N.M.</v>
      </c>
      <c r="Z313" s="302"/>
      <c r="AA313" s="108">
        <v>10502.28</v>
      </c>
      <c r="AB313" s="109"/>
      <c r="AC313" s="110">
        <v>0</v>
      </c>
      <c r="AD313" s="110">
        <v>0</v>
      </c>
      <c r="AE313" s="110">
        <v>0</v>
      </c>
      <c r="AF313" s="110">
        <v>0</v>
      </c>
      <c r="AG313" s="110">
        <v>0</v>
      </c>
      <c r="AH313" s="110">
        <v>0</v>
      </c>
      <c r="AI313" s="110">
        <v>0</v>
      </c>
      <c r="AJ313" s="110">
        <v>0</v>
      </c>
      <c r="AK313" s="110">
        <v>0</v>
      </c>
      <c r="AL313" s="110">
        <v>0</v>
      </c>
      <c r="AM313" s="110">
        <v>0</v>
      </c>
      <c r="AN313" s="110">
        <v>0</v>
      </c>
      <c r="AO313" s="109"/>
      <c r="AP313" s="110">
        <v>0</v>
      </c>
      <c r="AQ313" s="110">
        <v>0</v>
      </c>
      <c r="AR313" s="110">
        <v>0</v>
      </c>
      <c r="AS313" s="110">
        <v>0</v>
      </c>
      <c r="AT313" s="110">
        <v>0</v>
      </c>
      <c r="AU313" s="110">
        <v>0</v>
      </c>
      <c r="AV313" s="110">
        <v>0</v>
      </c>
      <c r="AW313" s="110">
        <v>0</v>
      </c>
      <c r="AX313" s="110">
        <v>0</v>
      </c>
      <c r="AY313" s="110">
        <v>0</v>
      </c>
      <c r="AZ313" s="110">
        <v>0</v>
      </c>
      <c r="BA313" s="110">
        <v>0</v>
      </c>
    </row>
    <row r="314" spans="1:53" s="102" customFormat="1" outlineLevel="2">
      <c r="A314" s="102" t="s">
        <v>928</v>
      </c>
      <c r="B314" s="103" t="s">
        <v>929</v>
      </c>
      <c r="C314" s="104" t="s">
        <v>930</v>
      </c>
      <c r="D314" s="298"/>
      <c r="E314" s="299"/>
      <c r="F314" s="105">
        <v>8158.49</v>
      </c>
      <c r="G314" s="105">
        <v>10550.51</v>
      </c>
      <c r="H314" s="106">
        <f t="shared" si="74"/>
        <v>-2392.0200000000004</v>
      </c>
      <c r="I314" s="300">
        <f t="shared" si="75"/>
        <v>-0.22672079359196859</v>
      </c>
      <c r="J314" s="107"/>
      <c r="K314" s="105">
        <v>25363.010000000002</v>
      </c>
      <c r="L314" s="105">
        <v>38164.75</v>
      </c>
      <c r="M314" s="106">
        <f t="shared" si="76"/>
        <v>-12801.739999999998</v>
      </c>
      <c r="N314" s="300">
        <f t="shared" si="77"/>
        <v>-0.33543361347840606</v>
      </c>
      <c r="O314" s="301"/>
      <c r="P314" s="107"/>
      <c r="Q314" s="105">
        <v>25363.010000000002</v>
      </c>
      <c r="R314" s="105">
        <v>38164.75</v>
      </c>
      <c r="S314" s="106">
        <f t="shared" si="78"/>
        <v>-12801.739999999998</v>
      </c>
      <c r="T314" s="300">
        <f t="shared" si="79"/>
        <v>-0.33543361347840606</v>
      </c>
      <c r="U314" s="107"/>
      <c r="V314" s="105">
        <v>139857.27000000002</v>
      </c>
      <c r="W314" s="105">
        <v>193017.58000000002</v>
      </c>
      <c r="X314" s="106">
        <f t="shared" si="80"/>
        <v>-53160.31</v>
      </c>
      <c r="Y314" s="300">
        <f t="shared" si="81"/>
        <v>-0.27541693352491514</v>
      </c>
      <c r="Z314" s="302"/>
      <c r="AA314" s="108">
        <v>17205.87</v>
      </c>
      <c r="AB314" s="109"/>
      <c r="AC314" s="110">
        <v>13807.12</v>
      </c>
      <c r="AD314" s="110">
        <v>13807.12</v>
      </c>
      <c r="AE314" s="110">
        <v>10550.51</v>
      </c>
      <c r="AF314" s="110">
        <v>12721.58</v>
      </c>
      <c r="AG314" s="110">
        <v>12721.58</v>
      </c>
      <c r="AH314" s="110">
        <v>12721.58</v>
      </c>
      <c r="AI314" s="110">
        <v>12721.58</v>
      </c>
      <c r="AJ314" s="110">
        <v>17481.920000000002</v>
      </c>
      <c r="AK314" s="110">
        <v>7961.25</v>
      </c>
      <c r="AL314" s="110">
        <v>12721.59</v>
      </c>
      <c r="AM314" s="110">
        <v>12721.59</v>
      </c>
      <c r="AN314" s="110">
        <v>12721.59</v>
      </c>
      <c r="AO314" s="109"/>
      <c r="AP314" s="110">
        <v>8602.26</v>
      </c>
      <c r="AQ314" s="110">
        <v>8602.26</v>
      </c>
      <c r="AR314" s="110">
        <v>8158.49</v>
      </c>
      <c r="AS314" s="110">
        <v>0</v>
      </c>
      <c r="AT314" s="110">
        <v>0</v>
      </c>
      <c r="AU314" s="110">
        <v>0</v>
      </c>
      <c r="AV314" s="110">
        <v>0</v>
      </c>
      <c r="AW314" s="110">
        <v>0</v>
      </c>
      <c r="AX314" s="110">
        <v>0</v>
      </c>
      <c r="AY314" s="110">
        <v>0</v>
      </c>
      <c r="AZ314" s="110">
        <v>0</v>
      </c>
      <c r="BA314" s="110">
        <v>0</v>
      </c>
    </row>
    <row r="315" spans="1:53" s="102" customFormat="1" outlineLevel="2">
      <c r="A315" s="102" t="s">
        <v>931</v>
      </c>
      <c r="B315" s="103" t="s">
        <v>932</v>
      </c>
      <c r="C315" s="104" t="s">
        <v>933</v>
      </c>
      <c r="D315" s="298"/>
      <c r="E315" s="299"/>
      <c r="F315" s="105">
        <v>141542.99</v>
      </c>
      <c r="G315" s="105">
        <v>120006.88</v>
      </c>
      <c r="H315" s="106">
        <f t="shared" si="74"/>
        <v>21536.109999999986</v>
      </c>
      <c r="I315" s="300">
        <f t="shared" si="75"/>
        <v>0.17945729444845149</v>
      </c>
      <c r="J315" s="107"/>
      <c r="K315" s="105">
        <v>415304.97000000003</v>
      </c>
      <c r="L315" s="105">
        <v>364723.57</v>
      </c>
      <c r="M315" s="106">
        <f t="shared" si="76"/>
        <v>50581.400000000023</v>
      </c>
      <c r="N315" s="300">
        <f t="shared" si="77"/>
        <v>0.13868420952339336</v>
      </c>
      <c r="O315" s="301"/>
      <c r="P315" s="107"/>
      <c r="Q315" s="105">
        <v>415304.97000000003</v>
      </c>
      <c r="R315" s="105">
        <v>364723.57</v>
      </c>
      <c r="S315" s="106">
        <f t="shared" si="78"/>
        <v>50581.400000000023</v>
      </c>
      <c r="T315" s="300">
        <f t="shared" si="79"/>
        <v>0.13868420952339336</v>
      </c>
      <c r="U315" s="107"/>
      <c r="V315" s="105">
        <v>1804684.4</v>
      </c>
      <c r="W315" s="105">
        <v>1672933.8800000001</v>
      </c>
      <c r="X315" s="106">
        <f t="shared" si="80"/>
        <v>131750.51999999979</v>
      </c>
      <c r="Y315" s="300">
        <f t="shared" si="81"/>
        <v>7.8754170487598571E-2</v>
      </c>
      <c r="Z315" s="302"/>
      <c r="AA315" s="108">
        <v>193096.65</v>
      </c>
      <c r="AB315" s="109"/>
      <c r="AC315" s="110">
        <v>118424.40000000001</v>
      </c>
      <c r="AD315" s="110">
        <v>126292.29000000001</v>
      </c>
      <c r="AE315" s="110">
        <v>120006.88</v>
      </c>
      <c r="AF315" s="110">
        <v>127877.49</v>
      </c>
      <c r="AG315" s="110">
        <v>123250.27</v>
      </c>
      <c r="AH315" s="110">
        <v>135896.59</v>
      </c>
      <c r="AI315" s="110">
        <v>215689.79</v>
      </c>
      <c r="AJ315" s="110">
        <v>209126.74</v>
      </c>
      <c r="AK315" s="110">
        <v>102549.29000000001</v>
      </c>
      <c r="AL315" s="110">
        <v>136270.73000000001</v>
      </c>
      <c r="AM315" s="110">
        <v>130275.54000000001</v>
      </c>
      <c r="AN315" s="110">
        <v>208442.99</v>
      </c>
      <c r="AO315" s="109"/>
      <c r="AP315" s="110">
        <v>139214.64000000001</v>
      </c>
      <c r="AQ315" s="110">
        <v>134547.34</v>
      </c>
      <c r="AR315" s="110">
        <v>141542.99</v>
      </c>
      <c r="AS315" s="110">
        <v>54119.41</v>
      </c>
      <c r="AT315" s="110">
        <v>0</v>
      </c>
      <c r="AU315" s="110">
        <v>0</v>
      </c>
      <c r="AV315" s="110">
        <v>0</v>
      </c>
      <c r="AW315" s="110">
        <v>0</v>
      </c>
      <c r="AX315" s="110">
        <v>0</v>
      </c>
      <c r="AY315" s="110">
        <v>0</v>
      </c>
      <c r="AZ315" s="110">
        <v>0</v>
      </c>
      <c r="BA315" s="110">
        <v>0</v>
      </c>
    </row>
    <row r="316" spans="1:53" s="102" customFormat="1" outlineLevel="2">
      <c r="A316" s="102" t="s">
        <v>934</v>
      </c>
      <c r="B316" s="103" t="s">
        <v>935</v>
      </c>
      <c r="C316" s="104" t="s">
        <v>936</v>
      </c>
      <c r="D316" s="298"/>
      <c r="E316" s="299"/>
      <c r="F316" s="105">
        <v>1533.8500000000001</v>
      </c>
      <c r="G316" s="105">
        <v>-290.52</v>
      </c>
      <c r="H316" s="106">
        <f t="shared" si="74"/>
        <v>1824.3700000000001</v>
      </c>
      <c r="I316" s="300">
        <f t="shared" si="75"/>
        <v>6.279670934875397</v>
      </c>
      <c r="J316" s="107"/>
      <c r="K316" s="105">
        <v>1533.8500000000001</v>
      </c>
      <c r="L316" s="105">
        <v>-290.52</v>
      </c>
      <c r="M316" s="106">
        <f t="shared" si="76"/>
        <v>1824.3700000000001</v>
      </c>
      <c r="N316" s="300">
        <f t="shared" si="77"/>
        <v>6.279670934875397</v>
      </c>
      <c r="O316" s="301"/>
      <c r="P316" s="107"/>
      <c r="Q316" s="105">
        <v>1533.8500000000001</v>
      </c>
      <c r="R316" s="105">
        <v>-290.52</v>
      </c>
      <c r="S316" s="106">
        <f t="shared" si="78"/>
        <v>1824.3700000000001</v>
      </c>
      <c r="T316" s="300">
        <f t="shared" si="79"/>
        <v>6.279670934875397</v>
      </c>
      <c r="U316" s="107"/>
      <c r="V316" s="105">
        <v>-3597.08</v>
      </c>
      <c r="W316" s="105">
        <v>2755.4300000000003</v>
      </c>
      <c r="X316" s="106">
        <f t="shared" si="80"/>
        <v>-6352.51</v>
      </c>
      <c r="Y316" s="300">
        <f t="shared" si="81"/>
        <v>-2.3054514177460503</v>
      </c>
      <c r="Z316" s="302"/>
      <c r="AA316" s="108">
        <v>2482.1799999999998</v>
      </c>
      <c r="AB316" s="109"/>
      <c r="AC316" s="110">
        <v>0</v>
      </c>
      <c r="AD316" s="110">
        <v>0</v>
      </c>
      <c r="AE316" s="110">
        <v>-290.52</v>
      </c>
      <c r="AF316" s="110">
        <v>0</v>
      </c>
      <c r="AG316" s="110">
        <v>0</v>
      </c>
      <c r="AH316" s="110">
        <v>-4973.37</v>
      </c>
      <c r="AI316" s="110">
        <v>0</v>
      </c>
      <c r="AJ316" s="110">
        <v>0</v>
      </c>
      <c r="AK316" s="110">
        <v>-2950.9</v>
      </c>
      <c r="AL316" s="110">
        <v>0</v>
      </c>
      <c r="AM316" s="110">
        <v>6.16</v>
      </c>
      <c r="AN316" s="110">
        <v>2787.18</v>
      </c>
      <c r="AO316" s="109"/>
      <c r="AP316" s="110">
        <v>0</v>
      </c>
      <c r="AQ316" s="110">
        <v>0</v>
      </c>
      <c r="AR316" s="110">
        <v>1533.8500000000001</v>
      </c>
      <c r="AS316" s="110">
        <v>0</v>
      </c>
      <c r="AT316" s="110">
        <v>0</v>
      </c>
      <c r="AU316" s="110">
        <v>0</v>
      </c>
      <c r="AV316" s="110">
        <v>0</v>
      </c>
      <c r="AW316" s="110">
        <v>0</v>
      </c>
      <c r="AX316" s="110">
        <v>0</v>
      </c>
      <c r="AY316" s="110">
        <v>0</v>
      </c>
      <c r="AZ316" s="110">
        <v>0</v>
      </c>
      <c r="BA316" s="110">
        <v>0</v>
      </c>
    </row>
    <row r="317" spans="1:53" s="102" customFormat="1" outlineLevel="2">
      <c r="A317" s="102" t="s">
        <v>937</v>
      </c>
      <c r="B317" s="103" t="s">
        <v>938</v>
      </c>
      <c r="C317" s="104" t="s">
        <v>939</v>
      </c>
      <c r="D317" s="298"/>
      <c r="E317" s="299"/>
      <c r="F317" s="105">
        <v>453.79</v>
      </c>
      <c r="G317" s="105">
        <v>311</v>
      </c>
      <c r="H317" s="106">
        <f t="shared" si="74"/>
        <v>142.79000000000002</v>
      </c>
      <c r="I317" s="300">
        <f t="shared" si="75"/>
        <v>0.4591318327974277</v>
      </c>
      <c r="J317" s="107"/>
      <c r="K317" s="105">
        <v>485.63</v>
      </c>
      <c r="L317" s="105">
        <v>1018.74</v>
      </c>
      <c r="M317" s="106">
        <f t="shared" si="76"/>
        <v>-533.11</v>
      </c>
      <c r="N317" s="300">
        <f t="shared" si="77"/>
        <v>-0.52330329622867466</v>
      </c>
      <c r="O317" s="301"/>
      <c r="P317" s="107"/>
      <c r="Q317" s="105">
        <v>485.63</v>
      </c>
      <c r="R317" s="105">
        <v>1018.74</v>
      </c>
      <c r="S317" s="106">
        <f t="shared" si="78"/>
        <v>-533.11</v>
      </c>
      <c r="T317" s="300">
        <f t="shared" si="79"/>
        <v>-0.52330329622867466</v>
      </c>
      <c r="U317" s="107"/>
      <c r="V317" s="105">
        <v>3541.8500000000004</v>
      </c>
      <c r="W317" s="105">
        <v>3969.21</v>
      </c>
      <c r="X317" s="106">
        <f t="shared" si="80"/>
        <v>-427.35999999999967</v>
      </c>
      <c r="Y317" s="300">
        <f t="shared" si="81"/>
        <v>-0.10766878043741693</v>
      </c>
      <c r="Z317" s="302"/>
      <c r="AA317" s="108">
        <v>327.83</v>
      </c>
      <c r="AB317" s="109"/>
      <c r="AC317" s="110">
        <v>353.87</v>
      </c>
      <c r="AD317" s="110">
        <v>353.87</v>
      </c>
      <c r="AE317" s="110">
        <v>311</v>
      </c>
      <c r="AF317" s="110">
        <v>339.58</v>
      </c>
      <c r="AG317" s="110">
        <v>339.58</v>
      </c>
      <c r="AH317" s="110">
        <v>339.58</v>
      </c>
      <c r="AI317" s="110">
        <v>339.58</v>
      </c>
      <c r="AJ317" s="110">
        <v>371.08</v>
      </c>
      <c r="AK317" s="110">
        <v>308.08</v>
      </c>
      <c r="AL317" s="110">
        <v>339.58</v>
      </c>
      <c r="AM317" s="110">
        <v>339.58</v>
      </c>
      <c r="AN317" s="110">
        <v>339.58</v>
      </c>
      <c r="AO317" s="109"/>
      <c r="AP317" s="110">
        <v>15.92</v>
      </c>
      <c r="AQ317" s="110">
        <v>15.92</v>
      </c>
      <c r="AR317" s="110">
        <v>453.79</v>
      </c>
      <c r="AS317" s="110">
        <v>0</v>
      </c>
      <c r="AT317" s="110">
        <v>0</v>
      </c>
      <c r="AU317" s="110">
        <v>0</v>
      </c>
      <c r="AV317" s="110">
        <v>0</v>
      </c>
      <c r="AW317" s="110">
        <v>0</v>
      </c>
      <c r="AX317" s="110">
        <v>0</v>
      </c>
      <c r="AY317" s="110">
        <v>0</v>
      </c>
      <c r="AZ317" s="110">
        <v>0</v>
      </c>
      <c r="BA317" s="110">
        <v>0</v>
      </c>
    </row>
    <row r="318" spans="1:53" s="102" customFormat="1" outlineLevel="2">
      <c r="A318" s="102" t="s">
        <v>940</v>
      </c>
      <c r="B318" s="103" t="s">
        <v>941</v>
      </c>
      <c r="C318" s="104" t="s">
        <v>942</v>
      </c>
      <c r="D318" s="298"/>
      <c r="E318" s="299"/>
      <c r="F318" s="105">
        <v>0</v>
      </c>
      <c r="G318" s="105">
        <v>-75541</v>
      </c>
      <c r="H318" s="106">
        <f t="shared" si="74"/>
        <v>75541</v>
      </c>
      <c r="I318" s="300" t="str">
        <f t="shared" si="75"/>
        <v>N.M.</v>
      </c>
      <c r="J318" s="107"/>
      <c r="K318" s="105">
        <v>0</v>
      </c>
      <c r="L318" s="105">
        <v>-75541</v>
      </c>
      <c r="M318" s="106">
        <f t="shared" si="76"/>
        <v>75541</v>
      </c>
      <c r="N318" s="300" t="str">
        <f t="shared" si="77"/>
        <v>N.M.</v>
      </c>
      <c r="O318" s="301"/>
      <c r="P318" s="107"/>
      <c r="Q318" s="105">
        <v>0</v>
      </c>
      <c r="R318" s="105">
        <v>-75541</v>
      </c>
      <c r="S318" s="106">
        <f t="shared" si="78"/>
        <v>75541</v>
      </c>
      <c r="T318" s="300" t="str">
        <f t="shared" si="79"/>
        <v>N.M.</v>
      </c>
      <c r="U318" s="107"/>
      <c r="V318" s="105">
        <v>0</v>
      </c>
      <c r="W318" s="105">
        <v>-75541</v>
      </c>
      <c r="X318" s="106">
        <f t="shared" si="80"/>
        <v>75541</v>
      </c>
      <c r="Y318" s="300" t="str">
        <f t="shared" si="81"/>
        <v>N.M.</v>
      </c>
      <c r="Z318" s="302"/>
      <c r="AA318" s="108">
        <v>0</v>
      </c>
      <c r="AB318" s="109"/>
      <c r="AC318" s="110">
        <v>0</v>
      </c>
      <c r="AD318" s="110">
        <v>0</v>
      </c>
      <c r="AE318" s="110">
        <v>-75541</v>
      </c>
      <c r="AF318" s="110">
        <v>0</v>
      </c>
      <c r="AG318" s="110">
        <v>0</v>
      </c>
      <c r="AH318" s="110">
        <v>0</v>
      </c>
      <c r="AI318" s="110">
        <v>0</v>
      </c>
      <c r="AJ318" s="110">
        <v>0</v>
      </c>
      <c r="AK318" s="110">
        <v>0</v>
      </c>
      <c r="AL318" s="110">
        <v>0</v>
      </c>
      <c r="AM318" s="110">
        <v>0</v>
      </c>
      <c r="AN318" s="110">
        <v>0</v>
      </c>
      <c r="AO318" s="109"/>
      <c r="AP318" s="110">
        <v>0</v>
      </c>
      <c r="AQ318" s="110">
        <v>0</v>
      </c>
      <c r="AR318" s="110">
        <v>0</v>
      </c>
      <c r="AS318" s="110">
        <v>0</v>
      </c>
      <c r="AT318" s="110">
        <v>0</v>
      </c>
      <c r="AU318" s="110">
        <v>0</v>
      </c>
      <c r="AV318" s="110">
        <v>0</v>
      </c>
      <c r="AW318" s="110">
        <v>0</v>
      </c>
      <c r="AX318" s="110">
        <v>0</v>
      </c>
      <c r="AY318" s="110">
        <v>0</v>
      </c>
      <c r="AZ318" s="110">
        <v>0</v>
      </c>
      <c r="BA318" s="110">
        <v>0</v>
      </c>
    </row>
    <row r="319" spans="1:53" s="102" customFormat="1" outlineLevel="2">
      <c r="A319" s="102" t="s">
        <v>943</v>
      </c>
      <c r="B319" s="103" t="s">
        <v>944</v>
      </c>
      <c r="C319" s="104" t="s">
        <v>945</v>
      </c>
      <c r="D319" s="298"/>
      <c r="E319" s="299"/>
      <c r="F319" s="105">
        <v>-899.29</v>
      </c>
      <c r="G319" s="105">
        <v>476.29</v>
      </c>
      <c r="H319" s="106">
        <f t="shared" si="74"/>
        <v>-1375.58</v>
      </c>
      <c r="I319" s="300">
        <f t="shared" si="75"/>
        <v>-2.8881143840937242</v>
      </c>
      <c r="J319" s="107"/>
      <c r="K319" s="105">
        <v>230.13</v>
      </c>
      <c r="L319" s="105">
        <v>1401.6100000000001</v>
      </c>
      <c r="M319" s="106">
        <f t="shared" si="76"/>
        <v>-1171.48</v>
      </c>
      <c r="N319" s="300">
        <f t="shared" si="77"/>
        <v>-0.83581024678762272</v>
      </c>
      <c r="O319" s="301"/>
      <c r="P319" s="107"/>
      <c r="Q319" s="105">
        <v>230.13</v>
      </c>
      <c r="R319" s="105">
        <v>1401.6100000000001</v>
      </c>
      <c r="S319" s="106">
        <f t="shared" si="78"/>
        <v>-1171.48</v>
      </c>
      <c r="T319" s="300">
        <f t="shared" si="79"/>
        <v>-0.83581024678762272</v>
      </c>
      <c r="U319" s="107"/>
      <c r="V319" s="105">
        <v>4435.0200000000004</v>
      </c>
      <c r="W319" s="105">
        <v>5429.83</v>
      </c>
      <c r="X319" s="106">
        <f t="shared" si="80"/>
        <v>-994.80999999999949</v>
      </c>
      <c r="Y319" s="300">
        <f t="shared" si="81"/>
        <v>-0.18321199742901703</v>
      </c>
      <c r="Z319" s="302"/>
      <c r="AA319" s="108">
        <v>447.58</v>
      </c>
      <c r="AB319" s="109"/>
      <c r="AC319" s="110">
        <v>462.66</v>
      </c>
      <c r="AD319" s="110">
        <v>462.66</v>
      </c>
      <c r="AE319" s="110">
        <v>476.29</v>
      </c>
      <c r="AF319" s="110">
        <v>467.21000000000004</v>
      </c>
      <c r="AG319" s="110">
        <v>467.21000000000004</v>
      </c>
      <c r="AH319" s="110">
        <v>467.21000000000004</v>
      </c>
      <c r="AI319" s="110">
        <v>467.21000000000004</v>
      </c>
      <c r="AJ319" s="110">
        <v>493.75</v>
      </c>
      <c r="AK319" s="110">
        <v>440.67</v>
      </c>
      <c r="AL319" s="110">
        <v>467.21000000000004</v>
      </c>
      <c r="AM319" s="110">
        <v>467.21000000000004</v>
      </c>
      <c r="AN319" s="110">
        <v>467.21000000000004</v>
      </c>
      <c r="AO319" s="109"/>
      <c r="AP319" s="110">
        <v>564.71</v>
      </c>
      <c r="AQ319" s="110">
        <v>564.71</v>
      </c>
      <c r="AR319" s="110">
        <v>-899.29</v>
      </c>
      <c r="AS319" s="110">
        <v>0</v>
      </c>
      <c r="AT319" s="110">
        <v>0</v>
      </c>
      <c r="AU319" s="110">
        <v>0</v>
      </c>
      <c r="AV319" s="110">
        <v>0</v>
      </c>
      <c r="AW319" s="110">
        <v>0</v>
      </c>
      <c r="AX319" s="110">
        <v>0</v>
      </c>
      <c r="AY319" s="110">
        <v>0</v>
      </c>
      <c r="AZ319" s="110">
        <v>0</v>
      </c>
      <c r="BA319" s="110">
        <v>0</v>
      </c>
    </row>
    <row r="320" spans="1:53" s="102" customFormat="1" outlineLevel="2">
      <c r="A320" s="102" t="s">
        <v>946</v>
      </c>
      <c r="B320" s="103" t="s">
        <v>947</v>
      </c>
      <c r="C320" s="104" t="s">
        <v>948</v>
      </c>
      <c r="D320" s="298"/>
      <c r="E320" s="299"/>
      <c r="F320" s="105">
        <v>-318587.3</v>
      </c>
      <c r="G320" s="105">
        <v>-464423.74</v>
      </c>
      <c r="H320" s="106">
        <f t="shared" si="74"/>
        <v>145836.44</v>
      </c>
      <c r="I320" s="300">
        <f t="shared" si="75"/>
        <v>0.3140159028046241</v>
      </c>
      <c r="J320" s="107"/>
      <c r="K320" s="105">
        <v>-944342.64</v>
      </c>
      <c r="L320" s="105">
        <v>-1269774.5</v>
      </c>
      <c r="M320" s="106">
        <f t="shared" si="76"/>
        <v>325431.86</v>
      </c>
      <c r="N320" s="300">
        <f t="shared" si="77"/>
        <v>0.25629106585460648</v>
      </c>
      <c r="O320" s="301"/>
      <c r="P320" s="107"/>
      <c r="Q320" s="105">
        <v>-944342.64</v>
      </c>
      <c r="R320" s="105">
        <v>-1269774.5</v>
      </c>
      <c r="S320" s="106">
        <f t="shared" si="78"/>
        <v>325431.86</v>
      </c>
      <c r="T320" s="300">
        <f t="shared" si="79"/>
        <v>0.25629106585460648</v>
      </c>
      <c r="U320" s="107"/>
      <c r="V320" s="105">
        <v>-4753666.12</v>
      </c>
      <c r="W320" s="105">
        <v>-4511833.16</v>
      </c>
      <c r="X320" s="106">
        <f t="shared" si="80"/>
        <v>-241832.95999999996</v>
      </c>
      <c r="Y320" s="300">
        <f t="shared" si="81"/>
        <v>-5.3599712450360187E-2</v>
      </c>
      <c r="Z320" s="302"/>
      <c r="AA320" s="108">
        <v>-360228.74</v>
      </c>
      <c r="AB320" s="109"/>
      <c r="AC320" s="110">
        <v>-402675.38</v>
      </c>
      <c r="AD320" s="110">
        <v>-402675.38</v>
      </c>
      <c r="AE320" s="110">
        <v>-464423.74</v>
      </c>
      <c r="AF320" s="110">
        <v>-423258.16000000003</v>
      </c>
      <c r="AG320" s="110">
        <v>-423258.16000000003</v>
      </c>
      <c r="AH320" s="110">
        <v>-423258.16000000003</v>
      </c>
      <c r="AI320" s="110">
        <v>-423258.16000000003</v>
      </c>
      <c r="AJ320" s="110">
        <v>-472958.58</v>
      </c>
      <c r="AK320" s="110">
        <v>-373557.75</v>
      </c>
      <c r="AL320" s="110">
        <v>-423258.17</v>
      </c>
      <c r="AM320" s="110">
        <v>-423258.17</v>
      </c>
      <c r="AN320" s="110">
        <v>-423258.17</v>
      </c>
      <c r="AO320" s="109"/>
      <c r="AP320" s="110">
        <v>-312877.67</v>
      </c>
      <c r="AQ320" s="110">
        <v>-312877.67</v>
      </c>
      <c r="AR320" s="110">
        <v>-318587.3</v>
      </c>
      <c r="AS320" s="110">
        <v>0</v>
      </c>
      <c r="AT320" s="110">
        <v>0</v>
      </c>
      <c r="AU320" s="110">
        <v>0</v>
      </c>
      <c r="AV320" s="110">
        <v>0</v>
      </c>
      <c r="AW320" s="110">
        <v>0</v>
      </c>
      <c r="AX320" s="110">
        <v>0</v>
      </c>
      <c r="AY320" s="110">
        <v>0</v>
      </c>
      <c r="AZ320" s="110">
        <v>0</v>
      </c>
      <c r="BA320" s="110">
        <v>0</v>
      </c>
    </row>
    <row r="321" spans="1:53" s="102" customFormat="1" outlineLevel="2">
      <c r="A321" s="102" t="s">
        <v>949</v>
      </c>
      <c r="B321" s="103" t="s">
        <v>950</v>
      </c>
      <c r="C321" s="104" t="s">
        <v>951</v>
      </c>
      <c r="D321" s="298"/>
      <c r="E321" s="299"/>
      <c r="F321" s="105">
        <v>-97774.7</v>
      </c>
      <c r="G321" s="105">
        <v>-95715.51</v>
      </c>
      <c r="H321" s="106">
        <f t="shared" si="74"/>
        <v>-2059.1900000000023</v>
      </c>
      <c r="I321" s="300">
        <f t="shared" si="75"/>
        <v>-2.1513650191071463E-2</v>
      </c>
      <c r="J321" s="107"/>
      <c r="K321" s="105">
        <v>-287921.19</v>
      </c>
      <c r="L321" s="105">
        <v>-280159.95</v>
      </c>
      <c r="M321" s="106">
        <f t="shared" si="76"/>
        <v>-7761.2399999999907</v>
      </c>
      <c r="N321" s="300">
        <f t="shared" si="77"/>
        <v>-2.770288901036708E-2</v>
      </c>
      <c r="O321" s="301"/>
      <c r="P321" s="107"/>
      <c r="Q321" s="105">
        <v>-287921.19</v>
      </c>
      <c r="R321" s="105">
        <v>-280159.95</v>
      </c>
      <c r="S321" s="106">
        <f t="shared" si="78"/>
        <v>-7761.2399999999907</v>
      </c>
      <c r="T321" s="300">
        <f t="shared" si="79"/>
        <v>-2.770288901036708E-2</v>
      </c>
      <c r="U321" s="107"/>
      <c r="V321" s="105">
        <v>-1185984.48</v>
      </c>
      <c r="W321" s="105">
        <v>-1212733.95</v>
      </c>
      <c r="X321" s="106">
        <f t="shared" si="80"/>
        <v>26749.469999999972</v>
      </c>
      <c r="Y321" s="300">
        <f t="shared" si="81"/>
        <v>2.205716266127453E-2</v>
      </c>
      <c r="Z321" s="302"/>
      <c r="AA321" s="108">
        <v>-111687.1</v>
      </c>
      <c r="AB321" s="109"/>
      <c r="AC321" s="110">
        <v>-88790.77</v>
      </c>
      <c r="AD321" s="110">
        <v>-95653.67</v>
      </c>
      <c r="AE321" s="110">
        <v>-95715.51</v>
      </c>
      <c r="AF321" s="110">
        <v>-89245.430000000008</v>
      </c>
      <c r="AG321" s="110">
        <v>-94321.12</v>
      </c>
      <c r="AH321" s="110">
        <v>-88892.26</v>
      </c>
      <c r="AI321" s="110">
        <v>-122511.59</v>
      </c>
      <c r="AJ321" s="110">
        <v>-84329.26</v>
      </c>
      <c r="AK321" s="110">
        <v>-86947.99</v>
      </c>
      <c r="AL321" s="110">
        <v>-97503.99</v>
      </c>
      <c r="AM321" s="110">
        <v>-105719.92</v>
      </c>
      <c r="AN321" s="110">
        <v>-128591.73</v>
      </c>
      <c r="AO321" s="109"/>
      <c r="AP321" s="110">
        <v>-89097.73</v>
      </c>
      <c r="AQ321" s="110">
        <v>-101048.76000000001</v>
      </c>
      <c r="AR321" s="110">
        <v>-97774.7</v>
      </c>
      <c r="AS321" s="110">
        <v>0</v>
      </c>
      <c r="AT321" s="110">
        <v>0</v>
      </c>
      <c r="AU321" s="110">
        <v>0</v>
      </c>
      <c r="AV321" s="110">
        <v>0</v>
      </c>
      <c r="AW321" s="110">
        <v>0</v>
      </c>
      <c r="AX321" s="110">
        <v>0</v>
      </c>
      <c r="AY321" s="110">
        <v>0</v>
      </c>
      <c r="AZ321" s="110">
        <v>0</v>
      </c>
      <c r="BA321" s="110">
        <v>0</v>
      </c>
    </row>
    <row r="322" spans="1:53" s="102" customFormat="1" outlineLevel="2">
      <c r="A322" s="102" t="s">
        <v>952</v>
      </c>
      <c r="B322" s="103" t="s">
        <v>953</v>
      </c>
      <c r="C322" s="104" t="s">
        <v>954</v>
      </c>
      <c r="D322" s="298"/>
      <c r="E322" s="299"/>
      <c r="F322" s="105">
        <v>-200312.30000000002</v>
      </c>
      <c r="G322" s="105">
        <v>-202460.25</v>
      </c>
      <c r="H322" s="106">
        <f t="shared" si="74"/>
        <v>2147.9499999999825</v>
      </c>
      <c r="I322" s="300">
        <f t="shared" si="75"/>
        <v>1.0609243048944089E-2</v>
      </c>
      <c r="J322" s="107"/>
      <c r="K322" s="105">
        <v>-589546.34</v>
      </c>
      <c r="L322" s="105">
        <v>-592652.09</v>
      </c>
      <c r="M322" s="106">
        <f t="shared" si="76"/>
        <v>3105.75</v>
      </c>
      <c r="N322" s="300">
        <f t="shared" si="77"/>
        <v>5.2404269763057787E-3</v>
      </c>
      <c r="O322" s="301"/>
      <c r="P322" s="107"/>
      <c r="Q322" s="105">
        <v>-589546.34</v>
      </c>
      <c r="R322" s="105">
        <v>-592652.09</v>
      </c>
      <c r="S322" s="106">
        <f t="shared" si="78"/>
        <v>3105.75</v>
      </c>
      <c r="T322" s="300">
        <f t="shared" si="79"/>
        <v>5.2404269763057787E-3</v>
      </c>
      <c r="U322" s="107"/>
      <c r="V322" s="105">
        <v>-2405884.6799999997</v>
      </c>
      <c r="W322" s="105">
        <v>-2508203.7799999998</v>
      </c>
      <c r="X322" s="106">
        <f t="shared" si="80"/>
        <v>102319.10000000009</v>
      </c>
      <c r="Y322" s="300">
        <f t="shared" si="81"/>
        <v>4.0793774738669797E-2</v>
      </c>
      <c r="Z322" s="302"/>
      <c r="AA322" s="108">
        <v>-227837.74</v>
      </c>
      <c r="AB322" s="109"/>
      <c r="AC322" s="110">
        <v>-187653.71</v>
      </c>
      <c r="AD322" s="110">
        <v>-202538.13</v>
      </c>
      <c r="AE322" s="110">
        <v>-202460.25</v>
      </c>
      <c r="AF322" s="110">
        <v>-185501.99</v>
      </c>
      <c r="AG322" s="110">
        <v>-196414.08000000002</v>
      </c>
      <c r="AH322" s="110">
        <v>-184855.97</v>
      </c>
      <c r="AI322" s="110">
        <v>-248170.91</v>
      </c>
      <c r="AJ322" s="110">
        <v>-168498.57</v>
      </c>
      <c r="AK322" s="110">
        <v>-178090.39</v>
      </c>
      <c r="AL322" s="110">
        <v>-192614.01</v>
      </c>
      <c r="AM322" s="110">
        <v>-208296</v>
      </c>
      <c r="AN322" s="110">
        <v>-253896.42</v>
      </c>
      <c r="AO322" s="109"/>
      <c r="AP322" s="110">
        <v>-182256.48</v>
      </c>
      <c r="AQ322" s="110">
        <v>-206977.56</v>
      </c>
      <c r="AR322" s="110">
        <v>-200312.30000000002</v>
      </c>
      <c r="AS322" s="110">
        <v>0</v>
      </c>
      <c r="AT322" s="110">
        <v>0</v>
      </c>
      <c r="AU322" s="110">
        <v>0</v>
      </c>
      <c r="AV322" s="110">
        <v>0</v>
      </c>
      <c r="AW322" s="110">
        <v>0</v>
      </c>
      <c r="AX322" s="110">
        <v>0</v>
      </c>
      <c r="AY322" s="110">
        <v>0</v>
      </c>
      <c r="AZ322" s="110">
        <v>0</v>
      </c>
      <c r="BA322" s="110">
        <v>0</v>
      </c>
    </row>
    <row r="323" spans="1:53" s="102" customFormat="1" outlineLevel="2">
      <c r="A323" s="102" t="s">
        <v>955</v>
      </c>
      <c r="B323" s="103" t="s">
        <v>956</v>
      </c>
      <c r="C323" s="104" t="s">
        <v>957</v>
      </c>
      <c r="D323" s="298"/>
      <c r="E323" s="299"/>
      <c r="F323" s="105">
        <v>-70092.45</v>
      </c>
      <c r="G323" s="105">
        <v>-55592.25</v>
      </c>
      <c r="H323" s="106">
        <f t="shared" si="74"/>
        <v>-14500.199999999997</v>
      </c>
      <c r="I323" s="300">
        <f t="shared" si="75"/>
        <v>-0.26083132091253719</v>
      </c>
      <c r="J323" s="107"/>
      <c r="K323" s="105">
        <v>-190469.73</v>
      </c>
      <c r="L323" s="105">
        <v>-169937.33000000002</v>
      </c>
      <c r="M323" s="106">
        <f t="shared" si="76"/>
        <v>-20532.399999999994</v>
      </c>
      <c r="N323" s="300">
        <f t="shared" si="77"/>
        <v>-0.12082336470744828</v>
      </c>
      <c r="O323" s="301"/>
      <c r="P323" s="107"/>
      <c r="Q323" s="105">
        <v>-190469.73</v>
      </c>
      <c r="R323" s="105">
        <v>-169937.33000000002</v>
      </c>
      <c r="S323" s="106">
        <f t="shared" si="78"/>
        <v>-20532.399999999994</v>
      </c>
      <c r="T323" s="300">
        <f t="shared" si="79"/>
        <v>-0.12082336470744828</v>
      </c>
      <c r="U323" s="107"/>
      <c r="V323" s="105">
        <v>-770409.22</v>
      </c>
      <c r="W323" s="105">
        <v>-697673.13000000012</v>
      </c>
      <c r="X323" s="106">
        <f t="shared" si="80"/>
        <v>-72736.089999999851</v>
      </c>
      <c r="Y323" s="300">
        <f t="shared" si="81"/>
        <v>-0.10425525489278889</v>
      </c>
      <c r="Z323" s="302"/>
      <c r="AA323" s="108">
        <v>-60121.599999999999</v>
      </c>
      <c r="AB323" s="109"/>
      <c r="AC323" s="110">
        <v>-57982.76</v>
      </c>
      <c r="AD323" s="110">
        <v>-56362.32</v>
      </c>
      <c r="AE323" s="110">
        <v>-55592.25</v>
      </c>
      <c r="AF323" s="110">
        <v>-54001.06</v>
      </c>
      <c r="AG323" s="110">
        <v>-53025.590000000004</v>
      </c>
      <c r="AH323" s="110">
        <v>-59091.56</v>
      </c>
      <c r="AI323" s="110">
        <v>-103862.61</v>
      </c>
      <c r="AJ323" s="110">
        <v>-52987.76</v>
      </c>
      <c r="AK323" s="110">
        <v>-55242.76</v>
      </c>
      <c r="AL323" s="110">
        <v>-61738.53</v>
      </c>
      <c r="AM323" s="110">
        <v>-63660.87</v>
      </c>
      <c r="AN323" s="110">
        <v>-76328.75</v>
      </c>
      <c r="AO323" s="109"/>
      <c r="AP323" s="110">
        <v>-56787.01</v>
      </c>
      <c r="AQ323" s="110">
        <v>-63590.270000000004</v>
      </c>
      <c r="AR323" s="110">
        <v>-70092.45</v>
      </c>
      <c r="AS323" s="110">
        <v>0</v>
      </c>
      <c r="AT323" s="110">
        <v>0</v>
      </c>
      <c r="AU323" s="110">
        <v>0</v>
      </c>
      <c r="AV323" s="110">
        <v>0</v>
      </c>
      <c r="AW323" s="110">
        <v>0</v>
      </c>
      <c r="AX323" s="110">
        <v>0</v>
      </c>
      <c r="AY323" s="110">
        <v>0</v>
      </c>
      <c r="AZ323" s="110">
        <v>0</v>
      </c>
      <c r="BA323" s="110">
        <v>0</v>
      </c>
    </row>
    <row r="324" spans="1:53" s="102" customFormat="1" outlineLevel="2">
      <c r="A324" s="102" t="s">
        <v>958</v>
      </c>
      <c r="B324" s="103" t="s">
        <v>959</v>
      </c>
      <c r="C324" s="104" t="s">
        <v>960</v>
      </c>
      <c r="D324" s="298"/>
      <c r="E324" s="299"/>
      <c r="F324" s="105">
        <v>-11746.1</v>
      </c>
      <c r="G324" s="105">
        <v>-12300.57</v>
      </c>
      <c r="H324" s="106">
        <f t="shared" si="74"/>
        <v>554.46999999999935</v>
      </c>
      <c r="I324" s="300">
        <f t="shared" si="75"/>
        <v>4.5076772864997262E-2</v>
      </c>
      <c r="J324" s="107"/>
      <c r="K324" s="105">
        <v>-34614.99</v>
      </c>
      <c r="L324" s="105">
        <v>-36096</v>
      </c>
      <c r="M324" s="106">
        <f t="shared" si="76"/>
        <v>1481.010000000002</v>
      </c>
      <c r="N324" s="300">
        <f t="shared" si="77"/>
        <v>4.1029753989361761E-2</v>
      </c>
      <c r="O324" s="301"/>
      <c r="P324" s="107"/>
      <c r="Q324" s="105">
        <v>-34614.99</v>
      </c>
      <c r="R324" s="105">
        <v>-36096</v>
      </c>
      <c r="S324" s="106">
        <f t="shared" si="78"/>
        <v>1481.010000000002</v>
      </c>
      <c r="T324" s="300">
        <f t="shared" si="79"/>
        <v>4.1029753989361761E-2</v>
      </c>
      <c r="U324" s="107"/>
      <c r="V324" s="105">
        <v>-143737.03</v>
      </c>
      <c r="W324" s="105">
        <v>-164630.35999999999</v>
      </c>
      <c r="X324" s="106">
        <f t="shared" si="80"/>
        <v>20893.329999999987</v>
      </c>
      <c r="Y324" s="300">
        <f t="shared" si="81"/>
        <v>0.12691055282877345</v>
      </c>
      <c r="Z324" s="302"/>
      <c r="AA324" s="108">
        <v>-15439.81</v>
      </c>
      <c r="AB324" s="109"/>
      <c r="AC324" s="110">
        <v>-11483.06</v>
      </c>
      <c r="AD324" s="110">
        <v>-12312.37</v>
      </c>
      <c r="AE324" s="110">
        <v>-12300.57</v>
      </c>
      <c r="AF324" s="110">
        <v>-11328.64</v>
      </c>
      <c r="AG324" s="110">
        <v>-11964.12</v>
      </c>
      <c r="AH324" s="110">
        <v>-11281.39</v>
      </c>
      <c r="AI324" s="110">
        <v>-14633.1</v>
      </c>
      <c r="AJ324" s="110">
        <v>-9486.44</v>
      </c>
      <c r="AK324" s="110">
        <v>-10882.66</v>
      </c>
      <c r="AL324" s="110">
        <v>-11673.57</v>
      </c>
      <c r="AM324" s="110">
        <v>-12501.39</v>
      </c>
      <c r="AN324" s="110">
        <v>-15370.73</v>
      </c>
      <c r="AO324" s="109"/>
      <c r="AP324" s="110">
        <v>-10716.9</v>
      </c>
      <c r="AQ324" s="110">
        <v>-12151.99</v>
      </c>
      <c r="AR324" s="110">
        <v>-11746.1</v>
      </c>
      <c r="AS324" s="110">
        <v>0</v>
      </c>
      <c r="AT324" s="110">
        <v>0</v>
      </c>
      <c r="AU324" s="110">
        <v>0</v>
      </c>
      <c r="AV324" s="110">
        <v>0</v>
      </c>
      <c r="AW324" s="110">
        <v>0</v>
      </c>
      <c r="AX324" s="110">
        <v>0</v>
      </c>
      <c r="AY324" s="110">
        <v>0</v>
      </c>
      <c r="AZ324" s="110">
        <v>0</v>
      </c>
      <c r="BA324" s="110">
        <v>0</v>
      </c>
    </row>
    <row r="325" spans="1:53" s="102" customFormat="1" outlineLevel="2">
      <c r="A325" s="102" t="s">
        <v>961</v>
      </c>
      <c r="B325" s="103" t="s">
        <v>962</v>
      </c>
      <c r="C325" s="104" t="s">
        <v>963</v>
      </c>
      <c r="D325" s="298"/>
      <c r="E325" s="299"/>
      <c r="F325" s="105">
        <v>-34909.15</v>
      </c>
      <c r="G325" s="105">
        <v>-109242.12</v>
      </c>
      <c r="H325" s="106">
        <f t="shared" si="74"/>
        <v>74332.97</v>
      </c>
      <c r="I325" s="300">
        <f t="shared" si="75"/>
        <v>0.68044239712667609</v>
      </c>
      <c r="J325" s="107"/>
      <c r="K325" s="105">
        <v>-104830.90000000001</v>
      </c>
      <c r="L325" s="105">
        <v>-211748.47</v>
      </c>
      <c r="M325" s="106">
        <f t="shared" si="76"/>
        <v>106917.56999999999</v>
      </c>
      <c r="N325" s="300">
        <f t="shared" si="77"/>
        <v>0.50492723749078328</v>
      </c>
      <c r="O325" s="301"/>
      <c r="P325" s="107"/>
      <c r="Q325" s="105">
        <v>-104830.90000000001</v>
      </c>
      <c r="R325" s="105">
        <v>-211748.47</v>
      </c>
      <c r="S325" s="106">
        <f t="shared" si="78"/>
        <v>106917.56999999999</v>
      </c>
      <c r="T325" s="300">
        <f t="shared" si="79"/>
        <v>0.50492723749078328</v>
      </c>
      <c r="U325" s="107"/>
      <c r="V325" s="105">
        <v>-713427.07000000007</v>
      </c>
      <c r="W325" s="105">
        <v>-680257.18</v>
      </c>
      <c r="X325" s="106">
        <f t="shared" si="80"/>
        <v>-33169.890000000014</v>
      </c>
      <c r="Y325" s="300">
        <f t="shared" si="81"/>
        <v>-4.8760808375444137E-2</v>
      </c>
      <c r="Z325" s="302"/>
      <c r="AA325" s="108">
        <v>-54579.15</v>
      </c>
      <c r="AB325" s="109"/>
      <c r="AC325" s="110">
        <v>-44803.32</v>
      </c>
      <c r="AD325" s="110">
        <v>-57703.03</v>
      </c>
      <c r="AE325" s="110">
        <v>-109242.12</v>
      </c>
      <c r="AF325" s="110">
        <v>-55332.92</v>
      </c>
      <c r="AG325" s="110">
        <v>-59138.99</v>
      </c>
      <c r="AH325" s="110">
        <v>-63057.68</v>
      </c>
      <c r="AI325" s="110">
        <v>-91333.19</v>
      </c>
      <c r="AJ325" s="110">
        <v>-52295.090000000004</v>
      </c>
      <c r="AK325" s="110">
        <v>-497885.60000000003</v>
      </c>
      <c r="AL325" s="110">
        <v>354298.29</v>
      </c>
      <c r="AM325" s="110">
        <v>-64634.28</v>
      </c>
      <c r="AN325" s="110">
        <v>-79216.710000000006</v>
      </c>
      <c r="AO325" s="109"/>
      <c r="AP325" s="110">
        <v>-29050.29</v>
      </c>
      <c r="AQ325" s="110">
        <v>-40871.46</v>
      </c>
      <c r="AR325" s="110">
        <v>-34909.15</v>
      </c>
      <c r="AS325" s="110">
        <v>0</v>
      </c>
      <c r="AT325" s="110">
        <v>0</v>
      </c>
      <c r="AU325" s="110">
        <v>0</v>
      </c>
      <c r="AV325" s="110">
        <v>0</v>
      </c>
      <c r="AW325" s="110">
        <v>0</v>
      </c>
      <c r="AX325" s="110">
        <v>0</v>
      </c>
      <c r="AY325" s="110">
        <v>0</v>
      </c>
      <c r="AZ325" s="110">
        <v>0</v>
      </c>
      <c r="BA325" s="110">
        <v>0</v>
      </c>
    </row>
    <row r="326" spans="1:53" s="102" customFormat="1" outlineLevel="2">
      <c r="A326" s="102" t="s">
        <v>964</v>
      </c>
      <c r="B326" s="103" t="s">
        <v>965</v>
      </c>
      <c r="C326" s="104" t="s">
        <v>966</v>
      </c>
      <c r="D326" s="298"/>
      <c r="E326" s="299"/>
      <c r="F326" s="105">
        <v>-37455.57</v>
      </c>
      <c r="G326" s="105">
        <v>-74701.11</v>
      </c>
      <c r="H326" s="106">
        <f t="shared" si="74"/>
        <v>37245.54</v>
      </c>
      <c r="I326" s="300">
        <f t="shared" si="75"/>
        <v>0.49859419759626061</v>
      </c>
      <c r="J326" s="107"/>
      <c r="K326" s="105">
        <v>-145283.98000000001</v>
      </c>
      <c r="L326" s="105">
        <v>-124268.77</v>
      </c>
      <c r="M326" s="106">
        <f t="shared" si="76"/>
        <v>-21015.210000000006</v>
      </c>
      <c r="N326" s="300">
        <f t="shared" si="77"/>
        <v>-0.16911095201151508</v>
      </c>
      <c r="O326" s="301"/>
      <c r="P326" s="107"/>
      <c r="Q326" s="105">
        <v>-145283.98000000001</v>
      </c>
      <c r="R326" s="105">
        <v>-124268.77</v>
      </c>
      <c r="S326" s="106">
        <f t="shared" si="78"/>
        <v>-21015.210000000006</v>
      </c>
      <c r="T326" s="300">
        <f t="shared" si="79"/>
        <v>-0.16911095201151508</v>
      </c>
      <c r="U326" s="107"/>
      <c r="V326" s="105">
        <v>-21699.010000000009</v>
      </c>
      <c r="W326" s="105">
        <v>-43001.820000000007</v>
      </c>
      <c r="X326" s="106">
        <f t="shared" si="80"/>
        <v>21302.809999999998</v>
      </c>
      <c r="Y326" s="300">
        <f t="shared" si="81"/>
        <v>0.49539321824053018</v>
      </c>
      <c r="Z326" s="302"/>
      <c r="AA326" s="108">
        <v>136664.41</v>
      </c>
      <c r="AB326" s="109"/>
      <c r="AC326" s="110">
        <v>-63635.64</v>
      </c>
      <c r="AD326" s="110">
        <v>14067.98</v>
      </c>
      <c r="AE326" s="110">
        <v>-74701.11</v>
      </c>
      <c r="AF326" s="110">
        <v>-33706.49</v>
      </c>
      <c r="AG326" s="110">
        <v>-19159.04</v>
      </c>
      <c r="AH326" s="110">
        <v>-55435.79</v>
      </c>
      <c r="AI326" s="110">
        <v>205932.99</v>
      </c>
      <c r="AJ326" s="110">
        <v>-55990.15</v>
      </c>
      <c r="AK326" s="110">
        <v>-77411.759999999995</v>
      </c>
      <c r="AL326" s="110">
        <v>-29709.73</v>
      </c>
      <c r="AM326" s="110">
        <v>199.26</v>
      </c>
      <c r="AN326" s="110">
        <v>188865.68</v>
      </c>
      <c r="AO326" s="109"/>
      <c r="AP326" s="110">
        <v>-102881.23</v>
      </c>
      <c r="AQ326" s="110">
        <v>-4947.18</v>
      </c>
      <c r="AR326" s="110">
        <v>-37455.57</v>
      </c>
      <c r="AS326" s="110">
        <v>187857.39</v>
      </c>
      <c r="AT326" s="110">
        <v>0</v>
      </c>
      <c r="AU326" s="110">
        <v>0</v>
      </c>
      <c r="AV326" s="110">
        <v>0</v>
      </c>
      <c r="AW326" s="110">
        <v>0</v>
      </c>
      <c r="AX326" s="110">
        <v>0</v>
      </c>
      <c r="AY326" s="110">
        <v>0</v>
      </c>
      <c r="AZ326" s="110">
        <v>0</v>
      </c>
      <c r="BA326" s="110">
        <v>0</v>
      </c>
    </row>
    <row r="327" spans="1:53" s="102" customFormat="1" outlineLevel="2">
      <c r="A327" s="102" t="s">
        <v>967</v>
      </c>
      <c r="B327" s="103" t="s">
        <v>968</v>
      </c>
      <c r="C327" s="104" t="s">
        <v>969</v>
      </c>
      <c r="D327" s="298"/>
      <c r="E327" s="299"/>
      <c r="F327" s="105">
        <v>18051.68</v>
      </c>
      <c r="G327" s="105">
        <v>18051.68</v>
      </c>
      <c r="H327" s="106">
        <f t="shared" si="74"/>
        <v>0</v>
      </c>
      <c r="I327" s="300">
        <f t="shared" si="75"/>
        <v>0</v>
      </c>
      <c r="J327" s="107"/>
      <c r="K327" s="105">
        <v>54155.040000000001</v>
      </c>
      <c r="L327" s="105">
        <v>54155.040000000001</v>
      </c>
      <c r="M327" s="106">
        <f t="shared" si="76"/>
        <v>0</v>
      </c>
      <c r="N327" s="300">
        <f t="shared" si="77"/>
        <v>0</v>
      </c>
      <c r="O327" s="301"/>
      <c r="P327" s="107"/>
      <c r="Q327" s="105">
        <v>54155.040000000001</v>
      </c>
      <c r="R327" s="105">
        <v>54155.040000000001</v>
      </c>
      <c r="S327" s="106">
        <f t="shared" si="78"/>
        <v>0</v>
      </c>
      <c r="T327" s="300">
        <f t="shared" si="79"/>
        <v>0</v>
      </c>
      <c r="U327" s="107"/>
      <c r="V327" s="105">
        <v>216620.16</v>
      </c>
      <c r="W327" s="105">
        <v>216620.16</v>
      </c>
      <c r="X327" s="106">
        <f t="shared" si="80"/>
        <v>0</v>
      </c>
      <c r="Y327" s="300">
        <f t="shared" si="81"/>
        <v>0</v>
      </c>
      <c r="Z327" s="302"/>
      <c r="AA327" s="108">
        <v>18051.68</v>
      </c>
      <c r="AB327" s="109"/>
      <c r="AC327" s="110">
        <v>18051.68</v>
      </c>
      <c r="AD327" s="110">
        <v>18051.68</v>
      </c>
      <c r="AE327" s="110">
        <v>18051.68</v>
      </c>
      <c r="AF327" s="110">
        <v>18051.68</v>
      </c>
      <c r="AG327" s="110">
        <v>18051.68</v>
      </c>
      <c r="AH327" s="110">
        <v>18051.68</v>
      </c>
      <c r="AI327" s="110">
        <v>18051.68</v>
      </c>
      <c r="AJ327" s="110">
        <v>18051.68</v>
      </c>
      <c r="AK327" s="110">
        <v>18051.68</v>
      </c>
      <c r="AL327" s="110">
        <v>18051.68</v>
      </c>
      <c r="AM327" s="110">
        <v>18051.68</v>
      </c>
      <c r="AN327" s="110">
        <v>18051.68</v>
      </c>
      <c r="AO327" s="109"/>
      <c r="AP327" s="110">
        <v>18051.68</v>
      </c>
      <c r="AQ327" s="110">
        <v>18051.68</v>
      </c>
      <c r="AR327" s="110">
        <v>18051.68</v>
      </c>
      <c r="AS327" s="110">
        <v>0</v>
      </c>
      <c r="AT327" s="110">
        <v>0</v>
      </c>
      <c r="AU327" s="110">
        <v>0</v>
      </c>
      <c r="AV327" s="110">
        <v>0</v>
      </c>
      <c r="AW327" s="110">
        <v>0</v>
      </c>
      <c r="AX327" s="110">
        <v>0</v>
      </c>
      <c r="AY327" s="110">
        <v>0</v>
      </c>
      <c r="AZ327" s="110">
        <v>0</v>
      </c>
      <c r="BA327" s="110">
        <v>0</v>
      </c>
    </row>
    <row r="328" spans="1:53" s="102" customFormat="1" outlineLevel="2">
      <c r="A328" s="102" t="s">
        <v>970</v>
      </c>
      <c r="B328" s="103" t="s">
        <v>971</v>
      </c>
      <c r="C328" s="104" t="s">
        <v>972</v>
      </c>
      <c r="D328" s="298"/>
      <c r="E328" s="299"/>
      <c r="F328" s="105">
        <v>-328619.96000000002</v>
      </c>
      <c r="G328" s="105">
        <v>-130877.58</v>
      </c>
      <c r="H328" s="106">
        <f t="shared" ref="H328:H363" si="82">+F328-G328</f>
        <v>-197742.38</v>
      </c>
      <c r="I328" s="300">
        <f t="shared" ref="I328:I363" si="83">IF(G328&lt;0,IF(H328=0,0,IF(OR(G328=0,F328=0),"N.M.",IF(ABS(H328/G328)&gt;=10,"N.M.",H328/(-G328)))),IF(H328=0,0,IF(OR(G328=0,F328=0),"N.M.",IF(ABS(H328/G328)&gt;=10,"N.M.",H328/G328))))</f>
        <v>-1.510895754643385</v>
      </c>
      <c r="J328" s="107"/>
      <c r="K328" s="105">
        <v>-949821.64</v>
      </c>
      <c r="L328" s="105">
        <v>-354024.74</v>
      </c>
      <c r="M328" s="106">
        <f t="shared" ref="M328:M352" si="84">+K328-L328</f>
        <v>-595796.9</v>
      </c>
      <c r="N328" s="300">
        <f t="shared" ref="N328:N352" si="85">IF(L328&lt;0,IF(M328=0,0,IF(OR(L328=0,K328=0),"N.M.",IF(ABS(M328/L328)&gt;=10,"N.M.",M328/(-L328)))),IF(M328=0,0,IF(OR(L328=0,K328=0),"N.M.",IF(ABS(M328/L328)&gt;=10,"N.M.",M328/L328))))</f>
        <v>-1.682924475843129</v>
      </c>
      <c r="O328" s="301"/>
      <c r="P328" s="107"/>
      <c r="Q328" s="105">
        <v>-949821.64</v>
      </c>
      <c r="R328" s="105">
        <v>-354024.74</v>
      </c>
      <c r="S328" s="106">
        <f t="shared" ref="S328:S363" si="86">+Q328-R328</f>
        <v>-595796.9</v>
      </c>
      <c r="T328" s="300">
        <f t="shared" ref="T328:T363" si="87">IF(R328&lt;0,IF(S328=0,0,IF(OR(R328=0,Q328=0),"N.M.",IF(ABS(S328/R328)&gt;=10,"N.M.",S328/(-R328)))),IF(S328=0,0,IF(OR(R328=0,Q328=0),"N.M.",IF(ABS(S328/R328)&gt;=10,"N.M.",S328/R328))))</f>
        <v>-1.682924475843129</v>
      </c>
      <c r="U328" s="107"/>
      <c r="V328" s="105">
        <v>-2011895.8399999999</v>
      </c>
      <c r="W328" s="105">
        <v>-221761.55</v>
      </c>
      <c r="X328" s="106">
        <f t="shared" ref="X328:X363" si="88">+V328-W328</f>
        <v>-1790134.2899999998</v>
      </c>
      <c r="Y328" s="300">
        <f t="shared" ref="Y328:Y363" si="89">IF(W328&lt;0,IF(X328=0,0,IF(OR(W328=0,V328=0),"N.M.",IF(ABS(X328/W328)&gt;=10,"N.M.",X328/(-W328)))),IF(X328=0,0,IF(OR(W328=0,V328=0),"N.M.",IF(ABS(X328/W328)&gt;=10,"N.M.",X328/W328))))</f>
        <v>-8.0723384644452558</v>
      </c>
      <c r="Z328" s="302"/>
      <c r="AA328" s="108">
        <v>14695.91</v>
      </c>
      <c r="AB328" s="109"/>
      <c r="AC328" s="110">
        <v>-111573.58</v>
      </c>
      <c r="AD328" s="110">
        <v>-111573.58</v>
      </c>
      <c r="AE328" s="110">
        <v>-130877.58</v>
      </c>
      <c r="AF328" s="110">
        <v>-118008.24</v>
      </c>
      <c r="AG328" s="110">
        <v>-118008.24</v>
      </c>
      <c r="AH328" s="110">
        <v>-118008.24</v>
      </c>
      <c r="AI328" s="110">
        <v>-118008.24</v>
      </c>
      <c r="AJ328" s="110">
        <v>-177830.16</v>
      </c>
      <c r="AK328" s="110">
        <v>-58186.33</v>
      </c>
      <c r="AL328" s="110">
        <v>-118008.25</v>
      </c>
      <c r="AM328" s="110">
        <v>-118008.25</v>
      </c>
      <c r="AN328" s="110">
        <v>-118008.25</v>
      </c>
      <c r="AO328" s="109"/>
      <c r="AP328" s="110">
        <v>-310600.84000000003</v>
      </c>
      <c r="AQ328" s="110">
        <v>-310600.84000000003</v>
      </c>
      <c r="AR328" s="110">
        <v>-328619.96000000002</v>
      </c>
      <c r="AS328" s="110">
        <v>0</v>
      </c>
      <c r="AT328" s="110">
        <v>0</v>
      </c>
      <c r="AU328" s="110">
        <v>0</v>
      </c>
      <c r="AV328" s="110">
        <v>0</v>
      </c>
      <c r="AW328" s="110">
        <v>0</v>
      </c>
      <c r="AX328" s="110">
        <v>0</v>
      </c>
      <c r="AY328" s="110">
        <v>0</v>
      </c>
      <c r="AZ328" s="110">
        <v>0</v>
      </c>
      <c r="BA328" s="110">
        <v>0</v>
      </c>
    </row>
    <row r="329" spans="1:53" s="102" customFormat="1" outlineLevel="2">
      <c r="A329" s="102" t="s">
        <v>973</v>
      </c>
      <c r="B329" s="103" t="s">
        <v>974</v>
      </c>
      <c r="C329" s="104" t="s">
        <v>975</v>
      </c>
      <c r="D329" s="298"/>
      <c r="E329" s="299"/>
      <c r="F329" s="105">
        <v>11696.64</v>
      </c>
      <c r="G329" s="105">
        <v>11620.74</v>
      </c>
      <c r="H329" s="106">
        <f t="shared" si="82"/>
        <v>75.899999999999636</v>
      </c>
      <c r="I329" s="300">
        <f t="shared" si="83"/>
        <v>6.531425709550307E-3</v>
      </c>
      <c r="J329" s="107"/>
      <c r="K329" s="105">
        <v>35066.51</v>
      </c>
      <c r="L329" s="105">
        <v>34894.230000000003</v>
      </c>
      <c r="M329" s="106">
        <f t="shared" si="84"/>
        <v>172.27999999999884</v>
      </c>
      <c r="N329" s="300">
        <f t="shared" si="85"/>
        <v>4.9372059506686012E-3</v>
      </c>
      <c r="O329" s="301"/>
      <c r="P329" s="107"/>
      <c r="Q329" s="105">
        <v>35066.51</v>
      </c>
      <c r="R329" s="105">
        <v>34894.230000000003</v>
      </c>
      <c r="S329" s="106">
        <f t="shared" si="86"/>
        <v>172.27999999999884</v>
      </c>
      <c r="T329" s="300">
        <f t="shared" si="87"/>
        <v>4.9372059506686012E-3</v>
      </c>
      <c r="U329" s="107"/>
      <c r="V329" s="105">
        <v>139720.06</v>
      </c>
      <c r="W329" s="105">
        <v>139760.73000000001</v>
      </c>
      <c r="X329" s="106">
        <f t="shared" si="88"/>
        <v>-40.670000000012806</v>
      </c>
      <c r="Y329" s="300">
        <f t="shared" si="89"/>
        <v>-2.9099733523152606E-4</v>
      </c>
      <c r="Z329" s="302"/>
      <c r="AA329" s="108">
        <v>11627.02</v>
      </c>
      <c r="AB329" s="109"/>
      <c r="AC329" s="110">
        <v>11634.11</v>
      </c>
      <c r="AD329" s="110">
        <v>11639.380000000001</v>
      </c>
      <c r="AE329" s="110">
        <v>11620.74</v>
      </c>
      <c r="AF329" s="110">
        <v>11573.800000000001</v>
      </c>
      <c r="AG329" s="110">
        <v>11634.89</v>
      </c>
      <c r="AH329" s="110">
        <v>11635.16</v>
      </c>
      <c r="AI329" s="110">
        <v>11637.34</v>
      </c>
      <c r="AJ329" s="110">
        <v>11589.16</v>
      </c>
      <c r="AK329" s="110">
        <v>11638.18</v>
      </c>
      <c r="AL329" s="110">
        <v>11638.45</v>
      </c>
      <c r="AM329" s="110">
        <v>11635.09</v>
      </c>
      <c r="AN329" s="110">
        <v>11671.48</v>
      </c>
      <c r="AO329" s="109"/>
      <c r="AP329" s="110">
        <v>11678.87</v>
      </c>
      <c r="AQ329" s="110">
        <v>11691</v>
      </c>
      <c r="AR329" s="110">
        <v>11696.64</v>
      </c>
      <c r="AS329" s="110">
        <v>0</v>
      </c>
      <c r="AT329" s="110">
        <v>0</v>
      </c>
      <c r="AU329" s="110">
        <v>0</v>
      </c>
      <c r="AV329" s="110">
        <v>0</v>
      </c>
      <c r="AW329" s="110">
        <v>0</v>
      </c>
      <c r="AX329" s="110">
        <v>0</v>
      </c>
      <c r="AY329" s="110">
        <v>0</v>
      </c>
      <c r="AZ329" s="110">
        <v>0</v>
      </c>
      <c r="BA329" s="110">
        <v>0</v>
      </c>
    </row>
    <row r="330" spans="1:53" s="102" customFormat="1" outlineLevel="2">
      <c r="A330" s="102" t="s">
        <v>976</v>
      </c>
      <c r="B330" s="103" t="s">
        <v>977</v>
      </c>
      <c r="C330" s="104" t="s">
        <v>978</v>
      </c>
      <c r="D330" s="298"/>
      <c r="E330" s="299"/>
      <c r="F330" s="105">
        <v>57.18</v>
      </c>
      <c r="G330" s="105">
        <v>89.76</v>
      </c>
      <c r="H330" s="106">
        <f t="shared" si="82"/>
        <v>-32.580000000000005</v>
      </c>
      <c r="I330" s="300">
        <f t="shared" si="83"/>
        <v>-0.36296791443850274</v>
      </c>
      <c r="J330" s="107"/>
      <c r="K330" s="105">
        <v>939.71</v>
      </c>
      <c r="L330" s="105">
        <v>297.22000000000003</v>
      </c>
      <c r="M330" s="106">
        <f t="shared" si="84"/>
        <v>642.49</v>
      </c>
      <c r="N330" s="300">
        <f t="shared" si="85"/>
        <v>2.1616647601103556</v>
      </c>
      <c r="O330" s="301"/>
      <c r="P330" s="107"/>
      <c r="Q330" s="105">
        <v>939.71</v>
      </c>
      <c r="R330" s="105">
        <v>297.22000000000003</v>
      </c>
      <c r="S330" s="106">
        <f t="shared" si="86"/>
        <v>642.49</v>
      </c>
      <c r="T330" s="300">
        <f t="shared" si="87"/>
        <v>2.1616647601103556</v>
      </c>
      <c r="U330" s="107"/>
      <c r="V330" s="105">
        <v>3002.78</v>
      </c>
      <c r="W330" s="105">
        <v>1108092.6099999999</v>
      </c>
      <c r="X330" s="106">
        <f t="shared" si="88"/>
        <v>-1105089.8299999998</v>
      </c>
      <c r="Y330" s="300">
        <f t="shared" si="89"/>
        <v>-0.99729013624592255</v>
      </c>
      <c r="Z330" s="302"/>
      <c r="AA330" s="108">
        <v>1104827.56</v>
      </c>
      <c r="AB330" s="109"/>
      <c r="AC330" s="110">
        <v>-1.05</v>
      </c>
      <c r="AD330" s="110">
        <v>208.51</v>
      </c>
      <c r="AE330" s="110">
        <v>89.76</v>
      </c>
      <c r="AF330" s="110">
        <v>136.53</v>
      </c>
      <c r="AG330" s="110">
        <v>186.17000000000002</v>
      </c>
      <c r="AH330" s="110">
        <v>153.26</v>
      </c>
      <c r="AI330" s="110">
        <v>719.75</v>
      </c>
      <c r="AJ330" s="110">
        <v>54.45</v>
      </c>
      <c r="AK330" s="110">
        <v>-75.87</v>
      </c>
      <c r="AL330" s="110">
        <v>935.95</v>
      </c>
      <c r="AM330" s="110">
        <v>25.68</v>
      </c>
      <c r="AN330" s="110">
        <v>-72.850000000000009</v>
      </c>
      <c r="AO330" s="109"/>
      <c r="AP330" s="110">
        <v>6.28</v>
      </c>
      <c r="AQ330" s="110">
        <v>876.25</v>
      </c>
      <c r="AR330" s="110">
        <v>57.18</v>
      </c>
      <c r="AS330" s="110">
        <v>0</v>
      </c>
      <c r="AT330" s="110">
        <v>0</v>
      </c>
      <c r="AU330" s="110">
        <v>0</v>
      </c>
      <c r="AV330" s="110">
        <v>0</v>
      </c>
      <c r="AW330" s="110">
        <v>0</v>
      </c>
      <c r="AX330" s="110">
        <v>0</v>
      </c>
      <c r="AY330" s="110">
        <v>0</v>
      </c>
      <c r="AZ330" s="110">
        <v>0</v>
      </c>
      <c r="BA330" s="110">
        <v>0</v>
      </c>
    </row>
    <row r="331" spans="1:53" s="102" customFormat="1" outlineLevel="2">
      <c r="A331" s="102" t="s">
        <v>979</v>
      </c>
      <c r="B331" s="103" t="s">
        <v>980</v>
      </c>
      <c r="C331" s="104" t="s">
        <v>981</v>
      </c>
      <c r="D331" s="298"/>
      <c r="E331" s="299"/>
      <c r="F331" s="105">
        <v>0</v>
      </c>
      <c r="G331" s="105">
        <v>0</v>
      </c>
      <c r="H331" s="106">
        <f t="shared" si="82"/>
        <v>0</v>
      </c>
      <c r="I331" s="300">
        <f t="shared" si="83"/>
        <v>0</v>
      </c>
      <c r="J331" s="107"/>
      <c r="K331" s="105">
        <v>-4.82</v>
      </c>
      <c r="L331" s="105">
        <v>0</v>
      </c>
      <c r="M331" s="106">
        <f t="shared" si="84"/>
        <v>-4.82</v>
      </c>
      <c r="N331" s="300" t="str">
        <f t="shared" si="85"/>
        <v>N.M.</v>
      </c>
      <c r="O331" s="301"/>
      <c r="P331" s="107"/>
      <c r="Q331" s="105">
        <v>-4.82</v>
      </c>
      <c r="R331" s="105">
        <v>0</v>
      </c>
      <c r="S331" s="106">
        <f t="shared" si="86"/>
        <v>-4.82</v>
      </c>
      <c r="T331" s="300" t="str">
        <f t="shared" si="87"/>
        <v>N.M.</v>
      </c>
      <c r="U331" s="107"/>
      <c r="V331" s="105">
        <v>0</v>
      </c>
      <c r="W331" s="105">
        <v>0</v>
      </c>
      <c r="X331" s="106">
        <f t="shared" si="88"/>
        <v>0</v>
      </c>
      <c r="Y331" s="300">
        <f t="shared" si="89"/>
        <v>0</v>
      </c>
      <c r="Z331" s="302"/>
      <c r="AA331" s="108">
        <v>0</v>
      </c>
      <c r="AB331" s="109"/>
      <c r="AC331" s="110">
        <v>0</v>
      </c>
      <c r="AD331" s="110">
        <v>0</v>
      </c>
      <c r="AE331" s="110">
        <v>0</v>
      </c>
      <c r="AF331" s="110">
        <v>0</v>
      </c>
      <c r="AG331" s="110">
        <v>0</v>
      </c>
      <c r="AH331" s="110">
        <v>0</v>
      </c>
      <c r="AI331" s="110">
        <v>0</v>
      </c>
      <c r="AJ331" s="110">
        <v>0</v>
      </c>
      <c r="AK331" s="110">
        <v>0</v>
      </c>
      <c r="AL331" s="110">
        <v>0</v>
      </c>
      <c r="AM331" s="110">
        <v>0</v>
      </c>
      <c r="AN331" s="110">
        <v>4.82</v>
      </c>
      <c r="AO331" s="109"/>
      <c r="AP331" s="110">
        <v>-4.82</v>
      </c>
      <c r="AQ331" s="110">
        <v>0</v>
      </c>
      <c r="AR331" s="110">
        <v>0</v>
      </c>
      <c r="AS331" s="110">
        <v>0</v>
      </c>
      <c r="AT331" s="110">
        <v>0</v>
      </c>
      <c r="AU331" s="110">
        <v>0</v>
      </c>
      <c r="AV331" s="110">
        <v>0</v>
      </c>
      <c r="AW331" s="110">
        <v>0</v>
      </c>
      <c r="AX331" s="110">
        <v>0</v>
      </c>
      <c r="AY331" s="110">
        <v>0</v>
      </c>
      <c r="AZ331" s="110">
        <v>0</v>
      </c>
      <c r="BA331" s="110">
        <v>0</v>
      </c>
    </row>
    <row r="332" spans="1:53" s="102" customFormat="1" outlineLevel="2">
      <c r="A332" s="102" t="s">
        <v>982</v>
      </c>
      <c r="B332" s="103" t="s">
        <v>983</v>
      </c>
      <c r="C332" s="104" t="s">
        <v>984</v>
      </c>
      <c r="D332" s="298"/>
      <c r="E332" s="299"/>
      <c r="F332" s="105">
        <v>175807.72</v>
      </c>
      <c r="G332" s="105">
        <v>52174.89</v>
      </c>
      <c r="H332" s="106">
        <f t="shared" si="82"/>
        <v>123632.83</v>
      </c>
      <c r="I332" s="300">
        <f t="shared" si="83"/>
        <v>2.3695848711899536</v>
      </c>
      <c r="J332" s="107"/>
      <c r="K332" s="105">
        <v>425865.24</v>
      </c>
      <c r="L332" s="105">
        <v>110844.6</v>
      </c>
      <c r="M332" s="106">
        <f t="shared" si="84"/>
        <v>315020.64</v>
      </c>
      <c r="N332" s="300">
        <f t="shared" si="85"/>
        <v>2.8420025874061525</v>
      </c>
      <c r="O332" s="301"/>
      <c r="P332" s="107"/>
      <c r="Q332" s="105">
        <v>425865.24</v>
      </c>
      <c r="R332" s="105">
        <v>110844.6</v>
      </c>
      <c r="S332" s="106">
        <f t="shared" si="86"/>
        <v>315020.64</v>
      </c>
      <c r="T332" s="300">
        <f t="shared" si="87"/>
        <v>2.8420025874061525</v>
      </c>
      <c r="U332" s="107"/>
      <c r="V332" s="105">
        <v>1711551.41</v>
      </c>
      <c r="W332" s="105">
        <v>680364.09</v>
      </c>
      <c r="X332" s="106">
        <f t="shared" si="88"/>
        <v>1031187.32</v>
      </c>
      <c r="Y332" s="300">
        <f t="shared" si="89"/>
        <v>1.5156404271718691</v>
      </c>
      <c r="Z332" s="302"/>
      <c r="AA332" s="108">
        <v>72697.41</v>
      </c>
      <c r="AB332" s="109"/>
      <c r="AC332" s="110">
        <v>25490.350000000002</v>
      </c>
      <c r="AD332" s="110">
        <v>33179.360000000001</v>
      </c>
      <c r="AE332" s="110">
        <v>52174.89</v>
      </c>
      <c r="AF332" s="110">
        <v>65228.07</v>
      </c>
      <c r="AG332" s="110">
        <v>70810.38</v>
      </c>
      <c r="AH332" s="110">
        <v>103213.39</v>
      </c>
      <c r="AI332" s="110">
        <v>31190.36</v>
      </c>
      <c r="AJ332" s="110">
        <v>118626.90000000001</v>
      </c>
      <c r="AK332" s="110">
        <v>8720.73</v>
      </c>
      <c r="AL332" s="110">
        <v>165824.70000000001</v>
      </c>
      <c r="AM332" s="110">
        <v>382868.66000000003</v>
      </c>
      <c r="AN332" s="110">
        <v>339202.98</v>
      </c>
      <c r="AO332" s="109"/>
      <c r="AP332" s="110">
        <v>83290.03</v>
      </c>
      <c r="AQ332" s="110">
        <v>166767.49</v>
      </c>
      <c r="AR332" s="110">
        <v>175807.72</v>
      </c>
      <c r="AS332" s="110">
        <v>4443.34</v>
      </c>
      <c r="AT332" s="110">
        <v>0</v>
      </c>
      <c r="AU332" s="110">
        <v>0</v>
      </c>
      <c r="AV332" s="110">
        <v>0</v>
      </c>
      <c r="AW332" s="110">
        <v>0</v>
      </c>
      <c r="AX332" s="110">
        <v>0</v>
      </c>
      <c r="AY332" s="110">
        <v>0</v>
      </c>
      <c r="AZ332" s="110">
        <v>0</v>
      </c>
      <c r="BA332" s="110">
        <v>0</v>
      </c>
    </row>
    <row r="333" spans="1:53" s="102" customFormat="1" outlineLevel="2">
      <c r="A333" s="102" t="s">
        <v>985</v>
      </c>
      <c r="B333" s="103" t="s">
        <v>986</v>
      </c>
      <c r="C333" s="104" t="s">
        <v>987</v>
      </c>
      <c r="D333" s="298"/>
      <c r="E333" s="299"/>
      <c r="F333" s="105">
        <v>2217.71</v>
      </c>
      <c r="G333" s="105">
        <v>1406.8700000000001</v>
      </c>
      <c r="H333" s="106">
        <f t="shared" si="82"/>
        <v>810.83999999999992</v>
      </c>
      <c r="I333" s="300">
        <f t="shared" si="83"/>
        <v>0.5763432300070368</v>
      </c>
      <c r="J333" s="107"/>
      <c r="K333" s="105">
        <v>3553.4900000000002</v>
      </c>
      <c r="L333" s="105">
        <v>2983.48</v>
      </c>
      <c r="M333" s="106">
        <f t="shared" si="84"/>
        <v>570.01000000000022</v>
      </c>
      <c r="N333" s="300">
        <f t="shared" si="85"/>
        <v>0.19105541180098415</v>
      </c>
      <c r="O333" s="301"/>
      <c r="P333" s="107"/>
      <c r="Q333" s="105">
        <v>3553.4900000000002</v>
      </c>
      <c r="R333" s="105">
        <v>2983.48</v>
      </c>
      <c r="S333" s="106">
        <f t="shared" si="86"/>
        <v>570.01000000000022</v>
      </c>
      <c r="T333" s="300">
        <f t="shared" si="87"/>
        <v>0.19105541180098415</v>
      </c>
      <c r="U333" s="107"/>
      <c r="V333" s="105">
        <v>9943.65</v>
      </c>
      <c r="W333" s="105">
        <v>17263.14</v>
      </c>
      <c r="X333" s="106">
        <f t="shared" si="88"/>
        <v>-7319.49</v>
      </c>
      <c r="Y333" s="300">
        <f t="shared" si="89"/>
        <v>-0.42399528706828538</v>
      </c>
      <c r="Z333" s="302"/>
      <c r="AA333" s="108">
        <v>46.62</v>
      </c>
      <c r="AB333" s="109"/>
      <c r="AC333" s="110">
        <v>486.57</v>
      </c>
      <c r="AD333" s="110">
        <v>1090.04</v>
      </c>
      <c r="AE333" s="110">
        <v>1406.8700000000001</v>
      </c>
      <c r="AF333" s="110">
        <v>890.85</v>
      </c>
      <c r="AG333" s="110">
        <v>642.05000000000007</v>
      </c>
      <c r="AH333" s="110">
        <v>358.08</v>
      </c>
      <c r="AI333" s="110">
        <v>-277.66000000000003</v>
      </c>
      <c r="AJ333" s="110">
        <v>185.4</v>
      </c>
      <c r="AK333" s="110">
        <v>359.61</v>
      </c>
      <c r="AL333" s="110">
        <v>1342.81</v>
      </c>
      <c r="AM333" s="110">
        <v>2101.84</v>
      </c>
      <c r="AN333" s="110">
        <v>787.18000000000006</v>
      </c>
      <c r="AO333" s="109"/>
      <c r="AP333" s="110">
        <v>416.98</v>
      </c>
      <c r="AQ333" s="110">
        <v>918.80000000000007</v>
      </c>
      <c r="AR333" s="110">
        <v>2217.71</v>
      </c>
      <c r="AS333" s="110">
        <v>0</v>
      </c>
      <c r="AT333" s="110">
        <v>0</v>
      </c>
      <c r="AU333" s="110">
        <v>0</v>
      </c>
      <c r="AV333" s="110">
        <v>0</v>
      </c>
      <c r="AW333" s="110">
        <v>0</v>
      </c>
      <c r="AX333" s="110">
        <v>0</v>
      </c>
      <c r="AY333" s="110">
        <v>0</v>
      </c>
      <c r="AZ333" s="110">
        <v>0</v>
      </c>
      <c r="BA333" s="110">
        <v>0</v>
      </c>
    </row>
    <row r="334" spans="1:53" s="102" customFormat="1" outlineLevel="2">
      <c r="A334" s="102" t="s">
        <v>1725</v>
      </c>
      <c r="B334" s="103" t="s">
        <v>1726</v>
      </c>
      <c r="C334" s="104" t="s">
        <v>1727</v>
      </c>
      <c r="D334" s="298"/>
      <c r="E334" s="299"/>
      <c r="F334" s="105">
        <v>77023.650000000009</v>
      </c>
      <c r="G334" s="105">
        <v>260089.26</v>
      </c>
      <c r="H334" s="106">
        <f t="shared" si="82"/>
        <v>-183065.61</v>
      </c>
      <c r="I334" s="300">
        <f t="shared" si="83"/>
        <v>-0.70385686052549801</v>
      </c>
      <c r="J334" s="107"/>
      <c r="K334" s="105">
        <v>231161.95</v>
      </c>
      <c r="L334" s="105">
        <v>260089.26</v>
      </c>
      <c r="M334" s="106">
        <f t="shared" si="84"/>
        <v>-28927.309999999998</v>
      </c>
      <c r="N334" s="300">
        <f t="shared" si="85"/>
        <v>-0.11122070169294955</v>
      </c>
      <c r="O334" s="301"/>
      <c r="P334" s="107"/>
      <c r="Q334" s="105">
        <v>231161.95</v>
      </c>
      <c r="R334" s="105">
        <v>260089.26</v>
      </c>
      <c r="S334" s="106">
        <f t="shared" si="86"/>
        <v>-28927.309999999998</v>
      </c>
      <c r="T334" s="300">
        <f t="shared" si="87"/>
        <v>-0.11122070169294955</v>
      </c>
      <c r="U334" s="107"/>
      <c r="V334" s="105">
        <v>953393.08000000007</v>
      </c>
      <c r="W334" s="105">
        <v>260089.26</v>
      </c>
      <c r="X334" s="106">
        <f t="shared" si="88"/>
        <v>693303.82000000007</v>
      </c>
      <c r="Y334" s="300">
        <f t="shared" si="89"/>
        <v>2.6656380198090459</v>
      </c>
      <c r="Z334" s="302"/>
      <c r="AA334" s="108">
        <v>0</v>
      </c>
      <c r="AB334" s="109"/>
      <c r="AC334" s="110">
        <v>0</v>
      </c>
      <c r="AD334" s="110">
        <v>0</v>
      </c>
      <c r="AE334" s="110">
        <v>260089.26</v>
      </c>
      <c r="AF334" s="110">
        <v>86696.42</v>
      </c>
      <c r="AG334" s="110">
        <v>86696.42</v>
      </c>
      <c r="AH334" s="110">
        <v>86696.42</v>
      </c>
      <c r="AI334" s="110">
        <v>77023.650000000009</v>
      </c>
      <c r="AJ334" s="110">
        <v>77023.650000000009</v>
      </c>
      <c r="AK334" s="110">
        <v>77023.650000000009</v>
      </c>
      <c r="AL334" s="110">
        <v>77023.650000000009</v>
      </c>
      <c r="AM334" s="110">
        <v>77023.650000000009</v>
      </c>
      <c r="AN334" s="110">
        <v>77023.62</v>
      </c>
      <c r="AO334" s="109"/>
      <c r="AP334" s="110">
        <v>77069.150000000009</v>
      </c>
      <c r="AQ334" s="110">
        <v>77069.150000000009</v>
      </c>
      <c r="AR334" s="110">
        <v>77023.650000000009</v>
      </c>
      <c r="AS334" s="110">
        <v>0</v>
      </c>
      <c r="AT334" s="110">
        <v>0</v>
      </c>
      <c r="AU334" s="110">
        <v>0</v>
      </c>
      <c r="AV334" s="110">
        <v>0</v>
      </c>
      <c r="AW334" s="110">
        <v>0</v>
      </c>
      <c r="AX334" s="110">
        <v>0</v>
      </c>
      <c r="AY334" s="110">
        <v>0</v>
      </c>
      <c r="AZ334" s="110">
        <v>0</v>
      </c>
      <c r="BA334" s="110">
        <v>0</v>
      </c>
    </row>
    <row r="335" spans="1:53" s="102" customFormat="1" outlineLevel="2">
      <c r="A335" s="102" t="s">
        <v>988</v>
      </c>
      <c r="B335" s="103" t="s">
        <v>989</v>
      </c>
      <c r="C335" s="104" t="s">
        <v>990</v>
      </c>
      <c r="D335" s="298"/>
      <c r="E335" s="299"/>
      <c r="F335" s="105">
        <v>5500</v>
      </c>
      <c r="G335" s="105">
        <v>3295.37</v>
      </c>
      <c r="H335" s="106">
        <f t="shared" si="82"/>
        <v>2204.63</v>
      </c>
      <c r="I335" s="300">
        <f t="shared" si="83"/>
        <v>0.66900833593799791</v>
      </c>
      <c r="J335" s="107"/>
      <c r="K335" s="105">
        <v>-23232.02</v>
      </c>
      <c r="L335" s="105">
        <v>38162.71</v>
      </c>
      <c r="M335" s="106">
        <f t="shared" si="84"/>
        <v>-61394.729999999996</v>
      </c>
      <c r="N335" s="300">
        <f t="shared" si="85"/>
        <v>-1.6087623232207566</v>
      </c>
      <c r="O335" s="301"/>
      <c r="P335" s="107"/>
      <c r="Q335" s="105">
        <v>-23232.02</v>
      </c>
      <c r="R335" s="105">
        <v>38162.71</v>
      </c>
      <c r="S335" s="106">
        <f t="shared" si="86"/>
        <v>-61394.729999999996</v>
      </c>
      <c r="T335" s="300">
        <f t="shared" si="87"/>
        <v>-1.6087623232207566</v>
      </c>
      <c r="U335" s="107"/>
      <c r="V335" s="105">
        <v>43526.729999999996</v>
      </c>
      <c r="W335" s="105">
        <v>55007.67</v>
      </c>
      <c r="X335" s="106">
        <f t="shared" si="88"/>
        <v>-11480.940000000002</v>
      </c>
      <c r="Y335" s="300">
        <f t="shared" si="89"/>
        <v>-0.20871525734502119</v>
      </c>
      <c r="Z335" s="302"/>
      <c r="AA335" s="108">
        <v>3189.2400000000002</v>
      </c>
      <c r="AB335" s="109"/>
      <c r="AC335" s="110">
        <v>30967.34</v>
      </c>
      <c r="AD335" s="110">
        <v>3900</v>
      </c>
      <c r="AE335" s="110">
        <v>3295.37</v>
      </c>
      <c r="AF335" s="110">
        <v>1199.99</v>
      </c>
      <c r="AG335" s="110">
        <v>1974.02</v>
      </c>
      <c r="AH335" s="110">
        <v>2027.77</v>
      </c>
      <c r="AI335" s="110">
        <v>1200</v>
      </c>
      <c r="AJ335" s="110">
        <v>2447.73</v>
      </c>
      <c r="AK335" s="110">
        <v>3098.69</v>
      </c>
      <c r="AL335" s="110">
        <v>1250.4000000000001</v>
      </c>
      <c r="AM335" s="110">
        <v>2275.39</v>
      </c>
      <c r="AN335" s="110">
        <v>51284.76</v>
      </c>
      <c r="AO335" s="109"/>
      <c r="AP335" s="110">
        <v>-29932.02</v>
      </c>
      <c r="AQ335" s="110">
        <v>1200</v>
      </c>
      <c r="AR335" s="110">
        <v>5500</v>
      </c>
      <c r="AS335" s="110">
        <v>0</v>
      </c>
      <c r="AT335" s="110">
        <v>0</v>
      </c>
      <c r="AU335" s="110">
        <v>0</v>
      </c>
      <c r="AV335" s="110">
        <v>0</v>
      </c>
      <c r="AW335" s="110">
        <v>0</v>
      </c>
      <c r="AX335" s="110">
        <v>0</v>
      </c>
      <c r="AY335" s="110">
        <v>0</v>
      </c>
      <c r="AZ335" s="110">
        <v>0</v>
      </c>
      <c r="BA335" s="110">
        <v>0</v>
      </c>
    </row>
    <row r="336" spans="1:53" s="102" customFormat="1" outlineLevel="2">
      <c r="A336" s="102" t="s">
        <v>991</v>
      </c>
      <c r="B336" s="103" t="s">
        <v>992</v>
      </c>
      <c r="C336" s="104" t="s">
        <v>993</v>
      </c>
      <c r="D336" s="298"/>
      <c r="E336" s="299"/>
      <c r="F336" s="105">
        <v>0</v>
      </c>
      <c r="G336" s="105">
        <v>0</v>
      </c>
      <c r="H336" s="106">
        <f t="shared" si="82"/>
        <v>0</v>
      </c>
      <c r="I336" s="300">
        <f t="shared" si="83"/>
        <v>0</v>
      </c>
      <c r="J336" s="107"/>
      <c r="K336" s="105">
        <v>2000</v>
      </c>
      <c r="L336" s="105">
        <v>1871.33</v>
      </c>
      <c r="M336" s="106">
        <f t="shared" si="84"/>
        <v>128.67000000000007</v>
      </c>
      <c r="N336" s="300">
        <f t="shared" si="85"/>
        <v>6.8758583467373513E-2</v>
      </c>
      <c r="O336" s="301"/>
      <c r="P336" s="107"/>
      <c r="Q336" s="105">
        <v>2000</v>
      </c>
      <c r="R336" s="105">
        <v>1871.33</v>
      </c>
      <c r="S336" s="106">
        <f t="shared" si="86"/>
        <v>128.67000000000007</v>
      </c>
      <c r="T336" s="300">
        <f t="shared" si="87"/>
        <v>6.8758583467373513E-2</v>
      </c>
      <c r="U336" s="107"/>
      <c r="V336" s="105">
        <v>4487.7800000000007</v>
      </c>
      <c r="W336" s="105">
        <v>3480.98</v>
      </c>
      <c r="X336" s="106">
        <f t="shared" si="88"/>
        <v>1006.8000000000006</v>
      </c>
      <c r="Y336" s="300">
        <f t="shared" si="89"/>
        <v>0.28922889531109075</v>
      </c>
      <c r="Z336" s="302"/>
      <c r="AA336" s="108">
        <v>0</v>
      </c>
      <c r="AB336" s="109"/>
      <c r="AC336" s="110">
        <v>1800</v>
      </c>
      <c r="AD336" s="110">
        <v>71.33</v>
      </c>
      <c r="AE336" s="110">
        <v>0</v>
      </c>
      <c r="AF336" s="110">
        <v>650</v>
      </c>
      <c r="AG336" s="110">
        <v>0</v>
      </c>
      <c r="AH336" s="110">
        <v>24.92</v>
      </c>
      <c r="AI336" s="110">
        <v>4.67</v>
      </c>
      <c r="AJ336" s="110">
        <v>0</v>
      </c>
      <c r="AK336" s="110">
        <v>1500.16</v>
      </c>
      <c r="AL336" s="110">
        <v>58.02</v>
      </c>
      <c r="AM336" s="110">
        <v>0</v>
      </c>
      <c r="AN336" s="110">
        <v>250.01000000000002</v>
      </c>
      <c r="AO336" s="109"/>
      <c r="AP336" s="110">
        <v>2000</v>
      </c>
      <c r="AQ336" s="110">
        <v>0</v>
      </c>
      <c r="AR336" s="110">
        <v>0</v>
      </c>
      <c r="AS336" s="110">
        <v>0</v>
      </c>
      <c r="AT336" s="110">
        <v>0</v>
      </c>
      <c r="AU336" s="110">
        <v>0</v>
      </c>
      <c r="AV336" s="110">
        <v>0</v>
      </c>
      <c r="AW336" s="110">
        <v>0</v>
      </c>
      <c r="AX336" s="110">
        <v>0</v>
      </c>
      <c r="AY336" s="110">
        <v>0</v>
      </c>
      <c r="AZ336" s="110">
        <v>0</v>
      </c>
      <c r="BA336" s="110">
        <v>0</v>
      </c>
    </row>
    <row r="337" spans="1:53" s="102" customFormat="1" outlineLevel="2">
      <c r="A337" s="102" t="s">
        <v>994</v>
      </c>
      <c r="B337" s="103" t="s">
        <v>995</v>
      </c>
      <c r="C337" s="104" t="s">
        <v>996</v>
      </c>
      <c r="D337" s="298"/>
      <c r="E337" s="299"/>
      <c r="F337" s="105">
        <v>0</v>
      </c>
      <c r="G337" s="105">
        <v>0</v>
      </c>
      <c r="H337" s="106">
        <f t="shared" si="82"/>
        <v>0</v>
      </c>
      <c r="I337" s="300">
        <f t="shared" si="83"/>
        <v>0</v>
      </c>
      <c r="J337" s="107"/>
      <c r="K337" s="105">
        <v>0</v>
      </c>
      <c r="L337" s="105">
        <v>0</v>
      </c>
      <c r="M337" s="106">
        <f t="shared" si="84"/>
        <v>0</v>
      </c>
      <c r="N337" s="300">
        <f t="shared" si="85"/>
        <v>0</v>
      </c>
      <c r="O337" s="301"/>
      <c r="P337" s="107"/>
      <c r="Q337" s="105">
        <v>0</v>
      </c>
      <c r="R337" s="105">
        <v>0</v>
      </c>
      <c r="S337" s="106">
        <f t="shared" si="86"/>
        <v>0</v>
      </c>
      <c r="T337" s="300">
        <f t="shared" si="87"/>
        <v>0</v>
      </c>
      <c r="U337" s="107"/>
      <c r="V337" s="105">
        <v>0</v>
      </c>
      <c r="W337" s="105">
        <v>16000</v>
      </c>
      <c r="X337" s="106">
        <f t="shared" si="88"/>
        <v>-16000</v>
      </c>
      <c r="Y337" s="300" t="str">
        <f t="shared" si="89"/>
        <v>N.M.</v>
      </c>
      <c r="Z337" s="302"/>
      <c r="AA337" s="108">
        <v>0</v>
      </c>
      <c r="AB337" s="109"/>
      <c r="AC337" s="110">
        <v>0</v>
      </c>
      <c r="AD337" s="110">
        <v>0</v>
      </c>
      <c r="AE337" s="110">
        <v>0</v>
      </c>
      <c r="AF337" s="110">
        <v>0</v>
      </c>
      <c r="AG337" s="110">
        <v>0</v>
      </c>
      <c r="AH337" s="110">
        <v>0</v>
      </c>
      <c r="AI337" s="110">
        <v>0</v>
      </c>
      <c r="AJ337" s="110">
        <v>0</v>
      </c>
      <c r="AK337" s="110">
        <v>0</v>
      </c>
      <c r="AL337" s="110">
        <v>0</v>
      </c>
      <c r="AM337" s="110">
        <v>0</v>
      </c>
      <c r="AN337" s="110">
        <v>0</v>
      </c>
      <c r="AO337" s="109"/>
      <c r="AP337" s="110">
        <v>0</v>
      </c>
      <c r="AQ337" s="110">
        <v>0</v>
      </c>
      <c r="AR337" s="110">
        <v>0</v>
      </c>
      <c r="AS337" s="110">
        <v>0</v>
      </c>
      <c r="AT337" s="110">
        <v>0</v>
      </c>
      <c r="AU337" s="110">
        <v>0</v>
      </c>
      <c r="AV337" s="110">
        <v>0</v>
      </c>
      <c r="AW337" s="110">
        <v>0</v>
      </c>
      <c r="AX337" s="110">
        <v>0</v>
      </c>
      <c r="AY337" s="110">
        <v>0</v>
      </c>
      <c r="AZ337" s="110">
        <v>0</v>
      </c>
      <c r="BA337" s="110">
        <v>0</v>
      </c>
    </row>
    <row r="338" spans="1:53" s="102" customFormat="1" outlineLevel="2">
      <c r="A338" s="102" t="s">
        <v>997</v>
      </c>
      <c r="B338" s="103" t="s">
        <v>998</v>
      </c>
      <c r="C338" s="104" t="s">
        <v>999</v>
      </c>
      <c r="D338" s="298"/>
      <c r="E338" s="299"/>
      <c r="F338" s="105">
        <v>6000</v>
      </c>
      <c r="G338" s="105">
        <v>3000</v>
      </c>
      <c r="H338" s="106">
        <f t="shared" si="82"/>
        <v>3000</v>
      </c>
      <c r="I338" s="300">
        <f t="shared" si="83"/>
        <v>1</v>
      </c>
      <c r="J338" s="107"/>
      <c r="K338" s="105">
        <v>6000</v>
      </c>
      <c r="L338" s="105">
        <v>6000</v>
      </c>
      <c r="M338" s="106">
        <f t="shared" si="84"/>
        <v>0</v>
      </c>
      <c r="N338" s="300">
        <f t="shared" si="85"/>
        <v>0</v>
      </c>
      <c r="O338" s="301"/>
      <c r="P338" s="107"/>
      <c r="Q338" s="105">
        <v>6000</v>
      </c>
      <c r="R338" s="105">
        <v>6000</v>
      </c>
      <c r="S338" s="106">
        <f t="shared" si="86"/>
        <v>0</v>
      </c>
      <c r="T338" s="300">
        <f t="shared" si="87"/>
        <v>0</v>
      </c>
      <c r="U338" s="107"/>
      <c r="V338" s="105">
        <v>26500.03</v>
      </c>
      <c r="W338" s="105">
        <v>6064.96</v>
      </c>
      <c r="X338" s="106">
        <f t="shared" si="88"/>
        <v>20435.07</v>
      </c>
      <c r="Y338" s="300">
        <f t="shared" si="89"/>
        <v>3.3693659974674195</v>
      </c>
      <c r="Z338" s="302"/>
      <c r="AA338" s="108">
        <v>0</v>
      </c>
      <c r="AB338" s="109"/>
      <c r="AC338" s="110">
        <v>0</v>
      </c>
      <c r="AD338" s="110">
        <v>3000</v>
      </c>
      <c r="AE338" s="110">
        <v>3000</v>
      </c>
      <c r="AF338" s="110">
        <v>3000</v>
      </c>
      <c r="AG338" s="110">
        <v>3000.01</v>
      </c>
      <c r="AH338" s="110">
        <v>0</v>
      </c>
      <c r="AI338" s="110">
        <v>0</v>
      </c>
      <c r="AJ338" s="110">
        <v>0</v>
      </c>
      <c r="AK338" s="110">
        <v>0</v>
      </c>
      <c r="AL338" s="110">
        <v>14500.02</v>
      </c>
      <c r="AM338" s="110">
        <v>0</v>
      </c>
      <c r="AN338" s="110">
        <v>0</v>
      </c>
      <c r="AO338" s="109"/>
      <c r="AP338" s="110">
        <v>0</v>
      </c>
      <c r="AQ338" s="110">
        <v>0</v>
      </c>
      <c r="AR338" s="110">
        <v>6000</v>
      </c>
      <c r="AS338" s="110">
        <v>0</v>
      </c>
      <c r="AT338" s="110">
        <v>0</v>
      </c>
      <c r="AU338" s="110">
        <v>0</v>
      </c>
      <c r="AV338" s="110">
        <v>0</v>
      </c>
      <c r="AW338" s="110">
        <v>0</v>
      </c>
      <c r="AX338" s="110">
        <v>0</v>
      </c>
      <c r="AY338" s="110">
        <v>0</v>
      </c>
      <c r="AZ338" s="110">
        <v>0</v>
      </c>
      <c r="BA338" s="110">
        <v>0</v>
      </c>
    </row>
    <row r="339" spans="1:53" s="102" customFormat="1" outlineLevel="2">
      <c r="A339" s="102" t="s">
        <v>1000</v>
      </c>
      <c r="B339" s="103" t="s">
        <v>1001</v>
      </c>
      <c r="C339" s="104" t="s">
        <v>1002</v>
      </c>
      <c r="D339" s="298"/>
      <c r="E339" s="299"/>
      <c r="F339" s="105">
        <v>0</v>
      </c>
      <c r="G339" s="105">
        <v>42.31</v>
      </c>
      <c r="H339" s="106">
        <f t="shared" si="82"/>
        <v>-42.31</v>
      </c>
      <c r="I339" s="300" t="str">
        <f t="shared" si="83"/>
        <v>N.M.</v>
      </c>
      <c r="J339" s="107"/>
      <c r="K339" s="105">
        <v>60.17</v>
      </c>
      <c r="L339" s="105">
        <v>45.79</v>
      </c>
      <c r="M339" s="106">
        <f t="shared" si="84"/>
        <v>14.380000000000003</v>
      </c>
      <c r="N339" s="300">
        <f t="shared" si="85"/>
        <v>0.31404236732911123</v>
      </c>
      <c r="O339" s="301"/>
      <c r="P339" s="107"/>
      <c r="Q339" s="105">
        <v>60.17</v>
      </c>
      <c r="R339" s="105">
        <v>45.79</v>
      </c>
      <c r="S339" s="106">
        <f t="shared" si="86"/>
        <v>14.380000000000003</v>
      </c>
      <c r="T339" s="300">
        <f t="shared" si="87"/>
        <v>0.31404236732911123</v>
      </c>
      <c r="U339" s="107"/>
      <c r="V339" s="105">
        <v>509</v>
      </c>
      <c r="W339" s="105">
        <v>92.06</v>
      </c>
      <c r="X339" s="106">
        <f t="shared" si="88"/>
        <v>416.94</v>
      </c>
      <c r="Y339" s="300">
        <f t="shared" si="89"/>
        <v>4.5290028242450573</v>
      </c>
      <c r="Z339" s="302"/>
      <c r="AA339" s="108">
        <v>0</v>
      </c>
      <c r="AB339" s="109"/>
      <c r="AC339" s="110">
        <v>0</v>
      </c>
      <c r="AD339" s="110">
        <v>3.48</v>
      </c>
      <c r="AE339" s="110">
        <v>42.31</v>
      </c>
      <c r="AF339" s="110">
        <v>3.84</v>
      </c>
      <c r="AG339" s="110">
        <v>36.56</v>
      </c>
      <c r="AH339" s="110">
        <v>96.4</v>
      </c>
      <c r="AI339" s="110">
        <v>0</v>
      </c>
      <c r="AJ339" s="110">
        <v>0</v>
      </c>
      <c r="AK339" s="110">
        <v>233.44</v>
      </c>
      <c r="AL339" s="110">
        <v>31.28</v>
      </c>
      <c r="AM339" s="110">
        <v>6.45</v>
      </c>
      <c r="AN339" s="110">
        <v>40.86</v>
      </c>
      <c r="AO339" s="109"/>
      <c r="AP339" s="110">
        <v>0</v>
      </c>
      <c r="AQ339" s="110">
        <v>60.17</v>
      </c>
      <c r="AR339" s="110">
        <v>0</v>
      </c>
      <c r="AS339" s="110">
        <v>0</v>
      </c>
      <c r="AT339" s="110">
        <v>0</v>
      </c>
      <c r="AU339" s="110">
        <v>0</v>
      </c>
      <c r="AV339" s="110">
        <v>0</v>
      </c>
      <c r="AW339" s="110">
        <v>0</v>
      </c>
      <c r="AX339" s="110">
        <v>0</v>
      </c>
      <c r="AY339" s="110">
        <v>0</v>
      </c>
      <c r="AZ339" s="110">
        <v>0</v>
      </c>
      <c r="BA339" s="110">
        <v>0</v>
      </c>
    </row>
    <row r="340" spans="1:53" s="102" customFormat="1" outlineLevel="2">
      <c r="A340" s="102" t="s">
        <v>1003</v>
      </c>
      <c r="B340" s="103" t="s">
        <v>1004</v>
      </c>
      <c r="C340" s="104" t="s">
        <v>1005</v>
      </c>
      <c r="D340" s="298"/>
      <c r="E340" s="299"/>
      <c r="F340" s="105">
        <v>0</v>
      </c>
      <c r="G340" s="105">
        <v>302</v>
      </c>
      <c r="H340" s="106">
        <f t="shared" si="82"/>
        <v>-302</v>
      </c>
      <c r="I340" s="300" t="str">
        <f t="shared" si="83"/>
        <v>N.M.</v>
      </c>
      <c r="J340" s="107"/>
      <c r="K340" s="105">
        <v>0.19</v>
      </c>
      <c r="L340" s="105">
        <v>4355.32</v>
      </c>
      <c r="M340" s="106">
        <f t="shared" si="84"/>
        <v>-4355.13</v>
      </c>
      <c r="N340" s="300">
        <f t="shared" si="85"/>
        <v>-0.99995637519171965</v>
      </c>
      <c r="O340" s="301"/>
      <c r="P340" s="107"/>
      <c r="Q340" s="105">
        <v>0.19</v>
      </c>
      <c r="R340" s="105">
        <v>4355.32</v>
      </c>
      <c r="S340" s="106">
        <f t="shared" si="86"/>
        <v>-4355.13</v>
      </c>
      <c r="T340" s="300">
        <f t="shared" si="87"/>
        <v>-0.99995637519171965</v>
      </c>
      <c r="U340" s="107"/>
      <c r="V340" s="105">
        <v>147954.44</v>
      </c>
      <c r="W340" s="105">
        <v>26145.99</v>
      </c>
      <c r="X340" s="106">
        <f t="shared" si="88"/>
        <v>121808.45</v>
      </c>
      <c r="Y340" s="300">
        <f t="shared" si="89"/>
        <v>4.6587813274616865</v>
      </c>
      <c r="Z340" s="302"/>
      <c r="AA340" s="108">
        <v>7407.64</v>
      </c>
      <c r="AB340" s="109"/>
      <c r="AC340" s="110">
        <v>0</v>
      </c>
      <c r="AD340" s="110">
        <v>4053.32</v>
      </c>
      <c r="AE340" s="110">
        <v>302</v>
      </c>
      <c r="AF340" s="110">
        <v>58436.82</v>
      </c>
      <c r="AG340" s="110">
        <v>0</v>
      </c>
      <c r="AH340" s="110">
        <v>6312.97</v>
      </c>
      <c r="AI340" s="110">
        <v>6311.18</v>
      </c>
      <c r="AJ340" s="110">
        <v>0</v>
      </c>
      <c r="AK340" s="110">
        <v>0</v>
      </c>
      <c r="AL340" s="110">
        <v>6339.76</v>
      </c>
      <c r="AM340" s="110">
        <v>0</v>
      </c>
      <c r="AN340" s="110">
        <v>70553.52</v>
      </c>
      <c r="AO340" s="109"/>
      <c r="AP340" s="110">
        <v>0</v>
      </c>
      <c r="AQ340" s="110">
        <v>0.19</v>
      </c>
      <c r="AR340" s="110">
        <v>0</v>
      </c>
      <c r="AS340" s="110">
        <v>0</v>
      </c>
      <c r="AT340" s="110">
        <v>0</v>
      </c>
      <c r="AU340" s="110">
        <v>0</v>
      </c>
      <c r="AV340" s="110">
        <v>0</v>
      </c>
      <c r="AW340" s="110">
        <v>0</v>
      </c>
      <c r="AX340" s="110">
        <v>0</v>
      </c>
      <c r="AY340" s="110">
        <v>0</v>
      </c>
      <c r="AZ340" s="110">
        <v>0</v>
      </c>
      <c r="BA340" s="110">
        <v>0</v>
      </c>
    </row>
    <row r="341" spans="1:53" s="102" customFormat="1" outlineLevel="2">
      <c r="A341" s="102" t="s">
        <v>1006</v>
      </c>
      <c r="B341" s="103" t="s">
        <v>1007</v>
      </c>
      <c r="C341" s="104" t="s">
        <v>1008</v>
      </c>
      <c r="D341" s="298"/>
      <c r="E341" s="299"/>
      <c r="F341" s="105">
        <v>0</v>
      </c>
      <c r="G341" s="105">
        <v>1.58</v>
      </c>
      <c r="H341" s="106">
        <f t="shared" si="82"/>
        <v>-1.58</v>
      </c>
      <c r="I341" s="300" t="str">
        <f t="shared" si="83"/>
        <v>N.M.</v>
      </c>
      <c r="J341" s="107"/>
      <c r="K341" s="105">
        <v>0</v>
      </c>
      <c r="L341" s="105">
        <v>1.58</v>
      </c>
      <c r="M341" s="106">
        <f t="shared" si="84"/>
        <v>-1.58</v>
      </c>
      <c r="N341" s="300" t="str">
        <f t="shared" si="85"/>
        <v>N.M.</v>
      </c>
      <c r="O341" s="301"/>
      <c r="P341" s="107"/>
      <c r="Q341" s="105">
        <v>0</v>
      </c>
      <c r="R341" s="105">
        <v>1.58</v>
      </c>
      <c r="S341" s="106">
        <f t="shared" si="86"/>
        <v>-1.58</v>
      </c>
      <c r="T341" s="300" t="str">
        <f t="shared" si="87"/>
        <v>N.M.</v>
      </c>
      <c r="U341" s="107"/>
      <c r="V341" s="105">
        <v>234.58</v>
      </c>
      <c r="W341" s="105">
        <v>149.50000000000003</v>
      </c>
      <c r="X341" s="106">
        <f t="shared" si="88"/>
        <v>85.079999999999984</v>
      </c>
      <c r="Y341" s="300">
        <f t="shared" si="89"/>
        <v>0.569096989966555</v>
      </c>
      <c r="Z341" s="302"/>
      <c r="AA341" s="108">
        <v>21.14</v>
      </c>
      <c r="AB341" s="109"/>
      <c r="AC341" s="110">
        <v>0</v>
      </c>
      <c r="AD341" s="110">
        <v>0</v>
      </c>
      <c r="AE341" s="110">
        <v>1.58</v>
      </c>
      <c r="AF341" s="110">
        <v>0</v>
      </c>
      <c r="AG341" s="110">
        <v>151.57</v>
      </c>
      <c r="AH341" s="110">
        <v>15.31</v>
      </c>
      <c r="AI341" s="110">
        <v>36.24</v>
      </c>
      <c r="AJ341" s="110">
        <v>0</v>
      </c>
      <c r="AK341" s="110">
        <v>9.7200000000000006</v>
      </c>
      <c r="AL341" s="110">
        <v>21.740000000000002</v>
      </c>
      <c r="AM341" s="110">
        <v>0</v>
      </c>
      <c r="AN341" s="110">
        <v>0</v>
      </c>
      <c r="AO341" s="109"/>
      <c r="AP341" s="110">
        <v>0</v>
      </c>
      <c r="AQ341" s="110">
        <v>0</v>
      </c>
      <c r="AR341" s="110">
        <v>0</v>
      </c>
      <c r="AS341" s="110">
        <v>0</v>
      </c>
      <c r="AT341" s="110">
        <v>0</v>
      </c>
      <c r="AU341" s="110">
        <v>0</v>
      </c>
      <c r="AV341" s="110">
        <v>0</v>
      </c>
      <c r="AW341" s="110">
        <v>0</v>
      </c>
      <c r="AX341" s="110">
        <v>0</v>
      </c>
      <c r="AY341" s="110">
        <v>0</v>
      </c>
      <c r="AZ341" s="110">
        <v>0</v>
      </c>
      <c r="BA341" s="110">
        <v>0</v>
      </c>
    </row>
    <row r="342" spans="1:53" s="102" customFormat="1" outlineLevel="2">
      <c r="A342" s="102" t="s">
        <v>1009</v>
      </c>
      <c r="B342" s="103" t="s">
        <v>1010</v>
      </c>
      <c r="C342" s="104" t="s">
        <v>1011</v>
      </c>
      <c r="D342" s="298"/>
      <c r="E342" s="299"/>
      <c r="F342" s="105">
        <v>370.95</v>
      </c>
      <c r="G342" s="105">
        <v>275.54000000000002</v>
      </c>
      <c r="H342" s="106">
        <f t="shared" si="82"/>
        <v>95.409999999999968</v>
      </c>
      <c r="I342" s="300">
        <f t="shared" si="83"/>
        <v>0.34626551498874925</v>
      </c>
      <c r="J342" s="107"/>
      <c r="K342" s="105">
        <v>2107.31</v>
      </c>
      <c r="L342" s="105">
        <v>540.26</v>
      </c>
      <c r="M342" s="106">
        <f t="shared" si="84"/>
        <v>1567.05</v>
      </c>
      <c r="N342" s="300">
        <f t="shared" si="85"/>
        <v>2.9005478843519787</v>
      </c>
      <c r="O342" s="301"/>
      <c r="P342" s="107"/>
      <c r="Q342" s="105">
        <v>2107.31</v>
      </c>
      <c r="R342" s="105">
        <v>540.26</v>
      </c>
      <c r="S342" s="106">
        <f t="shared" si="86"/>
        <v>1567.05</v>
      </c>
      <c r="T342" s="300">
        <f t="shared" si="87"/>
        <v>2.9005478843519787</v>
      </c>
      <c r="U342" s="107"/>
      <c r="V342" s="105">
        <v>8110.84</v>
      </c>
      <c r="W342" s="105">
        <v>7722.3600000000006</v>
      </c>
      <c r="X342" s="106">
        <f t="shared" si="88"/>
        <v>388.47999999999956</v>
      </c>
      <c r="Y342" s="300">
        <f t="shared" si="89"/>
        <v>5.030586504643652E-2</v>
      </c>
      <c r="Z342" s="302"/>
      <c r="AA342" s="108">
        <v>64.52</v>
      </c>
      <c r="AB342" s="109"/>
      <c r="AC342" s="110">
        <v>32.26</v>
      </c>
      <c r="AD342" s="110">
        <v>232.46</v>
      </c>
      <c r="AE342" s="110">
        <v>275.54000000000002</v>
      </c>
      <c r="AF342" s="110">
        <v>152.15</v>
      </c>
      <c r="AG342" s="110">
        <v>1289.1300000000001</v>
      </c>
      <c r="AH342" s="110">
        <v>1118.97</v>
      </c>
      <c r="AI342" s="110">
        <v>64.52</v>
      </c>
      <c r="AJ342" s="110">
        <v>326.5</v>
      </c>
      <c r="AK342" s="110">
        <v>2334.3200000000002</v>
      </c>
      <c r="AL342" s="110">
        <v>199.71</v>
      </c>
      <c r="AM342" s="110">
        <v>221.41</v>
      </c>
      <c r="AN342" s="110">
        <v>296.82</v>
      </c>
      <c r="AO342" s="109"/>
      <c r="AP342" s="110">
        <v>28.17</v>
      </c>
      <c r="AQ342" s="110">
        <v>1708.19</v>
      </c>
      <c r="AR342" s="110">
        <v>370.95</v>
      </c>
      <c r="AS342" s="110">
        <v>0</v>
      </c>
      <c r="AT342" s="110">
        <v>0</v>
      </c>
      <c r="AU342" s="110">
        <v>0</v>
      </c>
      <c r="AV342" s="110">
        <v>0</v>
      </c>
      <c r="AW342" s="110">
        <v>0</v>
      </c>
      <c r="AX342" s="110">
        <v>0</v>
      </c>
      <c r="AY342" s="110">
        <v>0</v>
      </c>
      <c r="AZ342" s="110">
        <v>0</v>
      </c>
      <c r="BA342" s="110">
        <v>0</v>
      </c>
    </row>
    <row r="343" spans="1:53" s="102" customFormat="1" outlineLevel="2">
      <c r="A343" s="102" t="s">
        <v>1012</v>
      </c>
      <c r="B343" s="103" t="s">
        <v>1013</v>
      </c>
      <c r="C343" s="104" t="s">
        <v>1014</v>
      </c>
      <c r="D343" s="298"/>
      <c r="E343" s="299"/>
      <c r="F343" s="105">
        <v>142358.09</v>
      </c>
      <c r="G343" s="105">
        <v>18173.28</v>
      </c>
      <c r="H343" s="106">
        <f t="shared" si="82"/>
        <v>124184.81</v>
      </c>
      <c r="I343" s="300">
        <f t="shared" si="83"/>
        <v>6.8333735021966318</v>
      </c>
      <c r="J343" s="107"/>
      <c r="K343" s="105">
        <v>128668.86</v>
      </c>
      <c r="L343" s="105">
        <v>86112.88</v>
      </c>
      <c r="M343" s="106">
        <f t="shared" si="84"/>
        <v>42555.979999999996</v>
      </c>
      <c r="N343" s="300">
        <f t="shared" si="85"/>
        <v>0.49418832583464861</v>
      </c>
      <c r="O343" s="301"/>
      <c r="P343" s="107"/>
      <c r="Q343" s="105">
        <v>128668.86</v>
      </c>
      <c r="R343" s="105">
        <v>86112.88</v>
      </c>
      <c r="S343" s="106">
        <f t="shared" si="86"/>
        <v>42555.979999999996</v>
      </c>
      <c r="T343" s="300">
        <f t="shared" si="87"/>
        <v>0.49418832583464861</v>
      </c>
      <c r="U343" s="107"/>
      <c r="V343" s="105">
        <v>368293.97000000003</v>
      </c>
      <c r="W343" s="105">
        <v>258217.44</v>
      </c>
      <c r="X343" s="106">
        <f t="shared" si="88"/>
        <v>110076.53000000003</v>
      </c>
      <c r="Y343" s="300">
        <f t="shared" si="89"/>
        <v>0.42629394048674646</v>
      </c>
      <c r="Z343" s="302"/>
      <c r="AA343" s="108">
        <v>91010.76</v>
      </c>
      <c r="AB343" s="109"/>
      <c r="AC343" s="110">
        <v>56409.090000000004</v>
      </c>
      <c r="AD343" s="110">
        <v>11530.51</v>
      </c>
      <c r="AE343" s="110">
        <v>18173.28</v>
      </c>
      <c r="AF343" s="110">
        <v>8196.8700000000008</v>
      </c>
      <c r="AG343" s="110">
        <v>14950.130000000001</v>
      </c>
      <c r="AH343" s="110">
        <v>21448.46</v>
      </c>
      <c r="AI343" s="110">
        <v>10832.65</v>
      </c>
      <c r="AJ343" s="110">
        <v>14303.62</v>
      </c>
      <c r="AK343" s="110">
        <v>25978.720000000001</v>
      </c>
      <c r="AL343" s="110">
        <v>16628.84</v>
      </c>
      <c r="AM343" s="110">
        <v>9784.4600000000009</v>
      </c>
      <c r="AN343" s="110">
        <v>117501.36</v>
      </c>
      <c r="AO343" s="109"/>
      <c r="AP343" s="110">
        <v>-26454.55</v>
      </c>
      <c r="AQ343" s="110">
        <v>12765.32</v>
      </c>
      <c r="AR343" s="110">
        <v>142358.09</v>
      </c>
      <c r="AS343" s="110">
        <v>0</v>
      </c>
      <c r="AT343" s="110">
        <v>0</v>
      </c>
      <c r="AU343" s="110">
        <v>0</v>
      </c>
      <c r="AV343" s="110">
        <v>0</v>
      </c>
      <c r="AW343" s="110">
        <v>0</v>
      </c>
      <c r="AX343" s="110">
        <v>0</v>
      </c>
      <c r="AY343" s="110">
        <v>0</v>
      </c>
      <c r="AZ343" s="110">
        <v>0</v>
      </c>
      <c r="BA343" s="110">
        <v>0</v>
      </c>
    </row>
    <row r="344" spans="1:53" s="102" customFormat="1" outlineLevel="2">
      <c r="A344" s="102" t="s">
        <v>1015</v>
      </c>
      <c r="B344" s="103" t="s">
        <v>1016</v>
      </c>
      <c r="C344" s="104" t="s">
        <v>1017</v>
      </c>
      <c r="D344" s="298"/>
      <c r="E344" s="299"/>
      <c r="F344" s="105">
        <v>6747.2300000000005</v>
      </c>
      <c r="G344" s="105">
        <v>9897.02</v>
      </c>
      <c r="H344" s="106">
        <f t="shared" si="82"/>
        <v>-3149.79</v>
      </c>
      <c r="I344" s="300">
        <f t="shared" si="83"/>
        <v>-0.31825640445305758</v>
      </c>
      <c r="J344" s="107"/>
      <c r="K344" s="105">
        <v>17158.428</v>
      </c>
      <c r="L344" s="105">
        <v>22565.846000000001</v>
      </c>
      <c r="M344" s="106">
        <f t="shared" si="84"/>
        <v>-5407.4180000000015</v>
      </c>
      <c r="N344" s="300">
        <f t="shared" si="85"/>
        <v>-0.23962841898327239</v>
      </c>
      <c r="O344" s="301"/>
      <c r="P344" s="107"/>
      <c r="Q344" s="105">
        <v>17158.428</v>
      </c>
      <c r="R344" s="105">
        <v>22565.846000000001</v>
      </c>
      <c r="S344" s="106">
        <f t="shared" si="86"/>
        <v>-5407.4180000000015</v>
      </c>
      <c r="T344" s="300">
        <f t="shared" si="87"/>
        <v>-0.23962841898327239</v>
      </c>
      <c r="U344" s="107"/>
      <c r="V344" s="105">
        <v>77318.877000000008</v>
      </c>
      <c r="W344" s="105">
        <v>75631.986000000004</v>
      </c>
      <c r="X344" s="106">
        <f t="shared" si="88"/>
        <v>1686.8910000000033</v>
      </c>
      <c r="Y344" s="300">
        <f t="shared" si="89"/>
        <v>2.2303936326622486E-2</v>
      </c>
      <c r="Z344" s="302"/>
      <c r="AA344" s="108">
        <v>9226.598</v>
      </c>
      <c r="AB344" s="109"/>
      <c r="AC344" s="110">
        <v>11435.62</v>
      </c>
      <c r="AD344" s="110">
        <v>1233.2060000000001</v>
      </c>
      <c r="AE344" s="110">
        <v>9897.02</v>
      </c>
      <c r="AF344" s="110">
        <v>511.67600000000004</v>
      </c>
      <c r="AG344" s="110">
        <v>4400.67</v>
      </c>
      <c r="AH344" s="110">
        <v>5725.0480000000007</v>
      </c>
      <c r="AI344" s="110">
        <v>4250.4880000000003</v>
      </c>
      <c r="AJ344" s="110">
        <v>15850.727999999999</v>
      </c>
      <c r="AK344" s="110">
        <v>-987.23200000000008</v>
      </c>
      <c r="AL344" s="110">
        <v>15639.325000000001</v>
      </c>
      <c r="AM344" s="110">
        <v>1377.1780000000001</v>
      </c>
      <c r="AN344" s="110">
        <v>13392.567999999999</v>
      </c>
      <c r="AO344" s="109"/>
      <c r="AP344" s="110">
        <v>8704.5580000000009</v>
      </c>
      <c r="AQ344" s="110">
        <v>1706.64</v>
      </c>
      <c r="AR344" s="110">
        <v>6747.2300000000005</v>
      </c>
      <c r="AS344" s="110">
        <v>0</v>
      </c>
      <c r="AT344" s="110">
        <v>0</v>
      </c>
      <c r="AU344" s="110">
        <v>0</v>
      </c>
      <c r="AV344" s="110">
        <v>0</v>
      </c>
      <c r="AW344" s="110">
        <v>0</v>
      </c>
      <c r="AX344" s="110">
        <v>0</v>
      </c>
      <c r="AY344" s="110">
        <v>0</v>
      </c>
      <c r="AZ344" s="110">
        <v>0</v>
      </c>
      <c r="BA344" s="110">
        <v>0</v>
      </c>
    </row>
    <row r="345" spans="1:53" s="102" customFormat="1" outlineLevel="2">
      <c r="A345" s="102" t="s">
        <v>1018</v>
      </c>
      <c r="B345" s="103" t="s">
        <v>1019</v>
      </c>
      <c r="C345" s="104" t="s">
        <v>1020</v>
      </c>
      <c r="D345" s="298"/>
      <c r="E345" s="299"/>
      <c r="F345" s="105">
        <v>345.37</v>
      </c>
      <c r="G345" s="105">
        <v>54.78</v>
      </c>
      <c r="H345" s="106">
        <f t="shared" si="82"/>
        <v>290.59000000000003</v>
      </c>
      <c r="I345" s="300">
        <f t="shared" si="83"/>
        <v>5.3046732384081787</v>
      </c>
      <c r="J345" s="107"/>
      <c r="K345" s="105">
        <v>460.11</v>
      </c>
      <c r="L345" s="105">
        <v>89.79</v>
      </c>
      <c r="M345" s="106">
        <f t="shared" si="84"/>
        <v>370.32</v>
      </c>
      <c r="N345" s="300">
        <f t="shared" si="85"/>
        <v>4.1242900100233877</v>
      </c>
      <c r="O345" s="301"/>
      <c r="P345" s="107"/>
      <c r="Q345" s="105">
        <v>460.11</v>
      </c>
      <c r="R345" s="105">
        <v>89.79</v>
      </c>
      <c r="S345" s="106">
        <f t="shared" si="86"/>
        <v>370.32</v>
      </c>
      <c r="T345" s="300">
        <f t="shared" si="87"/>
        <v>4.1242900100233877</v>
      </c>
      <c r="U345" s="107"/>
      <c r="V345" s="105">
        <v>785.96</v>
      </c>
      <c r="W345" s="105">
        <v>274.86</v>
      </c>
      <c r="X345" s="106">
        <f t="shared" si="88"/>
        <v>511.1</v>
      </c>
      <c r="Y345" s="300">
        <f t="shared" si="89"/>
        <v>1.8594921050716728</v>
      </c>
      <c r="Z345" s="302"/>
      <c r="AA345" s="108">
        <v>0</v>
      </c>
      <c r="AB345" s="109"/>
      <c r="AC345" s="110">
        <v>0</v>
      </c>
      <c r="AD345" s="110">
        <v>35.01</v>
      </c>
      <c r="AE345" s="110">
        <v>54.78</v>
      </c>
      <c r="AF345" s="110">
        <v>-12.5</v>
      </c>
      <c r="AG345" s="110">
        <v>0</v>
      </c>
      <c r="AH345" s="110">
        <v>20.309999999999999</v>
      </c>
      <c r="AI345" s="110">
        <v>-6.55</v>
      </c>
      <c r="AJ345" s="110">
        <v>0</v>
      </c>
      <c r="AK345" s="110">
        <v>71.88</v>
      </c>
      <c r="AL345" s="110">
        <v>83.51</v>
      </c>
      <c r="AM345" s="110">
        <v>39.97</v>
      </c>
      <c r="AN345" s="110">
        <v>129.22999999999999</v>
      </c>
      <c r="AO345" s="109"/>
      <c r="AP345" s="110">
        <v>38.86</v>
      </c>
      <c r="AQ345" s="110">
        <v>75.88</v>
      </c>
      <c r="AR345" s="110">
        <v>345.37</v>
      </c>
      <c r="AS345" s="110">
        <v>0</v>
      </c>
      <c r="AT345" s="110">
        <v>0</v>
      </c>
      <c r="AU345" s="110">
        <v>0</v>
      </c>
      <c r="AV345" s="110">
        <v>0</v>
      </c>
      <c r="AW345" s="110">
        <v>0</v>
      </c>
      <c r="AX345" s="110">
        <v>0</v>
      </c>
      <c r="AY345" s="110">
        <v>0</v>
      </c>
      <c r="AZ345" s="110">
        <v>0</v>
      </c>
      <c r="BA345" s="110">
        <v>0</v>
      </c>
    </row>
    <row r="346" spans="1:53" s="102" customFormat="1" outlineLevel="2">
      <c r="A346" s="102" t="s">
        <v>1021</v>
      </c>
      <c r="B346" s="103" t="s">
        <v>1022</v>
      </c>
      <c r="C346" s="104" t="s">
        <v>1023</v>
      </c>
      <c r="D346" s="298"/>
      <c r="E346" s="299"/>
      <c r="F346" s="105">
        <v>2862</v>
      </c>
      <c r="G346" s="105">
        <v>65605.03</v>
      </c>
      <c r="H346" s="106">
        <f t="shared" si="82"/>
        <v>-62743.03</v>
      </c>
      <c r="I346" s="300">
        <f t="shared" si="83"/>
        <v>-0.9563752962234755</v>
      </c>
      <c r="J346" s="107"/>
      <c r="K346" s="105">
        <v>-84542</v>
      </c>
      <c r="L346" s="105">
        <v>170600.98</v>
      </c>
      <c r="M346" s="106">
        <f t="shared" si="84"/>
        <v>-255142.98</v>
      </c>
      <c r="N346" s="300">
        <f t="shared" si="85"/>
        <v>-1.4955540114716808</v>
      </c>
      <c r="O346" s="301"/>
      <c r="P346" s="107"/>
      <c r="Q346" s="105">
        <v>-84542</v>
      </c>
      <c r="R346" s="105">
        <v>170600.98</v>
      </c>
      <c r="S346" s="106">
        <f t="shared" si="86"/>
        <v>-255142.98</v>
      </c>
      <c r="T346" s="300">
        <f t="shared" si="87"/>
        <v>-1.4955540114716808</v>
      </c>
      <c r="U346" s="107"/>
      <c r="V346" s="105">
        <v>14449.970000000001</v>
      </c>
      <c r="W346" s="105">
        <v>249424.13</v>
      </c>
      <c r="X346" s="106">
        <f t="shared" si="88"/>
        <v>-234974.16</v>
      </c>
      <c r="Y346" s="300">
        <f t="shared" si="89"/>
        <v>-0.94206667173701275</v>
      </c>
      <c r="Z346" s="302"/>
      <c r="AA346" s="108">
        <v>28004.79</v>
      </c>
      <c r="AB346" s="109"/>
      <c r="AC346" s="110">
        <v>90824.25</v>
      </c>
      <c r="AD346" s="110">
        <v>14171.7</v>
      </c>
      <c r="AE346" s="110">
        <v>65605.03</v>
      </c>
      <c r="AF346" s="110">
        <v>43337.090000000004</v>
      </c>
      <c r="AG346" s="110">
        <v>2306.7000000000003</v>
      </c>
      <c r="AH346" s="110">
        <v>12683.67</v>
      </c>
      <c r="AI346" s="110">
        <v>27823.87</v>
      </c>
      <c r="AJ346" s="110">
        <v>183.76</v>
      </c>
      <c r="AK346" s="110">
        <v>0</v>
      </c>
      <c r="AL346" s="110">
        <v>4665.2300000000005</v>
      </c>
      <c r="AM346" s="110">
        <v>0</v>
      </c>
      <c r="AN346" s="110">
        <v>7991.6500000000005</v>
      </c>
      <c r="AO346" s="109"/>
      <c r="AP346" s="110">
        <v>-87845</v>
      </c>
      <c r="AQ346" s="110">
        <v>441</v>
      </c>
      <c r="AR346" s="110">
        <v>2862</v>
      </c>
      <c r="AS346" s="110">
        <v>0</v>
      </c>
      <c r="AT346" s="110">
        <v>0</v>
      </c>
      <c r="AU346" s="110">
        <v>0</v>
      </c>
      <c r="AV346" s="110">
        <v>0</v>
      </c>
      <c r="AW346" s="110">
        <v>0</v>
      </c>
      <c r="AX346" s="110">
        <v>0</v>
      </c>
      <c r="AY346" s="110">
        <v>0</v>
      </c>
      <c r="AZ346" s="110">
        <v>0</v>
      </c>
      <c r="BA346" s="110">
        <v>0</v>
      </c>
    </row>
    <row r="347" spans="1:53" s="102" customFormat="1" outlineLevel="2">
      <c r="A347" s="102" t="s">
        <v>1024</v>
      </c>
      <c r="B347" s="103" t="s">
        <v>1025</v>
      </c>
      <c r="C347" s="104" t="s">
        <v>1026</v>
      </c>
      <c r="D347" s="298"/>
      <c r="E347" s="299"/>
      <c r="F347" s="105">
        <v>21740.55</v>
      </c>
      <c r="G347" s="105">
        <v>15111.48</v>
      </c>
      <c r="H347" s="106">
        <f t="shared" si="82"/>
        <v>6629.07</v>
      </c>
      <c r="I347" s="300">
        <f t="shared" si="83"/>
        <v>0.43867774698441186</v>
      </c>
      <c r="J347" s="107"/>
      <c r="K347" s="105">
        <v>49598.89</v>
      </c>
      <c r="L347" s="105">
        <v>71343.75</v>
      </c>
      <c r="M347" s="106">
        <f t="shared" si="84"/>
        <v>-21744.86</v>
      </c>
      <c r="N347" s="300">
        <f t="shared" si="85"/>
        <v>-0.30478997809899255</v>
      </c>
      <c r="O347" s="301"/>
      <c r="P347" s="107"/>
      <c r="Q347" s="105">
        <v>49598.89</v>
      </c>
      <c r="R347" s="105">
        <v>71343.75</v>
      </c>
      <c r="S347" s="106">
        <f t="shared" si="86"/>
        <v>-21744.86</v>
      </c>
      <c r="T347" s="300">
        <f t="shared" si="87"/>
        <v>-0.30478997809899255</v>
      </c>
      <c r="U347" s="107"/>
      <c r="V347" s="105">
        <v>724195.4</v>
      </c>
      <c r="W347" s="105">
        <v>411084.89799999999</v>
      </c>
      <c r="X347" s="106">
        <f t="shared" si="88"/>
        <v>313110.50200000004</v>
      </c>
      <c r="Y347" s="300">
        <f t="shared" si="89"/>
        <v>0.76166870523178409</v>
      </c>
      <c r="Z347" s="302"/>
      <c r="AA347" s="108">
        <v>17568.09</v>
      </c>
      <c r="AB347" s="109"/>
      <c r="AC347" s="110">
        <v>10909.73</v>
      </c>
      <c r="AD347" s="110">
        <v>45322.54</v>
      </c>
      <c r="AE347" s="110">
        <v>15111.48</v>
      </c>
      <c r="AF347" s="110">
        <v>23728.41</v>
      </c>
      <c r="AG347" s="110">
        <v>13740.64</v>
      </c>
      <c r="AH347" s="110">
        <v>154884.87</v>
      </c>
      <c r="AI347" s="110">
        <v>13743.53</v>
      </c>
      <c r="AJ347" s="110">
        <v>26010.23</v>
      </c>
      <c r="AK347" s="110">
        <v>112739.31</v>
      </c>
      <c r="AL347" s="110">
        <v>178208.2</v>
      </c>
      <c r="AM347" s="110">
        <v>15168.03</v>
      </c>
      <c r="AN347" s="110">
        <v>136373.29</v>
      </c>
      <c r="AO347" s="109"/>
      <c r="AP347" s="110">
        <v>10816.95</v>
      </c>
      <c r="AQ347" s="110">
        <v>17041.39</v>
      </c>
      <c r="AR347" s="110">
        <v>21740.55</v>
      </c>
      <c r="AS347" s="110">
        <v>-1459.7</v>
      </c>
      <c r="AT347" s="110">
        <v>0</v>
      </c>
      <c r="AU347" s="110">
        <v>0</v>
      </c>
      <c r="AV347" s="110">
        <v>0</v>
      </c>
      <c r="AW347" s="110">
        <v>0</v>
      </c>
      <c r="AX347" s="110">
        <v>0</v>
      </c>
      <c r="AY347" s="110">
        <v>0</v>
      </c>
      <c r="AZ347" s="110">
        <v>0</v>
      </c>
      <c r="BA347" s="110">
        <v>0</v>
      </c>
    </row>
    <row r="348" spans="1:53" s="102" customFormat="1" outlineLevel="2">
      <c r="A348" s="102" t="s">
        <v>1027</v>
      </c>
      <c r="B348" s="103" t="s">
        <v>1028</v>
      </c>
      <c r="C348" s="104" t="s">
        <v>1029</v>
      </c>
      <c r="D348" s="298"/>
      <c r="E348" s="299"/>
      <c r="F348" s="105">
        <v>700</v>
      </c>
      <c r="G348" s="105">
        <v>700</v>
      </c>
      <c r="H348" s="106">
        <f t="shared" si="82"/>
        <v>0</v>
      </c>
      <c r="I348" s="300">
        <f t="shared" si="83"/>
        <v>0</v>
      </c>
      <c r="J348" s="107"/>
      <c r="K348" s="105">
        <v>2100</v>
      </c>
      <c r="L348" s="105">
        <v>2100</v>
      </c>
      <c r="M348" s="106">
        <f t="shared" si="84"/>
        <v>0</v>
      </c>
      <c r="N348" s="300">
        <f t="shared" si="85"/>
        <v>0</v>
      </c>
      <c r="O348" s="301"/>
      <c r="P348" s="107"/>
      <c r="Q348" s="105">
        <v>2100</v>
      </c>
      <c r="R348" s="105">
        <v>2100</v>
      </c>
      <c r="S348" s="106">
        <f t="shared" si="86"/>
        <v>0</v>
      </c>
      <c r="T348" s="300">
        <f t="shared" si="87"/>
        <v>0</v>
      </c>
      <c r="U348" s="107"/>
      <c r="V348" s="105">
        <v>15929.52</v>
      </c>
      <c r="W348" s="105">
        <v>20446.12</v>
      </c>
      <c r="X348" s="106">
        <f t="shared" si="88"/>
        <v>-4516.5999999999985</v>
      </c>
      <c r="Y348" s="300">
        <f t="shared" si="89"/>
        <v>-0.22090254776945448</v>
      </c>
      <c r="Z348" s="302"/>
      <c r="AA348" s="108">
        <v>8083.3200000000006</v>
      </c>
      <c r="AB348" s="109"/>
      <c r="AC348" s="110">
        <v>700</v>
      </c>
      <c r="AD348" s="110">
        <v>700</v>
      </c>
      <c r="AE348" s="110">
        <v>700</v>
      </c>
      <c r="AF348" s="110">
        <v>700</v>
      </c>
      <c r="AG348" s="110">
        <v>700</v>
      </c>
      <c r="AH348" s="110">
        <v>0</v>
      </c>
      <c r="AI348" s="110">
        <v>1400</v>
      </c>
      <c r="AJ348" s="110">
        <v>700</v>
      </c>
      <c r="AK348" s="110">
        <v>0</v>
      </c>
      <c r="AL348" s="110">
        <v>0</v>
      </c>
      <c r="AM348" s="110">
        <v>9629.52</v>
      </c>
      <c r="AN348" s="110">
        <v>700</v>
      </c>
      <c r="AO348" s="109"/>
      <c r="AP348" s="110">
        <v>700</v>
      </c>
      <c r="AQ348" s="110">
        <v>700</v>
      </c>
      <c r="AR348" s="110">
        <v>700</v>
      </c>
      <c r="AS348" s="110">
        <v>0</v>
      </c>
      <c r="AT348" s="110">
        <v>0</v>
      </c>
      <c r="AU348" s="110">
        <v>0</v>
      </c>
      <c r="AV348" s="110">
        <v>0</v>
      </c>
      <c r="AW348" s="110">
        <v>0</v>
      </c>
      <c r="AX348" s="110">
        <v>0</v>
      </c>
      <c r="AY348" s="110">
        <v>0</v>
      </c>
      <c r="AZ348" s="110">
        <v>0</v>
      </c>
      <c r="BA348" s="110">
        <v>0</v>
      </c>
    </row>
    <row r="349" spans="1:53" s="102" customFormat="1" outlineLevel="2">
      <c r="A349" s="102" t="s">
        <v>1030</v>
      </c>
      <c r="B349" s="103" t="s">
        <v>1031</v>
      </c>
      <c r="C349" s="104" t="s">
        <v>1032</v>
      </c>
      <c r="D349" s="298"/>
      <c r="E349" s="299"/>
      <c r="F349" s="105">
        <v>1233.83</v>
      </c>
      <c r="G349" s="105">
        <v>11191.2</v>
      </c>
      <c r="H349" s="106">
        <f t="shared" si="82"/>
        <v>-9957.3700000000008</v>
      </c>
      <c r="I349" s="300">
        <f t="shared" si="83"/>
        <v>-0.88974998212881551</v>
      </c>
      <c r="J349" s="107"/>
      <c r="K349" s="105">
        <v>3568.4900000000002</v>
      </c>
      <c r="L349" s="105">
        <v>33858.120000000003</v>
      </c>
      <c r="M349" s="106">
        <f t="shared" si="84"/>
        <v>-30289.63</v>
      </c>
      <c r="N349" s="300">
        <f t="shared" si="85"/>
        <v>-0.89460460297263988</v>
      </c>
      <c r="O349" s="301"/>
      <c r="P349" s="107"/>
      <c r="Q349" s="105">
        <v>3568.4900000000002</v>
      </c>
      <c r="R349" s="105">
        <v>33858.120000000003</v>
      </c>
      <c r="S349" s="106">
        <f t="shared" si="86"/>
        <v>-30289.63</v>
      </c>
      <c r="T349" s="300">
        <f t="shared" si="87"/>
        <v>-0.89460460297263988</v>
      </c>
      <c r="U349" s="107"/>
      <c r="V349" s="105">
        <v>164993.15</v>
      </c>
      <c r="W349" s="105">
        <v>135689.22</v>
      </c>
      <c r="X349" s="106">
        <f t="shared" si="88"/>
        <v>29303.929999999993</v>
      </c>
      <c r="Y349" s="300">
        <f t="shared" si="89"/>
        <v>0.21596358207380065</v>
      </c>
      <c r="Z349" s="302"/>
      <c r="AA349" s="108">
        <v>11728.130000000001</v>
      </c>
      <c r="AB349" s="109"/>
      <c r="AC349" s="110">
        <v>11539.27</v>
      </c>
      <c r="AD349" s="110">
        <v>11127.65</v>
      </c>
      <c r="AE349" s="110">
        <v>11191.2</v>
      </c>
      <c r="AF349" s="110">
        <v>10838.06</v>
      </c>
      <c r="AG349" s="110">
        <v>10733.54</v>
      </c>
      <c r="AH349" s="110">
        <v>14226.18</v>
      </c>
      <c r="AI349" s="110">
        <v>4019.11</v>
      </c>
      <c r="AJ349" s="110">
        <v>6035.9800000000005</v>
      </c>
      <c r="AK349" s="110">
        <v>112031.94</v>
      </c>
      <c r="AL349" s="110">
        <v>1184.67</v>
      </c>
      <c r="AM349" s="110">
        <v>1184.69</v>
      </c>
      <c r="AN349" s="110">
        <v>1170.49</v>
      </c>
      <c r="AO349" s="109"/>
      <c r="AP349" s="110">
        <v>1170.19</v>
      </c>
      <c r="AQ349" s="110">
        <v>1164.47</v>
      </c>
      <c r="AR349" s="110">
        <v>1233.83</v>
      </c>
      <c r="AS349" s="110">
        <v>0</v>
      </c>
      <c r="AT349" s="110">
        <v>0</v>
      </c>
      <c r="AU349" s="110">
        <v>0</v>
      </c>
      <c r="AV349" s="110">
        <v>0</v>
      </c>
      <c r="AW349" s="110">
        <v>0</v>
      </c>
      <c r="AX349" s="110">
        <v>0</v>
      </c>
      <c r="AY349" s="110">
        <v>0</v>
      </c>
      <c r="AZ349" s="110">
        <v>0</v>
      </c>
      <c r="BA349" s="110">
        <v>0</v>
      </c>
    </row>
    <row r="350" spans="1:53" s="102" customFormat="1" outlineLevel="2">
      <c r="A350" s="102" t="s">
        <v>1033</v>
      </c>
      <c r="B350" s="103" t="s">
        <v>1034</v>
      </c>
      <c r="C350" s="104" t="s">
        <v>1035</v>
      </c>
      <c r="D350" s="298"/>
      <c r="E350" s="299"/>
      <c r="F350" s="105">
        <v>0</v>
      </c>
      <c r="G350" s="105">
        <v>6792.18</v>
      </c>
      <c r="H350" s="106">
        <f t="shared" si="82"/>
        <v>-6792.18</v>
      </c>
      <c r="I350" s="300" t="str">
        <f t="shared" si="83"/>
        <v>N.M.</v>
      </c>
      <c r="J350" s="107"/>
      <c r="K350" s="105">
        <v>0</v>
      </c>
      <c r="L350" s="105">
        <v>21183.14</v>
      </c>
      <c r="M350" s="106">
        <f t="shared" si="84"/>
        <v>-21183.14</v>
      </c>
      <c r="N350" s="300" t="str">
        <f t="shared" si="85"/>
        <v>N.M.</v>
      </c>
      <c r="O350" s="301"/>
      <c r="P350" s="107"/>
      <c r="Q350" s="105">
        <v>0</v>
      </c>
      <c r="R350" s="105">
        <v>21183.14</v>
      </c>
      <c r="S350" s="106">
        <f t="shared" si="86"/>
        <v>-21183.14</v>
      </c>
      <c r="T350" s="300" t="str">
        <f t="shared" si="87"/>
        <v>N.M.</v>
      </c>
      <c r="U350" s="107"/>
      <c r="V350" s="105">
        <v>10677.14</v>
      </c>
      <c r="W350" s="105">
        <v>79088.05</v>
      </c>
      <c r="X350" s="106">
        <f t="shared" si="88"/>
        <v>-68410.91</v>
      </c>
      <c r="Y350" s="300">
        <f t="shared" si="89"/>
        <v>-0.86499679787275074</v>
      </c>
      <c r="Z350" s="302"/>
      <c r="AA350" s="108">
        <v>6407.9400000000005</v>
      </c>
      <c r="AB350" s="109"/>
      <c r="AC350" s="110">
        <v>8498.7999999999993</v>
      </c>
      <c r="AD350" s="110">
        <v>5892.16</v>
      </c>
      <c r="AE350" s="110">
        <v>6792.18</v>
      </c>
      <c r="AF350" s="110">
        <v>7141.82</v>
      </c>
      <c r="AG350" s="110">
        <v>6787.6100000000006</v>
      </c>
      <c r="AH350" s="110">
        <v>-3252.29</v>
      </c>
      <c r="AI350" s="110">
        <v>0</v>
      </c>
      <c r="AJ350" s="110">
        <v>0</v>
      </c>
      <c r="AK350" s="110">
        <v>0</v>
      </c>
      <c r="AL350" s="110">
        <v>0</v>
      </c>
      <c r="AM350" s="110">
        <v>0</v>
      </c>
      <c r="AN350" s="110">
        <v>0</v>
      </c>
      <c r="AO350" s="109"/>
      <c r="AP350" s="110">
        <v>0</v>
      </c>
      <c r="AQ350" s="110">
        <v>0</v>
      </c>
      <c r="AR350" s="110">
        <v>0</v>
      </c>
      <c r="AS350" s="110">
        <v>0</v>
      </c>
      <c r="AT350" s="110">
        <v>0</v>
      </c>
      <c r="AU350" s="110">
        <v>0</v>
      </c>
      <c r="AV350" s="110">
        <v>0</v>
      </c>
      <c r="AW350" s="110">
        <v>0</v>
      </c>
      <c r="AX350" s="110">
        <v>0</v>
      </c>
      <c r="AY350" s="110">
        <v>0</v>
      </c>
      <c r="AZ350" s="110">
        <v>0</v>
      </c>
      <c r="BA350" s="110">
        <v>0</v>
      </c>
    </row>
    <row r="351" spans="1:53" outlineLevel="1">
      <c r="A351" s="111" t="s">
        <v>1036</v>
      </c>
      <c r="B351" s="331"/>
      <c r="C351" s="332" t="s">
        <v>1037</v>
      </c>
      <c r="D351" s="342"/>
      <c r="E351" s="342"/>
      <c r="F351" s="333">
        <v>1339060.4700000004</v>
      </c>
      <c r="G351" s="333">
        <v>1377970.0100000009</v>
      </c>
      <c r="H351" s="133">
        <f t="shared" si="82"/>
        <v>-38909.540000000503</v>
      </c>
      <c r="I351" s="138">
        <f t="shared" si="83"/>
        <v>-2.8236855459575987E-2</v>
      </c>
      <c r="J351" s="157"/>
      <c r="K351" s="333">
        <v>3761594.6479999986</v>
      </c>
      <c r="L351" s="333">
        <v>4915313.046000002</v>
      </c>
      <c r="M351" s="133">
        <f t="shared" si="84"/>
        <v>-1153718.3980000033</v>
      </c>
      <c r="N351" s="137">
        <f t="shared" si="85"/>
        <v>-0.23471921059816928</v>
      </c>
      <c r="O351" s="344"/>
      <c r="P351" s="344"/>
      <c r="Q351" s="333">
        <v>3761594.6479999986</v>
      </c>
      <c r="R351" s="333">
        <v>4915313.046000002</v>
      </c>
      <c r="S351" s="133">
        <f t="shared" si="86"/>
        <v>-1153718.3980000033</v>
      </c>
      <c r="T351" s="138">
        <f t="shared" si="87"/>
        <v>-0.23471921059816928</v>
      </c>
      <c r="U351" s="344"/>
      <c r="V351" s="333">
        <v>15274406.187000003</v>
      </c>
      <c r="W351" s="333">
        <v>19125696.35400001</v>
      </c>
      <c r="X351" s="133">
        <f t="shared" si="88"/>
        <v>-3851290.1670000069</v>
      </c>
      <c r="Y351" s="137">
        <f t="shared" si="89"/>
        <v>-0.20136731733663313</v>
      </c>
      <c r="Z351" s="111"/>
      <c r="AA351" s="139">
        <v>2521074.1200000006</v>
      </c>
      <c r="AB351" s="346"/>
      <c r="AC351" s="333">
        <v>1840819.7900000007</v>
      </c>
      <c r="AD351" s="333">
        <v>1696523.246000001</v>
      </c>
      <c r="AE351" s="333">
        <v>1377970.0100000009</v>
      </c>
      <c r="AF351" s="333">
        <v>1195990.9560000007</v>
      </c>
      <c r="AG351" s="333">
        <v>-266783.21999999997</v>
      </c>
      <c r="AH351" s="333">
        <v>1763655.727999999</v>
      </c>
      <c r="AI351" s="333">
        <v>1608351.2880000002</v>
      </c>
      <c r="AJ351" s="333">
        <v>2490134.568</v>
      </c>
      <c r="AK351" s="333">
        <v>-116436.88200000016</v>
      </c>
      <c r="AL351" s="333">
        <v>2861196.5750000007</v>
      </c>
      <c r="AM351" s="333">
        <v>-26917.291999999768</v>
      </c>
      <c r="AN351" s="333">
        <v>2003619.818</v>
      </c>
      <c r="AO351" s="346"/>
      <c r="AP351" s="333">
        <v>762778.94799999974</v>
      </c>
      <c r="AQ351" s="333">
        <v>1659755.2299999988</v>
      </c>
      <c r="AR351" s="333">
        <v>1339060.4700000004</v>
      </c>
      <c r="AS351" s="333">
        <v>474421.67000000004</v>
      </c>
      <c r="AT351" s="333">
        <v>0</v>
      </c>
      <c r="AU351" s="333">
        <v>0</v>
      </c>
      <c r="AV351" s="333">
        <v>0</v>
      </c>
      <c r="AW351" s="333">
        <v>0</v>
      </c>
      <c r="AX351" s="333">
        <v>0</v>
      </c>
      <c r="AY351" s="333">
        <v>0</v>
      </c>
      <c r="AZ351" s="333">
        <v>0</v>
      </c>
      <c r="BA351" s="333">
        <v>0</v>
      </c>
    </row>
    <row r="352" spans="1:53" s="131" customFormat="1">
      <c r="A352" s="111"/>
      <c r="B352" s="331" t="s">
        <v>1038</v>
      </c>
      <c r="C352" s="347" t="s">
        <v>1039</v>
      </c>
      <c r="D352" s="352"/>
      <c r="E352" s="352"/>
      <c r="F352" s="333">
        <f>-(-F351-F262-F249-F231-F229-F216-F212-F177-F175-F141-F136-F134-F132-F111)</f>
        <v>22098513.279999997</v>
      </c>
      <c r="G352" s="333">
        <f>-(-G351-G262-G249-G231-G229-G216-G212-G177-G175-G141-G136-G134-G132-G111)</f>
        <v>31548662.964999996</v>
      </c>
      <c r="H352" s="133">
        <f t="shared" si="82"/>
        <v>-9450149.6849999987</v>
      </c>
      <c r="I352" s="138">
        <f t="shared" si="83"/>
        <v>-0.29954200263522957</v>
      </c>
      <c r="J352" s="158"/>
      <c r="K352" s="333">
        <f>-(-K351-K262-K249-K231-K229-K216-K212-K177-K175-K141-K136-K134-K132-K111)</f>
        <v>102832754.82800001</v>
      </c>
      <c r="L352" s="333">
        <f>-(-L351-L262-L249-L231-L229-L216-L212-L177-L175-L141-L136-L134-L132-L111)</f>
        <v>113267628.08500004</v>
      </c>
      <c r="M352" s="133">
        <f t="shared" si="84"/>
        <v>-10434873.257000029</v>
      </c>
      <c r="N352" s="138">
        <f t="shared" si="85"/>
        <v>-9.2125821237903305E-2</v>
      </c>
      <c r="O352" s="302"/>
      <c r="P352" s="350"/>
      <c r="Q352" s="333">
        <f>-(-Q351-Q262-Q249-Q231-Q229-Q216-Q212-Q177-Q175-Q141-Q136-Q134-Q132-Q111)</f>
        <v>102832754.82800001</v>
      </c>
      <c r="R352" s="333">
        <f>-(-R351-R262-R249-R231-R229-R216-R212-R177-R175-R141-R136-R134-R132-R111)</f>
        <v>113267628.08500004</v>
      </c>
      <c r="S352" s="133">
        <f t="shared" si="86"/>
        <v>-10434873.257000029</v>
      </c>
      <c r="T352" s="138">
        <f t="shared" si="87"/>
        <v>-9.2125821237903305E-2</v>
      </c>
      <c r="U352" s="350" t="s">
        <v>76</v>
      </c>
      <c r="V352" s="333">
        <f>-(-V351-V262-V249-V231-V229-V216-V212-V177-V175-V141-V136-V134-V132-V111)</f>
        <v>513304445.60399985</v>
      </c>
      <c r="W352" s="333">
        <f>-(-W351-W262-W249-W231-W229-W216-W212-W177-W175-W141-W136-W134-W132-W111)</f>
        <v>412142172.48699999</v>
      </c>
      <c r="X352" s="133">
        <f t="shared" si="88"/>
        <v>101162273.11699986</v>
      </c>
      <c r="Y352" s="137">
        <f t="shared" si="89"/>
        <v>0.24545479659738237</v>
      </c>
      <c r="AA352" s="139">
        <f>-(-AA351-AA262-AA249-AA231-AA229-AA216-AA212-AA177-AA175-AA141-AA136-AA134-AA132-AA111)</f>
        <v>44377602.699000001</v>
      </c>
      <c r="AB352" s="351"/>
      <c r="AC352" s="333">
        <f t="shared" ref="AC352:AN352" si="90">-(-AC351-AC262-AC249-AC231-AC229-AC216-AC212-AC177-AC175-AC141-AC136-AC134-AC132-AC111)</f>
        <v>48804381.491999999</v>
      </c>
      <c r="AD352" s="333">
        <f t="shared" si="90"/>
        <v>32914583.62800001</v>
      </c>
      <c r="AE352" s="333">
        <f t="shared" si="90"/>
        <v>31548662.964999996</v>
      </c>
      <c r="AF352" s="333">
        <f t="shared" si="90"/>
        <v>37481585.498000003</v>
      </c>
      <c r="AG352" s="333">
        <f t="shared" si="90"/>
        <v>43479553.982000008</v>
      </c>
      <c r="AH352" s="333">
        <f t="shared" si="90"/>
        <v>39609059.853</v>
      </c>
      <c r="AI352" s="333">
        <f t="shared" si="90"/>
        <v>52539472.147000015</v>
      </c>
      <c r="AJ352" s="333">
        <f t="shared" si="90"/>
        <v>49394143.639000013</v>
      </c>
      <c r="AK352" s="333">
        <f t="shared" si="90"/>
        <v>35816299.82</v>
      </c>
      <c r="AL352" s="333">
        <f t="shared" si="90"/>
        <v>41272580.526999995</v>
      </c>
      <c r="AM352" s="333">
        <f t="shared" si="90"/>
        <v>46402789.029999994</v>
      </c>
      <c r="AN352" s="333">
        <f t="shared" si="90"/>
        <v>64476206.280000031</v>
      </c>
      <c r="AO352" s="351"/>
      <c r="AP352" s="333">
        <f t="shared" ref="AP352:BA352" si="91">-(-AP351-AP262-AP249-AP231-AP229-AP216-AP212-AP177-AP175-AP141-AP136-AP134-AP132-AP111)</f>
        <v>44512825.208000004</v>
      </c>
      <c r="AQ352" s="333">
        <f t="shared" si="91"/>
        <v>36221416.340000004</v>
      </c>
      <c r="AR352" s="333">
        <f t="shared" si="91"/>
        <v>22098513.279999997</v>
      </c>
      <c r="AS352" s="333">
        <f t="shared" si="91"/>
        <v>99893655.790000021</v>
      </c>
      <c r="AT352" s="333">
        <f t="shared" si="91"/>
        <v>1020163</v>
      </c>
      <c r="AU352" s="333">
        <f t="shared" si="91"/>
        <v>0</v>
      </c>
      <c r="AV352" s="333">
        <f t="shared" si="91"/>
        <v>0</v>
      </c>
      <c r="AW352" s="333">
        <f t="shared" si="91"/>
        <v>0</v>
      </c>
      <c r="AX352" s="333">
        <f t="shared" si="91"/>
        <v>0</v>
      </c>
      <c r="AY352" s="333">
        <f t="shared" si="91"/>
        <v>0</v>
      </c>
      <c r="AZ352" s="333">
        <f t="shared" si="91"/>
        <v>0</v>
      </c>
      <c r="BA352" s="333">
        <f t="shared" si="91"/>
        <v>0</v>
      </c>
    </row>
    <row r="353" spans="1:53" s="131" customFormat="1" outlineLevel="2">
      <c r="A353" s="111"/>
      <c r="B353" s="331"/>
      <c r="C353" s="347"/>
      <c r="D353" s="352"/>
      <c r="E353" s="352"/>
      <c r="F353" s="333">
        <f>+F352-F351-F262-F249-F231-F229-F216-F212-F177-F175-F141-F136-F134-F132-F111</f>
        <v>0</v>
      </c>
      <c r="G353" s="333">
        <f>+G352-G351-G262-G249-G231-G229-G216-G212-G177-G175-G141-G136-G134-G132-G111</f>
        <v>0</v>
      </c>
      <c r="H353" s="133">
        <f t="shared" si="82"/>
        <v>0</v>
      </c>
      <c r="I353" s="138">
        <f t="shared" si="83"/>
        <v>0</v>
      </c>
      <c r="J353" s="158"/>
      <c r="K353" s="333">
        <f>+K352-K351-K262-K249-K231-K229-K216-K212-K177-K175-K141-K136-K134-K132-K111</f>
        <v>0</v>
      </c>
      <c r="L353" s="333">
        <f>+L352-L351-L262-L249-L231-L229-L216-L212-L177-L175-L141-L136-L134-L132-L111</f>
        <v>0</v>
      </c>
      <c r="M353" s="133"/>
      <c r="N353" s="138"/>
      <c r="O353" s="302"/>
      <c r="P353" s="350"/>
      <c r="Q353" s="333">
        <f>+Q352-Q351-Q262-Q249-Q231-Q229-Q216-Q212-Q177-Q175-Q141-Q136-Q134-Q132-Q111</f>
        <v>0</v>
      </c>
      <c r="R353" s="333">
        <f>+R352-R351-R262-R249-R231-R229-R216-R212-R177-R175-R141-R136-R134-R132-R111</f>
        <v>0</v>
      </c>
      <c r="S353" s="133">
        <f t="shared" si="86"/>
        <v>0</v>
      </c>
      <c r="T353" s="138">
        <f t="shared" si="87"/>
        <v>0</v>
      </c>
      <c r="U353" s="350"/>
      <c r="V353" s="333">
        <f>+V352-V351-V262-V249-V231-V229-V216-V212-V177-V175-V141-V136-V134-V132-V111</f>
        <v>0</v>
      </c>
      <c r="W353" s="333">
        <f>+W352-W351-W262-W249-W231-W229-W216-W212-W177-W175-W141-W136-W134-W132-W111</f>
        <v>0</v>
      </c>
      <c r="X353" s="133">
        <f t="shared" si="88"/>
        <v>0</v>
      </c>
      <c r="Y353" s="137">
        <f t="shared" si="89"/>
        <v>0</v>
      </c>
      <c r="AA353" s="139">
        <f>+AA352-AA351-AA262-AA249-AA231-AA229-AA216-AA212-AA177-AA175-AA141-AA136-AA134-AA132-AA111</f>
        <v>0</v>
      </c>
      <c r="AB353" s="351"/>
      <c r="AC353" s="333">
        <f t="shared" ref="AC353:AN353" si="92">+AC352-AC351-AC262-AC249-AC231-AC229-AC216-AC212-AC177-AC175-AC141-AC136-AC134-AC132-AC111</f>
        <v>0</v>
      </c>
      <c r="AD353" s="333">
        <f t="shared" si="92"/>
        <v>0</v>
      </c>
      <c r="AE353" s="333">
        <f t="shared" si="92"/>
        <v>0</v>
      </c>
      <c r="AF353" s="333">
        <f t="shared" si="92"/>
        <v>1.0244548320770264E-8</v>
      </c>
      <c r="AG353" s="333">
        <f t="shared" si="92"/>
        <v>0</v>
      </c>
      <c r="AH353" s="333">
        <f t="shared" si="92"/>
        <v>0</v>
      </c>
      <c r="AI353" s="333">
        <f t="shared" si="92"/>
        <v>0</v>
      </c>
      <c r="AJ353" s="333">
        <f t="shared" si="92"/>
        <v>0</v>
      </c>
      <c r="AK353" s="333">
        <f t="shared" si="92"/>
        <v>-6.5192580223083496E-9</v>
      </c>
      <c r="AL353" s="333">
        <f t="shared" si="92"/>
        <v>-3.8417056202888489E-9</v>
      </c>
      <c r="AM353" s="333">
        <f t="shared" si="92"/>
        <v>-1.3969838619232178E-8</v>
      </c>
      <c r="AN353" s="333">
        <f t="shared" si="92"/>
        <v>0</v>
      </c>
      <c r="AO353" s="351"/>
      <c r="AP353" s="333">
        <f t="shared" ref="AP353:BA353" si="93">+AP352-AP351-AP262-AP249-AP231-AP229-AP216-AP212-AP177-AP175-AP141-AP136-AP134-AP132-AP111</f>
        <v>0</v>
      </c>
      <c r="AQ353" s="333">
        <f t="shared" si="93"/>
        <v>0</v>
      </c>
      <c r="AR353" s="333">
        <f t="shared" si="93"/>
        <v>0</v>
      </c>
      <c r="AS353" s="333">
        <f t="shared" si="93"/>
        <v>9.3132257461547852E-10</v>
      </c>
      <c r="AT353" s="333">
        <f t="shared" si="93"/>
        <v>0</v>
      </c>
      <c r="AU353" s="333">
        <f t="shared" si="93"/>
        <v>0</v>
      </c>
      <c r="AV353" s="333">
        <f t="shared" si="93"/>
        <v>0</v>
      </c>
      <c r="AW353" s="333">
        <f t="shared" si="93"/>
        <v>0</v>
      </c>
      <c r="AX353" s="333">
        <f t="shared" si="93"/>
        <v>0</v>
      </c>
      <c r="AY353" s="333">
        <f t="shared" si="93"/>
        <v>0</v>
      </c>
      <c r="AZ353" s="333">
        <f t="shared" si="93"/>
        <v>0</v>
      </c>
      <c r="BA353" s="333">
        <f t="shared" si="93"/>
        <v>0</v>
      </c>
    </row>
    <row r="354" spans="1:53" s="102" customFormat="1" outlineLevel="2">
      <c r="A354" s="102" t="s">
        <v>1040</v>
      </c>
      <c r="B354" s="103" t="s">
        <v>1041</v>
      </c>
      <c r="C354" s="104" t="s">
        <v>1042</v>
      </c>
      <c r="D354" s="298"/>
      <c r="E354" s="299"/>
      <c r="F354" s="105">
        <v>143815.01</v>
      </c>
      <c r="G354" s="105">
        <v>184528.44</v>
      </c>
      <c r="H354" s="106">
        <f t="shared" si="82"/>
        <v>-40713.429999999993</v>
      </c>
      <c r="I354" s="300">
        <f t="shared" si="83"/>
        <v>-0.22063498721389502</v>
      </c>
      <c r="J354" s="107"/>
      <c r="K354" s="105">
        <v>442713.22000000003</v>
      </c>
      <c r="L354" s="105">
        <v>456810.87</v>
      </c>
      <c r="M354" s="106">
        <f t="shared" ref="M354:M363" si="94">+K354-L354</f>
        <v>-14097.649999999965</v>
      </c>
      <c r="N354" s="300">
        <f t="shared" ref="N354:N363" si="95">IF(L354&lt;0,IF(M354=0,0,IF(OR(L354=0,K354=0),"N.M.",IF(ABS(M354/L354)&gt;=10,"N.M.",M354/(-L354)))),IF(M354=0,0,IF(OR(L354=0,K354=0),"N.M.",IF(ABS(M354/L354)&gt;=10,"N.M.",M354/L354))))</f>
        <v>-3.0861021323770086E-2</v>
      </c>
      <c r="O354" s="301"/>
      <c r="P354" s="107"/>
      <c r="Q354" s="105">
        <v>442713.22000000003</v>
      </c>
      <c r="R354" s="105">
        <v>456810.87</v>
      </c>
      <c r="S354" s="106">
        <f t="shared" si="86"/>
        <v>-14097.649999999965</v>
      </c>
      <c r="T354" s="300">
        <f t="shared" si="87"/>
        <v>-3.0861021323770086E-2</v>
      </c>
      <c r="U354" s="107"/>
      <c r="V354" s="105">
        <v>1615369.51</v>
      </c>
      <c r="W354" s="105">
        <v>1588854.63</v>
      </c>
      <c r="X354" s="106">
        <f t="shared" si="88"/>
        <v>26514.880000000121</v>
      </c>
      <c r="Y354" s="300">
        <f t="shared" si="89"/>
        <v>1.6688046533243964E-2</v>
      </c>
      <c r="Z354" s="302"/>
      <c r="AA354" s="108">
        <v>124620.5</v>
      </c>
      <c r="AB354" s="109"/>
      <c r="AC354" s="110">
        <v>138770.32</v>
      </c>
      <c r="AD354" s="110">
        <v>133512.11000000002</v>
      </c>
      <c r="AE354" s="110">
        <v>184528.44</v>
      </c>
      <c r="AF354" s="110">
        <v>83710.09</v>
      </c>
      <c r="AG354" s="110">
        <v>108740.66</v>
      </c>
      <c r="AH354" s="110">
        <v>144022.66</v>
      </c>
      <c r="AI354" s="110">
        <v>159887.38</v>
      </c>
      <c r="AJ354" s="110">
        <v>150206.07</v>
      </c>
      <c r="AK354" s="110">
        <v>167484.29</v>
      </c>
      <c r="AL354" s="110">
        <v>66119.460000000006</v>
      </c>
      <c r="AM354" s="110">
        <v>124724.73</v>
      </c>
      <c r="AN354" s="110">
        <v>167760.95000000001</v>
      </c>
      <c r="AO354" s="109"/>
      <c r="AP354" s="110">
        <v>158728.38</v>
      </c>
      <c r="AQ354" s="110">
        <v>140169.83000000002</v>
      </c>
      <c r="AR354" s="110">
        <v>143815.01</v>
      </c>
      <c r="AS354" s="110">
        <v>-10599.380000000001</v>
      </c>
      <c r="AT354" s="110">
        <v>0</v>
      </c>
      <c r="AU354" s="110">
        <v>0</v>
      </c>
      <c r="AV354" s="110">
        <v>0</v>
      </c>
      <c r="AW354" s="110">
        <v>0</v>
      </c>
      <c r="AX354" s="110">
        <v>0</v>
      </c>
      <c r="AY354" s="110">
        <v>0</v>
      </c>
      <c r="AZ354" s="110">
        <v>0</v>
      </c>
      <c r="BA354" s="110">
        <v>0</v>
      </c>
    </row>
    <row r="355" spans="1:53" s="102" customFormat="1" outlineLevel="2">
      <c r="A355" s="102" t="s">
        <v>1043</v>
      </c>
      <c r="B355" s="103" t="s">
        <v>1044</v>
      </c>
      <c r="C355" s="104" t="s">
        <v>1045</v>
      </c>
      <c r="D355" s="298"/>
      <c r="E355" s="299"/>
      <c r="F355" s="105">
        <v>146280.34</v>
      </c>
      <c r="G355" s="105">
        <v>103067.79000000001</v>
      </c>
      <c r="H355" s="106">
        <f t="shared" si="82"/>
        <v>43212.549999999988</v>
      </c>
      <c r="I355" s="300">
        <f t="shared" si="83"/>
        <v>0.41926337995604623</v>
      </c>
      <c r="J355" s="107"/>
      <c r="K355" s="105">
        <v>642826.71</v>
      </c>
      <c r="L355" s="105">
        <v>460309.5</v>
      </c>
      <c r="M355" s="106">
        <f t="shared" si="94"/>
        <v>182517.20999999996</v>
      </c>
      <c r="N355" s="300">
        <f t="shared" si="95"/>
        <v>0.3965097613670801</v>
      </c>
      <c r="O355" s="301"/>
      <c r="P355" s="107"/>
      <c r="Q355" s="105">
        <v>642826.71</v>
      </c>
      <c r="R355" s="105">
        <v>460309.5</v>
      </c>
      <c r="S355" s="106">
        <f t="shared" si="86"/>
        <v>182517.20999999996</v>
      </c>
      <c r="T355" s="300">
        <f t="shared" si="87"/>
        <v>0.3965097613670801</v>
      </c>
      <c r="U355" s="107"/>
      <c r="V355" s="105">
        <v>2131947.41</v>
      </c>
      <c r="W355" s="105">
        <v>1565660.85</v>
      </c>
      <c r="X355" s="106">
        <f t="shared" si="88"/>
        <v>566286.56000000006</v>
      </c>
      <c r="Y355" s="300">
        <f t="shared" si="89"/>
        <v>0.36169171631263569</v>
      </c>
      <c r="Z355" s="302"/>
      <c r="AA355" s="108">
        <v>130923.15000000001</v>
      </c>
      <c r="AB355" s="109"/>
      <c r="AC355" s="110">
        <v>226005.57</v>
      </c>
      <c r="AD355" s="110">
        <v>131236.14000000001</v>
      </c>
      <c r="AE355" s="110">
        <v>103067.79000000001</v>
      </c>
      <c r="AF355" s="110">
        <v>138294.32</v>
      </c>
      <c r="AG355" s="110">
        <v>111708.59</v>
      </c>
      <c r="AH355" s="110">
        <v>115878.71</v>
      </c>
      <c r="AI355" s="110">
        <v>159783.62</v>
      </c>
      <c r="AJ355" s="110">
        <v>158878.1</v>
      </c>
      <c r="AK355" s="110">
        <v>208593.54</v>
      </c>
      <c r="AL355" s="110">
        <v>164978.92000000001</v>
      </c>
      <c r="AM355" s="110">
        <v>154859.79</v>
      </c>
      <c r="AN355" s="110">
        <v>276145.11</v>
      </c>
      <c r="AO355" s="109"/>
      <c r="AP355" s="110">
        <v>309045.45</v>
      </c>
      <c r="AQ355" s="110">
        <v>187500.92</v>
      </c>
      <c r="AR355" s="110">
        <v>146280.34</v>
      </c>
      <c r="AS355" s="110">
        <v>-40835.550000000003</v>
      </c>
      <c r="AT355" s="110">
        <v>0</v>
      </c>
      <c r="AU355" s="110">
        <v>0</v>
      </c>
      <c r="AV355" s="110">
        <v>0</v>
      </c>
      <c r="AW355" s="110">
        <v>0</v>
      </c>
      <c r="AX355" s="110">
        <v>0</v>
      </c>
      <c r="AY355" s="110">
        <v>0</v>
      </c>
      <c r="AZ355" s="110">
        <v>0</v>
      </c>
      <c r="BA355" s="110">
        <v>0</v>
      </c>
    </row>
    <row r="356" spans="1:53" s="102" customFormat="1" outlineLevel="2">
      <c r="A356" s="102" t="s">
        <v>1046</v>
      </c>
      <c r="B356" s="103" t="s">
        <v>1047</v>
      </c>
      <c r="C356" s="104" t="s">
        <v>1048</v>
      </c>
      <c r="D356" s="298"/>
      <c r="E356" s="299"/>
      <c r="F356" s="105">
        <v>762059.75</v>
      </c>
      <c r="G356" s="105">
        <v>825324.74</v>
      </c>
      <c r="H356" s="106">
        <f t="shared" si="82"/>
        <v>-63264.989999999991</v>
      </c>
      <c r="I356" s="300">
        <f t="shared" si="83"/>
        <v>-7.6654663229894199E-2</v>
      </c>
      <c r="J356" s="107"/>
      <c r="K356" s="105">
        <v>2703614.73</v>
      </c>
      <c r="L356" s="105">
        <v>2011617</v>
      </c>
      <c r="M356" s="106">
        <f t="shared" si="94"/>
        <v>691997.73</v>
      </c>
      <c r="N356" s="300">
        <f t="shared" si="95"/>
        <v>0.34400073672075748</v>
      </c>
      <c r="O356" s="301"/>
      <c r="P356" s="107"/>
      <c r="Q356" s="105">
        <v>2703614.73</v>
      </c>
      <c r="R356" s="105">
        <v>2011617</v>
      </c>
      <c r="S356" s="106">
        <f t="shared" si="86"/>
        <v>691997.73</v>
      </c>
      <c r="T356" s="300">
        <f t="shared" si="87"/>
        <v>0.34400073672075748</v>
      </c>
      <c r="U356" s="107"/>
      <c r="V356" s="105">
        <v>13580372.883000001</v>
      </c>
      <c r="W356" s="105">
        <v>10313358.978</v>
      </c>
      <c r="X356" s="106">
        <f t="shared" si="88"/>
        <v>3267013.9050000012</v>
      </c>
      <c r="Y356" s="300">
        <f t="shared" si="89"/>
        <v>0.31677496264495886</v>
      </c>
      <c r="Z356" s="302"/>
      <c r="AA356" s="108">
        <v>1421287.98</v>
      </c>
      <c r="AB356" s="109"/>
      <c r="AC356" s="110">
        <v>674699.19000000006</v>
      </c>
      <c r="AD356" s="110">
        <v>511593.07</v>
      </c>
      <c r="AE356" s="110">
        <v>825324.74</v>
      </c>
      <c r="AF356" s="110">
        <v>669672.87300000002</v>
      </c>
      <c r="AG356" s="110">
        <v>624679.07000000007</v>
      </c>
      <c r="AH356" s="110">
        <v>613913.38</v>
      </c>
      <c r="AI356" s="110">
        <v>561100.4</v>
      </c>
      <c r="AJ356" s="110">
        <v>556158.91</v>
      </c>
      <c r="AK356" s="110">
        <v>1099644.8700000001</v>
      </c>
      <c r="AL356" s="110">
        <v>1921376.22</v>
      </c>
      <c r="AM356" s="110">
        <v>2193684.9700000002</v>
      </c>
      <c r="AN356" s="110">
        <v>2636527.46</v>
      </c>
      <c r="AO356" s="109"/>
      <c r="AP356" s="110">
        <v>1403687.97</v>
      </c>
      <c r="AQ356" s="110">
        <v>537867.01</v>
      </c>
      <c r="AR356" s="110">
        <v>762059.75</v>
      </c>
      <c r="AS356" s="110">
        <v>-30472.03</v>
      </c>
      <c r="AT356" s="110">
        <v>0</v>
      </c>
      <c r="AU356" s="110">
        <v>0</v>
      </c>
      <c r="AV356" s="110">
        <v>0</v>
      </c>
      <c r="AW356" s="110">
        <v>0</v>
      </c>
      <c r="AX356" s="110">
        <v>0</v>
      </c>
      <c r="AY356" s="110">
        <v>0</v>
      </c>
      <c r="AZ356" s="110">
        <v>0</v>
      </c>
      <c r="BA356" s="110">
        <v>0</v>
      </c>
    </row>
    <row r="357" spans="1:53" s="102" customFormat="1" outlineLevel="2">
      <c r="A357" s="102" t="s">
        <v>1049</v>
      </c>
      <c r="B357" s="103" t="s">
        <v>1050</v>
      </c>
      <c r="C357" s="104" t="s">
        <v>1051</v>
      </c>
      <c r="D357" s="298"/>
      <c r="E357" s="299"/>
      <c r="F357" s="105">
        <v>-75.38</v>
      </c>
      <c r="G357" s="105">
        <v>0</v>
      </c>
      <c r="H357" s="106">
        <f t="shared" si="82"/>
        <v>-75.38</v>
      </c>
      <c r="I357" s="300" t="str">
        <f t="shared" si="83"/>
        <v>N.M.</v>
      </c>
      <c r="J357" s="107"/>
      <c r="K357" s="105">
        <v>8.26</v>
      </c>
      <c r="L357" s="105">
        <v>0</v>
      </c>
      <c r="M357" s="106">
        <f t="shared" si="94"/>
        <v>8.26</v>
      </c>
      <c r="N357" s="300" t="str">
        <f t="shared" si="95"/>
        <v>N.M.</v>
      </c>
      <c r="O357" s="301"/>
      <c r="P357" s="107"/>
      <c r="Q357" s="105">
        <v>8.26</v>
      </c>
      <c r="R357" s="105">
        <v>0</v>
      </c>
      <c r="S357" s="106">
        <f t="shared" si="86"/>
        <v>8.26</v>
      </c>
      <c r="T357" s="300" t="str">
        <f t="shared" si="87"/>
        <v>N.M.</v>
      </c>
      <c r="U357" s="107"/>
      <c r="V357" s="105">
        <v>19.71</v>
      </c>
      <c r="W357" s="105">
        <v>0</v>
      </c>
      <c r="X357" s="106">
        <f t="shared" si="88"/>
        <v>19.71</v>
      </c>
      <c r="Y357" s="300" t="str">
        <f t="shared" si="89"/>
        <v>N.M.</v>
      </c>
      <c r="Z357" s="302"/>
      <c r="AA357" s="108">
        <v>0</v>
      </c>
      <c r="AB357" s="109"/>
      <c r="AC357" s="110">
        <v>0</v>
      </c>
      <c r="AD357" s="110">
        <v>0</v>
      </c>
      <c r="AE357" s="110">
        <v>0</v>
      </c>
      <c r="AF357" s="110">
        <v>0</v>
      </c>
      <c r="AG357" s="110">
        <v>0</v>
      </c>
      <c r="AH357" s="110">
        <v>0</v>
      </c>
      <c r="AI357" s="110">
        <v>0</v>
      </c>
      <c r="AJ357" s="110">
        <v>0</v>
      </c>
      <c r="AK357" s="110">
        <v>0</v>
      </c>
      <c r="AL357" s="110">
        <v>0</v>
      </c>
      <c r="AM357" s="110">
        <v>48.24</v>
      </c>
      <c r="AN357" s="110">
        <v>-36.79</v>
      </c>
      <c r="AO357" s="109"/>
      <c r="AP357" s="110">
        <v>57.31</v>
      </c>
      <c r="AQ357" s="110">
        <v>26.330000000000002</v>
      </c>
      <c r="AR357" s="110">
        <v>-75.38</v>
      </c>
      <c r="AS357" s="110">
        <v>0</v>
      </c>
      <c r="AT357" s="110">
        <v>0</v>
      </c>
      <c r="AU357" s="110">
        <v>0</v>
      </c>
      <c r="AV357" s="110">
        <v>0</v>
      </c>
      <c r="AW357" s="110">
        <v>0</v>
      </c>
      <c r="AX357" s="110">
        <v>0</v>
      </c>
      <c r="AY357" s="110">
        <v>0</v>
      </c>
      <c r="AZ357" s="110">
        <v>0</v>
      </c>
      <c r="BA357" s="110">
        <v>0</v>
      </c>
    </row>
    <row r="358" spans="1:53" s="102" customFormat="1" outlineLevel="2">
      <c r="A358" s="102" t="s">
        <v>1052</v>
      </c>
      <c r="B358" s="103" t="s">
        <v>1053</v>
      </c>
      <c r="C358" s="104" t="s">
        <v>1054</v>
      </c>
      <c r="D358" s="298"/>
      <c r="E358" s="299"/>
      <c r="F358" s="105">
        <v>-122.13</v>
      </c>
      <c r="G358" s="105">
        <v>0</v>
      </c>
      <c r="H358" s="106">
        <f t="shared" si="82"/>
        <v>-122.13</v>
      </c>
      <c r="I358" s="300" t="str">
        <f t="shared" si="83"/>
        <v>N.M.</v>
      </c>
      <c r="J358" s="107"/>
      <c r="K358" s="105">
        <v>-736.26</v>
      </c>
      <c r="L358" s="105">
        <v>-36.090000000000003</v>
      </c>
      <c r="M358" s="106">
        <f t="shared" si="94"/>
        <v>-700.17</v>
      </c>
      <c r="N358" s="300" t="str">
        <f t="shared" si="95"/>
        <v>N.M.</v>
      </c>
      <c r="O358" s="301"/>
      <c r="P358" s="107"/>
      <c r="Q358" s="105">
        <v>-736.26</v>
      </c>
      <c r="R358" s="105">
        <v>-36.090000000000003</v>
      </c>
      <c r="S358" s="106">
        <f t="shared" si="86"/>
        <v>-700.17</v>
      </c>
      <c r="T358" s="300" t="str">
        <f t="shared" si="87"/>
        <v>N.M.</v>
      </c>
      <c r="U358" s="107"/>
      <c r="V358" s="105">
        <v>-3903.6499999999996</v>
      </c>
      <c r="W358" s="105">
        <v>-2537.88</v>
      </c>
      <c r="X358" s="106">
        <f t="shared" si="88"/>
        <v>-1365.7699999999995</v>
      </c>
      <c r="Y358" s="300">
        <f t="shared" si="89"/>
        <v>-0.53815389222500654</v>
      </c>
      <c r="Z358" s="302"/>
      <c r="AA358" s="108">
        <v>-407.40000000000003</v>
      </c>
      <c r="AB358" s="109"/>
      <c r="AC358" s="110">
        <v>-36.090000000000003</v>
      </c>
      <c r="AD358" s="110">
        <v>0</v>
      </c>
      <c r="AE358" s="110">
        <v>0</v>
      </c>
      <c r="AF358" s="110">
        <v>-364.79</v>
      </c>
      <c r="AG358" s="110">
        <v>0</v>
      </c>
      <c r="AH358" s="110">
        <v>0</v>
      </c>
      <c r="AI358" s="110">
        <v>-583.06000000000006</v>
      </c>
      <c r="AJ358" s="110">
        <v>-1470.06</v>
      </c>
      <c r="AK358" s="110">
        <v>0</v>
      </c>
      <c r="AL358" s="110">
        <v>-76.58</v>
      </c>
      <c r="AM358" s="110">
        <v>-149.34</v>
      </c>
      <c r="AN358" s="110">
        <v>-523.56000000000006</v>
      </c>
      <c r="AO358" s="109"/>
      <c r="AP358" s="110">
        <v>-323.12</v>
      </c>
      <c r="AQ358" s="110">
        <v>-291.01</v>
      </c>
      <c r="AR358" s="110">
        <v>-122.13</v>
      </c>
      <c r="AS358" s="110">
        <v>0</v>
      </c>
      <c r="AT358" s="110">
        <v>0</v>
      </c>
      <c r="AU358" s="110">
        <v>0</v>
      </c>
      <c r="AV358" s="110">
        <v>0</v>
      </c>
      <c r="AW358" s="110">
        <v>0</v>
      </c>
      <c r="AX358" s="110">
        <v>0</v>
      </c>
      <c r="AY358" s="110">
        <v>0</v>
      </c>
      <c r="AZ358" s="110">
        <v>0</v>
      </c>
      <c r="BA358" s="110">
        <v>0</v>
      </c>
    </row>
    <row r="359" spans="1:53" s="102" customFormat="1" outlineLevel="2">
      <c r="A359" s="102" t="s">
        <v>1728</v>
      </c>
      <c r="B359" s="103" t="s">
        <v>1729</v>
      </c>
      <c r="C359" s="104" t="s">
        <v>1730</v>
      </c>
      <c r="D359" s="298"/>
      <c r="E359" s="299"/>
      <c r="F359" s="105">
        <v>19338.72</v>
      </c>
      <c r="G359" s="105">
        <v>19338.72</v>
      </c>
      <c r="H359" s="106">
        <f t="shared" si="82"/>
        <v>0</v>
      </c>
      <c r="I359" s="300">
        <f t="shared" si="83"/>
        <v>0</v>
      </c>
      <c r="J359" s="107"/>
      <c r="K359" s="105">
        <v>58016.160000000003</v>
      </c>
      <c r="L359" s="105">
        <v>58016.160000000003</v>
      </c>
      <c r="M359" s="106">
        <f t="shared" si="94"/>
        <v>0</v>
      </c>
      <c r="N359" s="300">
        <f t="shared" si="95"/>
        <v>0</v>
      </c>
      <c r="O359" s="301"/>
      <c r="P359" s="107"/>
      <c r="Q359" s="105">
        <v>58016.160000000003</v>
      </c>
      <c r="R359" s="105">
        <v>58016.160000000003</v>
      </c>
      <c r="S359" s="106">
        <f t="shared" si="86"/>
        <v>0</v>
      </c>
      <c r="T359" s="300">
        <f t="shared" si="87"/>
        <v>0</v>
      </c>
      <c r="U359" s="107"/>
      <c r="V359" s="105">
        <v>232064.64000000001</v>
      </c>
      <c r="W359" s="105">
        <v>232064.64000000001</v>
      </c>
      <c r="X359" s="106">
        <f t="shared" si="88"/>
        <v>0</v>
      </c>
      <c r="Y359" s="300">
        <f t="shared" si="89"/>
        <v>0</v>
      </c>
      <c r="Z359" s="302"/>
      <c r="AA359" s="108">
        <v>19338.72</v>
      </c>
      <c r="AB359" s="109"/>
      <c r="AC359" s="110">
        <v>19338.72</v>
      </c>
      <c r="AD359" s="110">
        <v>19338.72</v>
      </c>
      <c r="AE359" s="110">
        <v>19338.72</v>
      </c>
      <c r="AF359" s="110">
        <v>19338.72</v>
      </c>
      <c r="AG359" s="110">
        <v>19338.72</v>
      </c>
      <c r="AH359" s="110">
        <v>19338.72</v>
      </c>
      <c r="AI359" s="110">
        <v>19338.72</v>
      </c>
      <c r="AJ359" s="110">
        <v>19338.72</v>
      </c>
      <c r="AK359" s="110">
        <v>19338.72</v>
      </c>
      <c r="AL359" s="110">
        <v>19338.72</v>
      </c>
      <c r="AM359" s="110">
        <v>19338.72</v>
      </c>
      <c r="AN359" s="110">
        <v>19338.72</v>
      </c>
      <c r="AO359" s="109"/>
      <c r="AP359" s="110">
        <v>19338.72</v>
      </c>
      <c r="AQ359" s="110">
        <v>19338.72</v>
      </c>
      <c r="AR359" s="110">
        <v>19338.72</v>
      </c>
      <c r="AS359" s="110">
        <v>0</v>
      </c>
      <c r="AT359" s="110">
        <v>0</v>
      </c>
      <c r="AU359" s="110">
        <v>0</v>
      </c>
      <c r="AV359" s="110">
        <v>0</v>
      </c>
      <c r="AW359" s="110">
        <v>0</v>
      </c>
      <c r="AX359" s="110">
        <v>0</v>
      </c>
      <c r="AY359" s="110">
        <v>0</v>
      </c>
      <c r="AZ359" s="110">
        <v>0</v>
      </c>
      <c r="BA359" s="110">
        <v>0</v>
      </c>
    </row>
    <row r="360" spans="1:53" s="102" customFormat="1" outlineLevel="2">
      <c r="A360" s="102" t="s">
        <v>1055</v>
      </c>
      <c r="B360" s="103" t="s">
        <v>1056</v>
      </c>
      <c r="C360" s="104" t="s">
        <v>1057</v>
      </c>
      <c r="D360" s="298"/>
      <c r="E360" s="299"/>
      <c r="F360" s="105">
        <v>62252.82</v>
      </c>
      <c r="G360" s="105">
        <v>229868.61000000002</v>
      </c>
      <c r="H360" s="106">
        <f t="shared" si="82"/>
        <v>-167615.79</v>
      </c>
      <c r="I360" s="300">
        <f t="shared" si="83"/>
        <v>-0.7291808568381738</v>
      </c>
      <c r="J360" s="107"/>
      <c r="K360" s="105">
        <v>673961.74</v>
      </c>
      <c r="L360" s="105">
        <v>561249.37</v>
      </c>
      <c r="M360" s="106">
        <f t="shared" si="94"/>
        <v>112712.37</v>
      </c>
      <c r="N360" s="300">
        <f t="shared" si="95"/>
        <v>0.20082404725015549</v>
      </c>
      <c r="O360" s="301"/>
      <c r="P360" s="107"/>
      <c r="Q360" s="105">
        <v>673961.74</v>
      </c>
      <c r="R360" s="105">
        <v>561249.37</v>
      </c>
      <c r="S360" s="106">
        <f t="shared" si="86"/>
        <v>112712.37</v>
      </c>
      <c r="T360" s="300">
        <f t="shared" si="87"/>
        <v>0.20082404725015549</v>
      </c>
      <c r="U360" s="107"/>
      <c r="V360" s="105">
        <v>4686151.29</v>
      </c>
      <c r="W360" s="105">
        <v>3489961.3969999999</v>
      </c>
      <c r="X360" s="106">
        <f t="shared" si="88"/>
        <v>1196189.8930000002</v>
      </c>
      <c r="Y360" s="300">
        <f t="shared" si="89"/>
        <v>0.34275161153021777</v>
      </c>
      <c r="Z360" s="302"/>
      <c r="AA360" s="108">
        <v>333827.87</v>
      </c>
      <c r="AB360" s="109"/>
      <c r="AC360" s="110">
        <v>153805.71</v>
      </c>
      <c r="AD360" s="110">
        <v>177575.05000000002</v>
      </c>
      <c r="AE360" s="110">
        <v>229868.61000000002</v>
      </c>
      <c r="AF360" s="110">
        <v>128829.22</v>
      </c>
      <c r="AG360" s="110">
        <v>151886.04</v>
      </c>
      <c r="AH360" s="110">
        <v>177670.16</v>
      </c>
      <c r="AI360" s="110">
        <v>129376.27</v>
      </c>
      <c r="AJ360" s="110">
        <v>163120.38</v>
      </c>
      <c r="AK360" s="110">
        <v>707911.86</v>
      </c>
      <c r="AL360" s="110">
        <v>1218489.29</v>
      </c>
      <c r="AM360" s="110">
        <v>526768.41</v>
      </c>
      <c r="AN360" s="110">
        <v>808137.92</v>
      </c>
      <c r="AO360" s="109"/>
      <c r="AP360" s="110">
        <v>345243.71</v>
      </c>
      <c r="AQ360" s="110">
        <v>266465.21000000002</v>
      </c>
      <c r="AR360" s="110">
        <v>62252.82</v>
      </c>
      <c r="AS360" s="110">
        <v>-136.96</v>
      </c>
      <c r="AT360" s="110">
        <v>0</v>
      </c>
      <c r="AU360" s="110">
        <v>0</v>
      </c>
      <c r="AV360" s="110">
        <v>0</v>
      </c>
      <c r="AW360" s="110">
        <v>0</v>
      </c>
      <c r="AX360" s="110">
        <v>0</v>
      </c>
      <c r="AY360" s="110">
        <v>0</v>
      </c>
      <c r="AZ360" s="110">
        <v>0</v>
      </c>
      <c r="BA360" s="110">
        <v>0</v>
      </c>
    </row>
    <row r="361" spans="1:53" s="102" customFormat="1" outlineLevel="2">
      <c r="A361" s="102" t="s">
        <v>1058</v>
      </c>
      <c r="B361" s="103" t="s">
        <v>1059</v>
      </c>
      <c r="C361" s="104" t="s">
        <v>1060</v>
      </c>
      <c r="D361" s="298"/>
      <c r="E361" s="299"/>
      <c r="F361" s="105">
        <v>103397.48</v>
      </c>
      <c r="G361" s="105">
        <v>56736.06</v>
      </c>
      <c r="H361" s="106">
        <f t="shared" si="82"/>
        <v>46661.42</v>
      </c>
      <c r="I361" s="300">
        <f t="shared" si="83"/>
        <v>0.82242968581180997</v>
      </c>
      <c r="J361" s="107"/>
      <c r="K361" s="105">
        <v>423233.95</v>
      </c>
      <c r="L361" s="105">
        <v>220558.18</v>
      </c>
      <c r="M361" s="106">
        <f t="shared" si="94"/>
        <v>202675.77000000002</v>
      </c>
      <c r="N361" s="300">
        <f t="shared" si="95"/>
        <v>0.9189220277388942</v>
      </c>
      <c r="O361" s="301"/>
      <c r="P361" s="107"/>
      <c r="Q361" s="105">
        <v>423233.95</v>
      </c>
      <c r="R361" s="105">
        <v>220558.18</v>
      </c>
      <c r="S361" s="106">
        <f t="shared" si="86"/>
        <v>202675.77000000002</v>
      </c>
      <c r="T361" s="300">
        <f t="shared" si="87"/>
        <v>0.9189220277388942</v>
      </c>
      <c r="U361" s="107"/>
      <c r="V361" s="105">
        <v>1230389.53</v>
      </c>
      <c r="W361" s="105">
        <v>1360047.8099999998</v>
      </c>
      <c r="X361" s="106">
        <f t="shared" si="88"/>
        <v>-129658.2799999998</v>
      </c>
      <c r="Y361" s="300">
        <f t="shared" si="89"/>
        <v>-9.5333619190931099E-2</v>
      </c>
      <c r="Z361" s="302"/>
      <c r="AA361" s="108">
        <v>195188.04</v>
      </c>
      <c r="AB361" s="109"/>
      <c r="AC361" s="110">
        <v>79587.430000000008</v>
      </c>
      <c r="AD361" s="110">
        <v>84234.69</v>
      </c>
      <c r="AE361" s="110">
        <v>56736.06</v>
      </c>
      <c r="AF361" s="110">
        <v>70568.23</v>
      </c>
      <c r="AG361" s="110">
        <v>83135.91</v>
      </c>
      <c r="AH361" s="110">
        <v>54776.41</v>
      </c>
      <c r="AI361" s="110">
        <v>90770.42</v>
      </c>
      <c r="AJ361" s="110">
        <v>69734.720000000001</v>
      </c>
      <c r="AK361" s="110">
        <v>150509.21</v>
      </c>
      <c r="AL361" s="110">
        <v>43780.79</v>
      </c>
      <c r="AM361" s="110">
        <v>109339.82</v>
      </c>
      <c r="AN361" s="110">
        <v>134540.07</v>
      </c>
      <c r="AO361" s="109"/>
      <c r="AP361" s="110">
        <v>92025.47</v>
      </c>
      <c r="AQ361" s="110">
        <v>227811</v>
      </c>
      <c r="AR361" s="110">
        <v>103397.48</v>
      </c>
      <c r="AS361" s="110">
        <v>2616.79</v>
      </c>
      <c r="AT361" s="110">
        <v>0</v>
      </c>
      <c r="AU361" s="110">
        <v>0</v>
      </c>
      <c r="AV361" s="110">
        <v>0</v>
      </c>
      <c r="AW361" s="110">
        <v>0</v>
      </c>
      <c r="AX361" s="110">
        <v>0</v>
      </c>
      <c r="AY361" s="110">
        <v>0</v>
      </c>
      <c r="AZ361" s="110">
        <v>0</v>
      </c>
      <c r="BA361" s="110">
        <v>0</v>
      </c>
    </row>
    <row r="362" spans="1:53" s="102" customFormat="1" outlineLevel="2">
      <c r="A362" s="102" t="s">
        <v>1061</v>
      </c>
      <c r="B362" s="103" t="s">
        <v>1062</v>
      </c>
      <c r="C362" s="104" t="s">
        <v>1063</v>
      </c>
      <c r="D362" s="298"/>
      <c r="E362" s="299"/>
      <c r="F362" s="105">
        <v>0</v>
      </c>
      <c r="G362" s="105">
        <v>0</v>
      </c>
      <c r="H362" s="106">
        <f t="shared" si="82"/>
        <v>0</v>
      </c>
      <c r="I362" s="300">
        <f t="shared" si="83"/>
        <v>0</v>
      </c>
      <c r="J362" s="107"/>
      <c r="K362" s="105">
        <v>0</v>
      </c>
      <c r="L362" s="105">
        <v>0</v>
      </c>
      <c r="M362" s="106">
        <f t="shared" si="94"/>
        <v>0</v>
      </c>
      <c r="N362" s="300">
        <f t="shared" si="95"/>
        <v>0</v>
      </c>
      <c r="O362" s="301"/>
      <c r="P362" s="107"/>
      <c r="Q362" s="105">
        <v>0</v>
      </c>
      <c r="R362" s="105">
        <v>0</v>
      </c>
      <c r="S362" s="106">
        <f t="shared" si="86"/>
        <v>0</v>
      </c>
      <c r="T362" s="300">
        <f t="shared" si="87"/>
        <v>0</v>
      </c>
      <c r="U362" s="107"/>
      <c r="V362" s="105">
        <v>-25.82</v>
      </c>
      <c r="W362" s="105">
        <v>0</v>
      </c>
      <c r="X362" s="106">
        <f t="shared" si="88"/>
        <v>-25.82</v>
      </c>
      <c r="Y362" s="300" t="str">
        <f t="shared" si="89"/>
        <v>N.M.</v>
      </c>
      <c r="Z362" s="302"/>
      <c r="AA362" s="108">
        <v>0</v>
      </c>
      <c r="AB362" s="109"/>
      <c r="AC362" s="110">
        <v>0</v>
      </c>
      <c r="AD362" s="110">
        <v>0</v>
      </c>
      <c r="AE362" s="110">
        <v>0</v>
      </c>
      <c r="AF362" s="110">
        <v>0</v>
      </c>
      <c r="AG362" s="110">
        <v>0</v>
      </c>
      <c r="AH362" s="110">
        <v>0</v>
      </c>
      <c r="AI362" s="110">
        <v>0</v>
      </c>
      <c r="AJ362" s="110">
        <v>35.56</v>
      </c>
      <c r="AK362" s="110">
        <v>-58.99</v>
      </c>
      <c r="AL362" s="110">
        <v>-2.39</v>
      </c>
      <c r="AM362" s="110">
        <v>0</v>
      </c>
      <c r="AN362" s="110">
        <v>0</v>
      </c>
      <c r="AO362" s="109"/>
      <c r="AP362" s="110">
        <v>0</v>
      </c>
      <c r="AQ362" s="110">
        <v>0</v>
      </c>
      <c r="AR362" s="110">
        <v>0</v>
      </c>
      <c r="AS362" s="110">
        <v>0</v>
      </c>
      <c r="AT362" s="110">
        <v>0</v>
      </c>
      <c r="AU362" s="110">
        <v>0</v>
      </c>
      <c r="AV362" s="110">
        <v>0</v>
      </c>
      <c r="AW362" s="110">
        <v>0</v>
      </c>
      <c r="AX362" s="110">
        <v>0</v>
      </c>
      <c r="AY362" s="110">
        <v>0</v>
      </c>
      <c r="AZ362" s="110">
        <v>0</v>
      </c>
      <c r="BA362" s="110">
        <v>0</v>
      </c>
    </row>
    <row r="363" spans="1:53" outlineLevel="1">
      <c r="A363" s="111" t="s">
        <v>1064</v>
      </c>
      <c r="B363" s="331"/>
      <c r="C363" s="332" t="s">
        <v>1065</v>
      </c>
      <c r="D363" s="342"/>
      <c r="E363" s="342"/>
      <c r="F363" s="333">
        <v>1236946.6100000003</v>
      </c>
      <c r="G363" s="333">
        <v>1418864.36</v>
      </c>
      <c r="H363" s="133">
        <f t="shared" si="82"/>
        <v>-181917.74999999977</v>
      </c>
      <c r="I363" s="138">
        <f t="shared" si="83"/>
        <v>-0.12821362994839039</v>
      </c>
      <c r="J363" s="157"/>
      <c r="K363" s="333">
        <v>4943638.5100000007</v>
      </c>
      <c r="L363" s="333">
        <v>3768524.9900000007</v>
      </c>
      <c r="M363" s="133">
        <f t="shared" si="94"/>
        <v>1175113.52</v>
      </c>
      <c r="N363" s="138">
        <f t="shared" si="95"/>
        <v>0.31182319955904014</v>
      </c>
      <c r="O363" s="353"/>
      <c r="P363" s="344"/>
      <c r="Q363" s="333">
        <v>4943638.5100000007</v>
      </c>
      <c r="R363" s="333">
        <v>3768524.9900000007</v>
      </c>
      <c r="S363" s="133">
        <f t="shared" si="86"/>
        <v>1175113.52</v>
      </c>
      <c r="T363" s="138">
        <f t="shared" si="87"/>
        <v>0.31182319955904014</v>
      </c>
      <c r="U363" s="344"/>
      <c r="V363" s="333">
        <v>23472385.502999999</v>
      </c>
      <c r="W363" s="333">
        <v>18547410.425000001</v>
      </c>
      <c r="X363" s="133">
        <f t="shared" si="88"/>
        <v>4924975.0779999979</v>
      </c>
      <c r="Y363" s="137">
        <f t="shared" si="89"/>
        <v>0.26553437731456236</v>
      </c>
      <c r="Z363" s="111"/>
      <c r="AA363" s="139">
        <v>2224778.86</v>
      </c>
      <c r="AB363" s="346"/>
      <c r="AC363" s="333">
        <v>1292170.8500000001</v>
      </c>
      <c r="AD363" s="333">
        <v>1057489.78</v>
      </c>
      <c r="AE363" s="333">
        <v>1418864.36</v>
      </c>
      <c r="AF363" s="333">
        <v>1110048.6629999999</v>
      </c>
      <c r="AG363" s="333">
        <v>1099488.99</v>
      </c>
      <c r="AH363" s="333">
        <v>1125600.0399999998</v>
      </c>
      <c r="AI363" s="333">
        <v>1119673.75</v>
      </c>
      <c r="AJ363" s="333">
        <v>1116002.4000000001</v>
      </c>
      <c r="AK363" s="333">
        <v>2353423.5</v>
      </c>
      <c r="AL363" s="333">
        <v>3434004.43</v>
      </c>
      <c r="AM363" s="333">
        <v>3128615.3400000008</v>
      </c>
      <c r="AN363" s="333">
        <v>4041889.88</v>
      </c>
      <c r="AO363" s="346"/>
      <c r="AP363" s="333">
        <v>2327803.89</v>
      </c>
      <c r="AQ363" s="333">
        <v>1378888.01</v>
      </c>
      <c r="AR363" s="333">
        <v>1236946.6100000003</v>
      </c>
      <c r="AS363" s="333">
        <v>-79427.130000000019</v>
      </c>
      <c r="AT363" s="333">
        <v>0</v>
      </c>
      <c r="AU363" s="333">
        <v>0</v>
      </c>
      <c r="AV363" s="333">
        <v>0</v>
      </c>
      <c r="AW363" s="333">
        <v>0</v>
      </c>
      <c r="AX363" s="333">
        <v>0</v>
      </c>
      <c r="AY363" s="333">
        <v>0</v>
      </c>
      <c r="AZ363" s="333">
        <v>0</v>
      </c>
      <c r="BA363" s="333">
        <v>0</v>
      </c>
    </row>
    <row r="364" spans="1:53" ht="0.75" customHeight="1" outlineLevel="2">
      <c r="B364" s="331"/>
      <c r="C364" s="332"/>
      <c r="D364" s="342"/>
      <c r="E364" s="342"/>
      <c r="F364" s="333"/>
      <c r="G364" s="333"/>
      <c r="H364" s="333"/>
      <c r="I364" s="343"/>
      <c r="J364" s="157"/>
      <c r="K364" s="333"/>
      <c r="L364" s="333"/>
      <c r="M364" s="133"/>
      <c r="N364" s="138"/>
      <c r="O364" s="353"/>
      <c r="P364" s="344"/>
      <c r="Q364" s="333"/>
      <c r="R364" s="333"/>
      <c r="S364" s="333"/>
      <c r="T364" s="343"/>
      <c r="U364" s="344"/>
      <c r="V364" s="333"/>
      <c r="W364" s="333"/>
      <c r="X364" s="333"/>
      <c r="Y364" s="345"/>
      <c r="Z364" s="111"/>
      <c r="AA364" s="139"/>
      <c r="AB364" s="346"/>
      <c r="AC364" s="333"/>
      <c r="AD364" s="333"/>
      <c r="AE364" s="333"/>
      <c r="AF364" s="333"/>
      <c r="AG364" s="333"/>
      <c r="AH364" s="333"/>
      <c r="AI364" s="333"/>
      <c r="AJ364" s="333"/>
      <c r="AK364" s="333"/>
      <c r="AL364" s="333"/>
      <c r="AM364" s="333"/>
      <c r="AN364" s="333"/>
      <c r="AO364" s="346"/>
      <c r="AP364" s="333"/>
      <c r="AQ364" s="333"/>
      <c r="AR364" s="333"/>
      <c r="AS364" s="333"/>
      <c r="AT364" s="333"/>
      <c r="AU364" s="333"/>
      <c r="AV364" s="333"/>
      <c r="AW364" s="333"/>
      <c r="AX364" s="333"/>
      <c r="AY364" s="333"/>
      <c r="AZ364" s="333"/>
      <c r="BA364" s="333"/>
    </row>
    <row r="365" spans="1:53" outlineLevel="1">
      <c r="A365" s="111" t="s">
        <v>1066</v>
      </c>
      <c r="B365" s="331"/>
      <c r="C365" s="332" t="s">
        <v>1067</v>
      </c>
      <c r="D365" s="342"/>
      <c r="E365" s="342"/>
      <c r="F365" s="333">
        <v>0</v>
      </c>
      <c r="G365" s="333">
        <v>0</v>
      </c>
      <c r="H365" s="133">
        <f>+F365-G365</f>
        <v>0</v>
      </c>
      <c r="I365" s="138">
        <f>IF(G365&lt;0,IF(H365=0,0,IF(OR(G365=0,F365=0),"N.M.",IF(ABS(H365/G365)&gt;=10,"N.M.",H365/(-G365)))),IF(H365=0,0,IF(OR(G365=0,F365=0),"N.M.",IF(ABS(H365/G365)&gt;=10,"N.M.",H365/G365))))</f>
        <v>0</v>
      </c>
      <c r="J365" s="157"/>
      <c r="K365" s="333">
        <v>0</v>
      </c>
      <c r="L365" s="333">
        <v>0</v>
      </c>
      <c r="M365" s="133">
        <f>+K365-L365</f>
        <v>0</v>
      </c>
      <c r="N365" s="138">
        <f>IF(L365&lt;0,IF(M365=0,0,IF(OR(L365=0,K365=0),"N.M.",IF(ABS(M365/L365)&gt;=10,"N.M.",M365/(-L365)))),IF(M365=0,0,IF(OR(L365=0,K365=0),"N.M.",IF(ABS(M365/L365)&gt;=10,"N.M.",M365/L365))))</f>
        <v>0</v>
      </c>
      <c r="O365" s="353"/>
      <c r="P365" s="344"/>
      <c r="Q365" s="333">
        <v>0</v>
      </c>
      <c r="R365" s="333">
        <v>0</v>
      </c>
      <c r="S365" s="133">
        <f>+Q365-R365</f>
        <v>0</v>
      </c>
      <c r="T365" s="138">
        <f>IF(R365&lt;0,IF(S365=0,0,IF(OR(R365=0,Q365=0),"N.M.",IF(ABS(S365/R365)&gt;=10,"N.M.",S365/(-R365)))),IF(S365=0,0,IF(OR(R365=0,Q365=0),"N.M.",IF(ABS(S365/R365)&gt;=10,"N.M.",S365/R365))))</f>
        <v>0</v>
      </c>
      <c r="U365" s="344"/>
      <c r="V365" s="333">
        <v>0</v>
      </c>
      <c r="W365" s="333">
        <v>0</v>
      </c>
      <c r="X365" s="133">
        <f>+V365-W365</f>
        <v>0</v>
      </c>
      <c r="Y365" s="137">
        <f>IF(W365&lt;0,IF(X365=0,0,IF(OR(W365=0,V365=0),"N.M.",IF(ABS(X365/W365)&gt;=10,"N.M.",X365/(-W365)))),IF(X365=0,0,IF(OR(W365=0,V365=0),"N.M.",IF(ABS(X365/W365)&gt;=10,"N.M.",X365/W365))))</f>
        <v>0</v>
      </c>
      <c r="Z365" s="111"/>
      <c r="AA365" s="139">
        <v>0</v>
      </c>
      <c r="AB365" s="346"/>
      <c r="AC365" s="333">
        <v>0</v>
      </c>
      <c r="AD365" s="333">
        <v>0</v>
      </c>
      <c r="AE365" s="333">
        <v>0</v>
      </c>
      <c r="AF365" s="333">
        <v>0</v>
      </c>
      <c r="AG365" s="333">
        <v>0</v>
      </c>
      <c r="AH365" s="333">
        <v>0</v>
      </c>
      <c r="AI365" s="333">
        <v>0</v>
      </c>
      <c r="AJ365" s="333">
        <v>0</v>
      </c>
      <c r="AK365" s="333">
        <v>0</v>
      </c>
      <c r="AL365" s="333">
        <v>0</v>
      </c>
      <c r="AM365" s="333">
        <v>0</v>
      </c>
      <c r="AN365" s="333">
        <v>0</v>
      </c>
      <c r="AO365" s="346"/>
      <c r="AP365" s="333">
        <v>0</v>
      </c>
      <c r="AQ365" s="333">
        <v>0</v>
      </c>
      <c r="AR365" s="333">
        <v>0</v>
      </c>
      <c r="AS365" s="333">
        <v>0</v>
      </c>
      <c r="AT365" s="333">
        <v>0</v>
      </c>
      <c r="AU365" s="333">
        <v>0</v>
      </c>
      <c r="AV365" s="333">
        <v>0</v>
      </c>
      <c r="AW365" s="333">
        <v>0</v>
      </c>
      <c r="AX365" s="333">
        <v>0</v>
      </c>
      <c r="AY365" s="333">
        <v>0</v>
      </c>
      <c r="AZ365" s="333">
        <v>0</v>
      </c>
      <c r="BA365" s="333">
        <v>0</v>
      </c>
    </row>
    <row r="366" spans="1:53" ht="0.75" customHeight="1" outlineLevel="2">
      <c r="B366" s="331"/>
      <c r="C366" s="332"/>
      <c r="D366" s="342"/>
      <c r="E366" s="342"/>
      <c r="F366" s="333"/>
      <c r="G366" s="333"/>
      <c r="H366" s="333"/>
      <c r="I366" s="343"/>
      <c r="J366" s="157"/>
      <c r="K366" s="333"/>
      <c r="L366" s="333"/>
      <c r="M366" s="333"/>
      <c r="N366" s="138"/>
      <c r="O366" s="353"/>
      <c r="P366" s="344"/>
      <c r="Q366" s="333"/>
      <c r="R366" s="333"/>
      <c r="S366" s="333"/>
      <c r="T366" s="343"/>
      <c r="U366" s="344"/>
      <c r="V366" s="333"/>
      <c r="W366" s="333"/>
      <c r="X366" s="333"/>
      <c r="Y366" s="345"/>
      <c r="Z366" s="111"/>
      <c r="AA366" s="139"/>
      <c r="AB366" s="346"/>
      <c r="AC366" s="333"/>
      <c r="AD366" s="333"/>
      <c r="AE366" s="333"/>
      <c r="AF366" s="333"/>
      <c r="AG366" s="333"/>
      <c r="AH366" s="333"/>
      <c r="AI366" s="333"/>
      <c r="AJ366" s="333"/>
      <c r="AK366" s="333"/>
      <c r="AL366" s="333"/>
      <c r="AM366" s="333"/>
      <c r="AN366" s="333"/>
      <c r="AO366" s="346"/>
      <c r="AP366" s="333"/>
      <c r="AQ366" s="333"/>
      <c r="AR366" s="333"/>
      <c r="AS366" s="333"/>
      <c r="AT366" s="333"/>
      <c r="AU366" s="333"/>
      <c r="AV366" s="333"/>
      <c r="AW366" s="333"/>
      <c r="AX366" s="333"/>
      <c r="AY366" s="333"/>
      <c r="AZ366" s="333"/>
      <c r="BA366" s="333"/>
    </row>
    <row r="367" spans="1:53" outlineLevel="1">
      <c r="A367" s="111" t="s">
        <v>1068</v>
      </c>
      <c r="B367" s="331"/>
      <c r="C367" s="332" t="s">
        <v>1069</v>
      </c>
      <c r="D367" s="342"/>
      <c r="E367" s="342"/>
      <c r="F367" s="333">
        <v>0</v>
      </c>
      <c r="G367" s="333">
        <v>0</v>
      </c>
      <c r="H367" s="133">
        <f>+F367-G367</f>
        <v>0</v>
      </c>
      <c r="I367" s="138">
        <f>IF(G367&lt;0,IF(H367=0,0,IF(OR(G367=0,F367=0),"N.M.",IF(ABS(H367/G367)&gt;=10,"N.M.",H367/(-G367)))),IF(H367=0,0,IF(OR(G367=0,F367=0),"N.M.",IF(ABS(H367/G367)&gt;=10,"N.M.",H367/G367))))</f>
        <v>0</v>
      </c>
      <c r="J367" s="157"/>
      <c r="K367" s="333">
        <v>0</v>
      </c>
      <c r="L367" s="333">
        <v>0</v>
      </c>
      <c r="M367" s="133">
        <f>+K367-L367</f>
        <v>0</v>
      </c>
      <c r="N367" s="138">
        <f>IF(L367&lt;0,IF(M367=0,0,IF(OR(L367=0,K367=0),"N.M.",IF(ABS(M367/L367)&gt;=10,"N.M.",M367/(-L367)))),IF(M367=0,0,IF(OR(L367=0,K367=0),"N.M.",IF(ABS(M367/L367)&gt;=10,"N.M.",M367/L367))))</f>
        <v>0</v>
      </c>
      <c r="O367" s="353"/>
      <c r="P367" s="344"/>
      <c r="Q367" s="333">
        <v>0</v>
      </c>
      <c r="R367" s="333">
        <v>0</v>
      </c>
      <c r="S367" s="133">
        <f>+Q367-R367</f>
        <v>0</v>
      </c>
      <c r="T367" s="138">
        <f>IF(R367&lt;0,IF(S367=0,0,IF(OR(R367=0,Q367=0),"N.M.",IF(ABS(S367/R367)&gt;=10,"N.M.",S367/(-R367)))),IF(S367=0,0,IF(OR(R367=0,Q367=0),"N.M.",IF(ABS(S367/R367)&gt;=10,"N.M.",S367/R367))))</f>
        <v>0</v>
      </c>
      <c r="U367" s="344"/>
      <c r="V367" s="333">
        <v>0</v>
      </c>
      <c r="W367" s="333">
        <v>0</v>
      </c>
      <c r="X367" s="133">
        <f>+V367-W367</f>
        <v>0</v>
      </c>
      <c r="Y367" s="137">
        <f>IF(W367&lt;0,IF(X367=0,0,IF(OR(W367=0,V367=0),"N.M.",IF(ABS(X367/W367)&gt;=10,"N.M.",X367/(-W367)))),IF(X367=0,0,IF(OR(W367=0,V367=0),"N.M.",IF(ABS(X367/W367)&gt;=10,"N.M.",X367/W367))))</f>
        <v>0</v>
      </c>
      <c r="Z367" s="111"/>
      <c r="AA367" s="139">
        <v>0</v>
      </c>
      <c r="AB367" s="346"/>
      <c r="AC367" s="333">
        <v>0</v>
      </c>
      <c r="AD367" s="333">
        <v>0</v>
      </c>
      <c r="AE367" s="333">
        <v>0</v>
      </c>
      <c r="AF367" s="333">
        <v>0</v>
      </c>
      <c r="AG367" s="333">
        <v>0</v>
      </c>
      <c r="AH367" s="333">
        <v>0</v>
      </c>
      <c r="AI367" s="333">
        <v>0</v>
      </c>
      <c r="AJ367" s="333">
        <v>0</v>
      </c>
      <c r="AK367" s="333">
        <v>0</v>
      </c>
      <c r="AL367" s="333">
        <v>0</v>
      </c>
      <c r="AM367" s="333">
        <v>0</v>
      </c>
      <c r="AN367" s="333">
        <v>0</v>
      </c>
      <c r="AO367" s="346"/>
      <c r="AP367" s="333">
        <v>0</v>
      </c>
      <c r="AQ367" s="333">
        <v>0</v>
      </c>
      <c r="AR367" s="333">
        <v>0</v>
      </c>
      <c r="AS367" s="333">
        <v>0</v>
      </c>
      <c r="AT367" s="333">
        <v>0</v>
      </c>
      <c r="AU367" s="333">
        <v>0</v>
      </c>
      <c r="AV367" s="333">
        <v>0</v>
      </c>
      <c r="AW367" s="333">
        <v>0</v>
      </c>
      <c r="AX367" s="333">
        <v>0</v>
      </c>
      <c r="AY367" s="333">
        <v>0</v>
      </c>
      <c r="AZ367" s="333">
        <v>0</v>
      </c>
      <c r="BA367" s="333">
        <v>0</v>
      </c>
    </row>
    <row r="368" spans="1:53" ht="0.75" customHeight="1" outlineLevel="2">
      <c r="B368" s="331"/>
      <c r="C368" s="332"/>
      <c r="D368" s="342"/>
      <c r="E368" s="342"/>
      <c r="F368" s="333"/>
      <c r="G368" s="333"/>
      <c r="H368" s="333"/>
      <c r="I368" s="343"/>
      <c r="J368" s="157"/>
      <c r="K368" s="333"/>
      <c r="L368" s="333"/>
      <c r="M368" s="333"/>
      <c r="N368" s="138"/>
      <c r="O368" s="353"/>
      <c r="P368" s="344"/>
      <c r="Q368" s="333"/>
      <c r="R368" s="333"/>
      <c r="S368" s="333"/>
      <c r="T368" s="343"/>
      <c r="U368" s="344"/>
      <c r="V368" s="333"/>
      <c r="W368" s="333"/>
      <c r="X368" s="333"/>
      <c r="Y368" s="345"/>
      <c r="Z368" s="111"/>
      <c r="AA368" s="139"/>
      <c r="AB368" s="346"/>
      <c r="AC368" s="333"/>
      <c r="AD368" s="333"/>
      <c r="AE368" s="333"/>
      <c r="AF368" s="333"/>
      <c r="AG368" s="333"/>
      <c r="AH368" s="333"/>
      <c r="AI368" s="333"/>
      <c r="AJ368" s="333"/>
      <c r="AK368" s="333"/>
      <c r="AL368" s="333"/>
      <c r="AM368" s="333"/>
      <c r="AN368" s="333"/>
      <c r="AO368" s="346"/>
      <c r="AP368" s="333"/>
      <c r="AQ368" s="333"/>
      <c r="AR368" s="333"/>
      <c r="AS368" s="333"/>
      <c r="AT368" s="333"/>
      <c r="AU368" s="333"/>
      <c r="AV368" s="333"/>
      <c r="AW368" s="333"/>
      <c r="AX368" s="333"/>
      <c r="AY368" s="333"/>
      <c r="AZ368" s="333"/>
      <c r="BA368" s="333"/>
    </row>
    <row r="369" spans="1:53" s="102" customFormat="1" outlineLevel="2">
      <c r="A369" s="102" t="s">
        <v>1731</v>
      </c>
      <c r="B369" s="103" t="s">
        <v>1732</v>
      </c>
      <c r="C369" s="104" t="s">
        <v>1733</v>
      </c>
      <c r="D369" s="298"/>
      <c r="E369" s="299"/>
      <c r="F369" s="105">
        <v>0</v>
      </c>
      <c r="G369" s="105">
        <v>0</v>
      </c>
      <c r="H369" s="106">
        <f>+F369-G369</f>
        <v>0</v>
      </c>
      <c r="I369" s="300">
        <f>IF(G369&lt;0,IF(H369=0,0,IF(OR(G369=0,F369=0),"N.M.",IF(ABS(H369/G369)&gt;=10,"N.M.",H369/(-G369)))),IF(H369=0,0,IF(OR(G369=0,F369=0),"N.M.",IF(ABS(H369/G369)&gt;=10,"N.M.",H369/G369))))</f>
        <v>0</v>
      </c>
      <c r="J369" s="107"/>
      <c r="K369" s="105">
        <v>0</v>
      </c>
      <c r="L369" s="105">
        <v>0</v>
      </c>
      <c r="M369" s="106">
        <f>+K369-L369</f>
        <v>0</v>
      </c>
      <c r="N369" s="300">
        <f>IF(L369&lt;0,IF(M369=0,0,IF(OR(L369=0,K369=0),"N.M.",IF(ABS(M369/L369)&gt;=10,"N.M.",M369/(-L369)))),IF(M369=0,0,IF(OR(L369=0,K369=0),"N.M.",IF(ABS(M369/L369)&gt;=10,"N.M.",M369/L369))))</f>
        <v>0</v>
      </c>
      <c r="O369" s="301"/>
      <c r="P369" s="107"/>
      <c r="Q369" s="105">
        <v>0</v>
      </c>
      <c r="R369" s="105">
        <v>0</v>
      </c>
      <c r="S369" s="106">
        <f>+Q369-R369</f>
        <v>0</v>
      </c>
      <c r="T369" s="300">
        <f>IF(R369&lt;0,IF(S369=0,0,IF(OR(R369=0,Q369=0),"N.M.",IF(ABS(S369/R369)&gt;=10,"N.M.",S369/(-R369)))),IF(S369=0,0,IF(OR(R369=0,Q369=0),"N.M.",IF(ABS(S369/R369)&gt;=10,"N.M.",S369/R369))))</f>
        <v>0</v>
      </c>
      <c r="U369" s="107"/>
      <c r="V369" s="105">
        <v>0</v>
      </c>
      <c r="W369" s="105">
        <v>0</v>
      </c>
      <c r="X369" s="106">
        <f>+V369-W369</f>
        <v>0</v>
      </c>
      <c r="Y369" s="300">
        <f>IF(W369&lt;0,IF(X369=0,0,IF(OR(W369=0,V369=0),"N.M.",IF(ABS(X369/W369)&gt;=10,"N.M.",X369/(-W369)))),IF(X369=0,0,IF(OR(W369=0,V369=0),"N.M.",IF(ABS(X369/W369)&gt;=10,"N.M.",X369/W369))))</f>
        <v>0</v>
      </c>
      <c r="Z369" s="302"/>
      <c r="AA369" s="108">
        <v>0</v>
      </c>
      <c r="AB369" s="109"/>
      <c r="AC369" s="110">
        <v>0</v>
      </c>
      <c r="AD369" s="110">
        <v>0</v>
      </c>
      <c r="AE369" s="110">
        <v>0</v>
      </c>
      <c r="AF369" s="110">
        <v>0</v>
      </c>
      <c r="AG369" s="110">
        <v>0</v>
      </c>
      <c r="AH369" s="110">
        <v>0</v>
      </c>
      <c r="AI369" s="110">
        <v>0</v>
      </c>
      <c r="AJ369" s="110">
        <v>0</v>
      </c>
      <c r="AK369" s="110">
        <v>-301.95</v>
      </c>
      <c r="AL369" s="110">
        <v>301.95</v>
      </c>
      <c r="AM369" s="110">
        <v>0</v>
      </c>
      <c r="AN369" s="110">
        <v>0</v>
      </c>
      <c r="AO369" s="109"/>
      <c r="AP369" s="110">
        <v>0</v>
      </c>
      <c r="AQ369" s="110">
        <v>0</v>
      </c>
      <c r="AR369" s="110">
        <v>0</v>
      </c>
      <c r="AS369" s="110">
        <v>0</v>
      </c>
      <c r="AT369" s="110">
        <v>0</v>
      </c>
      <c r="AU369" s="110">
        <v>0</v>
      </c>
      <c r="AV369" s="110">
        <v>0</v>
      </c>
      <c r="AW369" s="110">
        <v>0</v>
      </c>
      <c r="AX369" s="110">
        <v>0</v>
      </c>
      <c r="AY369" s="110">
        <v>0</v>
      </c>
      <c r="AZ369" s="110">
        <v>0</v>
      </c>
      <c r="BA369" s="110">
        <v>0</v>
      </c>
    </row>
    <row r="370" spans="1:53" outlineLevel="1">
      <c r="A370" s="111" t="s">
        <v>1070</v>
      </c>
      <c r="B370" s="331"/>
      <c r="C370" s="332" t="s">
        <v>1071</v>
      </c>
      <c r="D370" s="342"/>
      <c r="E370" s="342"/>
      <c r="F370" s="333">
        <v>0</v>
      </c>
      <c r="G370" s="333">
        <v>0</v>
      </c>
      <c r="H370" s="133">
        <f>+F370-G370</f>
        <v>0</v>
      </c>
      <c r="I370" s="138">
        <f>IF(G370&lt;0,IF(H370=0,0,IF(OR(G370=0,F370=0),"N.M.",IF(ABS(H370/G370)&gt;=10,"N.M.",H370/(-G370)))),IF(H370=0,0,IF(OR(G370=0,F370=0),"N.M.",IF(ABS(H370/G370)&gt;=10,"N.M.",H370/G370))))</f>
        <v>0</v>
      </c>
      <c r="J370" s="157"/>
      <c r="K370" s="333">
        <v>0</v>
      </c>
      <c r="L370" s="333">
        <v>0</v>
      </c>
      <c r="M370" s="133">
        <f>+K370-L370</f>
        <v>0</v>
      </c>
      <c r="N370" s="138">
        <f>IF(L370&lt;0,IF(M370=0,0,IF(OR(L370=0,K370=0),"N.M.",IF(ABS(M370/L370)&gt;=10,"N.M.",M370/(-L370)))),IF(M370=0,0,IF(OR(L370=0,K370=0),"N.M.",IF(ABS(M370/L370)&gt;=10,"N.M.",M370/L370))))</f>
        <v>0</v>
      </c>
      <c r="O370" s="353"/>
      <c r="P370" s="344"/>
      <c r="Q370" s="333">
        <v>0</v>
      </c>
      <c r="R370" s="333">
        <v>0</v>
      </c>
      <c r="S370" s="133">
        <f>+Q370-R370</f>
        <v>0</v>
      </c>
      <c r="T370" s="138">
        <f>IF(R370&lt;0,IF(S370=0,0,IF(OR(R370=0,Q370=0),"N.M.",IF(ABS(S370/R370)&gt;=10,"N.M.",S370/(-R370)))),IF(S370=0,0,IF(OR(R370=0,Q370=0),"N.M.",IF(ABS(S370/R370)&gt;=10,"N.M.",S370/R370))))</f>
        <v>0</v>
      </c>
      <c r="U370" s="344"/>
      <c r="V370" s="333">
        <v>0</v>
      </c>
      <c r="W370" s="333">
        <v>0</v>
      </c>
      <c r="X370" s="133">
        <f>+V370-W370</f>
        <v>0</v>
      </c>
      <c r="Y370" s="137">
        <f>IF(W370&lt;0,IF(X370=0,0,IF(OR(W370=0,V370=0),"N.M.",IF(ABS(X370/W370)&gt;=10,"N.M.",X370/(-W370)))),IF(X370=0,0,IF(OR(W370=0,V370=0),"N.M.",IF(ABS(X370/W370)&gt;=10,"N.M.",X370/W370))))</f>
        <v>0</v>
      </c>
      <c r="Z370" s="111"/>
      <c r="AA370" s="139">
        <v>0</v>
      </c>
      <c r="AB370" s="346"/>
      <c r="AC370" s="333">
        <v>0</v>
      </c>
      <c r="AD370" s="333">
        <v>0</v>
      </c>
      <c r="AE370" s="333">
        <v>0</v>
      </c>
      <c r="AF370" s="333">
        <v>0</v>
      </c>
      <c r="AG370" s="333">
        <v>0</v>
      </c>
      <c r="AH370" s="333">
        <v>0</v>
      </c>
      <c r="AI370" s="333">
        <v>0</v>
      </c>
      <c r="AJ370" s="333">
        <v>0</v>
      </c>
      <c r="AK370" s="333">
        <v>-301.95</v>
      </c>
      <c r="AL370" s="333">
        <v>301.95</v>
      </c>
      <c r="AM370" s="333">
        <v>0</v>
      </c>
      <c r="AN370" s="333">
        <v>0</v>
      </c>
      <c r="AO370" s="346"/>
      <c r="AP370" s="333">
        <v>0</v>
      </c>
      <c r="AQ370" s="333">
        <v>0</v>
      </c>
      <c r="AR370" s="333">
        <v>0</v>
      </c>
      <c r="AS370" s="333">
        <v>0</v>
      </c>
      <c r="AT370" s="333">
        <v>0</v>
      </c>
      <c r="AU370" s="333">
        <v>0</v>
      </c>
      <c r="AV370" s="333">
        <v>0</v>
      </c>
      <c r="AW370" s="333">
        <v>0</v>
      </c>
      <c r="AX370" s="333">
        <v>0</v>
      </c>
      <c r="AY370" s="333">
        <v>0</v>
      </c>
      <c r="AZ370" s="333">
        <v>0</v>
      </c>
      <c r="BA370" s="333">
        <v>0</v>
      </c>
    </row>
    <row r="371" spans="1:53" ht="0.75" customHeight="1" outlineLevel="2">
      <c r="B371" s="331"/>
      <c r="C371" s="332"/>
      <c r="D371" s="342"/>
      <c r="E371" s="342"/>
      <c r="F371" s="333"/>
      <c r="G371" s="333"/>
      <c r="H371" s="333"/>
      <c r="I371" s="343"/>
      <c r="J371" s="157"/>
      <c r="K371" s="333"/>
      <c r="L371" s="333"/>
      <c r="M371" s="333"/>
      <c r="N371" s="138"/>
      <c r="O371" s="353"/>
      <c r="P371" s="344"/>
      <c r="Q371" s="333"/>
      <c r="R371" s="333"/>
      <c r="S371" s="333"/>
      <c r="T371" s="343"/>
      <c r="U371" s="344"/>
      <c r="V371" s="333"/>
      <c r="W371" s="333"/>
      <c r="X371" s="333"/>
      <c r="Y371" s="345"/>
      <c r="Z371" s="111"/>
      <c r="AA371" s="139"/>
      <c r="AB371" s="346"/>
      <c r="AC371" s="333"/>
      <c r="AD371" s="333"/>
      <c r="AE371" s="333"/>
      <c r="AF371" s="333"/>
      <c r="AG371" s="333"/>
      <c r="AH371" s="333"/>
      <c r="AI371" s="333"/>
      <c r="AJ371" s="333"/>
      <c r="AK371" s="333"/>
      <c r="AL371" s="333"/>
      <c r="AM371" s="333"/>
      <c r="AN371" s="333"/>
      <c r="AO371" s="346"/>
      <c r="AP371" s="333"/>
      <c r="AQ371" s="333"/>
      <c r="AR371" s="333"/>
      <c r="AS371" s="333"/>
      <c r="AT371" s="333"/>
      <c r="AU371" s="333"/>
      <c r="AV371" s="333"/>
      <c r="AW371" s="333"/>
      <c r="AX371" s="333"/>
      <c r="AY371" s="333"/>
      <c r="AZ371" s="333"/>
      <c r="BA371" s="333"/>
    </row>
    <row r="372" spans="1:53" outlineLevel="1">
      <c r="A372" s="111" t="s">
        <v>1072</v>
      </c>
      <c r="B372" s="331"/>
      <c r="C372" s="332" t="s">
        <v>1073</v>
      </c>
      <c r="D372" s="342"/>
      <c r="E372" s="342"/>
      <c r="F372" s="333">
        <v>0</v>
      </c>
      <c r="G372" s="333">
        <v>0</v>
      </c>
      <c r="H372" s="133">
        <f>+F372-G372</f>
        <v>0</v>
      </c>
      <c r="I372" s="138">
        <f>IF(G372&lt;0,IF(H372=0,0,IF(OR(G372=0,F372=0),"N.M.",IF(ABS(H372/G372)&gt;=10,"N.M.",H372/(-G372)))),IF(H372=0,0,IF(OR(G372=0,F372=0),"N.M.",IF(ABS(H372/G372)&gt;=10,"N.M.",H372/G372))))</f>
        <v>0</v>
      </c>
      <c r="J372" s="157"/>
      <c r="K372" s="333">
        <v>0</v>
      </c>
      <c r="L372" s="333">
        <v>0</v>
      </c>
      <c r="M372" s="133">
        <f>+K372-L372</f>
        <v>0</v>
      </c>
      <c r="N372" s="138">
        <f>IF(L372&lt;0,IF(M372=0,0,IF(OR(L372=0,K372=0),"N.M.",IF(ABS(M372/L372)&gt;=10,"N.M.",M372/(-L372)))),IF(M372=0,0,IF(OR(L372=0,K372=0),"N.M.",IF(ABS(M372/L372)&gt;=10,"N.M.",M372/L372))))</f>
        <v>0</v>
      </c>
      <c r="O372" s="353"/>
      <c r="P372" s="344"/>
      <c r="Q372" s="333">
        <v>0</v>
      </c>
      <c r="R372" s="333">
        <v>0</v>
      </c>
      <c r="S372" s="133">
        <f>+Q372-R372</f>
        <v>0</v>
      </c>
      <c r="T372" s="138">
        <f>IF(R372&lt;0,IF(S372=0,0,IF(OR(R372=0,Q372=0),"N.M.",IF(ABS(S372/R372)&gt;=10,"N.M.",S372/(-R372)))),IF(S372=0,0,IF(OR(R372=0,Q372=0),"N.M.",IF(ABS(S372/R372)&gt;=10,"N.M.",S372/R372))))</f>
        <v>0</v>
      </c>
      <c r="U372" s="344"/>
      <c r="V372" s="333">
        <v>0</v>
      </c>
      <c r="W372" s="333">
        <v>0</v>
      </c>
      <c r="X372" s="133">
        <f>+V372-W372</f>
        <v>0</v>
      </c>
      <c r="Y372" s="137">
        <f>IF(W372&lt;0,IF(X372=0,0,IF(OR(W372=0,V372=0),"N.M.",IF(ABS(X372/W372)&gt;=10,"N.M.",X372/(-W372)))),IF(X372=0,0,IF(OR(W372=0,V372=0),"N.M.",IF(ABS(X372/W372)&gt;=10,"N.M.",X372/W372))))</f>
        <v>0</v>
      </c>
      <c r="Z372" s="111"/>
      <c r="AA372" s="139">
        <v>0</v>
      </c>
      <c r="AB372" s="346"/>
      <c r="AC372" s="333">
        <v>0</v>
      </c>
      <c r="AD372" s="333">
        <v>0</v>
      </c>
      <c r="AE372" s="333">
        <v>0</v>
      </c>
      <c r="AF372" s="333">
        <v>0</v>
      </c>
      <c r="AG372" s="333">
        <v>0</v>
      </c>
      <c r="AH372" s="333">
        <v>0</v>
      </c>
      <c r="AI372" s="333">
        <v>0</v>
      </c>
      <c r="AJ372" s="333">
        <v>0</v>
      </c>
      <c r="AK372" s="333">
        <v>0</v>
      </c>
      <c r="AL372" s="333">
        <v>0</v>
      </c>
      <c r="AM372" s="333">
        <v>0</v>
      </c>
      <c r="AN372" s="333">
        <v>0</v>
      </c>
      <c r="AO372" s="346"/>
      <c r="AP372" s="333">
        <v>0</v>
      </c>
      <c r="AQ372" s="333">
        <v>0</v>
      </c>
      <c r="AR372" s="333">
        <v>0</v>
      </c>
      <c r="AS372" s="333">
        <v>0</v>
      </c>
      <c r="AT372" s="333">
        <v>0</v>
      </c>
      <c r="AU372" s="333">
        <v>0</v>
      </c>
      <c r="AV372" s="333">
        <v>0</v>
      </c>
      <c r="AW372" s="333">
        <v>0</v>
      </c>
      <c r="AX372" s="333">
        <v>0</v>
      </c>
      <c r="AY372" s="333">
        <v>0</v>
      </c>
      <c r="AZ372" s="333">
        <v>0</v>
      </c>
      <c r="BA372" s="333">
        <v>0</v>
      </c>
    </row>
    <row r="373" spans="1:53" ht="0.75" customHeight="1" outlineLevel="2">
      <c r="B373" s="331"/>
      <c r="C373" s="332"/>
      <c r="D373" s="342"/>
      <c r="E373" s="342"/>
      <c r="F373" s="333"/>
      <c r="G373" s="333"/>
      <c r="H373" s="333"/>
      <c r="I373" s="343"/>
      <c r="J373" s="157"/>
      <c r="K373" s="333"/>
      <c r="L373" s="333"/>
      <c r="M373" s="333"/>
      <c r="N373" s="138"/>
      <c r="O373" s="353"/>
      <c r="P373" s="344"/>
      <c r="Q373" s="333"/>
      <c r="R373" s="333"/>
      <c r="S373" s="333"/>
      <c r="T373" s="343"/>
      <c r="U373" s="344"/>
      <c r="V373" s="333"/>
      <c r="W373" s="333"/>
      <c r="X373" s="333"/>
      <c r="Y373" s="345"/>
      <c r="Z373" s="111"/>
      <c r="AA373" s="139"/>
      <c r="AB373" s="346"/>
      <c r="AC373" s="333"/>
      <c r="AD373" s="333"/>
      <c r="AE373" s="333"/>
      <c r="AF373" s="333"/>
      <c r="AG373" s="333"/>
      <c r="AH373" s="333"/>
      <c r="AI373" s="333"/>
      <c r="AJ373" s="333"/>
      <c r="AK373" s="333"/>
      <c r="AL373" s="333"/>
      <c r="AM373" s="333"/>
      <c r="AN373" s="333"/>
      <c r="AO373" s="346"/>
      <c r="AP373" s="333"/>
      <c r="AQ373" s="333"/>
      <c r="AR373" s="333"/>
      <c r="AS373" s="333"/>
      <c r="AT373" s="333"/>
      <c r="AU373" s="333"/>
      <c r="AV373" s="333"/>
      <c r="AW373" s="333"/>
      <c r="AX373" s="333"/>
      <c r="AY373" s="333"/>
      <c r="AZ373" s="333"/>
      <c r="BA373" s="333"/>
    </row>
    <row r="374" spans="1:53" s="102" customFormat="1" outlineLevel="2">
      <c r="A374" s="102" t="s">
        <v>1074</v>
      </c>
      <c r="B374" s="103" t="s">
        <v>1075</v>
      </c>
      <c r="C374" s="104" t="s">
        <v>1042</v>
      </c>
      <c r="D374" s="298"/>
      <c r="E374" s="299"/>
      <c r="F374" s="105">
        <v>139.19</v>
      </c>
      <c r="G374" s="105">
        <v>425.17</v>
      </c>
      <c r="H374" s="106">
        <f t="shared" ref="H374:H383" si="96">+F374-G374</f>
        <v>-285.98</v>
      </c>
      <c r="I374" s="300">
        <f t="shared" ref="I374:I383" si="97">IF(G374&lt;0,IF(H374=0,0,IF(OR(G374=0,F374=0),"N.M.",IF(ABS(H374/G374)&gt;=10,"N.M.",H374/(-G374)))),IF(H374=0,0,IF(OR(G374=0,F374=0),"N.M.",IF(ABS(H374/G374)&gt;=10,"N.M.",H374/G374))))</f>
        <v>-0.67262506762001084</v>
      </c>
      <c r="J374" s="107"/>
      <c r="K374" s="105">
        <v>1030.01</v>
      </c>
      <c r="L374" s="105">
        <v>974.55000000000007</v>
      </c>
      <c r="M374" s="106">
        <f t="shared" ref="M374:M383" si="98">+K374-L374</f>
        <v>55.459999999999923</v>
      </c>
      <c r="N374" s="300">
        <f t="shared" ref="N374:N383" si="99">IF(L374&lt;0,IF(M374=0,0,IF(OR(L374=0,K374=0),"N.M.",IF(ABS(M374/L374)&gt;=10,"N.M.",M374/(-L374)))),IF(M374=0,0,IF(OR(L374=0,K374=0),"N.M.",IF(ABS(M374/L374)&gt;=10,"N.M.",M374/L374))))</f>
        <v>5.6908316658970726E-2</v>
      </c>
      <c r="O374" s="301"/>
      <c r="P374" s="107"/>
      <c r="Q374" s="105">
        <v>1030.01</v>
      </c>
      <c r="R374" s="105">
        <v>974.55000000000007</v>
      </c>
      <c r="S374" s="106">
        <f t="shared" ref="S374:S383" si="100">+Q374-R374</f>
        <v>55.459999999999923</v>
      </c>
      <c r="T374" s="300">
        <f t="shared" ref="T374:T383" si="101">IF(R374&lt;0,IF(S374=0,0,IF(OR(R374=0,Q374=0),"N.M.",IF(ABS(S374/R374)&gt;=10,"N.M.",S374/(-R374)))),IF(S374=0,0,IF(OR(R374=0,Q374=0),"N.M.",IF(ABS(S374/R374)&gt;=10,"N.M.",S374/R374))))</f>
        <v>5.6908316658970726E-2</v>
      </c>
      <c r="U374" s="107"/>
      <c r="V374" s="105">
        <v>1574.65</v>
      </c>
      <c r="W374" s="105">
        <v>3100.53</v>
      </c>
      <c r="X374" s="106">
        <f t="shared" ref="X374:X383" si="102">+V374-W374</f>
        <v>-1525.88</v>
      </c>
      <c r="Y374" s="300">
        <f t="shared" ref="Y374:Y383" si="103">IF(W374&lt;0,IF(X374=0,0,IF(OR(W374=0,V374=0),"N.M.",IF(ABS(X374/W374)&gt;=10,"N.M.",X374/(-W374)))),IF(X374=0,0,IF(OR(W374=0,V374=0),"N.M.",IF(ABS(X374/W374)&gt;=10,"N.M.",X374/W374))))</f>
        <v>-0.49213521559217294</v>
      </c>
      <c r="Z374" s="302"/>
      <c r="AA374" s="108">
        <v>-112.92</v>
      </c>
      <c r="AB374" s="109"/>
      <c r="AC374" s="110">
        <v>575.1</v>
      </c>
      <c r="AD374" s="110">
        <v>-25.72</v>
      </c>
      <c r="AE374" s="110">
        <v>425.17</v>
      </c>
      <c r="AF374" s="110">
        <v>137.75</v>
      </c>
      <c r="AG374" s="110">
        <v>71.25</v>
      </c>
      <c r="AH374" s="110">
        <v>-210.37</v>
      </c>
      <c r="AI374" s="110">
        <v>-30.07</v>
      </c>
      <c r="AJ374" s="110">
        <v>12.44</v>
      </c>
      <c r="AK374" s="110">
        <v>593.62</v>
      </c>
      <c r="AL374" s="110">
        <v>26.22</v>
      </c>
      <c r="AM374" s="110">
        <v>-106.41</v>
      </c>
      <c r="AN374" s="110">
        <v>50.21</v>
      </c>
      <c r="AO374" s="109"/>
      <c r="AP374" s="110">
        <v>869.24</v>
      </c>
      <c r="AQ374" s="110">
        <v>21.580000000000002</v>
      </c>
      <c r="AR374" s="110">
        <v>139.19</v>
      </c>
      <c r="AS374" s="110">
        <v>0</v>
      </c>
      <c r="AT374" s="110">
        <v>0</v>
      </c>
      <c r="AU374" s="110">
        <v>0</v>
      </c>
      <c r="AV374" s="110">
        <v>0</v>
      </c>
      <c r="AW374" s="110">
        <v>0</v>
      </c>
      <c r="AX374" s="110">
        <v>0</v>
      </c>
      <c r="AY374" s="110">
        <v>0</v>
      </c>
      <c r="AZ374" s="110">
        <v>0</v>
      </c>
      <c r="BA374" s="110">
        <v>0</v>
      </c>
    </row>
    <row r="375" spans="1:53" s="102" customFormat="1" outlineLevel="2">
      <c r="A375" s="102" t="s">
        <v>1076</v>
      </c>
      <c r="B375" s="103" t="s">
        <v>1077</v>
      </c>
      <c r="C375" s="104" t="s">
        <v>1045</v>
      </c>
      <c r="D375" s="298"/>
      <c r="E375" s="299"/>
      <c r="F375" s="105">
        <v>88.99</v>
      </c>
      <c r="G375" s="105">
        <v>1234.1300000000001</v>
      </c>
      <c r="H375" s="106">
        <f t="shared" si="96"/>
        <v>-1145.1400000000001</v>
      </c>
      <c r="I375" s="300">
        <f t="shared" si="97"/>
        <v>-0.92789252347807771</v>
      </c>
      <c r="J375" s="107"/>
      <c r="K375" s="105">
        <v>1256.07</v>
      </c>
      <c r="L375" s="105">
        <v>2623.67</v>
      </c>
      <c r="M375" s="106">
        <f t="shared" si="98"/>
        <v>-1367.6000000000001</v>
      </c>
      <c r="N375" s="300">
        <f t="shared" si="99"/>
        <v>-0.52125457851025481</v>
      </c>
      <c r="O375" s="301"/>
      <c r="P375" s="107"/>
      <c r="Q375" s="105">
        <v>1256.07</v>
      </c>
      <c r="R375" s="105">
        <v>2623.67</v>
      </c>
      <c r="S375" s="106">
        <f t="shared" si="100"/>
        <v>-1367.6000000000001</v>
      </c>
      <c r="T375" s="300">
        <f t="shared" si="101"/>
        <v>-0.52125457851025481</v>
      </c>
      <c r="U375" s="107"/>
      <c r="V375" s="105">
        <v>8246.75</v>
      </c>
      <c r="W375" s="105">
        <v>7344.85</v>
      </c>
      <c r="X375" s="106">
        <f t="shared" si="102"/>
        <v>901.89999999999964</v>
      </c>
      <c r="Y375" s="300">
        <f t="shared" si="103"/>
        <v>0.1227935219915995</v>
      </c>
      <c r="Z375" s="302"/>
      <c r="AA375" s="108">
        <v>13.450000000000001</v>
      </c>
      <c r="AB375" s="109"/>
      <c r="AC375" s="110">
        <v>182.68</v>
      </c>
      <c r="AD375" s="110">
        <v>1206.8600000000001</v>
      </c>
      <c r="AE375" s="110">
        <v>1234.1300000000001</v>
      </c>
      <c r="AF375" s="110">
        <v>896.33</v>
      </c>
      <c r="AG375" s="110">
        <v>-32.93</v>
      </c>
      <c r="AH375" s="110">
        <v>543.25</v>
      </c>
      <c r="AI375" s="110">
        <v>869.26</v>
      </c>
      <c r="AJ375" s="110">
        <v>2412.5300000000002</v>
      </c>
      <c r="AK375" s="110">
        <v>455.21000000000004</v>
      </c>
      <c r="AL375" s="110">
        <v>630.28</v>
      </c>
      <c r="AM375" s="110">
        <v>83.61</v>
      </c>
      <c r="AN375" s="110">
        <v>1133.1400000000001</v>
      </c>
      <c r="AO375" s="109"/>
      <c r="AP375" s="110">
        <v>130.62</v>
      </c>
      <c r="AQ375" s="110">
        <v>1036.46</v>
      </c>
      <c r="AR375" s="110">
        <v>88.99</v>
      </c>
      <c r="AS375" s="110">
        <v>0</v>
      </c>
      <c r="AT375" s="110">
        <v>0</v>
      </c>
      <c r="AU375" s="110">
        <v>0</v>
      </c>
      <c r="AV375" s="110">
        <v>0</v>
      </c>
      <c r="AW375" s="110">
        <v>0</v>
      </c>
      <c r="AX375" s="110">
        <v>0</v>
      </c>
      <c r="AY375" s="110">
        <v>0</v>
      </c>
      <c r="AZ375" s="110">
        <v>0</v>
      </c>
      <c r="BA375" s="110">
        <v>0</v>
      </c>
    </row>
    <row r="376" spans="1:53" s="102" customFormat="1" outlineLevel="2">
      <c r="A376" s="102" t="s">
        <v>1078</v>
      </c>
      <c r="B376" s="103" t="s">
        <v>1079</v>
      </c>
      <c r="C376" s="104" t="s">
        <v>1080</v>
      </c>
      <c r="D376" s="298"/>
      <c r="E376" s="299"/>
      <c r="F376" s="105">
        <v>1151.07</v>
      </c>
      <c r="G376" s="105">
        <v>487.51</v>
      </c>
      <c r="H376" s="106">
        <f t="shared" si="96"/>
        <v>663.56</v>
      </c>
      <c r="I376" s="300">
        <f t="shared" si="97"/>
        <v>1.361120797522102</v>
      </c>
      <c r="J376" s="107"/>
      <c r="K376" s="105">
        <v>2779.92</v>
      </c>
      <c r="L376" s="105">
        <v>1469.66</v>
      </c>
      <c r="M376" s="106">
        <f t="shared" si="98"/>
        <v>1310.26</v>
      </c>
      <c r="N376" s="300">
        <f t="shared" si="99"/>
        <v>0.89153953975749489</v>
      </c>
      <c r="O376" s="301"/>
      <c r="P376" s="107"/>
      <c r="Q376" s="105">
        <v>2779.92</v>
      </c>
      <c r="R376" s="105">
        <v>1469.66</v>
      </c>
      <c r="S376" s="106">
        <f t="shared" si="100"/>
        <v>1310.26</v>
      </c>
      <c r="T376" s="300">
        <f t="shared" si="101"/>
        <v>0.89153953975749489</v>
      </c>
      <c r="U376" s="107"/>
      <c r="V376" s="105">
        <v>6063.6</v>
      </c>
      <c r="W376" s="105">
        <v>5085.21</v>
      </c>
      <c r="X376" s="106">
        <f t="shared" si="102"/>
        <v>978.39000000000033</v>
      </c>
      <c r="Y376" s="300">
        <f t="shared" si="103"/>
        <v>0.1923991339590696</v>
      </c>
      <c r="Z376" s="302"/>
      <c r="AA376" s="108">
        <v>172.72</v>
      </c>
      <c r="AB376" s="109"/>
      <c r="AC376" s="110">
        <v>613.98</v>
      </c>
      <c r="AD376" s="110">
        <v>368.17</v>
      </c>
      <c r="AE376" s="110">
        <v>487.51</v>
      </c>
      <c r="AF376" s="110">
        <v>179.64000000000001</v>
      </c>
      <c r="AG376" s="110">
        <v>601.04</v>
      </c>
      <c r="AH376" s="110">
        <v>928.09</v>
      </c>
      <c r="AI376" s="110">
        <v>-504.18</v>
      </c>
      <c r="AJ376" s="110">
        <v>457.82</v>
      </c>
      <c r="AK376" s="110">
        <v>298.59000000000003</v>
      </c>
      <c r="AL376" s="110">
        <v>480.53000000000003</v>
      </c>
      <c r="AM376" s="110">
        <v>228.11</v>
      </c>
      <c r="AN376" s="110">
        <v>614.04</v>
      </c>
      <c r="AO376" s="109"/>
      <c r="AP376" s="110">
        <v>935.22</v>
      </c>
      <c r="AQ376" s="110">
        <v>693.63</v>
      </c>
      <c r="AR376" s="110">
        <v>1151.07</v>
      </c>
      <c r="AS376" s="110">
        <v>0</v>
      </c>
      <c r="AT376" s="110">
        <v>0</v>
      </c>
      <c r="AU376" s="110">
        <v>0</v>
      </c>
      <c r="AV376" s="110">
        <v>0</v>
      </c>
      <c r="AW376" s="110">
        <v>0</v>
      </c>
      <c r="AX376" s="110">
        <v>0</v>
      </c>
      <c r="AY376" s="110">
        <v>0</v>
      </c>
      <c r="AZ376" s="110">
        <v>0</v>
      </c>
      <c r="BA376" s="110">
        <v>0</v>
      </c>
    </row>
    <row r="377" spans="1:53" s="102" customFormat="1" outlineLevel="2">
      <c r="A377" s="102" t="s">
        <v>1081</v>
      </c>
      <c r="B377" s="103" t="s">
        <v>1082</v>
      </c>
      <c r="C377" s="104" t="s">
        <v>1083</v>
      </c>
      <c r="D377" s="298"/>
      <c r="E377" s="299"/>
      <c r="F377" s="105">
        <v>15116.550000000001</v>
      </c>
      <c r="G377" s="105">
        <v>13770.43</v>
      </c>
      <c r="H377" s="106">
        <f t="shared" si="96"/>
        <v>1346.1200000000008</v>
      </c>
      <c r="I377" s="300">
        <f t="shared" si="97"/>
        <v>9.7754391111969693E-2</v>
      </c>
      <c r="J377" s="107"/>
      <c r="K377" s="105">
        <v>45231.79</v>
      </c>
      <c r="L377" s="105">
        <v>31829.63</v>
      </c>
      <c r="M377" s="106">
        <f t="shared" si="98"/>
        <v>13402.16</v>
      </c>
      <c r="N377" s="300">
        <f t="shared" si="99"/>
        <v>0.42105924574052539</v>
      </c>
      <c r="O377" s="301"/>
      <c r="P377" s="107"/>
      <c r="Q377" s="105">
        <v>45231.79</v>
      </c>
      <c r="R377" s="105">
        <v>31829.63</v>
      </c>
      <c r="S377" s="106">
        <f t="shared" si="100"/>
        <v>13402.16</v>
      </c>
      <c r="T377" s="300">
        <f t="shared" si="101"/>
        <v>0.42105924574052539</v>
      </c>
      <c r="U377" s="107"/>
      <c r="V377" s="105">
        <v>145501.08000000002</v>
      </c>
      <c r="W377" s="105">
        <v>104875.13</v>
      </c>
      <c r="X377" s="106">
        <f t="shared" si="102"/>
        <v>40625.950000000012</v>
      </c>
      <c r="Y377" s="300">
        <f t="shared" si="103"/>
        <v>0.38737449002447016</v>
      </c>
      <c r="Z377" s="302"/>
      <c r="AA377" s="108">
        <v>11959.85</v>
      </c>
      <c r="AB377" s="109"/>
      <c r="AC377" s="110">
        <v>5201.68</v>
      </c>
      <c r="AD377" s="110">
        <v>12857.52</v>
      </c>
      <c r="AE377" s="110">
        <v>13770.43</v>
      </c>
      <c r="AF377" s="110">
        <v>10563.31</v>
      </c>
      <c r="AG377" s="110">
        <v>10530.24</v>
      </c>
      <c r="AH377" s="110">
        <v>12576.27</v>
      </c>
      <c r="AI377" s="110">
        <v>9393.880000000001</v>
      </c>
      <c r="AJ377" s="110">
        <v>15041.34</v>
      </c>
      <c r="AK377" s="110">
        <v>9313.7900000000009</v>
      </c>
      <c r="AL377" s="110">
        <v>12725.800000000001</v>
      </c>
      <c r="AM377" s="110">
        <v>10621.52</v>
      </c>
      <c r="AN377" s="110">
        <v>9503.14</v>
      </c>
      <c r="AO377" s="109"/>
      <c r="AP377" s="110">
        <v>14984.57</v>
      </c>
      <c r="AQ377" s="110">
        <v>15130.67</v>
      </c>
      <c r="AR377" s="110">
        <v>15116.550000000001</v>
      </c>
      <c r="AS377" s="110">
        <v>0</v>
      </c>
      <c r="AT377" s="110">
        <v>0</v>
      </c>
      <c r="AU377" s="110">
        <v>0</v>
      </c>
      <c r="AV377" s="110">
        <v>0</v>
      </c>
      <c r="AW377" s="110">
        <v>0</v>
      </c>
      <c r="AX377" s="110">
        <v>0</v>
      </c>
      <c r="AY377" s="110">
        <v>0</v>
      </c>
      <c r="AZ377" s="110">
        <v>0</v>
      </c>
      <c r="BA377" s="110">
        <v>0</v>
      </c>
    </row>
    <row r="378" spans="1:53" s="102" customFormat="1" outlineLevel="2">
      <c r="A378" s="102" t="s">
        <v>1084</v>
      </c>
      <c r="B378" s="103" t="s">
        <v>1085</v>
      </c>
      <c r="C378" s="104" t="s">
        <v>1086</v>
      </c>
      <c r="D378" s="298"/>
      <c r="E378" s="299"/>
      <c r="F378" s="105">
        <v>2003.39</v>
      </c>
      <c r="G378" s="105">
        <v>1744.8400000000001</v>
      </c>
      <c r="H378" s="106">
        <f t="shared" si="96"/>
        <v>258.54999999999995</v>
      </c>
      <c r="I378" s="300">
        <f t="shared" si="97"/>
        <v>0.14817977579606148</v>
      </c>
      <c r="J378" s="107"/>
      <c r="K378" s="105">
        <v>6685.41</v>
      </c>
      <c r="L378" s="105">
        <v>5836.25</v>
      </c>
      <c r="M378" s="106">
        <f t="shared" si="98"/>
        <v>849.15999999999985</v>
      </c>
      <c r="N378" s="300">
        <f t="shared" si="99"/>
        <v>0.14549753694581277</v>
      </c>
      <c r="O378" s="301"/>
      <c r="P378" s="107"/>
      <c r="Q378" s="105">
        <v>6685.41</v>
      </c>
      <c r="R378" s="105">
        <v>5836.25</v>
      </c>
      <c r="S378" s="106">
        <f t="shared" si="100"/>
        <v>849.15999999999985</v>
      </c>
      <c r="T378" s="300">
        <f t="shared" si="101"/>
        <v>0.14549753694581277</v>
      </c>
      <c r="U378" s="107"/>
      <c r="V378" s="105">
        <v>2558.13</v>
      </c>
      <c r="W378" s="105">
        <v>4098.92</v>
      </c>
      <c r="X378" s="106">
        <f t="shared" si="102"/>
        <v>-1540.79</v>
      </c>
      <c r="Y378" s="300">
        <f t="shared" si="103"/>
        <v>-0.37590145696915284</v>
      </c>
      <c r="Z378" s="302"/>
      <c r="AA378" s="108">
        <v>-6698.53</v>
      </c>
      <c r="AB378" s="109"/>
      <c r="AC378" s="110">
        <v>4386.8</v>
      </c>
      <c r="AD378" s="110">
        <v>-295.39</v>
      </c>
      <c r="AE378" s="110">
        <v>1744.8400000000001</v>
      </c>
      <c r="AF378" s="110">
        <v>24.810000000000002</v>
      </c>
      <c r="AG378" s="110">
        <v>-458.26</v>
      </c>
      <c r="AH378" s="110">
        <v>562.77</v>
      </c>
      <c r="AI378" s="110">
        <v>-5006.42</v>
      </c>
      <c r="AJ378" s="110">
        <v>1826.67</v>
      </c>
      <c r="AK378" s="110">
        <v>1080.56</v>
      </c>
      <c r="AL378" s="110">
        <v>841.32</v>
      </c>
      <c r="AM378" s="110">
        <v>864.37</v>
      </c>
      <c r="AN378" s="110">
        <v>-3863.1</v>
      </c>
      <c r="AO378" s="109"/>
      <c r="AP378" s="110">
        <v>3649.36</v>
      </c>
      <c r="AQ378" s="110">
        <v>1032.6600000000001</v>
      </c>
      <c r="AR378" s="110">
        <v>2003.39</v>
      </c>
      <c r="AS378" s="110">
        <v>0</v>
      </c>
      <c r="AT378" s="110">
        <v>0</v>
      </c>
      <c r="AU378" s="110">
        <v>0</v>
      </c>
      <c r="AV378" s="110">
        <v>0</v>
      </c>
      <c r="AW378" s="110">
        <v>0</v>
      </c>
      <c r="AX378" s="110">
        <v>0</v>
      </c>
      <c r="AY378" s="110">
        <v>0</v>
      </c>
      <c r="AZ378" s="110">
        <v>0</v>
      </c>
      <c r="BA378" s="110">
        <v>0</v>
      </c>
    </row>
    <row r="379" spans="1:53" s="102" customFormat="1" outlineLevel="2">
      <c r="A379" s="102" t="s">
        <v>1087</v>
      </c>
      <c r="B379" s="103" t="s">
        <v>1088</v>
      </c>
      <c r="C379" s="104" t="s">
        <v>1089</v>
      </c>
      <c r="D379" s="298"/>
      <c r="E379" s="299"/>
      <c r="F379" s="105">
        <v>68472.960000000006</v>
      </c>
      <c r="G379" s="105">
        <v>70702.41</v>
      </c>
      <c r="H379" s="106">
        <f t="shared" si="96"/>
        <v>-2229.4499999999971</v>
      </c>
      <c r="I379" s="300">
        <f t="shared" si="97"/>
        <v>-3.1532871368882574E-2</v>
      </c>
      <c r="J379" s="107"/>
      <c r="K379" s="105">
        <v>244585.30000000002</v>
      </c>
      <c r="L379" s="105">
        <v>155763.97899999999</v>
      </c>
      <c r="M379" s="106">
        <f t="shared" si="98"/>
        <v>88821.321000000025</v>
      </c>
      <c r="N379" s="300">
        <f t="shared" si="99"/>
        <v>0.57023017497517847</v>
      </c>
      <c r="O379" s="301"/>
      <c r="P379" s="107"/>
      <c r="Q379" s="105">
        <v>244585.30000000002</v>
      </c>
      <c r="R379" s="105">
        <v>155763.97899999999</v>
      </c>
      <c r="S379" s="106">
        <f t="shared" si="100"/>
        <v>88821.321000000025</v>
      </c>
      <c r="T379" s="300">
        <f t="shared" si="101"/>
        <v>0.57023017497517847</v>
      </c>
      <c r="U379" s="107"/>
      <c r="V379" s="105">
        <v>643167.69200000004</v>
      </c>
      <c r="W379" s="105">
        <v>516439.489</v>
      </c>
      <c r="X379" s="106">
        <f t="shared" si="102"/>
        <v>126728.20300000004</v>
      </c>
      <c r="Y379" s="300">
        <f t="shared" si="103"/>
        <v>0.24538828981762864</v>
      </c>
      <c r="Z379" s="302"/>
      <c r="AA379" s="108">
        <v>23938.639999999999</v>
      </c>
      <c r="AB379" s="109"/>
      <c r="AC379" s="110">
        <v>32829.569000000003</v>
      </c>
      <c r="AD379" s="110">
        <v>52232</v>
      </c>
      <c r="AE379" s="110">
        <v>70702.41</v>
      </c>
      <c r="AF379" s="110">
        <v>97202.462</v>
      </c>
      <c r="AG379" s="110">
        <v>73552.98</v>
      </c>
      <c r="AH379" s="110">
        <v>44952.04</v>
      </c>
      <c r="AI379" s="110">
        <v>22032.240000000002</v>
      </c>
      <c r="AJ379" s="110">
        <v>33687.26</v>
      </c>
      <c r="AK379" s="110">
        <v>14581.710000000001</v>
      </c>
      <c r="AL379" s="110">
        <v>59787.75</v>
      </c>
      <c r="AM379" s="110">
        <v>9432.5300000000007</v>
      </c>
      <c r="AN379" s="110">
        <v>43353.42</v>
      </c>
      <c r="AO379" s="109"/>
      <c r="AP379" s="110">
        <v>64173.43</v>
      </c>
      <c r="AQ379" s="110">
        <v>111938.91</v>
      </c>
      <c r="AR379" s="110">
        <v>68472.960000000006</v>
      </c>
      <c r="AS379" s="110">
        <v>0</v>
      </c>
      <c r="AT379" s="110">
        <v>0</v>
      </c>
      <c r="AU379" s="110">
        <v>0</v>
      </c>
      <c r="AV379" s="110">
        <v>0</v>
      </c>
      <c r="AW379" s="110">
        <v>0</v>
      </c>
      <c r="AX379" s="110">
        <v>0</v>
      </c>
      <c r="AY379" s="110">
        <v>0</v>
      </c>
      <c r="AZ379" s="110">
        <v>0</v>
      </c>
      <c r="BA379" s="110">
        <v>0</v>
      </c>
    </row>
    <row r="380" spans="1:53" s="102" customFormat="1" outlineLevel="2">
      <c r="A380" s="102" t="s">
        <v>1090</v>
      </c>
      <c r="B380" s="103" t="s">
        <v>1091</v>
      </c>
      <c r="C380" s="104" t="s">
        <v>1092</v>
      </c>
      <c r="D380" s="298"/>
      <c r="E380" s="299"/>
      <c r="F380" s="105">
        <v>436377.67</v>
      </c>
      <c r="G380" s="105">
        <v>418118.68</v>
      </c>
      <c r="H380" s="106">
        <f t="shared" si="96"/>
        <v>18258.989999999991</v>
      </c>
      <c r="I380" s="300">
        <f t="shared" si="97"/>
        <v>4.3669395493164745E-2</v>
      </c>
      <c r="J380" s="107"/>
      <c r="K380" s="105">
        <v>1223819.1299999999</v>
      </c>
      <c r="L380" s="105">
        <v>1220836.54</v>
      </c>
      <c r="M380" s="106">
        <f t="shared" si="98"/>
        <v>2982.589999999851</v>
      </c>
      <c r="N380" s="300">
        <f t="shared" si="99"/>
        <v>2.4430707160844408E-3</v>
      </c>
      <c r="O380" s="301"/>
      <c r="P380" s="107"/>
      <c r="Q380" s="105">
        <v>1223819.1299999999</v>
      </c>
      <c r="R380" s="105">
        <v>1220836.54</v>
      </c>
      <c r="S380" s="106">
        <f t="shared" si="100"/>
        <v>2982.589999999851</v>
      </c>
      <c r="T380" s="300">
        <f t="shared" si="101"/>
        <v>2.4430707160844408E-3</v>
      </c>
      <c r="U380" s="107"/>
      <c r="V380" s="105">
        <v>5445751.04</v>
      </c>
      <c r="W380" s="105">
        <v>7024398.8399999999</v>
      </c>
      <c r="X380" s="106">
        <f t="shared" si="102"/>
        <v>-1578647.7999999998</v>
      </c>
      <c r="Y380" s="300">
        <f t="shared" si="103"/>
        <v>-0.22473777983825302</v>
      </c>
      <c r="Z380" s="302"/>
      <c r="AA380" s="108">
        <v>253795.96</v>
      </c>
      <c r="AB380" s="109"/>
      <c r="AC380" s="110">
        <v>354653.63</v>
      </c>
      <c r="AD380" s="110">
        <v>448064.23</v>
      </c>
      <c r="AE380" s="110">
        <v>418118.68</v>
      </c>
      <c r="AF380" s="110">
        <v>396532.18</v>
      </c>
      <c r="AG380" s="110">
        <v>244121.68</v>
      </c>
      <c r="AH380" s="110">
        <v>468499.25</v>
      </c>
      <c r="AI380" s="110">
        <v>677499.81</v>
      </c>
      <c r="AJ380" s="110">
        <v>790544.84</v>
      </c>
      <c r="AK380" s="110">
        <v>138545.76</v>
      </c>
      <c r="AL380" s="110">
        <v>253020.2</v>
      </c>
      <c r="AM380" s="110">
        <v>1029331.75</v>
      </c>
      <c r="AN380" s="110">
        <v>223836.44</v>
      </c>
      <c r="AO380" s="109"/>
      <c r="AP380" s="110">
        <v>234504.92</v>
      </c>
      <c r="AQ380" s="110">
        <v>552936.54</v>
      </c>
      <c r="AR380" s="110">
        <v>436377.67</v>
      </c>
      <c r="AS380" s="110">
        <v>-290781.81</v>
      </c>
      <c r="AT380" s="110">
        <v>0</v>
      </c>
      <c r="AU380" s="110">
        <v>0</v>
      </c>
      <c r="AV380" s="110">
        <v>0</v>
      </c>
      <c r="AW380" s="110">
        <v>0</v>
      </c>
      <c r="AX380" s="110">
        <v>0</v>
      </c>
      <c r="AY380" s="110">
        <v>0</v>
      </c>
      <c r="AZ380" s="110">
        <v>0</v>
      </c>
      <c r="BA380" s="110">
        <v>0</v>
      </c>
    </row>
    <row r="381" spans="1:53" s="102" customFormat="1" outlineLevel="2">
      <c r="A381" s="102" t="s">
        <v>1093</v>
      </c>
      <c r="B381" s="103" t="s">
        <v>1094</v>
      </c>
      <c r="C381" s="104" t="s">
        <v>1095</v>
      </c>
      <c r="D381" s="298"/>
      <c r="E381" s="299"/>
      <c r="F381" s="105">
        <v>136.84</v>
      </c>
      <c r="G381" s="105">
        <v>221.1</v>
      </c>
      <c r="H381" s="106">
        <f t="shared" si="96"/>
        <v>-84.259999999999991</v>
      </c>
      <c r="I381" s="300">
        <f t="shared" si="97"/>
        <v>-0.38109452736318405</v>
      </c>
      <c r="J381" s="107"/>
      <c r="K381" s="105">
        <v>456.77</v>
      </c>
      <c r="L381" s="105">
        <v>302.40000000000003</v>
      </c>
      <c r="M381" s="106">
        <f t="shared" si="98"/>
        <v>154.36999999999995</v>
      </c>
      <c r="N381" s="300">
        <f t="shared" si="99"/>
        <v>0.51048280423280401</v>
      </c>
      <c r="O381" s="301"/>
      <c r="P381" s="107"/>
      <c r="Q381" s="105">
        <v>456.77</v>
      </c>
      <c r="R381" s="105">
        <v>302.40000000000003</v>
      </c>
      <c r="S381" s="106">
        <f t="shared" si="100"/>
        <v>154.36999999999995</v>
      </c>
      <c r="T381" s="300">
        <f t="shared" si="101"/>
        <v>0.51048280423280401</v>
      </c>
      <c r="U381" s="107"/>
      <c r="V381" s="105">
        <v>666.24</v>
      </c>
      <c r="W381" s="105">
        <v>559.54999999999995</v>
      </c>
      <c r="X381" s="106">
        <f t="shared" si="102"/>
        <v>106.69000000000005</v>
      </c>
      <c r="Y381" s="300">
        <f t="shared" si="103"/>
        <v>0.19067107497095892</v>
      </c>
      <c r="Z381" s="302"/>
      <c r="AA381" s="108">
        <v>-102.11</v>
      </c>
      <c r="AB381" s="109"/>
      <c r="AC381" s="110">
        <v>138.55000000000001</v>
      </c>
      <c r="AD381" s="110">
        <v>-57.25</v>
      </c>
      <c r="AE381" s="110">
        <v>221.1</v>
      </c>
      <c r="AF381" s="110">
        <v>160.72</v>
      </c>
      <c r="AG381" s="110">
        <v>-62.870000000000005</v>
      </c>
      <c r="AH381" s="110">
        <v>141.15</v>
      </c>
      <c r="AI381" s="110">
        <v>-134.64000000000001</v>
      </c>
      <c r="AJ381" s="110">
        <v>73.320000000000007</v>
      </c>
      <c r="AK381" s="110">
        <v>44.300000000000004</v>
      </c>
      <c r="AL381" s="110">
        <v>30.64</v>
      </c>
      <c r="AM381" s="110">
        <v>84.13</v>
      </c>
      <c r="AN381" s="110">
        <v>-127.28</v>
      </c>
      <c r="AO381" s="109"/>
      <c r="AP381" s="110">
        <v>337.05</v>
      </c>
      <c r="AQ381" s="110">
        <v>-17.12</v>
      </c>
      <c r="AR381" s="110">
        <v>136.84</v>
      </c>
      <c r="AS381" s="110">
        <v>0</v>
      </c>
      <c r="AT381" s="110">
        <v>0</v>
      </c>
      <c r="AU381" s="110">
        <v>0</v>
      </c>
      <c r="AV381" s="110">
        <v>0</v>
      </c>
      <c r="AW381" s="110">
        <v>0</v>
      </c>
      <c r="AX381" s="110">
        <v>0</v>
      </c>
      <c r="AY381" s="110">
        <v>0</v>
      </c>
      <c r="AZ381" s="110">
        <v>0</v>
      </c>
      <c r="BA381" s="110">
        <v>0</v>
      </c>
    </row>
    <row r="382" spans="1:53" s="102" customFormat="1" outlineLevel="2">
      <c r="A382" s="102" t="s">
        <v>1096</v>
      </c>
      <c r="B382" s="103" t="s">
        <v>1097</v>
      </c>
      <c r="C382" s="104" t="s">
        <v>1098</v>
      </c>
      <c r="D382" s="298"/>
      <c r="E382" s="299"/>
      <c r="F382" s="105">
        <v>271.55</v>
      </c>
      <c r="G382" s="105">
        <v>990.56000000000006</v>
      </c>
      <c r="H382" s="106">
        <f t="shared" si="96"/>
        <v>-719.01</v>
      </c>
      <c r="I382" s="300">
        <f t="shared" si="97"/>
        <v>-0.7258621385882732</v>
      </c>
      <c r="J382" s="107"/>
      <c r="K382" s="105">
        <v>724.28</v>
      </c>
      <c r="L382" s="105">
        <v>3841.57</v>
      </c>
      <c r="M382" s="106">
        <f t="shared" si="98"/>
        <v>-3117.29</v>
      </c>
      <c r="N382" s="300">
        <f t="shared" si="99"/>
        <v>-0.8114625010087021</v>
      </c>
      <c r="O382" s="301"/>
      <c r="P382" s="107"/>
      <c r="Q382" s="105">
        <v>724.28</v>
      </c>
      <c r="R382" s="105">
        <v>3841.57</v>
      </c>
      <c r="S382" s="106">
        <f t="shared" si="100"/>
        <v>-3117.29</v>
      </c>
      <c r="T382" s="300">
        <f t="shared" si="101"/>
        <v>-0.8114625010087021</v>
      </c>
      <c r="U382" s="107"/>
      <c r="V382" s="105">
        <v>3160.8</v>
      </c>
      <c r="W382" s="105">
        <v>9693.2000000000007</v>
      </c>
      <c r="X382" s="106">
        <f t="shared" si="102"/>
        <v>-6532.4000000000005</v>
      </c>
      <c r="Y382" s="300">
        <f t="shared" si="103"/>
        <v>-0.67391573474188093</v>
      </c>
      <c r="Z382" s="302"/>
      <c r="AA382" s="108">
        <v>282.15000000000003</v>
      </c>
      <c r="AB382" s="109"/>
      <c r="AC382" s="110">
        <v>888.99</v>
      </c>
      <c r="AD382" s="110">
        <v>1962.02</v>
      </c>
      <c r="AE382" s="110">
        <v>990.56000000000006</v>
      </c>
      <c r="AF382" s="110">
        <v>322.97000000000003</v>
      </c>
      <c r="AG382" s="110">
        <v>712.30000000000007</v>
      </c>
      <c r="AH382" s="110">
        <v>508.53000000000003</v>
      </c>
      <c r="AI382" s="110">
        <v>-136.37</v>
      </c>
      <c r="AJ382" s="110">
        <v>133.9</v>
      </c>
      <c r="AK382" s="110">
        <v>706.76</v>
      </c>
      <c r="AL382" s="110">
        <v>170.89000000000001</v>
      </c>
      <c r="AM382" s="110">
        <v>48.09</v>
      </c>
      <c r="AN382" s="110">
        <v>-30.55</v>
      </c>
      <c r="AO382" s="109"/>
      <c r="AP382" s="110">
        <v>570.54</v>
      </c>
      <c r="AQ382" s="110">
        <v>-117.81</v>
      </c>
      <c r="AR382" s="110">
        <v>271.55</v>
      </c>
      <c r="AS382" s="110">
        <v>0</v>
      </c>
      <c r="AT382" s="110">
        <v>0</v>
      </c>
      <c r="AU382" s="110">
        <v>0</v>
      </c>
      <c r="AV382" s="110">
        <v>0</v>
      </c>
      <c r="AW382" s="110">
        <v>0</v>
      </c>
      <c r="AX382" s="110">
        <v>0</v>
      </c>
      <c r="AY382" s="110">
        <v>0</v>
      </c>
      <c r="AZ382" s="110">
        <v>0</v>
      </c>
      <c r="BA382" s="110">
        <v>0</v>
      </c>
    </row>
    <row r="383" spans="1:53" outlineLevel="1">
      <c r="A383" s="111" t="s">
        <v>1099</v>
      </c>
      <c r="B383" s="331"/>
      <c r="C383" s="332" t="s">
        <v>1100</v>
      </c>
      <c r="D383" s="342"/>
      <c r="E383" s="342"/>
      <c r="F383" s="333">
        <v>523758.21</v>
      </c>
      <c r="G383" s="333">
        <v>507694.82999999996</v>
      </c>
      <c r="H383" s="133">
        <f t="shared" si="96"/>
        <v>16063.380000000063</v>
      </c>
      <c r="I383" s="138">
        <f t="shared" si="97"/>
        <v>3.1639833716644437E-2</v>
      </c>
      <c r="J383" s="157"/>
      <c r="K383" s="333">
        <v>1526568.68</v>
      </c>
      <c r="L383" s="333">
        <v>1423478.2490000001</v>
      </c>
      <c r="M383" s="133">
        <f t="shared" si="98"/>
        <v>103090.43099999987</v>
      </c>
      <c r="N383" s="138">
        <f t="shared" si="99"/>
        <v>7.2421500695512106E-2</v>
      </c>
      <c r="O383" s="353"/>
      <c r="P383" s="344"/>
      <c r="Q383" s="333">
        <v>1526568.68</v>
      </c>
      <c r="R383" s="333">
        <v>1423478.2490000001</v>
      </c>
      <c r="S383" s="133">
        <f t="shared" si="100"/>
        <v>103090.43099999987</v>
      </c>
      <c r="T383" s="138">
        <f t="shared" si="101"/>
        <v>7.2421500695512106E-2</v>
      </c>
      <c r="U383" s="344"/>
      <c r="V383" s="333">
        <v>6256689.9819999989</v>
      </c>
      <c r="W383" s="333">
        <v>7675595.7190000005</v>
      </c>
      <c r="X383" s="133">
        <f t="shared" si="102"/>
        <v>-1418905.7370000016</v>
      </c>
      <c r="Y383" s="137">
        <f t="shared" si="103"/>
        <v>-0.18485936322671004</v>
      </c>
      <c r="Z383" s="111"/>
      <c r="AA383" s="139">
        <v>283249.21000000002</v>
      </c>
      <c r="AB383" s="346"/>
      <c r="AC383" s="333">
        <v>399470.97899999999</v>
      </c>
      <c r="AD383" s="333">
        <v>516312.44</v>
      </c>
      <c r="AE383" s="333">
        <v>507694.82999999996</v>
      </c>
      <c r="AF383" s="333">
        <v>506020.1719999999</v>
      </c>
      <c r="AG383" s="333">
        <v>329035.43</v>
      </c>
      <c r="AH383" s="333">
        <v>528500.9800000001</v>
      </c>
      <c r="AI383" s="333">
        <v>703983.51</v>
      </c>
      <c r="AJ383" s="333">
        <v>844190.12</v>
      </c>
      <c r="AK383" s="333">
        <v>165620.30000000002</v>
      </c>
      <c r="AL383" s="333">
        <v>327713.63</v>
      </c>
      <c r="AM383" s="333">
        <v>1050587.7</v>
      </c>
      <c r="AN383" s="333">
        <v>274469.45999999996</v>
      </c>
      <c r="AO383" s="346"/>
      <c r="AP383" s="333">
        <v>320154.94999999995</v>
      </c>
      <c r="AQ383" s="333">
        <v>682655.52</v>
      </c>
      <c r="AR383" s="333">
        <v>523758.21</v>
      </c>
      <c r="AS383" s="333">
        <v>-290781.81</v>
      </c>
      <c r="AT383" s="333">
        <v>0</v>
      </c>
      <c r="AU383" s="333">
        <v>0</v>
      </c>
      <c r="AV383" s="333">
        <v>0</v>
      </c>
      <c r="AW383" s="333">
        <v>0</v>
      </c>
      <c r="AX383" s="333">
        <v>0</v>
      </c>
      <c r="AY383" s="333">
        <v>0</v>
      </c>
      <c r="AZ383" s="333">
        <v>0</v>
      </c>
      <c r="BA383" s="333">
        <v>0</v>
      </c>
    </row>
    <row r="384" spans="1:53" ht="0.75" customHeight="1" outlineLevel="2">
      <c r="B384" s="331"/>
      <c r="C384" s="332"/>
      <c r="D384" s="342"/>
      <c r="E384" s="342"/>
      <c r="F384" s="333"/>
      <c r="G384" s="333"/>
      <c r="H384" s="333"/>
      <c r="I384" s="343"/>
      <c r="J384" s="157"/>
      <c r="K384" s="333"/>
      <c r="L384" s="333"/>
      <c r="M384" s="333"/>
      <c r="N384" s="138"/>
      <c r="O384" s="353"/>
      <c r="P384" s="344"/>
      <c r="Q384" s="333"/>
      <c r="R384" s="333"/>
      <c r="S384" s="333"/>
      <c r="T384" s="343"/>
      <c r="U384" s="344"/>
      <c r="V384" s="333"/>
      <c r="W384" s="333"/>
      <c r="X384" s="333"/>
      <c r="Y384" s="345"/>
      <c r="Z384" s="111"/>
      <c r="AA384" s="139"/>
      <c r="AB384" s="346"/>
      <c r="AC384" s="333"/>
      <c r="AD384" s="333"/>
      <c r="AE384" s="333"/>
      <c r="AF384" s="333"/>
      <c r="AG384" s="333"/>
      <c r="AH384" s="333"/>
      <c r="AI384" s="333"/>
      <c r="AJ384" s="333"/>
      <c r="AK384" s="333"/>
      <c r="AL384" s="333"/>
      <c r="AM384" s="333"/>
      <c r="AN384" s="333"/>
      <c r="AO384" s="346"/>
      <c r="AP384" s="333"/>
      <c r="AQ384" s="333"/>
      <c r="AR384" s="333"/>
      <c r="AS384" s="333"/>
      <c r="AT384" s="333"/>
      <c r="AU384" s="333"/>
      <c r="AV384" s="333"/>
      <c r="AW384" s="333"/>
      <c r="AX384" s="333"/>
      <c r="AY384" s="333"/>
      <c r="AZ384" s="333"/>
      <c r="BA384" s="333"/>
    </row>
    <row r="385" spans="1:53" s="102" customFormat="1" outlineLevel="2">
      <c r="A385" s="102" t="s">
        <v>1101</v>
      </c>
      <c r="B385" s="103" t="s">
        <v>1102</v>
      </c>
      <c r="C385" s="104" t="s">
        <v>1042</v>
      </c>
      <c r="D385" s="298"/>
      <c r="E385" s="299"/>
      <c r="F385" s="105">
        <v>2733.84</v>
      </c>
      <c r="G385" s="105">
        <v>430.19</v>
      </c>
      <c r="H385" s="106">
        <f t="shared" ref="H385:H396" si="104">+F385-G385</f>
        <v>2303.65</v>
      </c>
      <c r="I385" s="300">
        <f t="shared" ref="I385:I396" si="105">IF(G385&lt;0,IF(H385=0,0,IF(OR(G385=0,F385=0),"N.M.",IF(ABS(H385/G385)&gt;=10,"N.M.",H385/(-G385)))),IF(H385=0,0,IF(OR(G385=0,F385=0),"N.M.",IF(ABS(H385/G385)&gt;=10,"N.M.",H385/G385))))</f>
        <v>5.3549594365280457</v>
      </c>
      <c r="J385" s="107"/>
      <c r="K385" s="105">
        <v>3744.1</v>
      </c>
      <c r="L385" s="105">
        <v>1025.98</v>
      </c>
      <c r="M385" s="106">
        <f t="shared" ref="M385:M396" si="106">+K385-L385</f>
        <v>2718.12</v>
      </c>
      <c r="N385" s="300">
        <f t="shared" ref="N385:N396" si="107">IF(L385&lt;0,IF(M385=0,0,IF(OR(L385=0,K385=0),"N.M.",IF(ABS(M385/L385)&gt;=10,"N.M.",M385/(-L385)))),IF(M385=0,0,IF(OR(L385=0,K385=0),"N.M.",IF(ABS(M385/L385)&gt;=10,"N.M.",M385/L385))))</f>
        <v>2.6492914091892628</v>
      </c>
      <c r="O385" s="301"/>
      <c r="P385" s="107"/>
      <c r="Q385" s="105">
        <v>3744.1</v>
      </c>
      <c r="R385" s="105">
        <v>1025.98</v>
      </c>
      <c r="S385" s="106">
        <f t="shared" ref="S385:S396" si="108">+Q385-R385</f>
        <v>2718.12</v>
      </c>
      <c r="T385" s="300">
        <f t="shared" ref="T385:T396" si="109">IF(R385&lt;0,IF(S385=0,0,IF(OR(R385=0,Q385=0),"N.M.",IF(ABS(S385/R385)&gt;=10,"N.M.",S385/(-R385)))),IF(S385=0,0,IF(OR(R385=0,Q385=0),"N.M.",IF(ABS(S385/R385)&gt;=10,"N.M.",S385/R385))))</f>
        <v>2.6492914091892628</v>
      </c>
      <c r="U385" s="107"/>
      <c r="V385" s="105">
        <v>7828.26</v>
      </c>
      <c r="W385" s="105">
        <v>26478.41</v>
      </c>
      <c r="X385" s="106">
        <f t="shared" ref="X385:X396" si="110">+V385-W385</f>
        <v>-18650.150000000001</v>
      </c>
      <c r="Y385" s="300">
        <f t="shared" ref="Y385:Y396" si="111">IF(W385&lt;0,IF(X385=0,0,IF(OR(W385=0,V385=0),"N.M.",IF(ABS(X385/W385)&gt;=10,"N.M.",X385/(-W385)))),IF(X385=0,0,IF(OR(W385=0,V385=0),"N.M.",IF(ABS(X385/W385)&gt;=10,"N.M.",X385/W385))))</f>
        <v>-0.70435309370917676</v>
      </c>
      <c r="Z385" s="302"/>
      <c r="AA385" s="108">
        <v>225.68</v>
      </c>
      <c r="AB385" s="109"/>
      <c r="AC385" s="110">
        <v>308.45999999999998</v>
      </c>
      <c r="AD385" s="110">
        <v>287.33</v>
      </c>
      <c r="AE385" s="110">
        <v>430.19</v>
      </c>
      <c r="AF385" s="110">
        <v>340</v>
      </c>
      <c r="AG385" s="110">
        <v>493.59000000000003</v>
      </c>
      <c r="AH385" s="110">
        <v>363.38</v>
      </c>
      <c r="AI385" s="110">
        <v>14.200000000000001</v>
      </c>
      <c r="AJ385" s="110">
        <v>496.36</v>
      </c>
      <c r="AK385" s="110">
        <v>502.2</v>
      </c>
      <c r="AL385" s="110">
        <v>100.81</v>
      </c>
      <c r="AM385" s="110">
        <v>293.86</v>
      </c>
      <c r="AN385" s="110">
        <v>1479.76</v>
      </c>
      <c r="AO385" s="109"/>
      <c r="AP385" s="110">
        <v>420.86</v>
      </c>
      <c r="AQ385" s="110">
        <v>589.4</v>
      </c>
      <c r="AR385" s="110">
        <v>2733.84</v>
      </c>
      <c r="AS385" s="110">
        <v>-704.05000000000007</v>
      </c>
      <c r="AT385" s="110">
        <v>0</v>
      </c>
      <c r="AU385" s="110">
        <v>0</v>
      </c>
      <c r="AV385" s="110">
        <v>0</v>
      </c>
      <c r="AW385" s="110">
        <v>0</v>
      </c>
      <c r="AX385" s="110">
        <v>0</v>
      </c>
      <c r="AY385" s="110">
        <v>0</v>
      </c>
      <c r="AZ385" s="110">
        <v>0</v>
      </c>
      <c r="BA385" s="110">
        <v>0</v>
      </c>
    </row>
    <row r="386" spans="1:53" s="102" customFormat="1" outlineLevel="2">
      <c r="A386" s="102" t="s">
        <v>1103</v>
      </c>
      <c r="B386" s="103" t="s">
        <v>1104</v>
      </c>
      <c r="C386" s="104" t="s">
        <v>1045</v>
      </c>
      <c r="D386" s="298"/>
      <c r="E386" s="299"/>
      <c r="F386" s="105">
        <v>-11.68</v>
      </c>
      <c r="G386" s="105">
        <v>1228.43</v>
      </c>
      <c r="H386" s="106">
        <f t="shared" si="104"/>
        <v>-1240.1100000000001</v>
      </c>
      <c r="I386" s="300">
        <f t="shared" si="105"/>
        <v>-1.0095080712779727</v>
      </c>
      <c r="J386" s="107"/>
      <c r="K386" s="105">
        <v>-2.37</v>
      </c>
      <c r="L386" s="105">
        <v>1715.51</v>
      </c>
      <c r="M386" s="106">
        <f t="shared" si="106"/>
        <v>-1717.8799999999999</v>
      </c>
      <c r="N386" s="300">
        <f t="shared" si="107"/>
        <v>-1.0013815133692021</v>
      </c>
      <c r="O386" s="301"/>
      <c r="P386" s="107"/>
      <c r="Q386" s="105">
        <v>-2.37</v>
      </c>
      <c r="R386" s="105">
        <v>1715.51</v>
      </c>
      <c r="S386" s="106">
        <f t="shared" si="108"/>
        <v>-1717.8799999999999</v>
      </c>
      <c r="T386" s="300">
        <f t="shared" si="109"/>
        <v>-1.0013815133692021</v>
      </c>
      <c r="U386" s="107"/>
      <c r="V386" s="105">
        <v>19054.740000000002</v>
      </c>
      <c r="W386" s="105">
        <v>8790.17</v>
      </c>
      <c r="X386" s="106">
        <f t="shared" si="110"/>
        <v>10264.570000000002</v>
      </c>
      <c r="Y386" s="300">
        <f t="shared" si="111"/>
        <v>1.1677328197293115</v>
      </c>
      <c r="Z386" s="302"/>
      <c r="AA386" s="108">
        <v>12.63</v>
      </c>
      <c r="AB386" s="109"/>
      <c r="AC386" s="110">
        <v>465.27</v>
      </c>
      <c r="AD386" s="110">
        <v>21.81</v>
      </c>
      <c r="AE386" s="110">
        <v>1228.43</v>
      </c>
      <c r="AF386" s="110">
        <v>183.84</v>
      </c>
      <c r="AG386" s="110">
        <v>2519.67</v>
      </c>
      <c r="AH386" s="110">
        <v>934.39</v>
      </c>
      <c r="AI386" s="110">
        <v>299.20999999999998</v>
      </c>
      <c r="AJ386" s="110">
        <v>4882.96</v>
      </c>
      <c r="AK386" s="110">
        <v>0.42</v>
      </c>
      <c r="AL386" s="110">
        <v>2883.44</v>
      </c>
      <c r="AM386" s="110">
        <v>2606.5300000000002</v>
      </c>
      <c r="AN386" s="110">
        <v>4746.6500000000005</v>
      </c>
      <c r="AO386" s="109"/>
      <c r="AP386" s="110">
        <v>-7.09</v>
      </c>
      <c r="AQ386" s="110">
        <v>16.399999999999999</v>
      </c>
      <c r="AR386" s="110">
        <v>-11.68</v>
      </c>
      <c r="AS386" s="110">
        <v>0</v>
      </c>
      <c r="AT386" s="110">
        <v>0</v>
      </c>
      <c r="AU386" s="110">
        <v>0</v>
      </c>
      <c r="AV386" s="110">
        <v>0</v>
      </c>
      <c r="AW386" s="110">
        <v>0</v>
      </c>
      <c r="AX386" s="110">
        <v>0</v>
      </c>
      <c r="AY386" s="110">
        <v>0</v>
      </c>
      <c r="AZ386" s="110">
        <v>0</v>
      </c>
      <c r="BA386" s="110">
        <v>0</v>
      </c>
    </row>
    <row r="387" spans="1:53" s="102" customFormat="1" outlineLevel="2">
      <c r="A387" s="102" t="s">
        <v>1105</v>
      </c>
      <c r="B387" s="103" t="s">
        <v>1106</v>
      </c>
      <c r="C387" s="104" t="s">
        <v>1089</v>
      </c>
      <c r="D387" s="298"/>
      <c r="E387" s="299"/>
      <c r="F387" s="105">
        <v>56053.520000000004</v>
      </c>
      <c r="G387" s="105">
        <v>-30717.100000000002</v>
      </c>
      <c r="H387" s="106">
        <f t="shared" si="104"/>
        <v>86770.62000000001</v>
      </c>
      <c r="I387" s="300">
        <f t="shared" si="105"/>
        <v>2.8248311201252725</v>
      </c>
      <c r="J387" s="107"/>
      <c r="K387" s="105">
        <v>79521.42</v>
      </c>
      <c r="L387" s="105">
        <v>109681.14</v>
      </c>
      <c r="M387" s="106">
        <f t="shared" si="106"/>
        <v>-30159.72</v>
      </c>
      <c r="N387" s="300">
        <f t="shared" si="107"/>
        <v>-0.27497635418450245</v>
      </c>
      <c r="O387" s="301"/>
      <c r="P387" s="107"/>
      <c r="Q387" s="105">
        <v>79521.42</v>
      </c>
      <c r="R387" s="105">
        <v>109681.14</v>
      </c>
      <c r="S387" s="106">
        <f t="shared" si="108"/>
        <v>-30159.72</v>
      </c>
      <c r="T387" s="300">
        <f t="shared" si="109"/>
        <v>-0.27497635418450245</v>
      </c>
      <c r="U387" s="107"/>
      <c r="V387" s="105">
        <v>307280.48</v>
      </c>
      <c r="W387" s="105">
        <v>356903.53</v>
      </c>
      <c r="X387" s="106">
        <f t="shared" si="110"/>
        <v>-49623.050000000047</v>
      </c>
      <c r="Y387" s="300">
        <f t="shared" si="111"/>
        <v>-0.13903771139500931</v>
      </c>
      <c r="Z387" s="302"/>
      <c r="AA387" s="108">
        <v>150901.87</v>
      </c>
      <c r="AB387" s="109"/>
      <c r="AC387" s="110">
        <v>90533.26</v>
      </c>
      <c r="AD387" s="110">
        <v>49864.98</v>
      </c>
      <c r="AE387" s="110">
        <v>-30717.100000000002</v>
      </c>
      <c r="AF387" s="110">
        <v>54829.090000000004</v>
      </c>
      <c r="AG387" s="110">
        <v>1195.77</v>
      </c>
      <c r="AH387" s="110">
        <v>48750.69</v>
      </c>
      <c r="AI387" s="110">
        <v>38455.72</v>
      </c>
      <c r="AJ387" s="110">
        <v>110333.16</v>
      </c>
      <c r="AK387" s="110">
        <v>-63750.080000000002</v>
      </c>
      <c r="AL387" s="110">
        <v>190851.31</v>
      </c>
      <c r="AM387" s="110">
        <v>-356336.8</v>
      </c>
      <c r="AN387" s="110">
        <v>203430.2</v>
      </c>
      <c r="AO387" s="109"/>
      <c r="AP387" s="110">
        <v>22650.3</v>
      </c>
      <c r="AQ387" s="110">
        <v>817.6</v>
      </c>
      <c r="AR387" s="110">
        <v>56053.520000000004</v>
      </c>
      <c r="AS387" s="110">
        <v>-4561.74</v>
      </c>
      <c r="AT387" s="110">
        <v>0</v>
      </c>
      <c r="AU387" s="110">
        <v>0</v>
      </c>
      <c r="AV387" s="110">
        <v>0</v>
      </c>
      <c r="AW387" s="110">
        <v>0</v>
      </c>
      <c r="AX387" s="110">
        <v>0</v>
      </c>
      <c r="AY387" s="110">
        <v>0</v>
      </c>
      <c r="AZ387" s="110">
        <v>0</v>
      </c>
      <c r="BA387" s="110">
        <v>0</v>
      </c>
    </row>
    <row r="388" spans="1:53" s="102" customFormat="1" outlineLevel="2">
      <c r="A388" s="102" t="s">
        <v>1107</v>
      </c>
      <c r="B388" s="103" t="s">
        <v>1108</v>
      </c>
      <c r="C388" s="104" t="s">
        <v>1092</v>
      </c>
      <c r="D388" s="298"/>
      <c r="E388" s="299"/>
      <c r="F388" s="105">
        <v>7785026.6600000001</v>
      </c>
      <c r="G388" s="105">
        <v>2422603.36</v>
      </c>
      <c r="H388" s="106">
        <f t="shared" si="104"/>
        <v>5362423.3000000007</v>
      </c>
      <c r="I388" s="300">
        <f t="shared" si="105"/>
        <v>2.2134961870109851</v>
      </c>
      <c r="J388" s="107"/>
      <c r="K388" s="105">
        <v>10478314.619999999</v>
      </c>
      <c r="L388" s="105">
        <v>7831238.7400000002</v>
      </c>
      <c r="M388" s="106">
        <f t="shared" si="106"/>
        <v>2647075.879999999</v>
      </c>
      <c r="N388" s="300">
        <f t="shared" si="107"/>
        <v>0.33801496390084501</v>
      </c>
      <c r="O388" s="301"/>
      <c r="P388" s="107"/>
      <c r="Q388" s="105">
        <v>10478314.619999999</v>
      </c>
      <c r="R388" s="105">
        <v>7831238.7400000002</v>
      </c>
      <c r="S388" s="106">
        <f t="shared" si="108"/>
        <v>2647075.879999999</v>
      </c>
      <c r="T388" s="300">
        <f t="shared" si="109"/>
        <v>0.33801496390084501</v>
      </c>
      <c r="U388" s="107"/>
      <c r="V388" s="105">
        <v>33400380.009999998</v>
      </c>
      <c r="W388" s="105">
        <v>27193787.215000004</v>
      </c>
      <c r="X388" s="106">
        <f t="shared" si="110"/>
        <v>6206592.7949999943</v>
      </c>
      <c r="Y388" s="300">
        <f t="shared" si="111"/>
        <v>0.22823569023061482</v>
      </c>
      <c r="Z388" s="302"/>
      <c r="AA388" s="108">
        <v>-132713.92000000001</v>
      </c>
      <c r="AB388" s="109"/>
      <c r="AC388" s="110">
        <v>2911657.7199999997</v>
      </c>
      <c r="AD388" s="110">
        <v>2496977.66</v>
      </c>
      <c r="AE388" s="110">
        <v>2422603.36</v>
      </c>
      <c r="AF388" s="110">
        <v>2463532.2400000002</v>
      </c>
      <c r="AG388" s="110">
        <v>2567691.3200000003</v>
      </c>
      <c r="AH388" s="110">
        <v>5309618.79</v>
      </c>
      <c r="AI388" s="110">
        <v>16196491.51</v>
      </c>
      <c r="AJ388" s="110">
        <v>4548712.93</v>
      </c>
      <c r="AK388" s="110">
        <v>-15116619.65</v>
      </c>
      <c r="AL388" s="110">
        <v>2543681.77</v>
      </c>
      <c r="AM388" s="110">
        <v>1836614.6800000002</v>
      </c>
      <c r="AN388" s="110">
        <v>2572341.7999999998</v>
      </c>
      <c r="AO388" s="109"/>
      <c r="AP388" s="110">
        <v>2242644.14</v>
      </c>
      <c r="AQ388" s="110">
        <v>450643.82</v>
      </c>
      <c r="AR388" s="110">
        <v>7785026.6600000001</v>
      </c>
      <c r="AS388" s="110">
        <v>-4823797.22</v>
      </c>
      <c r="AT388" s="110">
        <v>0</v>
      </c>
      <c r="AU388" s="110">
        <v>0</v>
      </c>
      <c r="AV388" s="110">
        <v>0</v>
      </c>
      <c r="AW388" s="110">
        <v>0</v>
      </c>
      <c r="AX388" s="110">
        <v>0</v>
      </c>
      <c r="AY388" s="110">
        <v>0</v>
      </c>
      <c r="AZ388" s="110">
        <v>0</v>
      </c>
      <c r="BA388" s="110">
        <v>0</v>
      </c>
    </row>
    <row r="389" spans="1:53" s="102" customFormat="1" outlineLevel="2">
      <c r="A389" s="102" t="s">
        <v>1109</v>
      </c>
      <c r="B389" s="103" t="s">
        <v>1110</v>
      </c>
      <c r="C389" s="104" t="s">
        <v>1111</v>
      </c>
      <c r="D389" s="298"/>
      <c r="E389" s="299"/>
      <c r="F389" s="105">
        <v>26627.79</v>
      </c>
      <c r="G389" s="105">
        <v>34471.9</v>
      </c>
      <c r="H389" s="106">
        <f t="shared" si="104"/>
        <v>-7844.1100000000006</v>
      </c>
      <c r="I389" s="300">
        <f t="shared" si="105"/>
        <v>-0.22755084576133025</v>
      </c>
      <c r="J389" s="107"/>
      <c r="K389" s="105">
        <v>92527.33</v>
      </c>
      <c r="L389" s="105">
        <v>116123.59</v>
      </c>
      <c r="M389" s="106">
        <f t="shared" si="106"/>
        <v>-23596.259999999995</v>
      </c>
      <c r="N389" s="300">
        <f t="shared" si="107"/>
        <v>-0.20319953938730276</v>
      </c>
      <c r="O389" s="301"/>
      <c r="P389" s="107"/>
      <c r="Q389" s="105">
        <v>92527.33</v>
      </c>
      <c r="R389" s="105">
        <v>116123.59</v>
      </c>
      <c r="S389" s="106">
        <f t="shared" si="108"/>
        <v>-23596.259999999995</v>
      </c>
      <c r="T389" s="300">
        <f t="shared" si="109"/>
        <v>-0.20319953938730276</v>
      </c>
      <c r="U389" s="107"/>
      <c r="V389" s="105">
        <v>349118.69</v>
      </c>
      <c r="W389" s="105">
        <v>448642.56999999995</v>
      </c>
      <c r="X389" s="106">
        <f t="shared" si="110"/>
        <v>-99523.879999999946</v>
      </c>
      <c r="Y389" s="300">
        <f t="shared" si="111"/>
        <v>-0.22183334051425382</v>
      </c>
      <c r="Z389" s="302"/>
      <c r="AA389" s="108">
        <v>29570.16</v>
      </c>
      <c r="AB389" s="109"/>
      <c r="AC389" s="110">
        <v>45070.3</v>
      </c>
      <c r="AD389" s="110">
        <v>36581.39</v>
      </c>
      <c r="AE389" s="110">
        <v>34471.9</v>
      </c>
      <c r="AF389" s="110">
        <v>30270.720000000001</v>
      </c>
      <c r="AG389" s="110">
        <v>30291.96</v>
      </c>
      <c r="AH389" s="110">
        <v>34462.32</v>
      </c>
      <c r="AI389" s="110">
        <v>27609.65</v>
      </c>
      <c r="AJ389" s="110">
        <v>16589.43</v>
      </c>
      <c r="AK389" s="110">
        <v>35279.26</v>
      </c>
      <c r="AL389" s="110">
        <v>32582.57</v>
      </c>
      <c r="AM389" s="110">
        <v>25732.58</v>
      </c>
      <c r="AN389" s="110">
        <v>23772.87</v>
      </c>
      <c r="AO389" s="109"/>
      <c r="AP389" s="110">
        <v>33565.040000000001</v>
      </c>
      <c r="AQ389" s="110">
        <v>32334.5</v>
      </c>
      <c r="AR389" s="110">
        <v>26627.79</v>
      </c>
      <c r="AS389" s="110">
        <v>-9598.86</v>
      </c>
      <c r="AT389" s="110">
        <v>0</v>
      </c>
      <c r="AU389" s="110">
        <v>0</v>
      </c>
      <c r="AV389" s="110">
        <v>0</v>
      </c>
      <c r="AW389" s="110">
        <v>0</v>
      </c>
      <c r="AX389" s="110">
        <v>0</v>
      </c>
      <c r="AY389" s="110">
        <v>0</v>
      </c>
      <c r="AZ389" s="110">
        <v>0</v>
      </c>
      <c r="BA389" s="110">
        <v>0</v>
      </c>
    </row>
    <row r="390" spans="1:53" s="102" customFormat="1" outlineLevel="2">
      <c r="A390" s="102" t="s">
        <v>1112</v>
      </c>
      <c r="B390" s="103" t="s">
        <v>1113</v>
      </c>
      <c r="C390" s="104" t="s">
        <v>1114</v>
      </c>
      <c r="D390" s="298"/>
      <c r="E390" s="299"/>
      <c r="F390" s="105">
        <v>0</v>
      </c>
      <c r="G390" s="105">
        <v>172213.24</v>
      </c>
      <c r="H390" s="106">
        <f t="shared" si="104"/>
        <v>-172213.24</v>
      </c>
      <c r="I390" s="300" t="str">
        <f t="shared" si="105"/>
        <v>N.M.</v>
      </c>
      <c r="J390" s="107"/>
      <c r="K390" s="105">
        <v>99994.559999999998</v>
      </c>
      <c r="L390" s="105">
        <v>518153.4</v>
      </c>
      <c r="M390" s="106">
        <f t="shared" si="106"/>
        <v>-418158.84</v>
      </c>
      <c r="N390" s="300">
        <f t="shared" si="107"/>
        <v>-0.80701745853641027</v>
      </c>
      <c r="O390" s="301"/>
      <c r="P390" s="107"/>
      <c r="Q390" s="105">
        <v>99994.559999999998</v>
      </c>
      <c r="R390" s="105">
        <v>518153.4</v>
      </c>
      <c r="S390" s="106">
        <f t="shared" si="108"/>
        <v>-418158.84</v>
      </c>
      <c r="T390" s="300">
        <f t="shared" si="109"/>
        <v>-0.80701745853641027</v>
      </c>
      <c r="U390" s="107"/>
      <c r="V390" s="105">
        <v>1649913.7200000002</v>
      </c>
      <c r="W390" s="105">
        <v>2068072.56</v>
      </c>
      <c r="X390" s="106">
        <f t="shared" si="110"/>
        <v>-418158.83999999985</v>
      </c>
      <c r="Y390" s="300">
        <f t="shared" si="111"/>
        <v>-0.20219737357764653</v>
      </c>
      <c r="Z390" s="302"/>
      <c r="AA390" s="108">
        <v>172213.24</v>
      </c>
      <c r="AB390" s="109"/>
      <c r="AC390" s="110">
        <v>172213.24</v>
      </c>
      <c r="AD390" s="110">
        <v>173726.92</v>
      </c>
      <c r="AE390" s="110">
        <v>172213.24</v>
      </c>
      <c r="AF390" s="110">
        <v>172213.24</v>
      </c>
      <c r="AG390" s="110">
        <v>172213.24</v>
      </c>
      <c r="AH390" s="110">
        <v>172213.24</v>
      </c>
      <c r="AI390" s="110">
        <v>172213.24</v>
      </c>
      <c r="AJ390" s="110">
        <v>172213.24</v>
      </c>
      <c r="AK390" s="110">
        <v>172213.24</v>
      </c>
      <c r="AL390" s="110">
        <v>172213.24</v>
      </c>
      <c r="AM390" s="110">
        <v>172213.24</v>
      </c>
      <c r="AN390" s="110">
        <v>172213.24</v>
      </c>
      <c r="AO390" s="109"/>
      <c r="AP390" s="110">
        <v>99994.559999999998</v>
      </c>
      <c r="AQ390" s="110">
        <v>0</v>
      </c>
      <c r="AR390" s="110">
        <v>0</v>
      </c>
      <c r="AS390" s="110">
        <v>0</v>
      </c>
      <c r="AT390" s="110">
        <v>0</v>
      </c>
      <c r="AU390" s="110">
        <v>0</v>
      </c>
      <c r="AV390" s="110">
        <v>0</v>
      </c>
      <c r="AW390" s="110">
        <v>0</v>
      </c>
      <c r="AX390" s="110">
        <v>0</v>
      </c>
      <c r="AY390" s="110">
        <v>0</v>
      </c>
      <c r="AZ390" s="110">
        <v>0</v>
      </c>
      <c r="BA390" s="110">
        <v>0</v>
      </c>
    </row>
    <row r="391" spans="1:53" s="102" customFormat="1" outlineLevel="2">
      <c r="A391" s="102" t="s">
        <v>1115</v>
      </c>
      <c r="B391" s="103" t="s">
        <v>1116</v>
      </c>
      <c r="C391" s="104" t="s">
        <v>1095</v>
      </c>
      <c r="D391" s="298"/>
      <c r="E391" s="299"/>
      <c r="F391" s="105">
        <v>12308.61</v>
      </c>
      <c r="G391" s="105">
        <v>2543.7200000000003</v>
      </c>
      <c r="H391" s="106">
        <f t="shared" si="104"/>
        <v>9764.89</v>
      </c>
      <c r="I391" s="300">
        <f t="shared" si="105"/>
        <v>3.8388226691616998</v>
      </c>
      <c r="J391" s="107"/>
      <c r="K391" s="105">
        <v>13538.31</v>
      </c>
      <c r="L391" s="105">
        <v>10689.43</v>
      </c>
      <c r="M391" s="106">
        <f t="shared" si="106"/>
        <v>2848.8799999999992</v>
      </c>
      <c r="N391" s="300">
        <f t="shared" si="107"/>
        <v>0.26651374301529634</v>
      </c>
      <c r="O391" s="301"/>
      <c r="P391" s="107"/>
      <c r="Q391" s="105">
        <v>13538.31</v>
      </c>
      <c r="R391" s="105">
        <v>10689.43</v>
      </c>
      <c r="S391" s="106">
        <f t="shared" si="108"/>
        <v>2848.8799999999992</v>
      </c>
      <c r="T391" s="300">
        <f t="shared" si="109"/>
        <v>0.26651374301529634</v>
      </c>
      <c r="U391" s="107"/>
      <c r="V391" s="105">
        <v>51244.11</v>
      </c>
      <c r="W391" s="105">
        <v>14527.11</v>
      </c>
      <c r="X391" s="106">
        <f t="shared" si="110"/>
        <v>36717</v>
      </c>
      <c r="Y391" s="300">
        <f t="shared" si="111"/>
        <v>2.5274813779203158</v>
      </c>
      <c r="Z391" s="302"/>
      <c r="AA391" s="108">
        <v>4309.0600000000004</v>
      </c>
      <c r="AB391" s="109"/>
      <c r="AC391" s="110">
        <v>5943.7</v>
      </c>
      <c r="AD391" s="110">
        <v>2202.0100000000002</v>
      </c>
      <c r="AE391" s="110">
        <v>2543.7200000000003</v>
      </c>
      <c r="AF391" s="110">
        <v>3258.92</v>
      </c>
      <c r="AG391" s="110">
        <v>7651.95</v>
      </c>
      <c r="AH391" s="110">
        <v>5112.7</v>
      </c>
      <c r="AI391" s="110">
        <v>-5086.2700000000004</v>
      </c>
      <c r="AJ391" s="110">
        <v>-3953.2200000000003</v>
      </c>
      <c r="AK391" s="110">
        <v>8839.5400000000009</v>
      </c>
      <c r="AL391" s="110">
        <v>11701.73</v>
      </c>
      <c r="AM391" s="110">
        <v>-5321.85</v>
      </c>
      <c r="AN391" s="110">
        <v>15502.300000000001</v>
      </c>
      <c r="AO391" s="109"/>
      <c r="AP391" s="110">
        <v>118.63</v>
      </c>
      <c r="AQ391" s="110">
        <v>1111.07</v>
      </c>
      <c r="AR391" s="110">
        <v>12308.61</v>
      </c>
      <c r="AS391" s="110">
        <v>167.76</v>
      </c>
      <c r="AT391" s="110">
        <v>0</v>
      </c>
      <c r="AU391" s="110">
        <v>0</v>
      </c>
      <c r="AV391" s="110">
        <v>0</v>
      </c>
      <c r="AW391" s="110">
        <v>0</v>
      </c>
      <c r="AX391" s="110">
        <v>0</v>
      </c>
      <c r="AY391" s="110">
        <v>0</v>
      </c>
      <c r="AZ391" s="110">
        <v>0</v>
      </c>
      <c r="BA391" s="110">
        <v>0</v>
      </c>
    </row>
    <row r="392" spans="1:53" s="102" customFormat="1" outlineLevel="2">
      <c r="A392" s="102" t="s">
        <v>1117</v>
      </c>
      <c r="B392" s="103" t="s">
        <v>1118</v>
      </c>
      <c r="C392" s="104" t="s">
        <v>1119</v>
      </c>
      <c r="D392" s="298"/>
      <c r="E392" s="299"/>
      <c r="F392" s="105">
        <v>11187.45</v>
      </c>
      <c r="G392" s="105">
        <v>1252.98</v>
      </c>
      <c r="H392" s="106">
        <f t="shared" si="104"/>
        <v>9934.4700000000012</v>
      </c>
      <c r="I392" s="300">
        <f t="shared" si="105"/>
        <v>7.9286740410860519</v>
      </c>
      <c r="J392" s="107"/>
      <c r="K392" s="105">
        <v>12493.87</v>
      </c>
      <c r="L392" s="105">
        <v>5092.8</v>
      </c>
      <c r="M392" s="106">
        <f t="shared" si="106"/>
        <v>7401.0700000000006</v>
      </c>
      <c r="N392" s="300">
        <f t="shared" si="107"/>
        <v>1.4532418316054039</v>
      </c>
      <c r="O392" s="301"/>
      <c r="P392" s="107"/>
      <c r="Q392" s="105">
        <v>12493.87</v>
      </c>
      <c r="R392" s="105">
        <v>5092.8</v>
      </c>
      <c r="S392" s="106">
        <f t="shared" si="108"/>
        <v>7401.0700000000006</v>
      </c>
      <c r="T392" s="300">
        <f t="shared" si="109"/>
        <v>1.4532418316054039</v>
      </c>
      <c r="U392" s="107"/>
      <c r="V392" s="105">
        <v>30987.040000000001</v>
      </c>
      <c r="W392" s="105">
        <v>47607.850000000006</v>
      </c>
      <c r="X392" s="106">
        <f t="shared" si="110"/>
        <v>-16620.810000000005</v>
      </c>
      <c r="Y392" s="300">
        <f t="shared" si="111"/>
        <v>-0.34911910535762491</v>
      </c>
      <c r="Z392" s="302"/>
      <c r="AA392" s="108">
        <v>2838.53</v>
      </c>
      <c r="AB392" s="109"/>
      <c r="AC392" s="110">
        <v>2928.29</v>
      </c>
      <c r="AD392" s="110">
        <v>911.53</v>
      </c>
      <c r="AE392" s="110">
        <v>1252.98</v>
      </c>
      <c r="AF392" s="110">
        <v>248.84</v>
      </c>
      <c r="AG392" s="110">
        <v>-13.530000000000001</v>
      </c>
      <c r="AH392" s="110">
        <v>365.11</v>
      </c>
      <c r="AI392" s="110">
        <v>3896.9500000000003</v>
      </c>
      <c r="AJ392" s="110">
        <v>2123.4700000000003</v>
      </c>
      <c r="AK392" s="110">
        <v>4089.55</v>
      </c>
      <c r="AL392" s="110">
        <v>2418.61</v>
      </c>
      <c r="AM392" s="110">
        <v>2733.4900000000002</v>
      </c>
      <c r="AN392" s="110">
        <v>2630.68</v>
      </c>
      <c r="AO392" s="109"/>
      <c r="AP392" s="110">
        <v>1115.3</v>
      </c>
      <c r="AQ392" s="110">
        <v>191.12</v>
      </c>
      <c r="AR392" s="110">
        <v>11187.45</v>
      </c>
      <c r="AS392" s="110">
        <v>16.88</v>
      </c>
      <c r="AT392" s="110">
        <v>0</v>
      </c>
      <c r="AU392" s="110">
        <v>0</v>
      </c>
      <c r="AV392" s="110">
        <v>0</v>
      </c>
      <c r="AW392" s="110">
        <v>0</v>
      </c>
      <c r="AX392" s="110">
        <v>0</v>
      </c>
      <c r="AY392" s="110">
        <v>0</v>
      </c>
      <c r="AZ392" s="110">
        <v>0</v>
      </c>
      <c r="BA392" s="110">
        <v>0</v>
      </c>
    </row>
    <row r="393" spans="1:53" s="102" customFormat="1" outlineLevel="2">
      <c r="A393" s="102" t="s">
        <v>1120</v>
      </c>
      <c r="B393" s="103" t="s">
        <v>1121</v>
      </c>
      <c r="C393" s="104" t="s">
        <v>1122</v>
      </c>
      <c r="D393" s="298"/>
      <c r="E393" s="299"/>
      <c r="F393" s="105">
        <v>2088.64</v>
      </c>
      <c r="G393" s="105">
        <v>4574.1900000000005</v>
      </c>
      <c r="H393" s="106">
        <f t="shared" si="104"/>
        <v>-2485.5500000000006</v>
      </c>
      <c r="I393" s="300">
        <f t="shared" si="105"/>
        <v>-0.54338582350099152</v>
      </c>
      <c r="J393" s="107"/>
      <c r="K393" s="105">
        <v>3832.89</v>
      </c>
      <c r="L393" s="105">
        <v>13412.08</v>
      </c>
      <c r="M393" s="106">
        <f t="shared" si="106"/>
        <v>-9579.19</v>
      </c>
      <c r="N393" s="300">
        <f t="shared" si="107"/>
        <v>-0.71422106041717615</v>
      </c>
      <c r="O393" s="301"/>
      <c r="P393" s="107"/>
      <c r="Q393" s="105">
        <v>3832.89</v>
      </c>
      <c r="R393" s="105">
        <v>13412.08</v>
      </c>
      <c r="S393" s="106">
        <f t="shared" si="108"/>
        <v>-9579.19</v>
      </c>
      <c r="T393" s="300">
        <f t="shared" si="109"/>
        <v>-0.71422106041717615</v>
      </c>
      <c r="U393" s="107"/>
      <c r="V393" s="105">
        <v>11275.02</v>
      </c>
      <c r="W393" s="105">
        <v>-1356.130000000001</v>
      </c>
      <c r="X393" s="106">
        <f t="shared" si="110"/>
        <v>12631.150000000001</v>
      </c>
      <c r="Y393" s="300">
        <f t="shared" si="111"/>
        <v>9.314114428557728</v>
      </c>
      <c r="Z393" s="302"/>
      <c r="AA393" s="108">
        <v>4357.5200000000004</v>
      </c>
      <c r="AB393" s="109"/>
      <c r="AC393" s="110">
        <v>4812.1400000000003</v>
      </c>
      <c r="AD393" s="110">
        <v>4025.75</v>
      </c>
      <c r="AE393" s="110">
        <v>4574.1900000000005</v>
      </c>
      <c r="AF393" s="110">
        <v>1228.1000000000001</v>
      </c>
      <c r="AG393" s="110">
        <v>1133.19</v>
      </c>
      <c r="AH393" s="110">
        <v>2717.89</v>
      </c>
      <c r="AI393" s="110">
        <v>73.98</v>
      </c>
      <c r="AJ393" s="110">
        <v>-5537.22</v>
      </c>
      <c r="AK393" s="110">
        <v>2307.81</v>
      </c>
      <c r="AL393" s="110">
        <v>3126.88</v>
      </c>
      <c r="AM393" s="110">
        <v>-2652.98</v>
      </c>
      <c r="AN393" s="110">
        <v>5044.4800000000005</v>
      </c>
      <c r="AO393" s="109"/>
      <c r="AP393" s="110">
        <v>1183.07</v>
      </c>
      <c r="AQ393" s="110">
        <v>561.18000000000006</v>
      </c>
      <c r="AR393" s="110">
        <v>2088.64</v>
      </c>
      <c r="AS393" s="110">
        <v>-353.77</v>
      </c>
      <c r="AT393" s="110">
        <v>0</v>
      </c>
      <c r="AU393" s="110">
        <v>0</v>
      </c>
      <c r="AV393" s="110">
        <v>0</v>
      </c>
      <c r="AW393" s="110">
        <v>0</v>
      </c>
      <c r="AX393" s="110">
        <v>0</v>
      </c>
      <c r="AY393" s="110">
        <v>0</v>
      </c>
      <c r="AZ393" s="110">
        <v>0</v>
      </c>
      <c r="BA393" s="110">
        <v>0</v>
      </c>
    </row>
    <row r="394" spans="1:53" s="102" customFormat="1" outlineLevel="2">
      <c r="A394" s="102" t="s">
        <v>1123</v>
      </c>
      <c r="B394" s="103" t="s">
        <v>1124</v>
      </c>
      <c r="C394" s="104" t="s">
        <v>1125</v>
      </c>
      <c r="D394" s="298"/>
      <c r="E394" s="299"/>
      <c r="F394" s="105">
        <v>919.37</v>
      </c>
      <c r="G394" s="105">
        <v>2163.5300000000002</v>
      </c>
      <c r="H394" s="106">
        <f t="shared" si="104"/>
        <v>-1244.1600000000003</v>
      </c>
      <c r="I394" s="300">
        <f t="shared" si="105"/>
        <v>-0.57506020253936863</v>
      </c>
      <c r="J394" s="107"/>
      <c r="K394" s="105">
        <v>8591.76</v>
      </c>
      <c r="L394" s="105">
        <v>11193.2</v>
      </c>
      <c r="M394" s="106">
        <f t="shared" si="106"/>
        <v>-2601.4400000000005</v>
      </c>
      <c r="N394" s="300">
        <f t="shared" si="107"/>
        <v>-0.23241253618268237</v>
      </c>
      <c r="O394" s="301"/>
      <c r="P394" s="107"/>
      <c r="Q394" s="105">
        <v>8591.76</v>
      </c>
      <c r="R394" s="105">
        <v>11193.2</v>
      </c>
      <c r="S394" s="106">
        <f t="shared" si="108"/>
        <v>-2601.4400000000005</v>
      </c>
      <c r="T394" s="300">
        <f t="shared" si="109"/>
        <v>-0.23241253618268237</v>
      </c>
      <c r="U394" s="107"/>
      <c r="V394" s="105">
        <v>30875.4</v>
      </c>
      <c r="W394" s="105">
        <v>51019.3</v>
      </c>
      <c r="X394" s="106">
        <f t="shared" si="110"/>
        <v>-20143.900000000001</v>
      </c>
      <c r="Y394" s="300">
        <f t="shared" si="111"/>
        <v>-0.3948290156862207</v>
      </c>
      <c r="Z394" s="302"/>
      <c r="AA394" s="108">
        <v>3190.61</v>
      </c>
      <c r="AB394" s="109"/>
      <c r="AC394" s="110">
        <v>6287.53</v>
      </c>
      <c r="AD394" s="110">
        <v>2742.14</v>
      </c>
      <c r="AE394" s="110">
        <v>2163.5300000000002</v>
      </c>
      <c r="AF394" s="110">
        <v>3256.21</v>
      </c>
      <c r="AG394" s="110">
        <v>2231.0500000000002</v>
      </c>
      <c r="AH394" s="110">
        <v>2089.1</v>
      </c>
      <c r="AI394" s="110">
        <v>2385.9900000000002</v>
      </c>
      <c r="AJ394" s="110">
        <v>2443.9700000000003</v>
      </c>
      <c r="AK394" s="110">
        <v>3598.04</v>
      </c>
      <c r="AL394" s="110">
        <v>2153.4499999999998</v>
      </c>
      <c r="AM394" s="110">
        <v>1133.81</v>
      </c>
      <c r="AN394" s="110">
        <v>2992.02</v>
      </c>
      <c r="AO394" s="109"/>
      <c r="AP394" s="110">
        <v>3655.13</v>
      </c>
      <c r="AQ394" s="110">
        <v>4017.26</v>
      </c>
      <c r="AR394" s="110">
        <v>919.37</v>
      </c>
      <c r="AS394" s="110">
        <v>-351.27</v>
      </c>
      <c r="AT394" s="110">
        <v>0</v>
      </c>
      <c r="AU394" s="110">
        <v>0</v>
      </c>
      <c r="AV394" s="110">
        <v>0</v>
      </c>
      <c r="AW394" s="110">
        <v>0</v>
      </c>
      <c r="AX394" s="110">
        <v>0</v>
      </c>
      <c r="AY394" s="110">
        <v>0</v>
      </c>
      <c r="AZ394" s="110">
        <v>0</v>
      </c>
      <c r="BA394" s="110">
        <v>0</v>
      </c>
    </row>
    <row r="395" spans="1:53" s="102" customFormat="1" outlineLevel="2">
      <c r="A395" s="102" t="s">
        <v>1126</v>
      </c>
      <c r="B395" s="103" t="s">
        <v>1127</v>
      </c>
      <c r="C395" s="104" t="s">
        <v>1128</v>
      </c>
      <c r="D395" s="298"/>
      <c r="E395" s="299"/>
      <c r="F395" s="105">
        <v>446.6</v>
      </c>
      <c r="G395" s="105">
        <v>2517.5500000000002</v>
      </c>
      <c r="H395" s="106">
        <f t="shared" si="104"/>
        <v>-2070.9500000000003</v>
      </c>
      <c r="I395" s="300">
        <f t="shared" si="105"/>
        <v>-0.82260531071875442</v>
      </c>
      <c r="J395" s="107"/>
      <c r="K395" s="105">
        <v>4850.58</v>
      </c>
      <c r="L395" s="105">
        <v>7242.1</v>
      </c>
      <c r="M395" s="106">
        <f t="shared" si="106"/>
        <v>-2391.5200000000004</v>
      </c>
      <c r="N395" s="300">
        <f t="shared" si="107"/>
        <v>-0.33022465859350192</v>
      </c>
      <c r="O395" s="301"/>
      <c r="P395" s="107"/>
      <c r="Q395" s="105">
        <v>4850.58</v>
      </c>
      <c r="R395" s="105">
        <v>7242.1</v>
      </c>
      <c r="S395" s="106">
        <f t="shared" si="108"/>
        <v>-2391.5200000000004</v>
      </c>
      <c r="T395" s="300">
        <f t="shared" si="109"/>
        <v>-0.33022465859350192</v>
      </c>
      <c r="U395" s="107"/>
      <c r="V395" s="105">
        <v>23125.1</v>
      </c>
      <c r="W395" s="105">
        <v>21569.260000000002</v>
      </c>
      <c r="X395" s="106">
        <f t="shared" si="110"/>
        <v>1555.8399999999965</v>
      </c>
      <c r="Y395" s="300">
        <f t="shared" si="111"/>
        <v>7.2132284556818194E-2</v>
      </c>
      <c r="Z395" s="302"/>
      <c r="AA395" s="108">
        <v>11488.78</v>
      </c>
      <c r="AB395" s="109"/>
      <c r="AC395" s="110">
        <v>1911.71</v>
      </c>
      <c r="AD395" s="110">
        <v>2812.84</v>
      </c>
      <c r="AE395" s="110">
        <v>2517.5500000000002</v>
      </c>
      <c r="AF395" s="110">
        <v>4011.53</v>
      </c>
      <c r="AG395" s="110">
        <v>1310.56</v>
      </c>
      <c r="AH395" s="110">
        <v>1128.21</v>
      </c>
      <c r="AI395" s="110">
        <v>-37.6</v>
      </c>
      <c r="AJ395" s="110">
        <v>-2703.15</v>
      </c>
      <c r="AK395" s="110">
        <v>660.61</v>
      </c>
      <c r="AL395" s="110">
        <v>821.1</v>
      </c>
      <c r="AM395" s="110">
        <v>12651.68</v>
      </c>
      <c r="AN395" s="110">
        <v>431.58</v>
      </c>
      <c r="AO395" s="109"/>
      <c r="AP395" s="110">
        <v>605.15</v>
      </c>
      <c r="AQ395" s="110">
        <v>3798.83</v>
      </c>
      <c r="AR395" s="110">
        <v>446.6</v>
      </c>
      <c r="AS395" s="110">
        <v>632.97</v>
      </c>
      <c r="AT395" s="110">
        <v>0</v>
      </c>
      <c r="AU395" s="110">
        <v>0</v>
      </c>
      <c r="AV395" s="110">
        <v>0</v>
      </c>
      <c r="AW395" s="110">
        <v>0</v>
      </c>
      <c r="AX395" s="110">
        <v>0</v>
      </c>
      <c r="AY395" s="110">
        <v>0</v>
      </c>
      <c r="AZ395" s="110">
        <v>0</v>
      </c>
      <c r="BA395" s="110">
        <v>0</v>
      </c>
    </row>
    <row r="396" spans="1:53" outlineLevel="1">
      <c r="A396" s="111" t="s">
        <v>1129</v>
      </c>
      <c r="B396" s="331"/>
      <c r="C396" s="332" t="s">
        <v>1130</v>
      </c>
      <c r="D396" s="342"/>
      <c r="E396" s="342"/>
      <c r="F396" s="333">
        <v>7897380.7999999998</v>
      </c>
      <c r="G396" s="333">
        <v>2613281.9899999993</v>
      </c>
      <c r="H396" s="133">
        <f t="shared" si="104"/>
        <v>5284098.8100000005</v>
      </c>
      <c r="I396" s="138">
        <f t="shared" si="105"/>
        <v>2.0220163113740366</v>
      </c>
      <c r="J396" s="157"/>
      <c r="K396" s="333">
        <v>10797407.07</v>
      </c>
      <c r="L396" s="333">
        <v>8625567.9699999988</v>
      </c>
      <c r="M396" s="133">
        <f t="shared" si="106"/>
        <v>2171839.1000000015</v>
      </c>
      <c r="N396" s="138">
        <f t="shared" si="107"/>
        <v>0.25179085105511051</v>
      </c>
      <c r="O396" s="353"/>
      <c r="P396" s="344"/>
      <c r="Q396" s="333">
        <v>10797407.07</v>
      </c>
      <c r="R396" s="333">
        <v>8625567.9699999988</v>
      </c>
      <c r="S396" s="133">
        <f t="shared" si="108"/>
        <v>2171839.1000000015</v>
      </c>
      <c r="T396" s="138">
        <f t="shared" si="109"/>
        <v>0.25179085105511051</v>
      </c>
      <c r="U396" s="344"/>
      <c r="V396" s="333">
        <v>35881082.57</v>
      </c>
      <c r="W396" s="333">
        <v>30236041.845000003</v>
      </c>
      <c r="X396" s="133">
        <f t="shared" si="110"/>
        <v>5645040.7249999978</v>
      </c>
      <c r="Y396" s="137">
        <f t="shared" si="111"/>
        <v>0.18669906444561601</v>
      </c>
      <c r="Z396" s="111"/>
      <c r="AA396" s="139">
        <v>246394.15999999995</v>
      </c>
      <c r="AB396" s="346"/>
      <c r="AC396" s="333">
        <v>3242131.62</v>
      </c>
      <c r="AD396" s="333">
        <v>2770154.36</v>
      </c>
      <c r="AE396" s="333">
        <v>2613281.9899999993</v>
      </c>
      <c r="AF396" s="333">
        <v>2733372.7300000004</v>
      </c>
      <c r="AG396" s="333">
        <v>2786718.77</v>
      </c>
      <c r="AH396" s="333">
        <v>5577755.8200000003</v>
      </c>
      <c r="AI396" s="333">
        <v>16436316.580000002</v>
      </c>
      <c r="AJ396" s="333">
        <v>4845601.93</v>
      </c>
      <c r="AK396" s="333">
        <v>-14952879.060000002</v>
      </c>
      <c r="AL396" s="333">
        <v>2962534.9099999997</v>
      </c>
      <c r="AM396" s="333">
        <v>1689668.2400000002</v>
      </c>
      <c r="AN396" s="333">
        <v>3004585.5799999996</v>
      </c>
      <c r="AO396" s="346"/>
      <c r="AP396" s="333">
        <v>2405945.0899999994</v>
      </c>
      <c r="AQ396" s="333">
        <v>494081.18000000005</v>
      </c>
      <c r="AR396" s="333">
        <v>7897380.7999999998</v>
      </c>
      <c r="AS396" s="333">
        <v>-4838549.3</v>
      </c>
      <c r="AT396" s="333">
        <v>0</v>
      </c>
      <c r="AU396" s="333">
        <v>0</v>
      </c>
      <c r="AV396" s="333">
        <v>0</v>
      </c>
      <c r="AW396" s="333">
        <v>0</v>
      </c>
      <c r="AX396" s="333">
        <v>0</v>
      </c>
      <c r="AY396" s="333">
        <v>0</v>
      </c>
      <c r="AZ396" s="333">
        <v>0</v>
      </c>
      <c r="BA396" s="333">
        <v>0</v>
      </c>
    </row>
    <row r="397" spans="1:53" ht="0.75" customHeight="1" outlineLevel="2">
      <c r="B397" s="331"/>
      <c r="C397" s="332"/>
      <c r="D397" s="342"/>
      <c r="E397" s="342"/>
      <c r="F397" s="333"/>
      <c r="G397" s="333"/>
      <c r="H397" s="333"/>
      <c r="I397" s="343"/>
      <c r="J397" s="157"/>
      <c r="K397" s="333"/>
      <c r="L397" s="333"/>
      <c r="M397" s="333"/>
      <c r="N397" s="138"/>
      <c r="O397" s="353"/>
      <c r="P397" s="344"/>
      <c r="Q397" s="333"/>
      <c r="R397" s="333"/>
      <c r="S397" s="333"/>
      <c r="T397" s="343"/>
      <c r="U397" s="344"/>
      <c r="V397" s="333"/>
      <c r="W397" s="333"/>
      <c r="X397" s="333"/>
      <c r="Y397" s="345"/>
      <c r="Z397" s="111"/>
      <c r="AA397" s="139"/>
      <c r="AB397" s="346"/>
      <c r="AC397" s="333"/>
      <c r="AD397" s="333"/>
      <c r="AE397" s="333"/>
      <c r="AF397" s="333"/>
      <c r="AG397" s="333"/>
      <c r="AH397" s="333"/>
      <c r="AI397" s="333"/>
      <c r="AJ397" s="333"/>
      <c r="AK397" s="333"/>
      <c r="AL397" s="333"/>
      <c r="AM397" s="333"/>
      <c r="AN397" s="333"/>
      <c r="AO397" s="346"/>
      <c r="AP397" s="333"/>
      <c r="AQ397" s="333"/>
      <c r="AR397" s="333"/>
      <c r="AS397" s="333"/>
      <c r="AT397" s="333"/>
      <c r="AU397" s="333"/>
      <c r="AV397" s="333"/>
      <c r="AW397" s="333"/>
      <c r="AX397" s="333"/>
      <c r="AY397" s="333"/>
      <c r="AZ397" s="333"/>
      <c r="BA397" s="333"/>
    </row>
    <row r="398" spans="1:53" outlineLevel="1">
      <c r="A398" s="111" t="s">
        <v>1131</v>
      </c>
      <c r="B398" s="331"/>
      <c r="C398" s="332" t="s">
        <v>1132</v>
      </c>
      <c r="D398" s="342"/>
      <c r="E398" s="342"/>
      <c r="F398" s="333">
        <v>0</v>
      </c>
      <c r="G398" s="333">
        <v>0</v>
      </c>
      <c r="H398" s="133">
        <f>+F398-G398</f>
        <v>0</v>
      </c>
      <c r="I398" s="138">
        <f>IF(G398&lt;0,IF(H398=0,0,IF(OR(G398=0,F398=0),"N.M.",IF(ABS(H398/G398)&gt;=10,"N.M.",H398/(-G398)))),IF(H398=0,0,IF(OR(G398=0,F398=0),"N.M.",IF(ABS(H398/G398)&gt;=10,"N.M.",H398/G398))))</f>
        <v>0</v>
      </c>
      <c r="J398" s="157"/>
      <c r="K398" s="333">
        <v>0</v>
      </c>
      <c r="L398" s="333">
        <v>0</v>
      </c>
      <c r="M398" s="133">
        <f>+K398-L398</f>
        <v>0</v>
      </c>
      <c r="N398" s="138">
        <f>IF(L398&lt;0,IF(M398=0,0,IF(OR(L398=0,K398=0),"N.M.",IF(ABS(M398/L398)&gt;=10,"N.M.",M398/(-L398)))),IF(M398=0,0,IF(OR(L398=0,K398=0),"N.M.",IF(ABS(M398/L398)&gt;=10,"N.M.",M398/L398))))</f>
        <v>0</v>
      </c>
      <c r="O398" s="353"/>
      <c r="P398" s="344"/>
      <c r="Q398" s="333">
        <v>0</v>
      </c>
      <c r="R398" s="333">
        <v>0</v>
      </c>
      <c r="S398" s="133">
        <f>+Q398-R398</f>
        <v>0</v>
      </c>
      <c r="T398" s="138">
        <f>IF(R398&lt;0,IF(S398=0,0,IF(OR(R398=0,Q398=0),"N.M.",IF(ABS(S398/R398)&gt;=10,"N.M.",S398/(-R398)))),IF(S398=0,0,IF(OR(R398=0,Q398=0),"N.M.",IF(ABS(S398/R398)&gt;=10,"N.M.",S398/R398))))</f>
        <v>0</v>
      </c>
      <c r="U398" s="344"/>
      <c r="V398" s="333">
        <v>0</v>
      </c>
      <c r="W398" s="333">
        <v>0</v>
      </c>
      <c r="X398" s="133">
        <f>+V398-W398</f>
        <v>0</v>
      </c>
      <c r="Y398" s="137">
        <f>IF(W398&lt;0,IF(X398=0,0,IF(OR(W398=0,V398=0),"N.M.",IF(ABS(X398/W398)&gt;=10,"N.M.",X398/(-W398)))),IF(X398=0,0,IF(OR(W398=0,V398=0),"N.M.",IF(ABS(X398/W398)&gt;=10,"N.M.",X398/W398))))</f>
        <v>0</v>
      </c>
      <c r="Z398" s="111"/>
      <c r="AA398" s="139">
        <v>0</v>
      </c>
      <c r="AB398" s="346"/>
      <c r="AC398" s="333">
        <v>0</v>
      </c>
      <c r="AD398" s="333">
        <v>0</v>
      </c>
      <c r="AE398" s="333">
        <v>0</v>
      </c>
      <c r="AF398" s="333">
        <v>0</v>
      </c>
      <c r="AG398" s="333">
        <v>0</v>
      </c>
      <c r="AH398" s="333">
        <v>0</v>
      </c>
      <c r="AI398" s="333">
        <v>0</v>
      </c>
      <c r="AJ398" s="333">
        <v>0</v>
      </c>
      <c r="AK398" s="333">
        <v>0</v>
      </c>
      <c r="AL398" s="333">
        <v>0</v>
      </c>
      <c r="AM398" s="333">
        <v>0</v>
      </c>
      <c r="AN398" s="333">
        <v>0</v>
      </c>
      <c r="AO398" s="346"/>
      <c r="AP398" s="333">
        <v>0</v>
      </c>
      <c r="AQ398" s="333">
        <v>0</v>
      </c>
      <c r="AR398" s="333">
        <v>0</v>
      </c>
      <c r="AS398" s="333">
        <v>0</v>
      </c>
      <c r="AT398" s="333">
        <v>0</v>
      </c>
      <c r="AU398" s="333">
        <v>0</v>
      </c>
      <c r="AV398" s="333">
        <v>0</v>
      </c>
      <c r="AW398" s="333">
        <v>0</v>
      </c>
      <c r="AX398" s="333">
        <v>0</v>
      </c>
      <c r="AY398" s="333">
        <v>0</v>
      </c>
      <c r="AZ398" s="333">
        <v>0</v>
      </c>
      <c r="BA398" s="333">
        <v>0</v>
      </c>
    </row>
    <row r="399" spans="1:53" ht="0.75" customHeight="1" outlineLevel="2">
      <c r="B399" s="331"/>
      <c r="C399" s="332"/>
      <c r="D399" s="342"/>
      <c r="E399" s="342"/>
      <c r="F399" s="333"/>
      <c r="G399" s="333"/>
      <c r="H399" s="333"/>
      <c r="I399" s="343"/>
      <c r="J399" s="157"/>
      <c r="K399" s="333"/>
      <c r="L399" s="333"/>
      <c r="M399" s="333"/>
      <c r="N399" s="138"/>
      <c r="O399" s="353"/>
      <c r="P399" s="344"/>
      <c r="Q399" s="333"/>
      <c r="R399" s="333"/>
      <c r="S399" s="333"/>
      <c r="T399" s="343"/>
      <c r="U399" s="344"/>
      <c r="V399" s="333"/>
      <c r="W399" s="333"/>
      <c r="X399" s="333"/>
      <c r="Y399" s="345"/>
      <c r="Z399" s="111"/>
      <c r="AA399" s="139"/>
      <c r="AB399" s="346"/>
      <c r="AC399" s="333"/>
      <c r="AD399" s="333"/>
      <c r="AE399" s="333"/>
      <c r="AF399" s="333"/>
      <c r="AG399" s="333"/>
      <c r="AH399" s="333"/>
      <c r="AI399" s="333"/>
      <c r="AJ399" s="333"/>
      <c r="AK399" s="333"/>
      <c r="AL399" s="333"/>
      <c r="AM399" s="333"/>
      <c r="AN399" s="333"/>
      <c r="AO399" s="346"/>
      <c r="AP399" s="333"/>
      <c r="AQ399" s="333"/>
      <c r="AR399" s="333"/>
      <c r="AS399" s="333"/>
      <c r="AT399" s="333"/>
      <c r="AU399" s="333"/>
      <c r="AV399" s="333"/>
      <c r="AW399" s="333"/>
      <c r="AX399" s="333"/>
      <c r="AY399" s="333"/>
      <c r="AZ399" s="333"/>
      <c r="BA399" s="333"/>
    </row>
    <row r="400" spans="1:53" s="102" customFormat="1" outlineLevel="2">
      <c r="A400" s="102" t="s">
        <v>1133</v>
      </c>
      <c r="B400" s="103" t="s">
        <v>1134</v>
      </c>
      <c r="C400" s="104" t="s">
        <v>1135</v>
      </c>
      <c r="D400" s="298"/>
      <c r="E400" s="299"/>
      <c r="F400" s="105">
        <v>1255.95</v>
      </c>
      <c r="G400" s="105">
        <v>0</v>
      </c>
      <c r="H400" s="106">
        <f t="shared" ref="H400:H412" si="112">+F400-G400</f>
        <v>1255.95</v>
      </c>
      <c r="I400" s="300" t="str">
        <f t="shared" ref="I400:I412" si="113">IF(G400&lt;0,IF(H400=0,0,IF(OR(G400=0,F400=0),"N.M.",IF(ABS(H400/G400)&gt;=10,"N.M.",H400/(-G400)))),IF(H400=0,0,IF(OR(G400=0,F400=0),"N.M.",IF(ABS(H400/G400)&gt;=10,"N.M.",H400/G400))))</f>
        <v>N.M.</v>
      </c>
      <c r="J400" s="107"/>
      <c r="K400" s="105">
        <v>3976.05</v>
      </c>
      <c r="L400" s="105">
        <v>0</v>
      </c>
      <c r="M400" s="106">
        <f t="shared" ref="M400:M412" si="114">+K400-L400</f>
        <v>3976.05</v>
      </c>
      <c r="N400" s="300" t="str">
        <f t="shared" ref="N400:N412" si="115">IF(L400&lt;0,IF(M400=0,0,IF(OR(L400=0,K400=0),"N.M.",IF(ABS(M400/L400)&gt;=10,"N.M.",M400/(-L400)))),IF(M400=0,0,IF(OR(L400=0,K400=0),"N.M.",IF(ABS(M400/L400)&gt;=10,"N.M.",M400/L400))))</f>
        <v>N.M.</v>
      </c>
      <c r="O400" s="301"/>
      <c r="P400" s="107"/>
      <c r="Q400" s="105">
        <v>3976.05</v>
      </c>
      <c r="R400" s="105">
        <v>0</v>
      </c>
      <c r="S400" s="106">
        <f t="shared" ref="S400:S412" si="116">+Q400-R400</f>
        <v>3976.05</v>
      </c>
      <c r="T400" s="300" t="str">
        <f t="shared" ref="T400:T412" si="117">IF(R400&lt;0,IF(S400=0,0,IF(OR(R400=0,Q400=0),"N.M.",IF(ABS(S400/R400)&gt;=10,"N.M.",S400/(-R400)))),IF(S400=0,0,IF(OR(R400=0,Q400=0),"N.M.",IF(ABS(S400/R400)&gt;=10,"N.M.",S400/R400))))</f>
        <v>N.M.</v>
      </c>
      <c r="U400" s="107"/>
      <c r="V400" s="105">
        <v>19645.850000000002</v>
      </c>
      <c r="W400" s="105">
        <v>4265.4800000000005</v>
      </c>
      <c r="X400" s="106">
        <f t="shared" ref="X400:X412" si="118">+V400-W400</f>
        <v>15380.370000000003</v>
      </c>
      <c r="Y400" s="300">
        <f t="shared" ref="Y400:Y412" si="119">IF(W400&lt;0,IF(X400=0,0,IF(OR(W400=0,V400=0),"N.M.",IF(ABS(X400/W400)&gt;=10,"N.M.",X400/(-W400)))),IF(X400=0,0,IF(OR(W400=0,V400=0),"N.M.",IF(ABS(X400/W400)&gt;=10,"N.M.",X400/W400))))</f>
        <v>3.6057770754991236</v>
      </c>
      <c r="Z400" s="302"/>
      <c r="AA400" s="108">
        <v>0</v>
      </c>
      <c r="AB400" s="109"/>
      <c r="AC400" s="110">
        <v>0</v>
      </c>
      <c r="AD400" s="110">
        <v>0</v>
      </c>
      <c r="AE400" s="110">
        <v>0</v>
      </c>
      <c r="AF400" s="110">
        <v>15.860000000000001</v>
      </c>
      <c r="AG400" s="110">
        <v>-14.76</v>
      </c>
      <c r="AH400" s="110">
        <v>15341.48</v>
      </c>
      <c r="AI400" s="110">
        <v>-13973.710000000001</v>
      </c>
      <c r="AJ400" s="110">
        <v>2642.65</v>
      </c>
      <c r="AK400" s="110">
        <v>1270.29</v>
      </c>
      <c r="AL400" s="110">
        <v>1270.29</v>
      </c>
      <c r="AM400" s="110">
        <v>5027.93</v>
      </c>
      <c r="AN400" s="110">
        <v>4089.77</v>
      </c>
      <c r="AO400" s="109"/>
      <c r="AP400" s="110">
        <v>1472.6000000000001</v>
      </c>
      <c r="AQ400" s="110">
        <v>1247.5</v>
      </c>
      <c r="AR400" s="110">
        <v>1255.95</v>
      </c>
      <c r="AS400" s="110">
        <v>0</v>
      </c>
      <c r="AT400" s="110">
        <v>0</v>
      </c>
      <c r="AU400" s="110">
        <v>0</v>
      </c>
      <c r="AV400" s="110">
        <v>0</v>
      </c>
      <c r="AW400" s="110">
        <v>0</v>
      </c>
      <c r="AX400" s="110">
        <v>0</v>
      </c>
      <c r="AY400" s="110">
        <v>0</v>
      </c>
      <c r="AZ400" s="110">
        <v>0</v>
      </c>
      <c r="BA400" s="110">
        <v>0</v>
      </c>
    </row>
    <row r="401" spans="1:53" s="102" customFormat="1" outlineLevel="2">
      <c r="A401" s="102" t="s">
        <v>1136</v>
      </c>
      <c r="B401" s="103" t="s">
        <v>1137</v>
      </c>
      <c r="C401" s="104" t="s">
        <v>1138</v>
      </c>
      <c r="D401" s="298"/>
      <c r="E401" s="299"/>
      <c r="F401" s="105">
        <v>51140.33</v>
      </c>
      <c r="G401" s="105">
        <v>57714.559999999998</v>
      </c>
      <c r="H401" s="106">
        <f t="shared" si="112"/>
        <v>-6574.2299999999959</v>
      </c>
      <c r="I401" s="300">
        <f t="shared" si="113"/>
        <v>-0.11390938439104441</v>
      </c>
      <c r="J401" s="107"/>
      <c r="K401" s="105">
        <v>126995.04000000001</v>
      </c>
      <c r="L401" s="105">
        <v>163703.61000000002</v>
      </c>
      <c r="M401" s="106">
        <f t="shared" si="114"/>
        <v>-36708.570000000007</v>
      </c>
      <c r="N401" s="300">
        <f t="shared" si="115"/>
        <v>-0.22423799939414898</v>
      </c>
      <c r="O401" s="301"/>
      <c r="P401" s="107"/>
      <c r="Q401" s="105">
        <v>126995.04000000001</v>
      </c>
      <c r="R401" s="105">
        <v>163703.61000000002</v>
      </c>
      <c r="S401" s="106">
        <f t="shared" si="116"/>
        <v>-36708.570000000007</v>
      </c>
      <c r="T401" s="300">
        <f t="shared" si="117"/>
        <v>-0.22423799939414898</v>
      </c>
      <c r="U401" s="107"/>
      <c r="V401" s="105">
        <v>763130.82000000007</v>
      </c>
      <c r="W401" s="105">
        <v>896844.03</v>
      </c>
      <c r="X401" s="106">
        <f t="shared" si="118"/>
        <v>-133713.20999999996</v>
      </c>
      <c r="Y401" s="300">
        <f t="shared" si="119"/>
        <v>-0.14909304798516634</v>
      </c>
      <c r="Z401" s="302"/>
      <c r="AA401" s="108">
        <v>77569.31</v>
      </c>
      <c r="AB401" s="109"/>
      <c r="AC401" s="110">
        <v>54905.630000000005</v>
      </c>
      <c r="AD401" s="110">
        <v>51083.42</v>
      </c>
      <c r="AE401" s="110">
        <v>57714.559999999998</v>
      </c>
      <c r="AF401" s="110">
        <v>52907.93</v>
      </c>
      <c r="AG401" s="110">
        <v>44528.37</v>
      </c>
      <c r="AH401" s="110">
        <v>55720.23</v>
      </c>
      <c r="AI401" s="110">
        <v>72797.100000000006</v>
      </c>
      <c r="AJ401" s="110">
        <v>53491.17</v>
      </c>
      <c r="AK401" s="110">
        <v>60823.770000000004</v>
      </c>
      <c r="AL401" s="110">
        <v>107406.24</v>
      </c>
      <c r="AM401" s="110">
        <v>52856.880000000005</v>
      </c>
      <c r="AN401" s="110">
        <v>135604.09</v>
      </c>
      <c r="AO401" s="109"/>
      <c r="AP401" s="110">
        <v>36719.07</v>
      </c>
      <c r="AQ401" s="110">
        <v>39135.64</v>
      </c>
      <c r="AR401" s="110">
        <v>51140.33</v>
      </c>
      <c r="AS401" s="110">
        <v>3145.46</v>
      </c>
      <c r="AT401" s="110">
        <v>0</v>
      </c>
      <c r="AU401" s="110">
        <v>0</v>
      </c>
      <c r="AV401" s="110">
        <v>0</v>
      </c>
      <c r="AW401" s="110">
        <v>0</v>
      </c>
      <c r="AX401" s="110">
        <v>0</v>
      </c>
      <c r="AY401" s="110">
        <v>0</v>
      </c>
      <c r="AZ401" s="110">
        <v>0</v>
      </c>
      <c r="BA401" s="110">
        <v>0</v>
      </c>
    </row>
    <row r="402" spans="1:53" s="102" customFormat="1" outlineLevel="2">
      <c r="A402" s="102" t="s">
        <v>1139</v>
      </c>
      <c r="B402" s="103" t="s">
        <v>1140</v>
      </c>
      <c r="C402" s="104" t="s">
        <v>1141</v>
      </c>
      <c r="D402" s="298"/>
      <c r="E402" s="299"/>
      <c r="F402" s="105">
        <v>525.54999999999995</v>
      </c>
      <c r="G402" s="105">
        <v>3930.4900000000002</v>
      </c>
      <c r="H402" s="106">
        <f t="shared" si="112"/>
        <v>-3404.9400000000005</v>
      </c>
      <c r="I402" s="300">
        <f t="shared" si="113"/>
        <v>-0.86628893598508083</v>
      </c>
      <c r="J402" s="107"/>
      <c r="K402" s="105">
        <v>526.51</v>
      </c>
      <c r="L402" s="105">
        <v>14782.02</v>
      </c>
      <c r="M402" s="106">
        <f t="shared" si="114"/>
        <v>-14255.51</v>
      </c>
      <c r="N402" s="300">
        <f t="shared" si="115"/>
        <v>-0.96438172861354532</v>
      </c>
      <c r="O402" s="301"/>
      <c r="P402" s="107"/>
      <c r="Q402" s="105">
        <v>526.51</v>
      </c>
      <c r="R402" s="105">
        <v>14782.02</v>
      </c>
      <c r="S402" s="106">
        <f t="shared" si="116"/>
        <v>-14255.51</v>
      </c>
      <c r="T402" s="300">
        <f t="shared" si="117"/>
        <v>-0.96438172861354532</v>
      </c>
      <c r="U402" s="107"/>
      <c r="V402" s="105">
        <v>1582.67</v>
      </c>
      <c r="W402" s="105">
        <v>198223.47</v>
      </c>
      <c r="X402" s="106">
        <f t="shared" si="118"/>
        <v>-196640.8</v>
      </c>
      <c r="Y402" s="300">
        <f t="shared" si="119"/>
        <v>-0.99201572851085695</v>
      </c>
      <c r="Z402" s="302"/>
      <c r="AA402" s="108">
        <v>-49.83</v>
      </c>
      <c r="AB402" s="109"/>
      <c r="AC402" s="110">
        <v>10849.81</v>
      </c>
      <c r="AD402" s="110">
        <v>1.72</v>
      </c>
      <c r="AE402" s="110">
        <v>3930.4900000000002</v>
      </c>
      <c r="AF402" s="110">
        <v>-6.03</v>
      </c>
      <c r="AG402" s="110">
        <v>2.2800000000000002</v>
      </c>
      <c r="AH402" s="110">
        <v>5.8</v>
      </c>
      <c r="AI402" s="110">
        <v>478.82</v>
      </c>
      <c r="AJ402" s="110">
        <v>-1.26</v>
      </c>
      <c r="AK402" s="110">
        <v>576.20000000000005</v>
      </c>
      <c r="AL402" s="110">
        <v>5.19</v>
      </c>
      <c r="AM402" s="110">
        <v>-5.19</v>
      </c>
      <c r="AN402" s="110">
        <v>0.35000000000000003</v>
      </c>
      <c r="AO402" s="109"/>
      <c r="AP402" s="110">
        <v>-0.35000000000000003</v>
      </c>
      <c r="AQ402" s="110">
        <v>1.31</v>
      </c>
      <c r="AR402" s="110">
        <v>525.54999999999995</v>
      </c>
      <c r="AS402" s="110">
        <v>0</v>
      </c>
      <c r="AT402" s="110">
        <v>0</v>
      </c>
      <c r="AU402" s="110">
        <v>0</v>
      </c>
      <c r="AV402" s="110">
        <v>0</v>
      </c>
      <c r="AW402" s="110">
        <v>0</v>
      </c>
      <c r="AX402" s="110">
        <v>0</v>
      </c>
      <c r="AY402" s="110">
        <v>0</v>
      </c>
      <c r="AZ402" s="110">
        <v>0</v>
      </c>
      <c r="BA402" s="110">
        <v>0</v>
      </c>
    </row>
    <row r="403" spans="1:53" s="102" customFormat="1" outlineLevel="2">
      <c r="A403" s="102" t="s">
        <v>1142</v>
      </c>
      <c r="B403" s="103" t="s">
        <v>1143</v>
      </c>
      <c r="C403" s="104" t="s">
        <v>1144</v>
      </c>
      <c r="D403" s="298"/>
      <c r="E403" s="299"/>
      <c r="F403" s="105">
        <v>1013.26</v>
      </c>
      <c r="G403" s="105">
        <v>240.33</v>
      </c>
      <c r="H403" s="106">
        <f t="shared" si="112"/>
        <v>772.93</v>
      </c>
      <c r="I403" s="300">
        <f t="shared" si="113"/>
        <v>3.2161195023509337</v>
      </c>
      <c r="J403" s="107"/>
      <c r="K403" s="105">
        <v>1998.9</v>
      </c>
      <c r="L403" s="105">
        <v>6720.04</v>
      </c>
      <c r="M403" s="106">
        <f t="shared" si="114"/>
        <v>-4721.1399999999994</v>
      </c>
      <c r="N403" s="300">
        <f t="shared" si="115"/>
        <v>-0.70254641341420576</v>
      </c>
      <c r="O403" s="301"/>
      <c r="P403" s="107"/>
      <c r="Q403" s="105">
        <v>1998.9</v>
      </c>
      <c r="R403" s="105">
        <v>6720.04</v>
      </c>
      <c r="S403" s="106">
        <f t="shared" si="116"/>
        <v>-4721.1399999999994</v>
      </c>
      <c r="T403" s="300">
        <f t="shared" si="117"/>
        <v>-0.70254641341420576</v>
      </c>
      <c r="U403" s="107"/>
      <c r="V403" s="105">
        <v>5248.47</v>
      </c>
      <c r="W403" s="105">
        <v>9090.619999999999</v>
      </c>
      <c r="X403" s="106">
        <f t="shared" si="118"/>
        <v>-3842.1499999999987</v>
      </c>
      <c r="Y403" s="300">
        <f t="shared" si="119"/>
        <v>-0.42264994026810043</v>
      </c>
      <c r="Z403" s="302"/>
      <c r="AA403" s="108">
        <v>255</v>
      </c>
      <c r="AB403" s="109"/>
      <c r="AC403" s="110">
        <v>254.67000000000002</v>
      </c>
      <c r="AD403" s="110">
        <v>6225.04</v>
      </c>
      <c r="AE403" s="110">
        <v>240.33</v>
      </c>
      <c r="AF403" s="110">
        <v>237.66</v>
      </c>
      <c r="AG403" s="110">
        <v>236.77</v>
      </c>
      <c r="AH403" s="110">
        <v>236.54</v>
      </c>
      <c r="AI403" s="110">
        <v>1021.49</v>
      </c>
      <c r="AJ403" s="110">
        <v>274.18</v>
      </c>
      <c r="AK403" s="110">
        <v>202.64000000000001</v>
      </c>
      <c r="AL403" s="110">
        <v>243.12</v>
      </c>
      <c r="AM403" s="110">
        <v>398.59000000000003</v>
      </c>
      <c r="AN403" s="110">
        <v>398.58</v>
      </c>
      <c r="AO403" s="109"/>
      <c r="AP403" s="110">
        <v>394.94</v>
      </c>
      <c r="AQ403" s="110">
        <v>590.70000000000005</v>
      </c>
      <c r="AR403" s="110">
        <v>1013.26</v>
      </c>
      <c r="AS403" s="110">
        <v>0</v>
      </c>
      <c r="AT403" s="110">
        <v>0</v>
      </c>
      <c r="AU403" s="110">
        <v>0</v>
      </c>
      <c r="AV403" s="110">
        <v>0</v>
      </c>
      <c r="AW403" s="110">
        <v>0</v>
      </c>
      <c r="AX403" s="110">
        <v>0</v>
      </c>
      <c r="AY403" s="110">
        <v>0</v>
      </c>
      <c r="AZ403" s="110">
        <v>0</v>
      </c>
      <c r="BA403" s="110">
        <v>0</v>
      </c>
    </row>
    <row r="404" spans="1:53" s="102" customFormat="1" outlineLevel="2">
      <c r="A404" s="102" t="s">
        <v>1145</v>
      </c>
      <c r="B404" s="103" t="s">
        <v>1146</v>
      </c>
      <c r="C404" s="104" t="s">
        <v>1147</v>
      </c>
      <c r="D404" s="298"/>
      <c r="E404" s="299"/>
      <c r="F404" s="105">
        <v>91235.35</v>
      </c>
      <c r="G404" s="105">
        <v>80851.92</v>
      </c>
      <c r="H404" s="106">
        <f t="shared" si="112"/>
        <v>10383.430000000008</v>
      </c>
      <c r="I404" s="300">
        <f t="shared" si="113"/>
        <v>0.12842527425446432</v>
      </c>
      <c r="J404" s="107"/>
      <c r="K404" s="105">
        <v>269587.75</v>
      </c>
      <c r="L404" s="105">
        <v>254136.26</v>
      </c>
      <c r="M404" s="106">
        <f t="shared" si="114"/>
        <v>15451.489999999991</v>
      </c>
      <c r="N404" s="300">
        <f t="shared" si="115"/>
        <v>6.0800021216964435E-2</v>
      </c>
      <c r="O404" s="301"/>
      <c r="P404" s="107"/>
      <c r="Q404" s="105">
        <v>269587.75</v>
      </c>
      <c r="R404" s="105">
        <v>254136.26</v>
      </c>
      <c r="S404" s="106">
        <f t="shared" si="116"/>
        <v>15451.489999999991</v>
      </c>
      <c r="T404" s="300">
        <f t="shared" si="117"/>
        <v>6.0800021216964435E-2</v>
      </c>
      <c r="U404" s="107"/>
      <c r="V404" s="105">
        <v>1025205.87</v>
      </c>
      <c r="W404" s="105">
        <v>1069320.8400000001</v>
      </c>
      <c r="X404" s="106">
        <f t="shared" si="118"/>
        <v>-44114.970000000088</v>
      </c>
      <c r="Y404" s="300">
        <f t="shared" si="119"/>
        <v>-4.1255129751328973E-2</v>
      </c>
      <c r="Z404" s="302"/>
      <c r="AA404" s="108">
        <v>75147.64</v>
      </c>
      <c r="AB404" s="109"/>
      <c r="AC404" s="110">
        <v>97890.400000000009</v>
      </c>
      <c r="AD404" s="110">
        <v>75393.94</v>
      </c>
      <c r="AE404" s="110">
        <v>80851.92</v>
      </c>
      <c r="AF404" s="110">
        <v>82863.03</v>
      </c>
      <c r="AG404" s="110">
        <v>75180.87</v>
      </c>
      <c r="AH404" s="110">
        <v>77391.839999999997</v>
      </c>
      <c r="AI404" s="110">
        <v>85042.55</v>
      </c>
      <c r="AJ404" s="110">
        <v>79898.850000000006</v>
      </c>
      <c r="AK404" s="110">
        <v>88105.11</v>
      </c>
      <c r="AL404" s="110">
        <v>83901.26</v>
      </c>
      <c r="AM404" s="110">
        <v>72273.680000000008</v>
      </c>
      <c r="AN404" s="110">
        <v>110960.93000000001</v>
      </c>
      <c r="AO404" s="109"/>
      <c r="AP404" s="110">
        <v>96353.09</v>
      </c>
      <c r="AQ404" s="110">
        <v>81999.31</v>
      </c>
      <c r="AR404" s="110">
        <v>91235.35</v>
      </c>
      <c r="AS404" s="110">
        <v>-8316.17</v>
      </c>
      <c r="AT404" s="110">
        <v>0</v>
      </c>
      <c r="AU404" s="110">
        <v>0</v>
      </c>
      <c r="AV404" s="110">
        <v>0</v>
      </c>
      <c r="AW404" s="110">
        <v>0</v>
      </c>
      <c r="AX404" s="110">
        <v>0</v>
      </c>
      <c r="AY404" s="110">
        <v>0</v>
      </c>
      <c r="AZ404" s="110">
        <v>0</v>
      </c>
      <c r="BA404" s="110">
        <v>0</v>
      </c>
    </row>
    <row r="405" spans="1:53" s="102" customFormat="1" outlineLevel="2">
      <c r="A405" s="102" t="s">
        <v>1148</v>
      </c>
      <c r="B405" s="103" t="s">
        <v>1149</v>
      </c>
      <c r="C405" s="104" t="s">
        <v>1150</v>
      </c>
      <c r="D405" s="298"/>
      <c r="E405" s="299"/>
      <c r="F405" s="105">
        <v>51650.35</v>
      </c>
      <c r="G405" s="105">
        <v>72963.070000000007</v>
      </c>
      <c r="H405" s="106">
        <f t="shared" si="112"/>
        <v>-21312.720000000008</v>
      </c>
      <c r="I405" s="300">
        <f t="shared" si="113"/>
        <v>-0.29210284051918328</v>
      </c>
      <c r="J405" s="107"/>
      <c r="K405" s="105">
        <v>176558.86000000002</v>
      </c>
      <c r="L405" s="105">
        <v>165197.51999999999</v>
      </c>
      <c r="M405" s="106">
        <f t="shared" si="114"/>
        <v>11361.340000000026</v>
      </c>
      <c r="N405" s="300">
        <f t="shared" si="115"/>
        <v>6.8774276998831624E-2</v>
      </c>
      <c r="O405" s="301"/>
      <c r="P405" s="107"/>
      <c r="Q405" s="105">
        <v>176558.86000000002</v>
      </c>
      <c r="R405" s="105">
        <v>165197.51999999999</v>
      </c>
      <c r="S405" s="106">
        <f t="shared" si="116"/>
        <v>11361.340000000026</v>
      </c>
      <c r="T405" s="300">
        <f t="shared" si="117"/>
        <v>6.8774276998831624E-2</v>
      </c>
      <c r="U405" s="107"/>
      <c r="V405" s="105">
        <v>803924.99</v>
      </c>
      <c r="W405" s="105">
        <v>743543.28</v>
      </c>
      <c r="X405" s="106">
        <f t="shared" si="118"/>
        <v>60381.709999999963</v>
      </c>
      <c r="Y405" s="300">
        <f t="shared" si="119"/>
        <v>8.1208063638205374E-2</v>
      </c>
      <c r="Z405" s="302"/>
      <c r="AA405" s="108">
        <v>104837.88</v>
      </c>
      <c r="AB405" s="109"/>
      <c r="AC405" s="110">
        <v>19471.97</v>
      </c>
      <c r="AD405" s="110">
        <v>72762.48</v>
      </c>
      <c r="AE405" s="110">
        <v>72963.070000000007</v>
      </c>
      <c r="AF405" s="110">
        <v>82114.91</v>
      </c>
      <c r="AG405" s="110">
        <v>56444.480000000003</v>
      </c>
      <c r="AH405" s="110">
        <v>80555.820000000007</v>
      </c>
      <c r="AI405" s="110">
        <v>56186.42</v>
      </c>
      <c r="AJ405" s="110">
        <v>110423.02</v>
      </c>
      <c r="AK405" s="110">
        <v>31239.7</v>
      </c>
      <c r="AL405" s="110">
        <v>72262.39</v>
      </c>
      <c r="AM405" s="110">
        <v>66859.199999999997</v>
      </c>
      <c r="AN405" s="110">
        <v>71280.19</v>
      </c>
      <c r="AO405" s="109"/>
      <c r="AP405" s="110">
        <v>59632.85</v>
      </c>
      <c r="AQ405" s="110">
        <v>65275.66</v>
      </c>
      <c r="AR405" s="110">
        <v>51650.35</v>
      </c>
      <c r="AS405" s="110">
        <v>0</v>
      </c>
      <c r="AT405" s="110">
        <v>0</v>
      </c>
      <c r="AU405" s="110">
        <v>0</v>
      </c>
      <c r="AV405" s="110">
        <v>0</v>
      </c>
      <c r="AW405" s="110">
        <v>0</v>
      </c>
      <c r="AX405" s="110">
        <v>0</v>
      </c>
      <c r="AY405" s="110">
        <v>0</v>
      </c>
      <c r="AZ405" s="110">
        <v>0</v>
      </c>
      <c r="BA405" s="110">
        <v>0</v>
      </c>
    </row>
    <row r="406" spans="1:53" s="102" customFormat="1" outlineLevel="2">
      <c r="A406" s="102" t="s">
        <v>1151</v>
      </c>
      <c r="B406" s="103" t="s">
        <v>1152</v>
      </c>
      <c r="C406" s="104" t="s">
        <v>1153</v>
      </c>
      <c r="D406" s="298"/>
      <c r="E406" s="299"/>
      <c r="F406" s="105">
        <v>0</v>
      </c>
      <c r="G406" s="105">
        <v>31.330000000000002</v>
      </c>
      <c r="H406" s="106">
        <f t="shared" si="112"/>
        <v>-31.330000000000002</v>
      </c>
      <c r="I406" s="300" t="str">
        <f t="shared" si="113"/>
        <v>N.M.</v>
      </c>
      <c r="J406" s="107"/>
      <c r="K406" s="105">
        <v>0</v>
      </c>
      <c r="L406" s="105">
        <v>31.330000000000002</v>
      </c>
      <c r="M406" s="106">
        <f t="shared" si="114"/>
        <v>-31.330000000000002</v>
      </c>
      <c r="N406" s="300" t="str">
        <f t="shared" si="115"/>
        <v>N.M.</v>
      </c>
      <c r="O406" s="301"/>
      <c r="P406" s="107"/>
      <c r="Q406" s="105">
        <v>0</v>
      </c>
      <c r="R406" s="105">
        <v>31.330000000000002</v>
      </c>
      <c r="S406" s="106">
        <f t="shared" si="116"/>
        <v>-31.330000000000002</v>
      </c>
      <c r="T406" s="300" t="str">
        <f t="shared" si="117"/>
        <v>N.M.</v>
      </c>
      <c r="U406" s="107"/>
      <c r="V406" s="105">
        <v>0</v>
      </c>
      <c r="W406" s="105">
        <v>42.36</v>
      </c>
      <c r="X406" s="106">
        <f t="shared" si="118"/>
        <v>-42.36</v>
      </c>
      <c r="Y406" s="300" t="str">
        <f t="shared" si="119"/>
        <v>N.M.</v>
      </c>
      <c r="Z406" s="302"/>
      <c r="AA406" s="108">
        <v>9.5299999999999994</v>
      </c>
      <c r="AB406" s="109"/>
      <c r="AC406" s="110">
        <v>0</v>
      </c>
      <c r="AD406" s="110">
        <v>0</v>
      </c>
      <c r="AE406" s="110">
        <v>31.330000000000002</v>
      </c>
      <c r="AF406" s="110">
        <v>0</v>
      </c>
      <c r="AG406" s="110">
        <v>0</v>
      </c>
      <c r="AH406" s="110">
        <v>0</v>
      </c>
      <c r="AI406" s="110">
        <v>0</v>
      </c>
      <c r="AJ406" s="110">
        <v>0</v>
      </c>
      <c r="AK406" s="110">
        <v>0</v>
      </c>
      <c r="AL406" s="110">
        <v>0</v>
      </c>
      <c r="AM406" s="110">
        <v>0</v>
      </c>
      <c r="AN406" s="110">
        <v>0</v>
      </c>
      <c r="AO406" s="109"/>
      <c r="AP406" s="110">
        <v>0</v>
      </c>
      <c r="AQ406" s="110">
        <v>0</v>
      </c>
      <c r="AR406" s="110">
        <v>0</v>
      </c>
      <c r="AS406" s="110">
        <v>0</v>
      </c>
      <c r="AT406" s="110">
        <v>0</v>
      </c>
      <c r="AU406" s="110">
        <v>0</v>
      </c>
      <c r="AV406" s="110">
        <v>0</v>
      </c>
      <c r="AW406" s="110">
        <v>0</v>
      </c>
      <c r="AX406" s="110">
        <v>0</v>
      </c>
      <c r="AY406" s="110">
        <v>0</v>
      </c>
      <c r="AZ406" s="110">
        <v>0</v>
      </c>
      <c r="BA406" s="110">
        <v>0</v>
      </c>
    </row>
    <row r="407" spans="1:53" s="102" customFormat="1" outlineLevel="2">
      <c r="A407" s="102" t="s">
        <v>1154</v>
      </c>
      <c r="B407" s="103" t="s">
        <v>1155</v>
      </c>
      <c r="C407" s="104" t="s">
        <v>1156</v>
      </c>
      <c r="D407" s="298"/>
      <c r="E407" s="299"/>
      <c r="F407" s="105">
        <v>0</v>
      </c>
      <c r="G407" s="105">
        <v>97.68</v>
      </c>
      <c r="H407" s="106">
        <f t="shared" si="112"/>
        <v>-97.68</v>
      </c>
      <c r="I407" s="300" t="str">
        <f t="shared" si="113"/>
        <v>N.M.</v>
      </c>
      <c r="J407" s="107"/>
      <c r="K407" s="105">
        <v>0</v>
      </c>
      <c r="L407" s="105">
        <v>792.45</v>
      </c>
      <c r="M407" s="106">
        <f t="shared" si="114"/>
        <v>-792.45</v>
      </c>
      <c r="N407" s="300" t="str">
        <f t="shared" si="115"/>
        <v>N.M.</v>
      </c>
      <c r="O407" s="301"/>
      <c r="P407" s="107"/>
      <c r="Q407" s="105">
        <v>0</v>
      </c>
      <c r="R407" s="105">
        <v>792.45</v>
      </c>
      <c r="S407" s="106">
        <f t="shared" si="116"/>
        <v>-792.45</v>
      </c>
      <c r="T407" s="300" t="str">
        <f t="shared" si="117"/>
        <v>N.M.</v>
      </c>
      <c r="U407" s="107"/>
      <c r="V407" s="105">
        <v>576.07000000000005</v>
      </c>
      <c r="W407" s="105">
        <v>1496.91</v>
      </c>
      <c r="X407" s="106">
        <f t="shared" si="118"/>
        <v>-920.84</v>
      </c>
      <c r="Y407" s="300">
        <f t="shared" si="119"/>
        <v>-0.61516056409536979</v>
      </c>
      <c r="Z407" s="302"/>
      <c r="AA407" s="108">
        <v>100.83</v>
      </c>
      <c r="AB407" s="109"/>
      <c r="AC407" s="110">
        <v>558.08000000000004</v>
      </c>
      <c r="AD407" s="110">
        <v>136.69</v>
      </c>
      <c r="AE407" s="110">
        <v>97.68</v>
      </c>
      <c r="AF407" s="110">
        <v>99.79</v>
      </c>
      <c r="AG407" s="110">
        <v>100.01</v>
      </c>
      <c r="AH407" s="110">
        <v>0</v>
      </c>
      <c r="AI407" s="110">
        <v>0</v>
      </c>
      <c r="AJ407" s="110">
        <v>0</v>
      </c>
      <c r="AK407" s="110">
        <v>0</v>
      </c>
      <c r="AL407" s="110">
        <v>0</v>
      </c>
      <c r="AM407" s="110">
        <v>376.27</v>
      </c>
      <c r="AN407" s="110">
        <v>0</v>
      </c>
      <c r="AO407" s="109"/>
      <c r="AP407" s="110">
        <v>0</v>
      </c>
      <c r="AQ407" s="110">
        <v>0</v>
      </c>
      <c r="AR407" s="110">
        <v>0</v>
      </c>
      <c r="AS407" s="110">
        <v>0</v>
      </c>
      <c r="AT407" s="110">
        <v>0</v>
      </c>
      <c r="AU407" s="110">
        <v>0</v>
      </c>
      <c r="AV407" s="110">
        <v>0</v>
      </c>
      <c r="AW407" s="110">
        <v>0</v>
      </c>
      <c r="AX407" s="110">
        <v>0</v>
      </c>
      <c r="AY407" s="110">
        <v>0</v>
      </c>
      <c r="AZ407" s="110">
        <v>0</v>
      </c>
      <c r="BA407" s="110">
        <v>0</v>
      </c>
    </row>
    <row r="408" spans="1:53" s="102" customFormat="1" outlineLevel="2">
      <c r="A408" s="102" t="s">
        <v>1157</v>
      </c>
      <c r="B408" s="103" t="s">
        <v>1158</v>
      </c>
      <c r="C408" s="104" t="s">
        <v>1159</v>
      </c>
      <c r="D408" s="298"/>
      <c r="E408" s="299"/>
      <c r="F408" s="105">
        <v>16.48</v>
      </c>
      <c r="G408" s="105">
        <v>86.42</v>
      </c>
      <c r="H408" s="106">
        <f t="shared" si="112"/>
        <v>-69.94</v>
      </c>
      <c r="I408" s="300">
        <f t="shared" si="113"/>
        <v>-0.80930340199027995</v>
      </c>
      <c r="J408" s="107"/>
      <c r="K408" s="105">
        <v>121.86</v>
      </c>
      <c r="L408" s="105">
        <v>260.66000000000003</v>
      </c>
      <c r="M408" s="106">
        <f t="shared" si="114"/>
        <v>-138.80000000000001</v>
      </c>
      <c r="N408" s="300">
        <f t="shared" si="115"/>
        <v>-0.53249443719788225</v>
      </c>
      <c r="O408" s="301"/>
      <c r="P408" s="107"/>
      <c r="Q408" s="105">
        <v>121.86</v>
      </c>
      <c r="R408" s="105">
        <v>260.66000000000003</v>
      </c>
      <c r="S408" s="106">
        <f t="shared" si="116"/>
        <v>-138.80000000000001</v>
      </c>
      <c r="T408" s="300">
        <f t="shared" si="117"/>
        <v>-0.53249443719788225</v>
      </c>
      <c r="U408" s="107"/>
      <c r="V408" s="105">
        <v>917.36</v>
      </c>
      <c r="W408" s="105">
        <v>1128.52</v>
      </c>
      <c r="X408" s="106">
        <f t="shared" si="118"/>
        <v>-211.15999999999997</v>
      </c>
      <c r="Y408" s="300">
        <f t="shared" si="119"/>
        <v>-0.18711232410590861</v>
      </c>
      <c r="Z408" s="302"/>
      <c r="AA408" s="108">
        <v>87.22</v>
      </c>
      <c r="AB408" s="109"/>
      <c r="AC408" s="110">
        <v>86.8</v>
      </c>
      <c r="AD408" s="110">
        <v>87.44</v>
      </c>
      <c r="AE408" s="110">
        <v>86.42</v>
      </c>
      <c r="AF408" s="110">
        <v>86.16</v>
      </c>
      <c r="AG408" s="110">
        <v>86.33</v>
      </c>
      <c r="AH408" s="110">
        <v>87.05</v>
      </c>
      <c r="AI408" s="110">
        <v>92.3</v>
      </c>
      <c r="AJ408" s="110">
        <v>89.31</v>
      </c>
      <c r="AK408" s="110">
        <v>87.83</v>
      </c>
      <c r="AL408" s="110">
        <v>88.75</v>
      </c>
      <c r="AM408" s="110">
        <v>88.77</v>
      </c>
      <c r="AN408" s="110">
        <v>89</v>
      </c>
      <c r="AO408" s="109"/>
      <c r="AP408" s="110">
        <v>88.7</v>
      </c>
      <c r="AQ408" s="110">
        <v>16.68</v>
      </c>
      <c r="AR408" s="110">
        <v>16.48</v>
      </c>
      <c r="AS408" s="110">
        <v>0</v>
      </c>
      <c r="AT408" s="110">
        <v>0</v>
      </c>
      <c r="AU408" s="110">
        <v>0</v>
      </c>
      <c r="AV408" s="110">
        <v>0</v>
      </c>
      <c r="AW408" s="110">
        <v>0</v>
      </c>
      <c r="AX408" s="110">
        <v>0</v>
      </c>
      <c r="AY408" s="110">
        <v>0</v>
      </c>
      <c r="AZ408" s="110">
        <v>0</v>
      </c>
      <c r="BA408" s="110">
        <v>0</v>
      </c>
    </row>
    <row r="409" spans="1:53" s="102" customFormat="1" outlineLevel="2">
      <c r="A409" s="102" t="s">
        <v>1734</v>
      </c>
      <c r="B409" s="103" t="s">
        <v>1735</v>
      </c>
      <c r="C409" s="104" t="s">
        <v>1736</v>
      </c>
      <c r="D409" s="298"/>
      <c r="E409" s="299"/>
      <c r="F409" s="105">
        <v>1.22</v>
      </c>
      <c r="G409" s="105">
        <v>35.93</v>
      </c>
      <c r="H409" s="106">
        <f t="shared" si="112"/>
        <v>-34.71</v>
      </c>
      <c r="I409" s="300">
        <f t="shared" si="113"/>
        <v>-0.96604508767047037</v>
      </c>
      <c r="J409" s="107"/>
      <c r="K409" s="105">
        <v>18.93</v>
      </c>
      <c r="L409" s="105">
        <v>69.58</v>
      </c>
      <c r="M409" s="106">
        <f t="shared" si="114"/>
        <v>-50.65</v>
      </c>
      <c r="N409" s="300">
        <f t="shared" si="115"/>
        <v>-0.72793906294912336</v>
      </c>
      <c r="O409" s="301"/>
      <c r="P409" s="107"/>
      <c r="Q409" s="105">
        <v>18.93</v>
      </c>
      <c r="R409" s="105">
        <v>69.58</v>
      </c>
      <c r="S409" s="106">
        <f t="shared" si="116"/>
        <v>-50.65</v>
      </c>
      <c r="T409" s="300">
        <f t="shared" si="117"/>
        <v>-0.72793906294912336</v>
      </c>
      <c r="U409" s="107"/>
      <c r="V409" s="105">
        <v>160.66</v>
      </c>
      <c r="W409" s="105">
        <v>69.58</v>
      </c>
      <c r="X409" s="106">
        <f t="shared" si="118"/>
        <v>91.08</v>
      </c>
      <c r="Y409" s="300">
        <f t="shared" si="119"/>
        <v>1.3089968381718884</v>
      </c>
      <c r="Z409" s="302"/>
      <c r="AA409" s="108">
        <v>0</v>
      </c>
      <c r="AB409" s="109"/>
      <c r="AC409" s="110">
        <v>0</v>
      </c>
      <c r="AD409" s="110">
        <v>33.65</v>
      </c>
      <c r="AE409" s="110">
        <v>35.93</v>
      </c>
      <c r="AF409" s="110">
        <v>2.48</v>
      </c>
      <c r="AG409" s="110">
        <v>32.97</v>
      </c>
      <c r="AH409" s="110">
        <v>18.95</v>
      </c>
      <c r="AI409" s="110">
        <v>0</v>
      </c>
      <c r="AJ409" s="110">
        <v>19.080000000000002</v>
      </c>
      <c r="AK409" s="110">
        <v>31.92</v>
      </c>
      <c r="AL409" s="110">
        <v>19.440000000000001</v>
      </c>
      <c r="AM409" s="110">
        <v>0</v>
      </c>
      <c r="AN409" s="110">
        <v>16.89</v>
      </c>
      <c r="AO409" s="109"/>
      <c r="AP409" s="110">
        <v>1.25</v>
      </c>
      <c r="AQ409" s="110">
        <v>16.46</v>
      </c>
      <c r="AR409" s="110">
        <v>1.22</v>
      </c>
      <c r="AS409" s="110">
        <v>0</v>
      </c>
      <c r="AT409" s="110">
        <v>0</v>
      </c>
      <c r="AU409" s="110">
        <v>0</v>
      </c>
      <c r="AV409" s="110">
        <v>0</v>
      </c>
      <c r="AW409" s="110">
        <v>0</v>
      </c>
      <c r="AX409" s="110">
        <v>0</v>
      </c>
      <c r="AY409" s="110">
        <v>0</v>
      </c>
      <c r="AZ409" s="110">
        <v>0</v>
      </c>
      <c r="BA409" s="110">
        <v>0</v>
      </c>
    </row>
    <row r="410" spans="1:53" s="102" customFormat="1" outlineLevel="2">
      <c r="A410" s="102" t="s">
        <v>1160</v>
      </c>
      <c r="B410" s="103" t="s">
        <v>1161</v>
      </c>
      <c r="C410" s="104" t="s">
        <v>1162</v>
      </c>
      <c r="D410" s="298"/>
      <c r="E410" s="299"/>
      <c r="F410" s="105">
        <v>843.87</v>
      </c>
      <c r="G410" s="105">
        <v>1220.22</v>
      </c>
      <c r="H410" s="106">
        <f t="shared" si="112"/>
        <v>-376.35</v>
      </c>
      <c r="I410" s="300">
        <f t="shared" si="113"/>
        <v>-0.30842798839553526</v>
      </c>
      <c r="J410" s="107"/>
      <c r="K410" s="105">
        <v>1838.51</v>
      </c>
      <c r="L410" s="105">
        <v>6439.03</v>
      </c>
      <c r="M410" s="106">
        <f t="shared" si="114"/>
        <v>-4600.5199999999995</v>
      </c>
      <c r="N410" s="300">
        <f t="shared" si="115"/>
        <v>-0.71447407451122291</v>
      </c>
      <c r="O410" s="301"/>
      <c r="P410" s="107"/>
      <c r="Q410" s="105">
        <v>1838.51</v>
      </c>
      <c r="R410" s="105">
        <v>6439.03</v>
      </c>
      <c r="S410" s="106">
        <f t="shared" si="116"/>
        <v>-4600.5199999999995</v>
      </c>
      <c r="T410" s="300">
        <f t="shared" si="117"/>
        <v>-0.71447407451122291</v>
      </c>
      <c r="U410" s="107"/>
      <c r="V410" s="105">
        <v>13156.29</v>
      </c>
      <c r="W410" s="105">
        <v>22391.01</v>
      </c>
      <c r="X410" s="106">
        <f t="shared" si="118"/>
        <v>-9234.7199999999975</v>
      </c>
      <c r="Y410" s="300">
        <f t="shared" si="119"/>
        <v>-0.41242980999963819</v>
      </c>
      <c r="Z410" s="302"/>
      <c r="AA410" s="108">
        <v>320.03000000000003</v>
      </c>
      <c r="AB410" s="109"/>
      <c r="AC410" s="110">
        <v>2646.57</v>
      </c>
      <c r="AD410" s="110">
        <v>2572.2400000000002</v>
      </c>
      <c r="AE410" s="110">
        <v>1220.22</v>
      </c>
      <c r="AF410" s="110">
        <v>2094.1799999999998</v>
      </c>
      <c r="AG410" s="110">
        <v>880.39</v>
      </c>
      <c r="AH410" s="110">
        <v>436.5</v>
      </c>
      <c r="AI410" s="110">
        <v>2735.06</v>
      </c>
      <c r="AJ410" s="110">
        <v>2929.2000000000003</v>
      </c>
      <c r="AK410" s="110">
        <v>760.03</v>
      </c>
      <c r="AL410" s="110">
        <v>616.88</v>
      </c>
      <c r="AM410" s="110">
        <v>-183.12</v>
      </c>
      <c r="AN410" s="110">
        <v>1048.6600000000001</v>
      </c>
      <c r="AO410" s="109"/>
      <c r="AP410" s="110">
        <v>913.79</v>
      </c>
      <c r="AQ410" s="110">
        <v>80.850000000000009</v>
      </c>
      <c r="AR410" s="110">
        <v>843.87</v>
      </c>
      <c r="AS410" s="110">
        <v>0</v>
      </c>
      <c r="AT410" s="110">
        <v>0</v>
      </c>
      <c r="AU410" s="110">
        <v>0</v>
      </c>
      <c r="AV410" s="110">
        <v>0</v>
      </c>
      <c r="AW410" s="110">
        <v>0</v>
      </c>
      <c r="AX410" s="110">
        <v>0</v>
      </c>
      <c r="AY410" s="110">
        <v>0</v>
      </c>
      <c r="AZ410" s="110">
        <v>0</v>
      </c>
      <c r="BA410" s="110">
        <v>0</v>
      </c>
    </row>
    <row r="411" spans="1:53" outlineLevel="1">
      <c r="A411" s="111" t="s">
        <v>1163</v>
      </c>
      <c r="B411" s="331"/>
      <c r="C411" s="332" t="s">
        <v>1164</v>
      </c>
      <c r="D411" s="342"/>
      <c r="E411" s="342"/>
      <c r="F411" s="333">
        <v>197682.36000000002</v>
      </c>
      <c r="G411" s="333">
        <v>217171.94999999998</v>
      </c>
      <c r="H411" s="133">
        <f t="shared" si="112"/>
        <v>-19489.589999999967</v>
      </c>
      <c r="I411" s="138">
        <f t="shared" si="113"/>
        <v>-8.9742667043326591E-2</v>
      </c>
      <c r="J411" s="157"/>
      <c r="K411" s="333">
        <v>581622.41</v>
      </c>
      <c r="L411" s="333">
        <v>612132.5</v>
      </c>
      <c r="M411" s="133">
        <f t="shared" si="114"/>
        <v>-30510.089999999967</v>
      </c>
      <c r="N411" s="138">
        <f t="shared" si="115"/>
        <v>-4.9842297215063676E-2</v>
      </c>
      <c r="O411" s="353"/>
      <c r="P411" s="344"/>
      <c r="Q411" s="333">
        <v>581622.41</v>
      </c>
      <c r="R411" s="333">
        <v>612132.5</v>
      </c>
      <c r="S411" s="133">
        <f t="shared" si="116"/>
        <v>-30510.089999999967</v>
      </c>
      <c r="T411" s="138">
        <f t="shared" si="117"/>
        <v>-4.9842297215063676E-2</v>
      </c>
      <c r="U411" s="344"/>
      <c r="V411" s="333">
        <v>2633549.0499999993</v>
      </c>
      <c r="W411" s="333">
        <v>2946416.1000000006</v>
      </c>
      <c r="X411" s="133">
        <f t="shared" si="118"/>
        <v>-312867.05000000121</v>
      </c>
      <c r="Y411" s="137">
        <f t="shared" si="119"/>
        <v>-0.10618563006087332</v>
      </c>
      <c r="Z411" s="111"/>
      <c r="AA411" s="139">
        <v>258277.61</v>
      </c>
      <c r="AB411" s="346"/>
      <c r="AC411" s="333">
        <v>186663.93</v>
      </c>
      <c r="AD411" s="333">
        <v>208296.61999999997</v>
      </c>
      <c r="AE411" s="333">
        <v>217171.94999999998</v>
      </c>
      <c r="AF411" s="333">
        <v>220415.97000000003</v>
      </c>
      <c r="AG411" s="333">
        <v>177477.71000000002</v>
      </c>
      <c r="AH411" s="333">
        <v>229794.21000000002</v>
      </c>
      <c r="AI411" s="333">
        <v>204380.02999999997</v>
      </c>
      <c r="AJ411" s="333">
        <v>249766.19999999998</v>
      </c>
      <c r="AK411" s="333">
        <v>183097.49000000002</v>
      </c>
      <c r="AL411" s="333">
        <v>265813.56</v>
      </c>
      <c r="AM411" s="333">
        <v>197693.01</v>
      </c>
      <c r="AN411" s="333">
        <v>323488.45999999996</v>
      </c>
      <c r="AO411" s="346"/>
      <c r="AP411" s="333">
        <v>195575.94000000003</v>
      </c>
      <c r="AQ411" s="333">
        <v>188364.11</v>
      </c>
      <c r="AR411" s="333">
        <v>197682.36000000002</v>
      </c>
      <c r="AS411" s="333">
        <v>-5170.71</v>
      </c>
      <c r="AT411" s="333">
        <v>0</v>
      </c>
      <c r="AU411" s="333">
        <v>0</v>
      </c>
      <c r="AV411" s="333">
        <v>0</v>
      </c>
      <c r="AW411" s="333">
        <v>0</v>
      </c>
      <c r="AX411" s="333">
        <v>0</v>
      </c>
      <c r="AY411" s="333">
        <v>0</v>
      </c>
      <c r="AZ411" s="333">
        <v>0</v>
      </c>
      <c r="BA411" s="333">
        <v>0</v>
      </c>
    </row>
    <row r="412" spans="1:53" s="131" customFormat="1">
      <c r="A412" s="111"/>
      <c r="B412" s="331" t="s">
        <v>1165</v>
      </c>
      <c r="C412" s="347" t="s">
        <v>1166</v>
      </c>
      <c r="D412" s="352"/>
      <c r="E412" s="352"/>
      <c r="F412" s="333">
        <f>+F411+F398+F396+F383+F372+F370+F367+F365+F363</f>
        <v>9855767.9800000004</v>
      </c>
      <c r="G412" s="333">
        <f>+G411+G398+G396+G383+G372+G370+G367+G365+G363</f>
        <v>4757013.13</v>
      </c>
      <c r="H412" s="133">
        <f t="shared" si="112"/>
        <v>5098754.8500000006</v>
      </c>
      <c r="I412" s="138">
        <f t="shared" si="113"/>
        <v>1.0718395578613844</v>
      </c>
      <c r="J412" s="158"/>
      <c r="K412" s="333">
        <f>+K411+K398+K396+K383+K372+K370+K367+K365+K363</f>
        <v>17849236.670000002</v>
      </c>
      <c r="L412" s="333">
        <f>+L411+L398+L396+L383+L372+L370+L367+L365+L363</f>
        <v>14429703.708999999</v>
      </c>
      <c r="M412" s="133">
        <f t="shared" si="114"/>
        <v>3419532.9610000029</v>
      </c>
      <c r="N412" s="138">
        <f t="shared" si="115"/>
        <v>0.23697873705245898</v>
      </c>
      <c r="O412" s="302"/>
      <c r="P412" s="350"/>
      <c r="Q412" s="333">
        <f>+Q411+Q398+Q396+Q383+Q372+Q370+Q367+Q365+Q363</f>
        <v>17849236.670000002</v>
      </c>
      <c r="R412" s="333">
        <f>+R411+R398+R396+R383+R372+R370+R367+R365+R363</f>
        <v>14429703.708999999</v>
      </c>
      <c r="S412" s="133">
        <f t="shared" si="116"/>
        <v>3419532.9610000029</v>
      </c>
      <c r="T412" s="138">
        <f t="shared" si="117"/>
        <v>0.23697873705245898</v>
      </c>
      <c r="U412" s="350" t="s">
        <v>76</v>
      </c>
      <c r="V412" s="333">
        <f>+V411+V398+V396+V383+V372+V370+V367+V365+V363</f>
        <v>68243707.104999989</v>
      </c>
      <c r="W412" s="333">
        <f>+W411+W398+W396+W383+W372+W370+W367+W365+W363</f>
        <v>59405464.089000002</v>
      </c>
      <c r="X412" s="133">
        <f t="shared" si="118"/>
        <v>8838243.0159999877</v>
      </c>
      <c r="Y412" s="137">
        <f t="shared" si="119"/>
        <v>0.1487782841450194</v>
      </c>
      <c r="AA412" s="139">
        <f>+AA411+AA398+AA396+AA383+AA372+AA370+AA367+AA365+AA363</f>
        <v>3012699.84</v>
      </c>
      <c r="AB412" s="351"/>
      <c r="AC412" s="333">
        <f t="shared" ref="AC412:AN412" si="120">+AC411+AC398+AC396+AC383+AC372+AC370+AC367+AC365+AC363</f>
        <v>5120437.3790000007</v>
      </c>
      <c r="AD412" s="333">
        <f t="shared" si="120"/>
        <v>4552253.2</v>
      </c>
      <c r="AE412" s="333">
        <f t="shared" si="120"/>
        <v>4757013.13</v>
      </c>
      <c r="AF412" s="333">
        <f t="shared" si="120"/>
        <v>4569857.5350000001</v>
      </c>
      <c r="AG412" s="333">
        <f t="shared" si="120"/>
        <v>4392720.9000000004</v>
      </c>
      <c r="AH412" s="333">
        <f t="shared" si="120"/>
        <v>7461651.0500000007</v>
      </c>
      <c r="AI412" s="333">
        <f t="shared" si="120"/>
        <v>18464353.870000001</v>
      </c>
      <c r="AJ412" s="333">
        <f t="shared" si="120"/>
        <v>7055560.6500000004</v>
      </c>
      <c r="AK412" s="333">
        <f t="shared" si="120"/>
        <v>-12251039.720000001</v>
      </c>
      <c r="AL412" s="333">
        <f t="shared" si="120"/>
        <v>6990368.4800000004</v>
      </c>
      <c r="AM412" s="333">
        <f t="shared" si="120"/>
        <v>6066564.290000001</v>
      </c>
      <c r="AN412" s="333">
        <f t="shared" si="120"/>
        <v>7644433.379999999</v>
      </c>
      <c r="AO412" s="351"/>
      <c r="AP412" s="333">
        <f t="shared" ref="AP412:BA412" si="121">+AP411+AP398+AP396+AP383+AP372+AP370+AP367+AP365+AP363</f>
        <v>5249479.8699999992</v>
      </c>
      <c r="AQ412" s="333">
        <f t="shared" si="121"/>
        <v>2743988.8200000003</v>
      </c>
      <c r="AR412" s="333">
        <f t="shared" si="121"/>
        <v>9855767.9800000004</v>
      </c>
      <c r="AS412" s="333">
        <f t="shared" si="121"/>
        <v>-5213928.9499999993</v>
      </c>
      <c r="AT412" s="333">
        <f t="shared" si="121"/>
        <v>0</v>
      </c>
      <c r="AU412" s="333">
        <f t="shared" si="121"/>
        <v>0</v>
      </c>
      <c r="AV412" s="333">
        <f t="shared" si="121"/>
        <v>0</v>
      </c>
      <c r="AW412" s="333">
        <f t="shared" si="121"/>
        <v>0</v>
      </c>
      <c r="AX412" s="333">
        <f t="shared" si="121"/>
        <v>0</v>
      </c>
      <c r="AY412" s="333">
        <f t="shared" si="121"/>
        <v>0</v>
      </c>
      <c r="AZ412" s="333">
        <f t="shared" si="121"/>
        <v>0</v>
      </c>
      <c r="BA412" s="333">
        <f t="shared" si="121"/>
        <v>0</v>
      </c>
    </row>
    <row r="413" spans="1:53" s="131" customFormat="1" ht="0.75" customHeight="1" outlineLevel="2">
      <c r="A413" s="111"/>
      <c r="B413" s="331"/>
      <c r="C413" s="347"/>
      <c r="D413" s="352"/>
      <c r="E413" s="352"/>
      <c r="F413" s="333"/>
      <c r="G413" s="333"/>
      <c r="H413" s="133"/>
      <c r="I413" s="138"/>
      <c r="J413" s="158"/>
      <c r="K413" s="333"/>
      <c r="L413" s="333"/>
      <c r="M413" s="133"/>
      <c r="N413" s="138"/>
      <c r="O413" s="302"/>
      <c r="P413" s="350"/>
      <c r="Q413" s="333"/>
      <c r="R413" s="333"/>
      <c r="S413" s="133"/>
      <c r="T413" s="138"/>
      <c r="U413" s="350"/>
      <c r="V413" s="333"/>
      <c r="W413" s="333"/>
      <c r="X413" s="133"/>
      <c r="Y413" s="137"/>
      <c r="AA413" s="139"/>
      <c r="AB413" s="351"/>
      <c r="AC413" s="333"/>
      <c r="AD413" s="333"/>
      <c r="AE413" s="333"/>
      <c r="AF413" s="333"/>
      <c r="AG413" s="333"/>
      <c r="AH413" s="333"/>
      <c r="AI413" s="333"/>
      <c r="AJ413" s="333"/>
      <c r="AK413" s="333"/>
      <c r="AL413" s="333"/>
      <c r="AM413" s="333"/>
      <c r="AN413" s="333"/>
      <c r="AO413" s="351"/>
      <c r="AP413" s="333"/>
      <c r="AQ413" s="333"/>
      <c r="AR413" s="333"/>
      <c r="AS413" s="333"/>
      <c r="AT413" s="333"/>
      <c r="AU413" s="333"/>
      <c r="AV413" s="333"/>
      <c r="AW413" s="333"/>
      <c r="AX413" s="333"/>
      <c r="AY413" s="333"/>
      <c r="AZ413" s="333"/>
      <c r="BA413" s="333"/>
    </row>
    <row r="414" spans="1:53" s="102" customFormat="1" outlineLevel="2">
      <c r="A414" s="102" t="s">
        <v>1167</v>
      </c>
      <c r="B414" s="103" t="s">
        <v>1168</v>
      </c>
      <c r="C414" s="104" t="s">
        <v>1169</v>
      </c>
      <c r="D414" s="298"/>
      <c r="E414" s="299"/>
      <c r="F414" s="105">
        <v>8498746.6799999997</v>
      </c>
      <c r="G414" s="105">
        <v>8011285.2300000004</v>
      </c>
      <c r="H414" s="106">
        <f>+F414-G414</f>
        <v>487461.44999999925</v>
      </c>
      <c r="I414" s="300">
        <f>IF(G414&lt;0,IF(H414=0,0,IF(OR(G414=0,F414=0),"N.M.",IF(ABS(H414/G414)&gt;=10,"N.M.",H414/(-G414)))),IF(H414=0,0,IF(OR(G414=0,F414=0),"N.M.",IF(ABS(H414/G414)&gt;=10,"N.M.",H414/G414))))</f>
        <v>6.0846847416516116E-2</v>
      </c>
      <c r="J414" s="107"/>
      <c r="K414" s="105">
        <v>25349832.43</v>
      </c>
      <c r="L414" s="105">
        <v>23880199.289999999</v>
      </c>
      <c r="M414" s="106">
        <f>+K414-L414</f>
        <v>1469633.1400000006</v>
      </c>
      <c r="N414" s="300">
        <f>IF(L414&lt;0,IF(M414=0,0,IF(OR(L414=0,K414=0),"N.M.",IF(ABS(M414/L414)&gt;=10,"N.M.",M414/(-L414)))),IF(M414=0,0,IF(OR(L414=0,K414=0),"N.M.",IF(ABS(M414/L414)&gt;=10,"N.M.",M414/L414))))</f>
        <v>6.1541912701516682E-2</v>
      </c>
      <c r="O414" s="301"/>
      <c r="P414" s="107"/>
      <c r="Q414" s="105">
        <v>25349832.43</v>
      </c>
      <c r="R414" s="105">
        <v>23880199.289999999</v>
      </c>
      <c r="S414" s="106">
        <f>+Q414-R414</f>
        <v>1469633.1400000006</v>
      </c>
      <c r="T414" s="300">
        <f>IF(R414&lt;0,IF(S414=0,0,IF(OR(R414=0,Q414=0),"N.M.",IF(ABS(S414/R414)&gt;=10,"N.M.",S414/(-R414)))),IF(S414=0,0,IF(OR(R414=0,Q414=0),"N.M.",IF(ABS(S414/R414)&gt;=10,"N.M.",S414/R414))))</f>
        <v>6.1541912701516682E-2</v>
      </c>
      <c r="U414" s="107"/>
      <c r="V414" s="105">
        <v>99351498.780000001</v>
      </c>
      <c r="W414" s="105">
        <v>94059460.479999989</v>
      </c>
      <c r="X414" s="106">
        <f>+V414-W414</f>
        <v>5292038.3000000119</v>
      </c>
      <c r="Y414" s="300">
        <f>IF(W414&lt;0,IF(X414=0,0,IF(OR(W414=0,V414=0),"N.M.",IF(ABS(X414/W414)&gt;=10,"N.M.",X414/(-W414)))),IF(X414=0,0,IF(OR(W414=0,V414=0),"N.M.",IF(ABS(X414/W414)&gt;=10,"N.M.",X414/W414))))</f>
        <v>5.6262690355589125E-2</v>
      </c>
      <c r="Z414" s="302"/>
      <c r="AA414" s="108">
        <v>8263294.4900000002</v>
      </c>
      <c r="AB414" s="109"/>
      <c r="AC414" s="110">
        <v>7930582.3600000003</v>
      </c>
      <c r="AD414" s="110">
        <v>7938331.7000000002</v>
      </c>
      <c r="AE414" s="110">
        <v>8011285.2300000004</v>
      </c>
      <c r="AF414" s="110">
        <v>7998009.1699999999</v>
      </c>
      <c r="AG414" s="110">
        <v>8032889.79</v>
      </c>
      <c r="AH414" s="110">
        <v>8214840.4299999997</v>
      </c>
      <c r="AI414" s="110">
        <v>8119565.3300000001</v>
      </c>
      <c r="AJ414" s="110">
        <v>8150275.0099999998</v>
      </c>
      <c r="AK414" s="110">
        <v>8312830.6699999999</v>
      </c>
      <c r="AL414" s="110">
        <v>8302464.8200000003</v>
      </c>
      <c r="AM414" s="110">
        <v>8327249.8099999996</v>
      </c>
      <c r="AN414" s="110">
        <v>8543541.3200000003</v>
      </c>
      <c r="AO414" s="109"/>
      <c r="AP414" s="110">
        <v>8403429.1600000001</v>
      </c>
      <c r="AQ414" s="110">
        <v>8447656.5899999999</v>
      </c>
      <c r="AR414" s="110">
        <v>8498746.6799999997</v>
      </c>
      <c r="AS414" s="110">
        <v>0</v>
      </c>
      <c r="AT414" s="110">
        <v>0</v>
      </c>
      <c r="AU414" s="110">
        <v>0</v>
      </c>
      <c r="AV414" s="110">
        <v>0</v>
      </c>
      <c r="AW414" s="110">
        <v>0</v>
      </c>
      <c r="AX414" s="110">
        <v>0</v>
      </c>
      <c r="AY414" s="110">
        <v>0</v>
      </c>
      <c r="AZ414" s="110">
        <v>0</v>
      </c>
      <c r="BA414" s="110">
        <v>0</v>
      </c>
    </row>
    <row r="415" spans="1:53" s="102" customFormat="1" outlineLevel="2">
      <c r="A415" s="102" t="s">
        <v>1170</v>
      </c>
      <c r="B415" s="103" t="s">
        <v>1171</v>
      </c>
      <c r="C415" s="104" t="s">
        <v>1172</v>
      </c>
      <c r="D415" s="298"/>
      <c r="E415" s="299"/>
      <c r="F415" s="105">
        <v>-647381</v>
      </c>
      <c r="G415" s="105">
        <v>-749519</v>
      </c>
      <c r="H415" s="106">
        <f>+F415-G415</f>
        <v>102138</v>
      </c>
      <c r="I415" s="300">
        <f>IF(G415&lt;0,IF(H415=0,0,IF(OR(G415=0,F415=0),"N.M.",IF(ABS(H415/G415)&gt;=10,"N.M.",H415/(-G415)))),IF(H415=0,0,IF(OR(G415=0,F415=0),"N.M.",IF(ABS(H415/G415)&gt;=10,"N.M.",H415/G415))))</f>
        <v>0.13627139538824232</v>
      </c>
      <c r="J415" s="107"/>
      <c r="K415" s="105">
        <v>3482915</v>
      </c>
      <c r="L415" s="105">
        <v>635802</v>
      </c>
      <c r="M415" s="106">
        <f>+K415-L415</f>
        <v>2847113</v>
      </c>
      <c r="N415" s="300">
        <f>IF(L415&lt;0,IF(M415=0,0,IF(OR(L415=0,K415=0),"N.M.",IF(ABS(M415/L415)&gt;=10,"N.M.",M415/(-L415)))),IF(M415=0,0,IF(OR(L415=0,K415=0),"N.M.",IF(ABS(M415/L415)&gt;=10,"N.M.",M415/L415))))</f>
        <v>4.4779868575437005</v>
      </c>
      <c r="O415" s="301"/>
      <c r="P415" s="107"/>
      <c r="Q415" s="105">
        <v>3482915</v>
      </c>
      <c r="R415" s="105">
        <v>635802</v>
      </c>
      <c r="S415" s="106">
        <f>+Q415-R415</f>
        <v>2847113</v>
      </c>
      <c r="T415" s="300">
        <f>IF(R415&lt;0,IF(S415=0,0,IF(OR(R415=0,Q415=0),"N.M.",IF(ABS(S415/R415)&gt;=10,"N.M.",S415/(-R415)))),IF(S415=0,0,IF(OR(R415=0,Q415=0),"N.M.",IF(ABS(S415/R415)&gt;=10,"N.M.",S415/R415))))</f>
        <v>4.4779868575437005</v>
      </c>
      <c r="U415" s="107"/>
      <c r="V415" s="105">
        <v>3627685</v>
      </c>
      <c r="W415" s="105">
        <v>-314507</v>
      </c>
      <c r="X415" s="106">
        <f>+V415-W415</f>
        <v>3942192</v>
      </c>
      <c r="Y415" s="300" t="str">
        <f>IF(W415&lt;0,IF(X415=0,0,IF(OR(W415=0,V415=0),"N.M.",IF(ABS(X415/W415)&gt;=10,"N.M.",X415/(-W415)))),IF(X415=0,0,IF(OR(W415=0,V415=0),"N.M.",IF(ABS(X415/W415)&gt;=10,"N.M.",X415/W415))))</f>
        <v>N.M.</v>
      </c>
      <c r="Z415" s="302"/>
      <c r="AA415" s="108">
        <v>-300392.5</v>
      </c>
      <c r="AB415" s="109"/>
      <c r="AC415" s="110">
        <v>142463</v>
      </c>
      <c r="AD415" s="110">
        <v>1242858</v>
      </c>
      <c r="AE415" s="110">
        <v>-749519</v>
      </c>
      <c r="AF415" s="110">
        <v>318951</v>
      </c>
      <c r="AG415" s="110">
        <v>-442053</v>
      </c>
      <c r="AH415" s="110">
        <v>-209560</v>
      </c>
      <c r="AI415" s="110">
        <v>280859</v>
      </c>
      <c r="AJ415" s="110">
        <v>256019</v>
      </c>
      <c r="AK415" s="110">
        <v>63871</v>
      </c>
      <c r="AL415" s="110">
        <v>-315142.25</v>
      </c>
      <c r="AM415" s="110">
        <v>-148471.75</v>
      </c>
      <c r="AN415" s="110">
        <v>340297</v>
      </c>
      <c r="AO415" s="109"/>
      <c r="AP415" s="110">
        <v>3768205</v>
      </c>
      <c r="AQ415" s="110">
        <v>362091</v>
      </c>
      <c r="AR415" s="110">
        <v>-647381</v>
      </c>
      <c r="AS415" s="110">
        <v>1534338</v>
      </c>
      <c r="AT415" s="110">
        <v>107270</v>
      </c>
      <c r="AU415" s="110">
        <v>0</v>
      </c>
      <c r="AV415" s="110">
        <v>0</v>
      </c>
      <c r="AW415" s="110">
        <v>0</v>
      </c>
      <c r="AX415" s="110">
        <v>0</v>
      </c>
      <c r="AY415" s="110">
        <v>0</v>
      </c>
      <c r="AZ415" s="110">
        <v>0</v>
      </c>
      <c r="BA415" s="110">
        <v>0</v>
      </c>
    </row>
    <row r="416" spans="1:53" s="131" customFormat="1">
      <c r="A416" s="111" t="s">
        <v>1173</v>
      </c>
      <c r="B416" s="331" t="s">
        <v>1174</v>
      </c>
      <c r="C416" s="347" t="s">
        <v>1175</v>
      </c>
      <c r="D416" s="352"/>
      <c r="E416" s="352"/>
      <c r="F416" s="333">
        <v>7851365.6799999997</v>
      </c>
      <c r="G416" s="333">
        <v>7261766.2300000004</v>
      </c>
      <c r="H416" s="133">
        <f>+F416-G416</f>
        <v>589599.44999999925</v>
      </c>
      <c r="I416" s="138">
        <f>IF(G416&lt;0,IF(H416=0,0,IF(OR(G416=0,F416=0),"N.M.",IF(ABS(H416/G416)&gt;=10,"N.M.",H416/(-G416)))),IF(H416=0,0,IF(OR(G416=0,F416=0),"N.M.",IF(ABS(H416/G416)&gt;=10,"N.M.",H416/G416))))</f>
        <v>8.1192292801196275E-2</v>
      </c>
      <c r="J416" s="158"/>
      <c r="K416" s="333">
        <v>28832747.43</v>
      </c>
      <c r="L416" s="333">
        <v>24516001.289999999</v>
      </c>
      <c r="M416" s="133">
        <f>+K416-L416</f>
        <v>4316746.1400000006</v>
      </c>
      <c r="N416" s="138">
        <f>IF(L416&lt;0,IF(M416=0,0,IF(OR(L416=0,K416=0),"N.M.",IF(ABS(M416/L416)&gt;=10,"N.M.",M416/(-L416)))),IF(M416=0,0,IF(OR(L416=0,K416=0),"N.M.",IF(ABS(M416/L416)&gt;=10,"N.M.",M416/L416))))</f>
        <v>0.17607872054407128</v>
      </c>
      <c r="O416" s="302"/>
      <c r="P416" s="350"/>
      <c r="Q416" s="333">
        <v>28832747.43</v>
      </c>
      <c r="R416" s="333">
        <v>24516001.289999999</v>
      </c>
      <c r="S416" s="133">
        <f>+Q416-R416</f>
        <v>4316746.1400000006</v>
      </c>
      <c r="T416" s="138">
        <f>IF(R416&lt;0,IF(S416=0,0,IF(OR(R416=0,Q416=0),"N.M.",IF(ABS(S416/R416)&gt;=10,"N.M.",S416/(-R416)))),IF(S416=0,0,IF(OR(R416=0,Q416=0),"N.M.",IF(ABS(S416/R416)&gt;=10,"N.M.",S416/R416))))</f>
        <v>0.17607872054407128</v>
      </c>
      <c r="U416" s="350" t="s">
        <v>76</v>
      </c>
      <c r="V416" s="333">
        <v>102979183.78</v>
      </c>
      <c r="W416" s="333">
        <v>93744953.479999989</v>
      </c>
      <c r="X416" s="133">
        <f>+V416-W416</f>
        <v>9234230.3000000119</v>
      </c>
      <c r="Y416" s="137">
        <f>IF(W416&lt;0,IF(X416=0,0,IF(OR(W416=0,V416=0),"N.M.",IF(ABS(X416/W416)&gt;=10,"N.M.",X416/(-W416)))),IF(X416=0,0,IF(OR(W416=0,V416=0),"N.M.",IF(ABS(X416/W416)&gt;=10,"N.M.",X416/W416))))</f>
        <v>9.8503758946022493E-2</v>
      </c>
      <c r="AA416" s="139">
        <v>7962901.9900000002</v>
      </c>
      <c r="AB416" s="351"/>
      <c r="AC416" s="333">
        <v>8073045.3600000003</v>
      </c>
      <c r="AD416" s="333">
        <v>9181189.6999999993</v>
      </c>
      <c r="AE416" s="333">
        <v>7261766.2300000004</v>
      </c>
      <c r="AF416" s="333">
        <v>8316960.1699999999</v>
      </c>
      <c r="AG416" s="333">
        <v>7590836.79</v>
      </c>
      <c r="AH416" s="333">
        <v>8005280.4299999997</v>
      </c>
      <c r="AI416" s="333">
        <v>8400424.3300000001</v>
      </c>
      <c r="AJ416" s="333">
        <v>8406294.0099999998</v>
      </c>
      <c r="AK416" s="333">
        <v>8376701.6699999999</v>
      </c>
      <c r="AL416" s="333">
        <v>7987322.5700000003</v>
      </c>
      <c r="AM416" s="333">
        <v>8178778.0599999996</v>
      </c>
      <c r="AN416" s="333">
        <v>8883838.3200000003</v>
      </c>
      <c r="AO416" s="351"/>
      <c r="AP416" s="333">
        <v>12171634.16</v>
      </c>
      <c r="AQ416" s="333">
        <v>8809747.5899999999</v>
      </c>
      <c r="AR416" s="333">
        <v>7851365.6799999997</v>
      </c>
      <c r="AS416" s="333">
        <v>1534338</v>
      </c>
      <c r="AT416" s="333">
        <v>107270</v>
      </c>
      <c r="AU416" s="333">
        <v>0</v>
      </c>
      <c r="AV416" s="333">
        <v>0</v>
      </c>
      <c r="AW416" s="333">
        <v>0</v>
      </c>
      <c r="AX416" s="333">
        <v>0</v>
      </c>
      <c r="AY416" s="333">
        <v>0</v>
      </c>
      <c r="AZ416" s="333">
        <v>0</v>
      </c>
      <c r="BA416" s="333">
        <v>0</v>
      </c>
    </row>
    <row r="417" spans="1:53" s="131" customFormat="1" ht="0.75" customHeight="1" outlineLevel="2">
      <c r="A417" s="111"/>
      <c r="B417" s="331"/>
      <c r="C417" s="347"/>
      <c r="D417" s="352"/>
      <c r="E417" s="352"/>
      <c r="F417" s="333"/>
      <c r="G417" s="333"/>
      <c r="H417" s="133"/>
      <c r="I417" s="138"/>
      <c r="J417" s="158"/>
      <c r="K417" s="333"/>
      <c r="L417" s="333"/>
      <c r="M417" s="133"/>
      <c r="N417" s="138"/>
      <c r="O417" s="302"/>
      <c r="P417" s="350"/>
      <c r="Q417" s="333"/>
      <c r="R417" s="333"/>
      <c r="S417" s="133"/>
      <c r="T417" s="138"/>
      <c r="U417" s="350"/>
      <c r="V417" s="333"/>
      <c r="W417" s="333"/>
      <c r="X417" s="133"/>
      <c r="Y417" s="137"/>
      <c r="AA417" s="139"/>
      <c r="AB417" s="351"/>
      <c r="AC417" s="333"/>
      <c r="AD417" s="333"/>
      <c r="AE417" s="333"/>
      <c r="AF417" s="333"/>
      <c r="AG417" s="333"/>
      <c r="AH417" s="333"/>
      <c r="AI417" s="333"/>
      <c r="AJ417" s="333"/>
      <c r="AK417" s="333"/>
      <c r="AL417" s="333"/>
      <c r="AM417" s="333"/>
      <c r="AN417" s="333"/>
      <c r="AO417" s="351"/>
      <c r="AP417" s="333"/>
      <c r="AQ417" s="333"/>
      <c r="AR417" s="333"/>
      <c r="AS417" s="333"/>
      <c r="AT417" s="333"/>
      <c r="AU417" s="333"/>
      <c r="AV417" s="333"/>
      <c r="AW417" s="333"/>
      <c r="AX417" s="333"/>
      <c r="AY417" s="333"/>
      <c r="AZ417" s="333"/>
      <c r="BA417" s="333"/>
    </row>
    <row r="418" spans="1:53" s="102" customFormat="1" outlineLevel="2">
      <c r="A418" s="102" t="s">
        <v>1176</v>
      </c>
      <c r="B418" s="103" t="s">
        <v>1177</v>
      </c>
      <c r="C418" s="104" t="s">
        <v>1178</v>
      </c>
      <c r="D418" s="298"/>
      <c r="E418" s="299"/>
      <c r="F418" s="105">
        <v>6261.12</v>
      </c>
      <c r="G418" s="105">
        <v>4861.55</v>
      </c>
      <c r="H418" s="106">
        <f>+F418-G418</f>
        <v>1399.5699999999997</v>
      </c>
      <c r="I418" s="300">
        <f>IF(G418&lt;0,IF(H418=0,0,IF(OR(G418=0,F418=0),"N.M.",IF(ABS(H418/G418)&gt;=10,"N.M.",H418/(-G418)))),IF(H418=0,0,IF(OR(G418=0,F418=0),"N.M.",IF(ABS(H418/G418)&gt;=10,"N.M.",H418/G418))))</f>
        <v>0.28788555090454682</v>
      </c>
      <c r="J418" s="107"/>
      <c r="K418" s="105">
        <v>18783.34</v>
      </c>
      <c r="L418" s="105">
        <v>14584.66</v>
      </c>
      <c r="M418" s="106">
        <f>+K418-L418</f>
        <v>4198.68</v>
      </c>
      <c r="N418" s="300">
        <f>IF(L418&lt;0,IF(M418=0,0,IF(OR(L418=0,K418=0),"N.M.",IF(ABS(M418/L418)&gt;=10,"N.M.",M418/(-L418)))),IF(M418=0,0,IF(OR(L418=0,K418=0),"N.M.",IF(ABS(M418/L418)&gt;=10,"N.M.",M418/L418))))</f>
        <v>0.28788329655953587</v>
      </c>
      <c r="O418" s="301"/>
      <c r="P418" s="107"/>
      <c r="Q418" s="105">
        <v>18783.34</v>
      </c>
      <c r="R418" s="105">
        <v>14584.66</v>
      </c>
      <c r="S418" s="106">
        <f>+Q418-R418</f>
        <v>4198.68</v>
      </c>
      <c r="T418" s="300">
        <f>IF(R418&lt;0,IF(S418=0,0,IF(OR(R418=0,Q418=0),"N.M.",IF(ABS(S418/R418)&gt;=10,"N.M.",S418/(-R418)))),IF(S418=0,0,IF(OR(R418=0,Q418=0),"N.M.",IF(ABS(S418/R418)&gt;=10,"N.M.",S418/R418))))</f>
        <v>0.28788329655953587</v>
      </c>
      <c r="U418" s="107"/>
      <c r="V418" s="105">
        <v>62537.290000000008</v>
      </c>
      <c r="W418" s="105">
        <v>106996.19</v>
      </c>
      <c r="X418" s="106">
        <f>+V418-W418</f>
        <v>-44458.899999999994</v>
      </c>
      <c r="Y418" s="300">
        <f>IF(W418&lt;0,IF(X418=0,0,IF(OR(W418=0,V418=0),"N.M.",IF(ABS(X418/W418)&gt;=10,"N.M.",X418/(-W418)))),IF(X418=0,0,IF(OR(W418=0,V418=0),"N.M.",IF(ABS(X418/W418)&gt;=10,"N.M.",X418/W418))))</f>
        <v>-0.41551853388424387</v>
      </c>
      <c r="Z418" s="302"/>
      <c r="AA418" s="108">
        <v>4861.55</v>
      </c>
      <c r="AB418" s="109"/>
      <c r="AC418" s="110">
        <v>4861.57</v>
      </c>
      <c r="AD418" s="110">
        <v>4861.54</v>
      </c>
      <c r="AE418" s="110">
        <v>4861.55</v>
      </c>
      <c r="AF418" s="110">
        <v>4861.58</v>
      </c>
      <c r="AG418" s="110">
        <v>4861.55</v>
      </c>
      <c r="AH418" s="110">
        <v>4861.54</v>
      </c>
      <c r="AI418" s="110">
        <v>4861.5600000000004</v>
      </c>
      <c r="AJ418" s="110">
        <v>4861.54</v>
      </c>
      <c r="AK418" s="110">
        <v>4861.55</v>
      </c>
      <c r="AL418" s="110">
        <v>4861.5600000000004</v>
      </c>
      <c r="AM418" s="110">
        <v>4861.5200000000004</v>
      </c>
      <c r="AN418" s="110">
        <v>4861.55</v>
      </c>
      <c r="AO418" s="109"/>
      <c r="AP418" s="110">
        <v>6261.12</v>
      </c>
      <c r="AQ418" s="110">
        <v>6261.1</v>
      </c>
      <c r="AR418" s="110">
        <v>6261.12</v>
      </c>
      <c r="AS418" s="110">
        <v>0</v>
      </c>
      <c r="AT418" s="110">
        <v>0</v>
      </c>
      <c r="AU418" s="110">
        <v>0</v>
      </c>
      <c r="AV418" s="110">
        <v>0</v>
      </c>
      <c r="AW418" s="110">
        <v>0</v>
      </c>
      <c r="AX418" s="110">
        <v>0</v>
      </c>
      <c r="AY418" s="110">
        <v>0</v>
      </c>
      <c r="AZ418" s="110">
        <v>0</v>
      </c>
      <c r="BA418" s="110">
        <v>0</v>
      </c>
    </row>
    <row r="419" spans="1:53" s="131" customFormat="1">
      <c r="A419" s="111" t="s">
        <v>1179</v>
      </c>
      <c r="B419" s="331" t="s">
        <v>1180</v>
      </c>
      <c r="C419" s="347" t="s">
        <v>1181</v>
      </c>
      <c r="D419" s="352"/>
      <c r="E419" s="352"/>
      <c r="F419" s="333">
        <v>6261.12</v>
      </c>
      <c r="G419" s="333">
        <v>4861.55</v>
      </c>
      <c r="H419" s="133">
        <f>+F419-G419</f>
        <v>1399.5699999999997</v>
      </c>
      <c r="I419" s="138">
        <f>IF(G419&lt;0,IF(H419=0,0,IF(OR(G419=0,F419=0),"N.M.",IF(ABS(H419/G419)&gt;=10,"N.M.",H419/(-G419)))),IF(H419=0,0,IF(OR(G419=0,F419=0),"N.M.",IF(ABS(H419/G419)&gt;=10,"N.M.",H419/G419))))</f>
        <v>0.28788555090454682</v>
      </c>
      <c r="J419" s="158"/>
      <c r="K419" s="333">
        <v>18783.34</v>
      </c>
      <c r="L419" s="333">
        <v>14584.66</v>
      </c>
      <c r="M419" s="133">
        <f>+K419-L419</f>
        <v>4198.68</v>
      </c>
      <c r="N419" s="138">
        <f>IF(L419&lt;0,IF(M419=0,0,IF(OR(L419=0,K419=0),"N.M.",IF(ABS(M419/L419)&gt;=10,"N.M.",M419/(-L419)))),IF(M419=0,0,IF(OR(L419=0,K419=0),"N.M.",IF(ABS(M419/L419)&gt;=10,"N.M.",M419/L419))))</f>
        <v>0.28788329655953587</v>
      </c>
      <c r="O419" s="302"/>
      <c r="P419" s="350"/>
      <c r="Q419" s="333">
        <v>18783.34</v>
      </c>
      <c r="R419" s="333">
        <v>14584.66</v>
      </c>
      <c r="S419" s="133">
        <f>+Q419-R419</f>
        <v>4198.68</v>
      </c>
      <c r="T419" s="138">
        <f>IF(R419&lt;0,IF(S419=0,0,IF(OR(R419=0,Q419=0),"N.M.",IF(ABS(S419/R419)&gt;=10,"N.M.",S419/(-R419)))),IF(S419=0,0,IF(OR(R419=0,Q419=0),"N.M.",IF(ABS(S419/R419)&gt;=10,"N.M.",S419/R419))))</f>
        <v>0.28788329655953587</v>
      </c>
      <c r="U419" s="350"/>
      <c r="V419" s="333">
        <v>62537.290000000008</v>
      </c>
      <c r="W419" s="333">
        <v>106996.19</v>
      </c>
      <c r="X419" s="133">
        <f>+V419-W419</f>
        <v>-44458.899999999994</v>
      </c>
      <c r="Y419" s="137">
        <f>IF(W419&lt;0,IF(X419=0,0,IF(OR(W419=0,V419=0),"N.M.",IF(ABS(X419/W419)&gt;=10,"N.M.",X419/(-W419)))),IF(X419=0,0,IF(OR(W419=0,V419=0),"N.M.",IF(ABS(X419/W419)&gt;=10,"N.M.",X419/W419))))</f>
        <v>-0.41551853388424387</v>
      </c>
      <c r="AA419" s="139">
        <v>4861.55</v>
      </c>
      <c r="AB419" s="351"/>
      <c r="AC419" s="333">
        <v>4861.57</v>
      </c>
      <c r="AD419" s="333">
        <v>4861.54</v>
      </c>
      <c r="AE419" s="333">
        <v>4861.55</v>
      </c>
      <c r="AF419" s="333">
        <v>4861.58</v>
      </c>
      <c r="AG419" s="333">
        <v>4861.55</v>
      </c>
      <c r="AH419" s="333">
        <v>4861.54</v>
      </c>
      <c r="AI419" s="333">
        <v>4861.5600000000004</v>
      </c>
      <c r="AJ419" s="333">
        <v>4861.54</v>
      </c>
      <c r="AK419" s="333">
        <v>4861.55</v>
      </c>
      <c r="AL419" s="333">
        <v>4861.5600000000004</v>
      </c>
      <c r="AM419" s="333">
        <v>4861.5200000000004</v>
      </c>
      <c r="AN419" s="333">
        <v>4861.55</v>
      </c>
      <c r="AO419" s="351"/>
      <c r="AP419" s="333">
        <v>6261.12</v>
      </c>
      <c r="AQ419" s="333">
        <v>6261.1</v>
      </c>
      <c r="AR419" s="333">
        <v>6261.12</v>
      </c>
      <c r="AS419" s="333">
        <v>0</v>
      </c>
      <c r="AT419" s="333">
        <v>0</v>
      </c>
      <c r="AU419" s="333">
        <v>0</v>
      </c>
      <c r="AV419" s="333">
        <v>0</v>
      </c>
      <c r="AW419" s="333">
        <v>0</v>
      </c>
      <c r="AX419" s="333">
        <v>0</v>
      </c>
      <c r="AY419" s="333">
        <v>0</v>
      </c>
      <c r="AZ419" s="333">
        <v>0</v>
      </c>
      <c r="BA419" s="333">
        <v>0</v>
      </c>
    </row>
    <row r="420" spans="1:53" s="131" customFormat="1" ht="0.75" customHeight="1" outlineLevel="2">
      <c r="A420" s="111"/>
      <c r="B420" s="331"/>
      <c r="C420" s="347"/>
      <c r="D420" s="352"/>
      <c r="E420" s="352"/>
      <c r="F420" s="333"/>
      <c r="G420" s="333"/>
      <c r="H420" s="133"/>
      <c r="I420" s="138"/>
      <c r="J420" s="158"/>
      <c r="K420" s="333"/>
      <c r="L420" s="333"/>
      <c r="M420" s="133"/>
      <c r="N420" s="138"/>
      <c r="O420" s="302"/>
      <c r="P420" s="350"/>
      <c r="Q420" s="333"/>
      <c r="R420" s="333"/>
      <c r="S420" s="133"/>
      <c r="T420" s="138"/>
      <c r="U420" s="350"/>
      <c r="V420" s="333"/>
      <c r="W420" s="333"/>
      <c r="X420" s="133"/>
      <c r="Y420" s="137"/>
      <c r="AA420" s="139"/>
      <c r="AB420" s="351"/>
      <c r="AC420" s="333"/>
      <c r="AD420" s="333"/>
      <c r="AE420" s="333"/>
      <c r="AF420" s="333"/>
      <c r="AG420" s="333"/>
      <c r="AH420" s="333"/>
      <c r="AI420" s="333"/>
      <c r="AJ420" s="333"/>
      <c r="AK420" s="333"/>
      <c r="AL420" s="333"/>
      <c r="AM420" s="333"/>
      <c r="AN420" s="333"/>
      <c r="AO420" s="351"/>
      <c r="AP420" s="333"/>
      <c r="AQ420" s="333"/>
      <c r="AR420" s="333"/>
      <c r="AS420" s="333"/>
      <c r="AT420" s="333"/>
      <c r="AU420" s="333"/>
      <c r="AV420" s="333"/>
      <c r="AW420" s="333"/>
      <c r="AX420" s="333"/>
      <c r="AY420" s="333"/>
      <c r="AZ420" s="333"/>
      <c r="BA420" s="333"/>
    </row>
    <row r="421" spans="1:53" s="102" customFormat="1" outlineLevel="2">
      <c r="A421" s="102" t="s">
        <v>1182</v>
      </c>
      <c r="B421" s="103" t="s">
        <v>1183</v>
      </c>
      <c r="C421" s="104" t="s">
        <v>1184</v>
      </c>
      <c r="D421" s="298"/>
      <c r="E421" s="299"/>
      <c r="F421" s="105">
        <v>849923.69000000006</v>
      </c>
      <c r="G421" s="105">
        <v>821972.43</v>
      </c>
      <c r="H421" s="106">
        <f>+F421-G421</f>
        <v>27951.260000000009</v>
      </c>
      <c r="I421" s="300">
        <f>IF(G421&lt;0,IF(H421=0,0,IF(OR(G421=0,F421=0),"N.M.",IF(ABS(H421/G421)&gt;=10,"N.M.",H421/(-G421)))),IF(H421=0,0,IF(OR(G421=0,F421=0),"N.M.",IF(ABS(H421/G421)&gt;=10,"N.M.",H421/G421))))</f>
        <v>3.400510647297502E-2</v>
      </c>
      <c r="J421" s="107"/>
      <c r="K421" s="105">
        <v>2524466.39</v>
      </c>
      <c r="L421" s="105">
        <v>2448897.98</v>
      </c>
      <c r="M421" s="106">
        <f>+K421-L421</f>
        <v>75568.410000000149</v>
      </c>
      <c r="N421" s="300">
        <f>IF(L421&lt;0,IF(M421=0,0,IF(OR(L421=0,K421=0),"N.M.",IF(ABS(M421/L421)&gt;=10,"N.M.",M421/(-L421)))),IF(M421=0,0,IF(OR(L421=0,K421=0),"N.M.",IF(ABS(M421/L421)&gt;=10,"N.M.",M421/L421))))</f>
        <v>3.085812909200903E-2</v>
      </c>
      <c r="O421" s="301"/>
      <c r="P421" s="107"/>
      <c r="Q421" s="105">
        <v>2524466.39</v>
      </c>
      <c r="R421" s="105">
        <v>2448897.98</v>
      </c>
      <c r="S421" s="106">
        <f>+Q421-R421</f>
        <v>75568.410000000149</v>
      </c>
      <c r="T421" s="300">
        <f>IF(R421&lt;0,IF(S421=0,0,IF(OR(R421=0,Q421=0),"N.M.",IF(ABS(S421/R421)&gt;=10,"N.M.",S421/(-R421)))),IF(S421=0,0,IF(OR(R421=0,Q421=0),"N.M.",IF(ABS(S421/R421)&gt;=10,"N.M.",S421/R421))))</f>
        <v>3.085812909200903E-2</v>
      </c>
      <c r="U421" s="107"/>
      <c r="V421" s="105">
        <v>9616812.5899999999</v>
      </c>
      <c r="W421" s="105">
        <v>9098333.8800000008</v>
      </c>
      <c r="X421" s="106">
        <f>+V421-W421</f>
        <v>518478.70999999903</v>
      </c>
      <c r="Y421" s="300">
        <f>IF(W421&lt;0,IF(X421=0,0,IF(OR(W421=0,V421=0),"N.M.",IF(ABS(X421/W421)&gt;=10,"N.M.",X421/(-W421)))),IF(X421=0,0,IF(OR(W421=0,V421=0),"N.M.",IF(ABS(X421/W421)&gt;=10,"N.M.",X421/W421))))</f>
        <v>5.6986116011825121E-2</v>
      </c>
      <c r="Z421" s="302"/>
      <c r="AA421" s="108">
        <v>780448.63</v>
      </c>
      <c r="AB421" s="109"/>
      <c r="AC421" s="110">
        <v>810767.58000000007</v>
      </c>
      <c r="AD421" s="110">
        <v>816157.97</v>
      </c>
      <c r="AE421" s="110">
        <v>821972.43</v>
      </c>
      <c r="AF421" s="110">
        <v>793406.29</v>
      </c>
      <c r="AG421" s="110">
        <v>803180.65</v>
      </c>
      <c r="AH421" s="110">
        <v>760447.67</v>
      </c>
      <c r="AI421" s="110">
        <v>747714.51</v>
      </c>
      <c r="AJ421" s="110">
        <v>772637.58</v>
      </c>
      <c r="AK421" s="110">
        <v>779073.45000000007</v>
      </c>
      <c r="AL421" s="110">
        <v>798316.9</v>
      </c>
      <c r="AM421" s="110">
        <v>810349.63</v>
      </c>
      <c r="AN421" s="110">
        <v>827219.52</v>
      </c>
      <c r="AO421" s="109"/>
      <c r="AP421" s="110">
        <v>834386.52</v>
      </c>
      <c r="AQ421" s="110">
        <v>840156.18</v>
      </c>
      <c r="AR421" s="110">
        <v>849923.69000000006</v>
      </c>
      <c r="AS421" s="110">
        <v>0</v>
      </c>
      <c r="AT421" s="110">
        <v>0</v>
      </c>
      <c r="AU421" s="110">
        <v>0</v>
      </c>
      <c r="AV421" s="110">
        <v>0</v>
      </c>
      <c r="AW421" s="110">
        <v>0</v>
      </c>
      <c r="AX421" s="110">
        <v>0</v>
      </c>
      <c r="AY421" s="110">
        <v>0</v>
      </c>
      <c r="AZ421" s="110">
        <v>0</v>
      </c>
      <c r="BA421" s="110">
        <v>0</v>
      </c>
    </row>
    <row r="422" spans="1:53" s="102" customFormat="1" outlineLevel="2">
      <c r="A422" s="102" t="s">
        <v>1185</v>
      </c>
      <c r="B422" s="103" t="s">
        <v>1186</v>
      </c>
      <c r="C422" s="104" t="s">
        <v>1187</v>
      </c>
      <c r="D422" s="298"/>
      <c r="E422" s="299"/>
      <c r="F422" s="105">
        <v>17016.05</v>
      </c>
      <c r="G422" s="105">
        <v>11539.5</v>
      </c>
      <c r="H422" s="106">
        <f>+F422-G422</f>
        <v>5476.5499999999993</v>
      </c>
      <c r="I422" s="300">
        <f>IF(G422&lt;0,IF(H422=0,0,IF(OR(G422=0,F422=0),"N.M.",IF(ABS(H422/G422)&gt;=10,"N.M.",H422/(-G422)))),IF(H422=0,0,IF(OR(G422=0,F422=0),"N.M.",IF(ABS(H422/G422)&gt;=10,"N.M.",H422/G422))))</f>
        <v>0.47459162008752537</v>
      </c>
      <c r="J422" s="107"/>
      <c r="K422" s="105">
        <v>49021.64</v>
      </c>
      <c r="L422" s="105">
        <v>34411.770000000004</v>
      </c>
      <c r="M422" s="106">
        <f>+K422-L422</f>
        <v>14609.869999999995</v>
      </c>
      <c r="N422" s="300">
        <f>IF(L422&lt;0,IF(M422=0,0,IF(OR(L422=0,K422=0),"N.M.",IF(ABS(M422/L422)&gt;=10,"N.M.",M422/(-L422)))),IF(M422=0,0,IF(OR(L422=0,K422=0),"N.M.",IF(ABS(M422/L422)&gt;=10,"N.M.",M422/L422))))</f>
        <v>0.4245602594693616</v>
      </c>
      <c r="O422" s="301"/>
      <c r="P422" s="107"/>
      <c r="Q422" s="105">
        <v>49021.64</v>
      </c>
      <c r="R422" s="105">
        <v>34411.770000000004</v>
      </c>
      <c r="S422" s="106">
        <f>+Q422-R422</f>
        <v>14609.869999999995</v>
      </c>
      <c r="T422" s="300">
        <f>IF(R422&lt;0,IF(S422=0,0,IF(OR(R422=0,Q422=0),"N.M.",IF(ABS(S422/R422)&gt;=10,"N.M.",S422/(-R422)))),IF(S422=0,0,IF(OR(R422=0,Q422=0),"N.M.",IF(ABS(S422/R422)&gt;=10,"N.M.",S422/R422))))</f>
        <v>0.4245602594693616</v>
      </c>
      <c r="U422" s="107"/>
      <c r="V422" s="105">
        <v>161012.64000000001</v>
      </c>
      <c r="W422" s="105">
        <v>119909.8</v>
      </c>
      <c r="X422" s="106">
        <f>+V422-W422</f>
        <v>41102.840000000011</v>
      </c>
      <c r="Y422" s="300">
        <f>IF(W422&lt;0,IF(X422=0,0,IF(OR(W422=0,V422=0),"N.M.",IF(ABS(X422/W422)&gt;=10,"N.M.",X422/(-W422)))),IF(X422=0,0,IF(OR(W422=0,V422=0),"N.M.",IF(ABS(X422/W422)&gt;=10,"N.M.",X422/W422))))</f>
        <v>0.34278132396184474</v>
      </c>
      <c r="Z422" s="302"/>
      <c r="AA422" s="108">
        <v>11033.2</v>
      </c>
      <c r="AB422" s="109"/>
      <c r="AC422" s="110">
        <v>11383.25</v>
      </c>
      <c r="AD422" s="110">
        <v>11489.02</v>
      </c>
      <c r="AE422" s="110">
        <v>11539.5</v>
      </c>
      <c r="AF422" s="110">
        <v>11587.22</v>
      </c>
      <c r="AG422" s="110">
        <v>11667.14</v>
      </c>
      <c r="AH422" s="110">
        <v>11749.35</v>
      </c>
      <c r="AI422" s="110">
        <v>11837.5</v>
      </c>
      <c r="AJ422" s="110">
        <v>11963.380000000001</v>
      </c>
      <c r="AK422" s="110">
        <v>12180.380000000001</v>
      </c>
      <c r="AL422" s="110">
        <v>13300.25</v>
      </c>
      <c r="AM422" s="110">
        <v>13647.51</v>
      </c>
      <c r="AN422" s="110">
        <v>14058.27</v>
      </c>
      <c r="AO422" s="109"/>
      <c r="AP422" s="110">
        <v>15962.92</v>
      </c>
      <c r="AQ422" s="110">
        <v>16042.67</v>
      </c>
      <c r="AR422" s="110">
        <v>17016.05</v>
      </c>
      <c r="AS422" s="110">
        <v>0</v>
      </c>
      <c r="AT422" s="110">
        <v>0</v>
      </c>
      <c r="AU422" s="110">
        <v>0</v>
      </c>
      <c r="AV422" s="110">
        <v>0</v>
      </c>
      <c r="AW422" s="110">
        <v>0</v>
      </c>
      <c r="AX422" s="110">
        <v>0</v>
      </c>
      <c r="AY422" s="110">
        <v>0</v>
      </c>
      <c r="AZ422" s="110">
        <v>0</v>
      </c>
      <c r="BA422" s="110">
        <v>0</v>
      </c>
    </row>
    <row r="423" spans="1:53" s="131" customFormat="1">
      <c r="A423" s="111" t="s">
        <v>1188</v>
      </c>
      <c r="B423" s="331" t="s">
        <v>1189</v>
      </c>
      <c r="C423" s="347" t="s">
        <v>1190</v>
      </c>
      <c r="D423" s="352"/>
      <c r="E423" s="352"/>
      <c r="F423" s="333">
        <v>866939.74000000011</v>
      </c>
      <c r="G423" s="333">
        <v>833511.93</v>
      </c>
      <c r="H423" s="133">
        <f>+F423-G423</f>
        <v>33427.810000000056</v>
      </c>
      <c r="I423" s="138">
        <f>IF(G423&lt;0,IF(H423=0,0,IF(OR(G423=0,F423=0),"N.M.",IF(ABS(H423/G423)&gt;=10,"N.M.",H423/(-G423)))),IF(H423=0,0,IF(OR(G423=0,F423=0),"N.M.",IF(ABS(H423/G423)&gt;=10,"N.M.",H423/G423))))</f>
        <v>4.0104776904632974E-2</v>
      </c>
      <c r="J423" s="158"/>
      <c r="K423" s="333">
        <v>2573488.0300000003</v>
      </c>
      <c r="L423" s="333">
        <v>2483309.75</v>
      </c>
      <c r="M423" s="133">
        <f>+K423-L423</f>
        <v>90178.280000000261</v>
      </c>
      <c r="N423" s="138">
        <f>IF(L423&lt;0,IF(M423=0,0,IF(OR(L423=0,K423=0),"N.M.",IF(ABS(M423/L423)&gt;=10,"N.M.",M423/(-L423)))),IF(M423=0,0,IF(OR(L423=0,K423=0),"N.M.",IF(ABS(M423/L423)&gt;=10,"N.M.",M423/L423))))</f>
        <v>3.6313746201012687E-2</v>
      </c>
      <c r="O423" s="302"/>
      <c r="P423" s="350"/>
      <c r="Q423" s="333">
        <v>2573488.0300000003</v>
      </c>
      <c r="R423" s="333">
        <v>2483309.75</v>
      </c>
      <c r="S423" s="133">
        <f>+Q423-R423</f>
        <v>90178.280000000261</v>
      </c>
      <c r="T423" s="138">
        <f>IF(R423&lt;0,IF(S423=0,0,IF(OR(R423=0,Q423=0),"N.M.",IF(ABS(S423/R423)&gt;=10,"N.M.",S423/(-R423)))),IF(S423=0,0,IF(OR(R423=0,Q423=0),"N.M.",IF(ABS(S423/R423)&gt;=10,"N.M.",S423/R423))))</f>
        <v>3.6313746201012687E-2</v>
      </c>
      <c r="U423" s="350" t="s">
        <v>76</v>
      </c>
      <c r="V423" s="333">
        <v>9777825.2300000004</v>
      </c>
      <c r="W423" s="333">
        <v>9218243.6799999997</v>
      </c>
      <c r="X423" s="133">
        <f>+V423-W423</f>
        <v>559581.55000000075</v>
      </c>
      <c r="Y423" s="137">
        <f>IF(W423&lt;0,IF(X423=0,0,IF(OR(W423=0,V423=0),"N.M.",IF(ABS(X423/W423)&gt;=10,"N.M.",X423/(-W423)))),IF(X423=0,0,IF(OR(W423=0,V423=0),"N.M.",IF(ABS(X423/W423)&gt;=10,"N.M.",X423/W423))))</f>
        <v>6.0703705545783616E-2</v>
      </c>
      <c r="AA423" s="139">
        <v>791481.83</v>
      </c>
      <c r="AB423" s="351"/>
      <c r="AC423" s="333">
        <v>822150.83000000007</v>
      </c>
      <c r="AD423" s="333">
        <v>827646.99</v>
      </c>
      <c r="AE423" s="333">
        <v>833511.93</v>
      </c>
      <c r="AF423" s="333">
        <v>804993.51</v>
      </c>
      <c r="AG423" s="333">
        <v>814847.79</v>
      </c>
      <c r="AH423" s="333">
        <v>772197.02</v>
      </c>
      <c r="AI423" s="333">
        <v>759552.01</v>
      </c>
      <c r="AJ423" s="333">
        <v>784600.96</v>
      </c>
      <c r="AK423" s="333">
        <v>791253.83000000007</v>
      </c>
      <c r="AL423" s="333">
        <v>811617.15</v>
      </c>
      <c r="AM423" s="333">
        <v>823997.14</v>
      </c>
      <c r="AN423" s="333">
        <v>841277.79</v>
      </c>
      <c r="AO423" s="351"/>
      <c r="AP423" s="333">
        <v>850349.44000000006</v>
      </c>
      <c r="AQ423" s="333">
        <v>856198.85000000009</v>
      </c>
      <c r="AR423" s="333">
        <v>866939.74000000011</v>
      </c>
      <c r="AS423" s="333">
        <v>0</v>
      </c>
      <c r="AT423" s="333">
        <v>0</v>
      </c>
      <c r="AU423" s="333">
        <v>0</v>
      </c>
      <c r="AV423" s="333">
        <v>0</v>
      </c>
      <c r="AW423" s="333">
        <v>0</v>
      </c>
      <c r="AX423" s="333">
        <v>0</v>
      </c>
      <c r="AY423" s="333">
        <v>0</v>
      </c>
      <c r="AZ423" s="333">
        <v>0</v>
      </c>
      <c r="BA423" s="333">
        <v>0</v>
      </c>
    </row>
    <row r="424" spans="1:53" s="131" customFormat="1" ht="0.75" customHeight="1" outlineLevel="2">
      <c r="A424" s="111"/>
      <c r="B424" s="331"/>
      <c r="C424" s="347"/>
      <c r="D424" s="352"/>
      <c r="E424" s="352"/>
      <c r="F424" s="333"/>
      <c r="G424" s="333"/>
      <c r="H424" s="133"/>
      <c r="I424" s="138"/>
      <c r="J424" s="158"/>
      <c r="K424" s="333"/>
      <c r="L424" s="333"/>
      <c r="M424" s="133"/>
      <c r="N424" s="138"/>
      <c r="O424" s="302"/>
      <c r="P424" s="350"/>
      <c r="Q424" s="333"/>
      <c r="R424" s="333"/>
      <c r="S424" s="133"/>
      <c r="T424" s="138"/>
      <c r="U424" s="350"/>
      <c r="V424" s="333"/>
      <c r="W424" s="333"/>
      <c r="X424" s="133"/>
      <c r="Y424" s="137"/>
      <c r="AA424" s="139"/>
      <c r="AB424" s="351"/>
      <c r="AC424" s="333"/>
      <c r="AD424" s="333"/>
      <c r="AE424" s="333"/>
      <c r="AF424" s="333"/>
      <c r="AG424" s="333"/>
      <c r="AH424" s="333"/>
      <c r="AI424" s="333"/>
      <c r="AJ424" s="333"/>
      <c r="AK424" s="333"/>
      <c r="AL424" s="333"/>
      <c r="AM424" s="333"/>
      <c r="AN424" s="333"/>
      <c r="AO424" s="351"/>
      <c r="AP424" s="333"/>
      <c r="AQ424" s="333"/>
      <c r="AR424" s="333"/>
      <c r="AS424" s="333"/>
      <c r="AT424" s="333"/>
      <c r="AU424" s="333"/>
      <c r="AV424" s="333"/>
      <c r="AW424" s="333"/>
      <c r="AX424" s="333"/>
      <c r="AY424" s="333"/>
      <c r="AZ424" s="333"/>
      <c r="BA424" s="333"/>
    </row>
    <row r="425" spans="1:53" s="102" customFormat="1" outlineLevel="2">
      <c r="A425" s="102" t="s">
        <v>1191</v>
      </c>
      <c r="B425" s="103" t="s">
        <v>1192</v>
      </c>
      <c r="C425" s="104" t="s">
        <v>1193</v>
      </c>
      <c r="D425" s="298"/>
      <c r="E425" s="299"/>
      <c r="F425" s="105">
        <v>3218</v>
      </c>
      <c r="G425" s="105">
        <v>3218</v>
      </c>
      <c r="H425" s="106">
        <f>+F425-G425</f>
        <v>0</v>
      </c>
      <c r="I425" s="300">
        <f>IF(G425&lt;0,IF(H425=0,0,IF(OR(G425=0,F425=0),"N.M.",IF(ABS(H425/G425)&gt;=10,"N.M.",H425/(-G425)))),IF(H425=0,0,IF(OR(G425=0,F425=0),"N.M.",IF(ABS(H425/G425)&gt;=10,"N.M.",H425/G425))))</f>
        <v>0</v>
      </c>
      <c r="J425" s="107"/>
      <c r="K425" s="105">
        <v>9654</v>
      </c>
      <c r="L425" s="105">
        <v>9654</v>
      </c>
      <c r="M425" s="106">
        <f>+K425-L425</f>
        <v>0</v>
      </c>
      <c r="N425" s="300">
        <f>IF(L425&lt;0,IF(M425=0,0,IF(OR(L425=0,K425=0),"N.M.",IF(ABS(M425/L425)&gt;=10,"N.M.",M425/(-L425)))),IF(M425=0,0,IF(OR(L425=0,K425=0),"N.M.",IF(ABS(M425/L425)&gt;=10,"N.M.",M425/L425))))</f>
        <v>0</v>
      </c>
      <c r="O425" s="301"/>
      <c r="P425" s="107"/>
      <c r="Q425" s="105">
        <v>9654</v>
      </c>
      <c r="R425" s="105">
        <v>9654</v>
      </c>
      <c r="S425" s="106">
        <f>+Q425-R425</f>
        <v>0</v>
      </c>
      <c r="T425" s="300">
        <f>IF(R425&lt;0,IF(S425=0,0,IF(OR(R425=0,Q425=0),"N.M.",IF(ABS(S425/R425)&gt;=10,"N.M.",S425/(-R425)))),IF(S425=0,0,IF(OR(R425=0,Q425=0),"N.M.",IF(ABS(S425/R425)&gt;=10,"N.M.",S425/R425))))</f>
        <v>0</v>
      </c>
      <c r="U425" s="107"/>
      <c r="V425" s="105">
        <v>38616</v>
      </c>
      <c r="W425" s="105">
        <v>38616</v>
      </c>
      <c r="X425" s="106">
        <f>+V425-W425</f>
        <v>0</v>
      </c>
      <c r="Y425" s="300">
        <f>IF(W425&lt;0,IF(X425=0,0,IF(OR(W425=0,V425=0),"N.M.",IF(ABS(X425/W425)&gt;=10,"N.M.",X425/(-W425)))),IF(X425=0,0,IF(OR(W425=0,V425=0),"N.M.",IF(ABS(X425/W425)&gt;=10,"N.M.",X425/W425))))</f>
        <v>0</v>
      </c>
      <c r="Z425" s="302"/>
      <c r="AA425" s="108">
        <v>3218</v>
      </c>
      <c r="AB425" s="109"/>
      <c r="AC425" s="110">
        <v>3218</v>
      </c>
      <c r="AD425" s="110">
        <v>3218</v>
      </c>
      <c r="AE425" s="110">
        <v>3218</v>
      </c>
      <c r="AF425" s="110">
        <v>3218</v>
      </c>
      <c r="AG425" s="110">
        <v>3218</v>
      </c>
      <c r="AH425" s="110">
        <v>3218</v>
      </c>
      <c r="AI425" s="110">
        <v>3218</v>
      </c>
      <c r="AJ425" s="110">
        <v>3218</v>
      </c>
      <c r="AK425" s="110">
        <v>3218</v>
      </c>
      <c r="AL425" s="110">
        <v>3218</v>
      </c>
      <c r="AM425" s="110">
        <v>3218</v>
      </c>
      <c r="AN425" s="110">
        <v>3218</v>
      </c>
      <c r="AO425" s="109"/>
      <c r="AP425" s="110">
        <v>3218</v>
      </c>
      <c r="AQ425" s="110">
        <v>3218</v>
      </c>
      <c r="AR425" s="110">
        <v>3218</v>
      </c>
      <c r="AS425" s="110">
        <v>0</v>
      </c>
      <c r="AT425" s="110">
        <v>0</v>
      </c>
      <c r="AU425" s="110">
        <v>0</v>
      </c>
      <c r="AV425" s="110">
        <v>0</v>
      </c>
      <c r="AW425" s="110">
        <v>0</v>
      </c>
      <c r="AX425" s="110">
        <v>0</v>
      </c>
      <c r="AY425" s="110">
        <v>0</v>
      </c>
      <c r="AZ425" s="110">
        <v>0</v>
      </c>
      <c r="BA425" s="110">
        <v>0</v>
      </c>
    </row>
    <row r="426" spans="1:53" s="131" customFormat="1">
      <c r="A426" s="111" t="s">
        <v>1194</v>
      </c>
      <c r="B426" s="331" t="s">
        <v>1195</v>
      </c>
      <c r="C426" s="347" t="s">
        <v>1196</v>
      </c>
      <c r="D426" s="352"/>
      <c r="E426" s="352"/>
      <c r="F426" s="333">
        <v>3218</v>
      </c>
      <c r="G426" s="333">
        <v>3218</v>
      </c>
      <c r="H426" s="133">
        <f>+F426-G426</f>
        <v>0</v>
      </c>
      <c r="I426" s="138">
        <f>IF(G426&lt;0,IF(H426=0,0,IF(OR(G426=0,F426=0),"N.M.",IF(ABS(H426/G426)&gt;=10,"N.M.",H426/(-G426)))),IF(H426=0,0,IF(OR(G426=0,F426=0),"N.M.",IF(ABS(H426/G426)&gt;=10,"N.M.",H426/G426))))</f>
        <v>0</v>
      </c>
      <c r="J426" s="158"/>
      <c r="K426" s="333">
        <v>9654</v>
      </c>
      <c r="L426" s="333">
        <v>9654</v>
      </c>
      <c r="M426" s="133">
        <f>+K426-L426</f>
        <v>0</v>
      </c>
      <c r="N426" s="138">
        <f>IF(L426&lt;0,IF(M426=0,0,IF(OR(L426=0,K426=0),"N.M.",IF(ABS(M426/L426)&gt;=10,"N.M.",M426/(-L426)))),IF(M426=0,0,IF(OR(L426=0,K426=0),"N.M.",IF(ABS(M426/L426)&gt;=10,"N.M.",M426/L426))))</f>
        <v>0</v>
      </c>
      <c r="O426" s="302"/>
      <c r="P426" s="350"/>
      <c r="Q426" s="333">
        <v>9654</v>
      </c>
      <c r="R426" s="333">
        <v>9654</v>
      </c>
      <c r="S426" s="133">
        <f>+Q426-R426</f>
        <v>0</v>
      </c>
      <c r="T426" s="138">
        <f>IF(R426&lt;0,IF(S426=0,0,IF(OR(R426=0,Q426=0),"N.M.",IF(ABS(S426/R426)&gt;=10,"N.M.",S426/(-R426)))),IF(S426=0,0,IF(OR(R426=0,Q426=0),"N.M.",IF(ABS(S426/R426)&gt;=10,"N.M.",S426/R426))))</f>
        <v>0</v>
      </c>
      <c r="U426" s="350" t="s">
        <v>76</v>
      </c>
      <c r="V426" s="333">
        <v>38616</v>
      </c>
      <c r="W426" s="333">
        <v>38616</v>
      </c>
      <c r="X426" s="133">
        <f>+V426-W426</f>
        <v>0</v>
      </c>
      <c r="Y426" s="137">
        <f>IF(W426&lt;0,IF(X426=0,0,IF(OR(W426=0,V426=0),"N.M.",IF(ABS(X426/W426)&gt;=10,"N.M.",X426/(-W426)))),IF(X426=0,0,IF(OR(W426=0,V426=0),"N.M.",IF(ABS(X426/W426)&gt;=10,"N.M.",X426/W426))))</f>
        <v>0</v>
      </c>
      <c r="AA426" s="139">
        <v>3218</v>
      </c>
      <c r="AB426" s="351"/>
      <c r="AC426" s="333">
        <v>3218</v>
      </c>
      <c r="AD426" s="333">
        <v>3218</v>
      </c>
      <c r="AE426" s="333">
        <v>3218</v>
      </c>
      <c r="AF426" s="333">
        <v>3218</v>
      </c>
      <c r="AG426" s="333">
        <v>3218</v>
      </c>
      <c r="AH426" s="333">
        <v>3218</v>
      </c>
      <c r="AI426" s="333">
        <v>3218</v>
      </c>
      <c r="AJ426" s="333">
        <v>3218</v>
      </c>
      <c r="AK426" s="333">
        <v>3218</v>
      </c>
      <c r="AL426" s="333">
        <v>3218</v>
      </c>
      <c r="AM426" s="333">
        <v>3218</v>
      </c>
      <c r="AN426" s="333">
        <v>3218</v>
      </c>
      <c r="AO426" s="351"/>
      <c r="AP426" s="333">
        <v>3218</v>
      </c>
      <c r="AQ426" s="333">
        <v>3218</v>
      </c>
      <c r="AR426" s="333">
        <v>3218</v>
      </c>
      <c r="AS426" s="333">
        <v>0</v>
      </c>
      <c r="AT426" s="333">
        <v>0</v>
      </c>
      <c r="AU426" s="333">
        <v>0</v>
      </c>
      <c r="AV426" s="333">
        <v>0</v>
      </c>
      <c r="AW426" s="333">
        <v>0</v>
      </c>
      <c r="AX426" s="333">
        <v>0</v>
      </c>
      <c r="AY426" s="333">
        <v>0</v>
      </c>
      <c r="AZ426" s="333">
        <v>0</v>
      </c>
      <c r="BA426" s="333">
        <v>0</v>
      </c>
    </row>
    <row r="427" spans="1:53" s="131" customFormat="1" ht="0.75" customHeight="1" outlineLevel="1">
      <c r="A427" s="111"/>
      <c r="B427" s="331"/>
      <c r="C427" s="347"/>
      <c r="D427" s="352"/>
      <c r="E427" s="352"/>
      <c r="F427" s="333"/>
      <c r="G427" s="333"/>
      <c r="H427" s="133"/>
      <c r="I427" s="138"/>
      <c r="J427" s="158"/>
      <c r="K427" s="333"/>
      <c r="L427" s="333"/>
      <c r="M427" s="133"/>
      <c r="N427" s="138"/>
      <c r="O427" s="302"/>
      <c r="P427" s="350"/>
      <c r="Q427" s="333"/>
      <c r="R427" s="333"/>
      <c r="S427" s="133"/>
      <c r="T427" s="138"/>
      <c r="U427" s="350"/>
      <c r="V427" s="333"/>
      <c r="W427" s="333"/>
      <c r="X427" s="133"/>
      <c r="Y427" s="137"/>
      <c r="AA427" s="139"/>
      <c r="AB427" s="351"/>
      <c r="AC427" s="333"/>
      <c r="AD427" s="333"/>
      <c r="AE427" s="333"/>
      <c r="AF427" s="333"/>
      <c r="AG427" s="333"/>
      <c r="AH427" s="333"/>
      <c r="AI427" s="333"/>
      <c r="AJ427" s="333"/>
      <c r="AK427" s="333"/>
      <c r="AL427" s="333"/>
      <c r="AM427" s="333"/>
      <c r="AN427" s="333"/>
      <c r="AO427" s="351"/>
      <c r="AP427" s="333"/>
      <c r="AQ427" s="333"/>
      <c r="AR427" s="333"/>
      <c r="AS427" s="333"/>
      <c r="AT427" s="333"/>
      <c r="AU427" s="333"/>
      <c r="AV427" s="333"/>
      <c r="AW427" s="333"/>
      <c r="AX427" s="333"/>
      <c r="AY427" s="333"/>
      <c r="AZ427" s="333"/>
      <c r="BA427" s="333"/>
    </row>
    <row r="428" spans="1:53" s="131" customFormat="1">
      <c r="A428" s="111" t="s">
        <v>1197</v>
      </c>
      <c r="B428" s="331" t="s">
        <v>1198</v>
      </c>
      <c r="C428" s="347" t="s">
        <v>1199</v>
      </c>
      <c r="D428" s="352"/>
      <c r="E428" s="352"/>
      <c r="F428" s="333">
        <v>0</v>
      </c>
      <c r="G428" s="333">
        <v>0</v>
      </c>
      <c r="H428" s="133">
        <f>+F428-G428</f>
        <v>0</v>
      </c>
      <c r="I428" s="138">
        <f>IF(G428&lt;0,IF(H428=0,0,IF(OR(G428=0,F428=0),"N.M.",IF(ABS(H428/G428)&gt;=10,"N.M.",H428/(-G428)))),IF(H428=0,0,IF(OR(G428=0,F428=0),"N.M.",IF(ABS(H428/G428)&gt;=10,"N.M.",H428/G428))))</f>
        <v>0</v>
      </c>
      <c r="J428" s="158"/>
      <c r="K428" s="333">
        <v>0</v>
      </c>
      <c r="L428" s="333">
        <v>0</v>
      </c>
      <c r="M428" s="133">
        <f>+K428-L428</f>
        <v>0</v>
      </c>
      <c r="N428" s="138">
        <f>IF(L428&lt;0,IF(M428=0,0,IF(OR(L428=0,K428=0),"N.M.",IF(ABS(M428/L428)&gt;=10,"N.M.",M428/(-L428)))),IF(M428=0,0,IF(OR(L428=0,K428=0),"N.M.",IF(ABS(M428/L428)&gt;=10,"N.M.",M428/L428))))</f>
        <v>0</v>
      </c>
      <c r="O428" s="302"/>
      <c r="P428" s="350"/>
      <c r="Q428" s="333">
        <v>0</v>
      </c>
      <c r="R428" s="333">
        <v>0</v>
      </c>
      <c r="S428" s="133">
        <f>+Q428-R428</f>
        <v>0</v>
      </c>
      <c r="T428" s="138">
        <f>IF(R428&lt;0,IF(S428=0,0,IF(OR(R428=0,Q428=0),"N.M.",IF(ABS(S428/R428)&gt;=10,"N.M.",S428/(-R428)))),IF(S428=0,0,IF(OR(R428=0,Q428=0),"N.M.",IF(ABS(S428/R428)&gt;=10,"N.M.",S428/R428))))</f>
        <v>0</v>
      </c>
      <c r="U428" s="350" t="s">
        <v>76</v>
      </c>
      <c r="V428" s="333">
        <v>0</v>
      </c>
      <c r="W428" s="333">
        <v>0</v>
      </c>
      <c r="X428" s="133">
        <f>+V428-W428</f>
        <v>0</v>
      </c>
      <c r="Y428" s="137">
        <f>IF(W428&lt;0,IF(X428=0,0,IF(OR(W428=0,V428=0),"N.M.",IF(ABS(X428/W428)&gt;=10,"N.M.",X428/(-W428)))),IF(X428=0,0,IF(OR(W428=0,V428=0),"N.M.",IF(ABS(X428/W428)&gt;=10,"N.M.",X428/W428))))</f>
        <v>0</v>
      </c>
      <c r="AA428" s="139">
        <v>0</v>
      </c>
      <c r="AB428" s="351"/>
      <c r="AC428" s="333">
        <v>0</v>
      </c>
      <c r="AD428" s="333">
        <v>0</v>
      </c>
      <c r="AE428" s="333">
        <v>0</v>
      </c>
      <c r="AF428" s="333">
        <v>0</v>
      </c>
      <c r="AG428" s="333">
        <v>0</v>
      </c>
      <c r="AH428" s="333">
        <v>0</v>
      </c>
      <c r="AI428" s="333">
        <v>0</v>
      </c>
      <c r="AJ428" s="333">
        <v>0</v>
      </c>
      <c r="AK428" s="333">
        <v>0</v>
      </c>
      <c r="AL428" s="333">
        <v>0</v>
      </c>
      <c r="AM428" s="333">
        <v>0</v>
      </c>
      <c r="AN428" s="333">
        <v>0</v>
      </c>
      <c r="AO428" s="351"/>
      <c r="AP428" s="333">
        <v>0</v>
      </c>
      <c r="AQ428" s="333">
        <v>0</v>
      </c>
      <c r="AR428" s="333">
        <v>0</v>
      </c>
      <c r="AS428" s="333">
        <v>0</v>
      </c>
      <c r="AT428" s="333">
        <v>0</v>
      </c>
      <c r="AU428" s="333">
        <v>0</v>
      </c>
      <c r="AV428" s="333">
        <v>0</v>
      </c>
      <c r="AW428" s="333">
        <v>0</v>
      </c>
      <c r="AX428" s="333">
        <v>0</v>
      </c>
      <c r="AY428" s="333">
        <v>0</v>
      </c>
      <c r="AZ428" s="333">
        <v>0</v>
      </c>
      <c r="BA428" s="333">
        <v>0</v>
      </c>
    </row>
    <row r="429" spans="1:53" s="131" customFormat="1" ht="0.75" customHeight="1" outlineLevel="2">
      <c r="A429" s="111"/>
      <c r="B429" s="331"/>
      <c r="C429" s="347"/>
      <c r="D429" s="352"/>
      <c r="E429" s="352"/>
      <c r="F429" s="333"/>
      <c r="G429" s="333"/>
      <c r="H429" s="133"/>
      <c r="I429" s="138"/>
      <c r="J429" s="158"/>
      <c r="K429" s="333"/>
      <c r="L429" s="333"/>
      <c r="M429" s="133"/>
      <c r="N429" s="138"/>
      <c r="O429" s="302"/>
      <c r="P429" s="350"/>
      <c r="Q429" s="333"/>
      <c r="R429" s="333"/>
      <c r="S429" s="133"/>
      <c r="T429" s="138"/>
      <c r="U429" s="350"/>
      <c r="V429" s="333"/>
      <c r="W429" s="333"/>
      <c r="X429" s="133"/>
      <c r="Y429" s="137"/>
      <c r="AA429" s="139"/>
      <c r="AB429" s="351"/>
      <c r="AC429" s="333"/>
      <c r="AD429" s="333"/>
      <c r="AE429" s="333"/>
      <c r="AF429" s="333"/>
      <c r="AG429" s="333"/>
      <c r="AH429" s="333"/>
      <c r="AI429" s="333"/>
      <c r="AJ429" s="333"/>
      <c r="AK429" s="333"/>
      <c r="AL429" s="333"/>
      <c r="AM429" s="333"/>
      <c r="AN429" s="333"/>
      <c r="AO429" s="351"/>
      <c r="AP429" s="333"/>
      <c r="AQ429" s="333"/>
      <c r="AR429" s="333"/>
      <c r="AS429" s="333"/>
      <c r="AT429" s="333"/>
      <c r="AU429" s="333"/>
      <c r="AV429" s="333"/>
      <c r="AW429" s="333"/>
      <c r="AX429" s="333"/>
      <c r="AY429" s="333"/>
      <c r="AZ429" s="333"/>
      <c r="BA429" s="333"/>
    </row>
    <row r="430" spans="1:53" s="131" customFormat="1">
      <c r="A430" s="111"/>
      <c r="B430" s="331" t="s">
        <v>1200</v>
      </c>
      <c r="C430" s="347" t="s">
        <v>1201</v>
      </c>
      <c r="D430" s="352"/>
      <c r="E430" s="352"/>
      <c r="F430" s="333"/>
      <c r="G430" s="333"/>
      <c r="H430" s="133">
        <f>+F430-G430</f>
        <v>0</v>
      </c>
      <c r="I430" s="138">
        <f>IF(G430&lt;0,IF(H430=0,0,IF(OR(G430=0,F430=0),"N.M.",IF(ABS(H430/G430)&gt;=10,"N.M.",H430/(-G430)))),IF(H430=0,0,IF(OR(G430=0,F430=0),"N.M.",IF(ABS(H430/G430)&gt;=10,"N.M.",H430/G430))))</f>
        <v>0</v>
      </c>
      <c r="J430" s="158"/>
      <c r="K430" s="333"/>
      <c r="L430" s="333"/>
      <c r="M430" s="133">
        <f>+K430-L430</f>
        <v>0</v>
      </c>
      <c r="N430" s="138">
        <f>IF(L430&lt;0,IF(M430=0,0,IF(OR(L430=0,K430=0),"N.M.",IF(ABS(M430/L430)&gt;=10,"N.M.",M430/(-L430)))),IF(M430=0,0,IF(OR(L430=0,K430=0),"N.M.",IF(ABS(M430/L430)&gt;=10,"N.M.",M430/L430))))</f>
        <v>0</v>
      </c>
      <c r="O430" s="302"/>
      <c r="P430" s="350"/>
      <c r="Q430" s="333"/>
      <c r="R430" s="333"/>
      <c r="S430" s="133">
        <f>+Q430-R430</f>
        <v>0</v>
      </c>
      <c r="T430" s="138">
        <f>IF(R430&lt;0,IF(S430=0,0,IF(OR(R430=0,Q430=0),"N.M.",IF(ABS(S430/R430)&gt;=10,"N.M.",S430/(-R430)))),IF(S430=0,0,IF(OR(R430=0,Q430=0),"N.M.",IF(ABS(S430/R430)&gt;=10,"N.M.",S430/R430))))</f>
        <v>0</v>
      </c>
      <c r="U430" s="350" t="s">
        <v>76</v>
      </c>
      <c r="V430" s="333"/>
      <c r="W430" s="333"/>
      <c r="X430" s="133">
        <f>+V430-W430</f>
        <v>0</v>
      </c>
      <c r="Y430" s="137">
        <f>IF(W430&lt;0,IF(X430=0,0,IF(OR(W430=0,V430=0),"N.M.",IF(ABS(X430/W430)&gt;=10,"N.M.",X430/(-W430)))),IF(X430=0,0,IF(OR(W430=0,V430=0),"N.M.",IF(ABS(X430/W430)&gt;=10,"N.M.",X430/W430))))</f>
        <v>0</v>
      </c>
      <c r="AA430" s="139"/>
      <c r="AB430" s="351"/>
      <c r="AC430" s="333"/>
      <c r="AD430" s="333"/>
      <c r="AE430" s="333"/>
      <c r="AF430" s="333"/>
      <c r="AG430" s="333"/>
      <c r="AH430" s="333"/>
      <c r="AI430" s="333"/>
      <c r="AJ430" s="333"/>
      <c r="AK430" s="333"/>
      <c r="AL430" s="333"/>
      <c r="AM430" s="333"/>
      <c r="AN430" s="333"/>
      <c r="AO430" s="351"/>
      <c r="AP430" s="333"/>
      <c r="AQ430" s="333"/>
      <c r="AR430" s="333"/>
      <c r="AS430" s="333"/>
      <c r="AT430" s="333"/>
      <c r="AU430" s="333"/>
      <c r="AV430" s="333"/>
      <c r="AW430" s="333"/>
      <c r="AX430" s="333"/>
      <c r="AY430" s="333"/>
      <c r="AZ430" s="333"/>
      <c r="BA430" s="333"/>
    </row>
    <row r="431" spans="1:53" s="131" customFormat="1" ht="0.75" customHeight="1" outlineLevel="2">
      <c r="A431" s="111"/>
      <c r="B431" s="331"/>
      <c r="C431" s="347"/>
      <c r="D431" s="352"/>
      <c r="E431" s="352"/>
      <c r="F431" s="333"/>
      <c r="G431" s="333"/>
      <c r="H431" s="133"/>
      <c r="I431" s="138"/>
      <c r="J431" s="158"/>
      <c r="K431" s="333"/>
      <c r="L431" s="333"/>
      <c r="M431" s="133"/>
      <c r="N431" s="138"/>
      <c r="O431" s="302"/>
      <c r="P431" s="350"/>
      <c r="Q431" s="333"/>
      <c r="R431" s="333"/>
      <c r="S431" s="133"/>
      <c r="T431" s="138"/>
      <c r="U431" s="350"/>
      <c r="V431" s="333"/>
      <c r="W431" s="333"/>
      <c r="X431" s="133"/>
      <c r="Y431" s="137"/>
      <c r="AA431" s="139"/>
      <c r="AB431" s="351"/>
      <c r="AC431" s="333"/>
      <c r="AD431" s="333"/>
      <c r="AE431" s="333"/>
      <c r="AF431" s="333"/>
      <c r="AG431" s="333"/>
      <c r="AH431" s="333"/>
      <c r="AI431" s="333"/>
      <c r="AJ431" s="333"/>
      <c r="AK431" s="333"/>
      <c r="AL431" s="333"/>
      <c r="AM431" s="333"/>
      <c r="AN431" s="333"/>
      <c r="AO431" s="351"/>
      <c r="AP431" s="333"/>
      <c r="AQ431" s="333"/>
      <c r="AR431" s="333"/>
      <c r="AS431" s="333"/>
      <c r="AT431" s="333"/>
      <c r="AU431" s="333"/>
      <c r="AV431" s="333"/>
      <c r="AW431" s="333"/>
      <c r="AX431" s="333"/>
      <c r="AY431" s="333"/>
      <c r="AZ431" s="333"/>
      <c r="BA431" s="333"/>
    </row>
    <row r="432" spans="1:53" s="102" customFormat="1" outlineLevel="2">
      <c r="A432" s="102" t="s">
        <v>1202</v>
      </c>
      <c r="B432" s="103" t="s">
        <v>1203</v>
      </c>
      <c r="C432" s="104" t="s">
        <v>1204</v>
      </c>
      <c r="D432" s="298"/>
      <c r="E432" s="299"/>
      <c r="F432" s="105">
        <v>30095.49</v>
      </c>
      <c r="G432" s="105">
        <v>30095.49</v>
      </c>
      <c r="H432" s="106">
        <f>+F432-G432</f>
        <v>0</v>
      </c>
      <c r="I432" s="300">
        <f>IF(G432&lt;0,IF(H432=0,0,IF(OR(G432=0,F432=0),"N.M.",IF(ABS(H432/G432)&gt;=10,"N.M.",H432/(-G432)))),IF(H432=0,0,IF(OR(G432=0,F432=0),"N.M.",IF(ABS(H432/G432)&gt;=10,"N.M.",H432/G432))))</f>
        <v>0</v>
      </c>
      <c r="J432" s="107"/>
      <c r="K432" s="105">
        <v>90286.47</v>
      </c>
      <c r="L432" s="105">
        <v>90286.47</v>
      </c>
      <c r="M432" s="106">
        <f>+K432-L432</f>
        <v>0</v>
      </c>
      <c r="N432" s="300">
        <f>IF(L432&lt;0,IF(M432=0,0,IF(OR(L432=0,K432=0),"N.M.",IF(ABS(M432/L432)&gt;=10,"N.M.",M432/(-L432)))),IF(M432=0,0,IF(OR(L432=0,K432=0),"N.M.",IF(ABS(M432/L432)&gt;=10,"N.M.",M432/L432))))</f>
        <v>0</v>
      </c>
      <c r="O432" s="301"/>
      <c r="P432" s="107"/>
      <c r="Q432" s="105">
        <v>90286.47</v>
      </c>
      <c r="R432" s="105">
        <v>90286.47</v>
      </c>
      <c r="S432" s="106">
        <f>+Q432-R432</f>
        <v>0</v>
      </c>
      <c r="T432" s="300">
        <f>IF(R432&lt;0,IF(S432=0,0,IF(OR(R432=0,Q432=0),"N.M.",IF(ABS(S432/R432)&gt;=10,"N.M.",S432/(-R432)))),IF(S432=0,0,IF(OR(R432=0,Q432=0),"N.M.",IF(ABS(S432/R432)&gt;=10,"N.M.",S432/R432))))</f>
        <v>0</v>
      </c>
      <c r="U432" s="107"/>
      <c r="V432" s="105">
        <v>361145.88</v>
      </c>
      <c r="W432" s="105">
        <v>361145.88</v>
      </c>
      <c r="X432" s="106">
        <f>+V432-W432</f>
        <v>0</v>
      </c>
      <c r="Y432" s="300">
        <f>IF(W432&lt;0,IF(X432=0,0,IF(OR(W432=0,V432=0),"N.M.",IF(ABS(X432/W432)&gt;=10,"N.M.",X432/(-W432)))),IF(X432=0,0,IF(OR(W432=0,V432=0),"N.M.",IF(ABS(X432/W432)&gt;=10,"N.M.",X432/W432))))</f>
        <v>0</v>
      </c>
      <c r="Z432" s="302"/>
      <c r="AA432" s="108">
        <v>30095.49</v>
      </c>
      <c r="AB432" s="109"/>
      <c r="AC432" s="110">
        <v>30095.49</v>
      </c>
      <c r="AD432" s="110">
        <v>30095.49</v>
      </c>
      <c r="AE432" s="110">
        <v>30095.49</v>
      </c>
      <c r="AF432" s="110">
        <v>30095.49</v>
      </c>
      <c r="AG432" s="110">
        <v>30095.49</v>
      </c>
      <c r="AH432" s="110">
        <v>30095.49</v>
      </c>
      <c r="AI432" s="110">
        <v>30095.49</v>
      </c>
      <c r="AJ432" s="110">
        <v>30095.49</v>
      </c>
      <c r="AK432" s="110">
        <v>30095.49</v>
      </c>
      <c r="AL432" s="110">
        <v>30095.49</v>
      </c>
      <c r="AM432" s="110">
        <v>30095.49</v>
      </c>
      <c r="AN432" s="110">
        <v>30095.49</v>
      </c>
      <c r="AO432" s="109"/>
      <c r="AP432" s="110">
        <v>30095.49</v>
      </c>
      <c r="AQ432" s="110">
        <v>30095.49</v>
      </c>
      <c r="AR432" s="110">
        <v>30095.49</v>
      </c>
      <c r="AS432" s="110">
        <v>0</v>
      </c>
      <c r="AT432" s="110">
        <v>0</v>
      </c>
      <c r="AU432" s="110">
        <v>0</v>
      </c>
      <c r="AV432" s="110">
        <v>0</v>
      </c>
      <c r="AW432" s="110">
        <v>0</v>
      </c>
      <c r="AX432" s="110">
        <v>0</v>
      </c>
      <c r="AY432" s="110">
        <v>0</v>
      </c>
      <c r="AZ432" s="110">
        <v>0</v>
      </c>
      <c r="BA432" s="110">
        <v>0</v>
      </c>
    </row>
    <row r="433" spans="1:53" s="102" customFormat="1" outlineLevel="2">
      <c r="A433" s="102" t="s">
        <v>1205</v>
      </c>
      <c r="B433" s="103" t="s">
        <v>1206</v>
      </c>
      <c r="C433" s="104" t="s">
        <v>1207</v>
      </c>
      <c r="D433" s="298"/>
      <c r="E433" s="299"/>
      <c r="F433" s="105">
        <v>180809.01</v>
      </c>
      <c r="G433" s="105">
        <v>964331</v>
      </c>
      <c r="H433" s="106">
        <f>+F433-G433</f>
        <v>-783521.99</v>
      </c>
      <c r="I433" s="300">
        <f>IF(G433&lt;0,IF(H433=0,0,IF(OR(G433=0,F433=0),"N.M.",IF(ABS(H433/G433)&gt;=10,"N.M.",H433/(-G433)))),IF(H433=0,0,IF(OR(G433=0,F433=0),"N.M.",IF(ABS(H433/G433)&gt;=10,"N.M.",H433/G433))))</f>
        <v>-0.81250316540689871</v>
      </c>
      <c r="J433" s="107"/>
      <c r="K433" s="105">
        <v>2117518.19</v>
      </c>
      <c r="L433" s="105">
        <v>3448778.52</v>
      </c>
      <c r="M433" s="106">
        <f>+K433-L433</f>
        <v>-1331260.33</v>
      </c>
      <c r="N433" s="300">
        <f>IF(L433&lt;0,IF(M433=0,0,IF(OR(L433=0,K433=0),"N.M.",IF(ABS(M433/L433)&gt;=10,"N.M.",M433/(-L433)))),IF(M433=0,0,IF(OR(L433=0,K433=0),"N.M.",IF(ABS(M433/L433)&gt;=10,"N.M.",M433/L433))))</f>
        <v>-0.3860092268261982</v>
      </c>
      <c r="O433" s="301"/>
      <c r="P433" s="107"/>
      <c r="Q433" s="105">
        <v>2117518.19</v>
      </c>
      <c r="R433" s="105">
        <v>3448778.52</v>
      </c>
      <c r="S433" s="106">
        <f>+Q433-R433</f>
        <v>-1331260.33</v>
      </c>
      <c r="T433" s="300">
        <f>IF(R433&lt;0,IF(S433=0,0,IF(OR(R433=0,Q433=0),"N.M.",IF(ABS(S433/R433)&gt;=10,"N.M.",S433/(-R433)))),IF(S433=0,0,IF(OR(R433=0,Q433=0),"N.M.",IF(ABS(S433/R433)&gt;=10,"N.M.",S433/R433))))</f>
        <v>-0.3860092268261982</v>
      </c>
      <c r="U433" s="107"/>
      <c r="V433" s="105">
        <v>13244718.629999999</v>
      </c>
      <c r="W433" s="105">
        <v>12755153.719999999</v>
      </c>
      <c r="X433" s="106">
        <f>+V433-W433</f>
        <v>489564.91000000015</v>
      </c>
      <c r="Y433" s="300">
        <f>IF(W433&lt;0,IF(X433=0,0,IF(OR(W433=0,V433=0),"N.M.",IF(ABS(X433/W433)&gt;=10,"N.M.",X433/(-W433)))),IF(X433=0,0,IF(OR(W433=0,V433=0),"N.M.",IF(ABS(X433/W433)&gt;=10,"N.M.",X433/W433))))</f>
        <v>3.8381733434726506E-2</v>
      </c>
      <c r="Z433" s="302"/>
      <c r="AA433" s="108">
        <v>1828550.65</v>
      </c>
      <c r="AB433" s="109"/>
      <c r="AC433" s="110">
        <v>1918095.6400000001</v>
      </c>
      <c r="AD433" s="110">
        <v>566351.88</v>
      </c>
      <c r="AE433" s="110">
        <v>964331</v>
      </c>
      <c r="AF433" s="110">
        <v>1034876.18</v>
      </c>
      <c r="AG433" s="110">
        <v>2245659.37</v>
      </c>
      <c r="AH433" s="110">
        <v>465078.55</v>
      </c>
      <c r="AI433" s="110">
        <v>1626114.4100000001</v>
      </c>
      <c r="AJ433" s="110">
        <v>1561198.6800000002</v>
      </c>
      <c r="AK433" s="110">
        <v>673196.6</v>
      </c>
      <c r="AL433" s="110">
        <v>1018423.63</v>
      </c>
      <c r="AM433" s="110">
        <v>1035728.02</v>
      </c>
      <c r="AN433" s="110">
        <v>1466925</v>
      </c>
      <c r="AO433" s="109"/>
      <c r="AP433" s="110">
        <v>725485.35</v>
      </c>
      <c r="AQ433" s="110">
        <v>1211223.83</v>
      </c>
      <c r="AR433" s="110">
        <v>180809.01</v>
      </c>
      <c r="AS433" s="110">
        <v>0</v>
      </c>
      <c r="AT433" s="110">
        <v>0</v>
      </c>
      <c r="AU433" s="110">
        <v>0</v>
      </c>
      <c r="AV433" s="110">
        <v>0</v>
      </c>
      <c r="AW433" s="110">
        <v>0</v>
      </c>
      <c r="AX433" s="110">
        <v>0</v>
      </c>
      <c r="AY433" s="110">
        <v>0</v>
      </c>
      <c r="AZ433" s="110">
        <v>0</v>
      </c>
      <c r="BA433" s="110">
        <v>0</v>
      </c>
    </row>
    <row r="434" spans="1:53" s="131" customFormat="1">
      <c r="A434" s="111" t="s">
        <v>1208</v>
      </c>
      <c r="B434" s="331" t="s">
        <v>1209</v>
      </c>
      <c r="C434" s="347" t="s">
        <v>1210</v>
      </c>
      <c r="D434" s="352"/>
      <c r="E434" s="352"/>
      <c r="F434" s="333">
        <v>210904.5</v>
      </c>
      <c r="G434" s="333">
        <v>994426.49</v>
      </c>
      <c r="H434" s="133">
        <f>+F434-G434</f>
        <v>-783521.99</v>
      </c>
      <c r="I434" s="138">
        <f>IF(G434&lt;0,IF(H434=0,0,IF(OR(G434=0,F434=0),"N.M.",IF(ABS(H434/G434)&gt;=10,"N.M.",H434/(-G434)))),IF(H434=0,0,IF(OR(G434=0,F434=0),"N.M.",IF(ABS(H434/G434)&gt;=10,"N.M.",H434/G434))))</f>
        <v>-0.78791343340019027</v>
      </c>
      <c r="J434" s="158"/>
      <c r="K434" s="333">
        <v>2207804.66</v>
      </c>
      <c r="L434" s="333">
        <v>3539064.99</v>
      </c>
      <c r="M434" s="133">
        <f>+K434-L434</f>
        <v>-1331260.33</v>
      </c>
      <c r="N434" s="138">
        <f>IF(L434&lt;0,IF(M434=0,0,IF(OR(L434=0,K434=0),"N.M.",IF(ABS(M434/L434)&gt;=10,"N.M.",M434/(-L434)))),IF(M434=0,0,IF(OR(L434=0,K434=0),"N.M.",IF(ABS(M434/L434)&gt;=10,"N.M.",M434/L434))))</f>
        <v>-0.37616159459111825</v>
      </c>
      <c r="O434" s="302"/>
      <c r="P434" s="350"/>
      <c r="Q434" s="333">
        <v>2207804.66</v>
      </c>
      <c r="R434" s="333">
        <v>3539064.99</v>
      </c>
      <c r="S434" s="133">
        <f>+Q434-R434</f>
        <v>-1331260.33</v>
      </c>
      <c r="T434" s="138">
        <f>IF(R434&lt;0,IF(S434=0,0,IF(OR(R434=0,Q434=0),"N.M.",IF(ABS(S434/R434)&gt;=10,"N.M.",S434/(-R434)))),IF(S434=0,0,IF(OR(R434=0,Q434=0),"N.M.",IF(ABS(S434/R434)&gt;=10,"N.M.",S434/R434))))</f>
        <v>-0.37616159459111825</v>
      </c>
      <c r="U434" s="350"/>
      <c r="V434" s="333">
        <v>13605864.51</v>
      </c>
      <c r="W434" s="333">
        <v>13116299.6</v>
      </c>
      <c r="X434" s="133">
        <f>+V434-W434</f>
        <v>489564.91000000015</v>
      </c>
      <c r="Y434" s="137">
        <f>IF(W434&lt;0,IF(X434=0,0,IF(OR(W434=0,V434=0),"N.M.",IF(ABS(X434/W434)&gt;=10,"N.M.",X434/(-W434)))),IF(X434=0,0,IF(OR(W434=0,V434=0),"N.M.",IF(ABS(X434/W434)&gt;=10,"N.M.",X434/W434))))</f>
        <v>3.732492585027565E-2</v>
      </c>
      <c r="AA434" s="139">
        <v>1858646.14</v>
      </c>
      <c r="AB434" s="351"/>
      <c r="AC434" s="333">
        <v>1948191.1300000001</v>
      </c>
      <c r="AD434" s="333">
        <v>596447.37</v>
      </c>
      <c r="AE434" s="333">
        <v>994426.49</v>
      </c>
      <c r="AF434" s="333">
        <v>1064971.6700000002</v>
      </c>
      <c r="AG434" s="333">
        <v>2275754.8600000003</v>
      </c>
      <c r="AH434" s="333">
        <v>495174.04</v>
      </c>
      <c r="AI434" s="333">
        <v>1656209.9000000001</v>
      </c>
      <c r="AJ434" s="333">
        <v>1591294.1700000002</v>
      </c>
      <c r="AK434" s="333">
        <v>703292.09</v>
      </c>
      <c r="AL434" s="333">
        <v>1048519.12</v>
      </c>
      <c r="AM434" s="333">
        <v>1065823.51</v>
      </c>
      <c r="AN434" s="333">
        <v>1497020.49</v>
      </c>
      <c r="AO434" s="351"/>
      <c r="AP434" s="333">
        <v>755580.84</v>
      </c>
      <c r="AQ434" s="333">
        <v>1241319.32</v>
      </c>
      <c r="AR434" s="333">
        <v>210904.5</v>
      </c>
      <c r="AS434" s="333">
        <v>0</v>
      </c>
      <c r="AT434" s="333">
        <v>0</v>
      </c>
      <c r="AU434" s="333">
        <v>0</v>
      </c>
      <c r="AV434" s="333">
        <v>0</v>
      </c>
      <c r="AW434" s="333">
        <v>0</v>
      </c>
      <c r="AX434" s="333">
        <v>0</v>
      </c>
      <c r="AY434" s="333">
        <v>0</v>
      </c>
      <c r="AZ434" s="333">
        <v>0</v>
      </c>
      <c r="BA434" s="333">
        <v>0</v>
      </c>
    </row>
    <row r="435" spans="1:53" s="131" customFormat="1" ht="0.75" customHeight="1" outlineLevel="2">
      <c r="A435" s="111"/>
      <c r="B435" s="331"/>
      <c r="C435" s="347"/>
      <c r="D435" s="352"/>
      <c r="E435" s="352"/>
      <c r="F435" s="333"/>
      <c r="G435" s="333"/>
      <c r="H435" s="133"/>
      <c r="I435" s="138"/>
      <c r="J435" s="158"/>
      <c r="K435" s="333"/>
      <c r="L435" s="333"/>
      <c r="M435" s="133"/>
      <c r="N435" s="138"/>
      <c r="O435" s="302"/>
      <c r="P435" s="350"/>
      <c r="Q435" s="333"/>
      <c r="R435" s="333"/>
      <c r="S435" s="133"/>
      <c r="T435" s="138"/>
      <c r="U435" s="350"/>
      <c r="V435" s="333"/>
      <c r="W435" s="333"/>
      <c r="X435" s="133"/>
      <c r="Y435" s="137"/>
      <c r="AA435" s="139"/>
      <c r="AB435" s="351"/>
      <c r="AC435" s="333"/>
      <c r="AD435" s="333"/>
      <c r="AE435" s="333"/>
      <c r="AF435" s="333"/>
      <c r="AG435" s="333"/>
      <c r="AH435" s="333"/>
      <c r="AI435" s="333"/>
      <c r="AJ435" s="333"/>
      <c r="AK435" s="333"/>
      <c r="AL435" s="333"/>
      <c r="AM435" s="333"/>
      <c r="AN435" s="333"/>
      <c r="AO435" s="351"/>
      <c r="AP435" s="333"/>
      <c r="AQ435" s="333"/>
      <c r="AR435" s="333"/>
      <c r="AS435" s="333"/>
      <c r="AT435" s="333"/>
      <c r="AU435" s="333"/>
      <c r="AV435" s="333"/>
      <c r="AW435" s="333"/>
      <c r="AX435" s="333"/>
      <c r="AY435" s="333"/>
      <c r="AZ435" s="333"/>
      <c r="BA435" s="333"/>
    </row>
    <row r="436" spans="1:53" s="131" customFormat="1">
      <c r="A436" s="111" t="s">
        <v>1211</v>
      </c>
      <c r="B436" s="331" t="s">
        <v>1212</v>
      </c>
      <c r="C436" s="347" t="s">
        <v>1213</v>
      </c>
      <c r="D436" s="352"/>
      <c r="E436" s="352"/>
      <c r="F436" s="333">
        <v>0</v>
      </c>
      <c r="G436" s="333">
        <v>0</v>
      </c>
      <c r="H436" s="133">
        <f>+F436-G436</f>
        <v>0</v>
      </c>
      <c r="I436" s="138">
        <f>IF(G436&lt;0,IF(H436=0,0,IF(OR(G436=0,F436=0),"N.M.",IF(ABS(H436/G436)&gt;=10,"N.M.",H436/(-G436)))),IF(H436=0,0,IF(OR(G436=0,F436=0),"N.M.",IF(ABS(H436/G436)&gt;=10,"N.M.",H436/G436))))</f>
        <v>0</v>
      </c>
      <c r="J436" s="158"/>
      <c r="K436" s="333">
        <v>0</v>
      </c>
      <c r="L436" s="333">
        <v>0</v>
      </c>
      <c r="M436" s="133">
        <f>+K436-L436</f>
        <v>0</v>
      </c>
      <c r="N436" s="138">
        <f>IF(L436&lt;0,IF(M436=0,0,IF(OR(L436=0,K436=0),"N.M.",IF(ABS(M436/L436)&gt;=10,"N.M.",M436/(-L436)))),IF(M436=0,0,IF(OR(L436=0,K436=0),"N.M.",IF(ABS(M436/L436)&gt;=10,"N.M.",M436/L436))))</f>
        <v>0</v>
      </c>
      <c r="O436" s="302"/>
      <c r="P436" s="350"/>
      <c r="Q436" s="333">
        <v>0</v>
      </c>
      <c r="R436" s="333">
        <v>0</v>
      </c>
      <c r="S436" s="133">
        <f>+Q436-R436</f>
        <v>0</v>
      </c>
      <c r="T436" s="138">
        <f>IF(R436&lt;0,IF(S436=0,0,IF(OR(R436=0,Q436=0),"N.M.",IF(ABS(S436/R436)&gt;=10,"N.M.",S436/(-R436)))),IF(S436=0,0,IF(OR(R436=0,Q436=0),"N.M.",IF(ABS(S436/R436)&gt;=10,"N.M.",S436/R436))))</f>
        <v>0</v>
      </c>
      <c r="U436" s="350"/>
      <c r="V436" s="333">
        <v>0</v>
      </c>
      <c r="W436" s="333">
        <v>0</v>
      </c>
      <c r="X436" s="133">
        <f>+V436-W436</f>
        <v>0</v>
      </c>
      <c r="Y436" s="137">
        <f>IF(W436&lt;0,IF(X436=0,0,IF(OR(W436=0,V436=0),"N.M.",IF(ABS(X436/W436)&gt;=10,"N.M.",X436/(-W436)))),IF(X436=0,0,IF(OR(W436=0,V436=0),"N.M.",IF(ABS(X436/W436)&gt;=10,"N.M.",X436/W436))))</f>
        <v>0</v>
      </c>
      <c r="AA436" s="139">
        <v>0</v>
      </c>
      <c r="AB436" s="351"/>
      <c r="AC436" s="333">
        <v>0</v>
      </c>
      <c r="AD436" s="333">
        <v>0</v>
      </c>
      <c r="AE436" s="333">
        <v>0</v>
      </c>
      <c r="AF436" s="333">
        <v>0</v>
      </c>
      <c r="AG436" s="333">
        <v>0</v>
      </c>
      <c r="AH436" s="333">
        <v>0</v>
      </c>
      <c r="AI436" s="333">
        <v>0</v>
      </c>
      <c r="AJ436" s="333">
        <v>0</v>
      </c>
      <c r="AK436" s="333">
        <v>0</v>
      </c>
      <c r="AL436" s="333">
        <v>0</v>
      </c>
      <c r="AM436" s="333">
        <v>0</v>
      </c>
      <c r="AN436" s="333">
        <v>0</v>
      </c>
      <c r="AO436" s="351"/>
      <c r="AP436" s="333">
        <v>0</v>
      </c>
      <c r="AQ436" s="333">
        <v>0</v>
      </c>
      <c r="AR436" s="333">
        <v>0</v>
      </c>
      <c r="AS436" s="333">
        <v>0</v>
      </c>
      <c r="AT436" s="333">
        <v>0</v>
      </c>
      <c r="AU436" s="333">
        <v>0</v>
      </c>
      <c r="AV436" s="333">
        <v>0</v>
      </c>
      <c r="AW436" s="333">
        <v>0</v>
      </c>
      <c r="AX436" s="333">
        <v>0</v>
      </c>
      <c r="AY436" s="333">
        <v>0</v>
      </c>
      <c r="AZ436" s="333">
        <v>0</v>
      </c>
      <c r="BA436" s="333">
        <v>0</v>
      </c>
    </row>
    <row r="437" spans="1:53" s="131" customFormat="1" ht="0.75" customHeight="1" outlineLevel="2">
      <c r="A437" s="111"/>
      <c r="B437" s="331"/>
      <c r="C437" s="347"/>
      <c r="D437" s="352"/>
      <c r="E437" s="352"/>
      <c r="F437" s="333"/>
      <c r="G437" s="333"/>
      <c r="H437" s="133"/>
      <c r="I437" s="138"/>
      <c r="J437" s="158"/>
      <c r="K437" s="333"/>
      <c r="L437" s="333"/>
      <c r="M437" s="133"/>
      <c r="N437" s="138"/>
      <c r="O437" s="302"/>
      <c r="P437" s="350"/>
      <c r="Q437" s="333"/>
      <c r="R437" s="333"/>
      <c r="S437" s="133"/>
      <c r="T437" s="138"/>
      <c r="U437" s="350"/>
      <c r="V437" s="333"/>
      <c r="W437" s="333"/>
      <c r="X437" s="133"/>
      <c r="Y437" s="137"/>
      <c r="AA437" s="139"/>
      <c r="AB437" s="351"/>
      <c r="AC437" s="333"/>
      <c r="AD437" s="333"/>
      <c r="AE437" s="333"/>
      <c r="AF437" s="333"/>
      <c r="AG437" s="333"/>
      <c r="AH437" s="333"/>
      <c r="AI437" s="333"/>
      <c r="AJ437" s="333"/>
      <c r="AK437" s="333"/>
      <c r="AL437" s="333"/>
      <c r="AM437" s="333"/>
      <c r="AN437" s="333"/>
      <c r="AO437" s="351"/>
      <c r="AP437" s="333"/>
      <c r="AQ437" s="333"/>
      <c r="AR437" s="333"/>
      <c r="AS437" s="333"/>
      <c r="AT437" s="333"/>
      <c r="AU437" s="333"/>
      <c r="AV437" s="333"/>
      <c r="AW437" s="333"/>
      <c r="AX437" s="333"/>
      <c r="AY437" s="333"/>
      <c r="AZ437" s="333"/>
      <c r="BA437" s="333"/>
    </row>
    <row r="438" spans="1:53" s="102" customFormat="1" outlineLevel="2">
      <c r="A438" s="102" t="s">
        <v>1214</v>
      </c>
      <c r="B438" s="103" t="s">
        <v>1215</v>
      </c>
      <c r="C438" s="104" t="s">
        <v>1216</v>
      </c>
      <c r="D438" s="298"/>
      <c r="E438" s="299"/>
      <c r="F438" s="105">
        <v>323756.36</v>
      </c>
      <c r="G438" s="105">
        <v>282033.94</v>
      </c>
      <c r="H438" s="106">
        <f t="shared" ref="H438:H477" si="122">+F438-G438</f>
        <v>41722.419999999984</v>
      </c>
      <c r="I438" s="300">
        <f t="shared" ref="I438:I477" si="123">IF(G438&lt;0,IF(H438=0,0,IF(OR(G438=0,F438=0),"N.M.",IF(ABS(H438/G438)&gt;=10,"N.M.",H438/(-G438)))),IF(H438=0,0,IF(OR(G438=0,F438=0),"N.M.",IF(ABS(H438/G438)&gt;=10,"N.M.",H438/G438))))</f>
        <v>0.14793403942802055</v>
      </c>
      <c r="J438" s="107"/>
      <c r="K438" s="105">
        <v>869143.38</v>
      </c>
      <c r="L438" s="105">
        <v>729096.52</v>
      </c>
      <c r="M438" s="106">
        <f t="shared" ref="M438:M477" si="124">+K438-L438</f>
        <v>140046.85999999999</v>
      </c>
      <c r="N438" s="300">
        <f t="shared" ref="N438:N477" si="125">IF(L438&lt;0,IF(M438=0,0,IF(OR(L438=0,K438=0),"N.M.",IF(ABS(M438/L438)&gt;=10,"N.M.",M438/(-L438)))),IF(M438=0,0,IF(OR(L438=0,K438=0),"N.M.",IF(ABS(M438/L438)&gt;=10,"N.M.",M438/L438))))</f>
        <v>0.19208274372232634</v>
      </c>
      <c r="O438" s="301"/>
      <c r="P438" s="107"/>
      <c r="Q438" s="105">
        <v>869143.38</v>
      </c>
      <c r="R438" s="105">
        <v>729096.52</v>
      </c>
      <c r="S438" s="106">
        <f t="shared" ref="S438:S477" si="126">+Q438-R438</f>
        <v>140046.85999999999</v>
      </c>
      <c r="T438" s="300">
        <f t="shared" ref="T438:T477" si="127">IF(R438&lt;0,IF(S438=0,0,IF(OR(R438=0,Q438=0),"N.M.",IF(ABS(S438/R438)&gt;=10,"N.M.",S438/(-R438)))),IF(S438=0,0,IF(OR(R438=0,Q438=0),"N.M.",IF(ABS(S438/R438)&gt;=10,"N.M.",S438/R438))))</f>
        <v>0.19208274372232634</v>
      </c>
      <c r="U438" s="107"/>
      <c r="V438" s="105">
        <v>3193118.71</v>
      </c>
      <c r="W438" s="105">
        <v>2935942.48</v>
      </c>
      <c r="X438" s="106">
        <f t="shared" ref="X438:X477" si="128">+V438-W438</f>
        <v>257176.22999999998</v>
      </c>
      <c r="Y438" s="300">
        <f t="shared" ref="Y438:Y477" si="129">IF(W438&lt;0,IF(X438=0,0,IF(OR(W438=0,V438=0),"N.M.",IF(ABS(X438/W438)&gt;=10,"N.M.",X438/(-W438)))),IF(X438=0,0,IF(OR(W438=0,V438=0),"N.M.",IF(ABS(X438/W438)&gt;=10,"N.M.",X438/W438))))</f>
        <v>8.7595799901365914E-2</v>
      </c>
      <c r="Z438" s="302"/>
      <c r="AA438" s="108">
        <v>246563.35</v>
      </c>
      <c r="AB438" s="109"/>
      <c r="AC438" s="110">
        <v>200501.53</v>
      </c>
      <c r="AD438" s="110">
        <v>246561.05000000002</v>
      </c>
      <c r="AE438" s="110">
        <v>282033.94</v>
      </c>
      <c r="AF438" s="110">
        <v>224682.09</v>
      </c>
      <c r="AG438" s="110">
        <v>241473.24</v>
      </c>
      <c r="AH438" s="110">
        <v>155545.86000000002</v>
      </c>
      <c r="AI438" s="110">
        <v>470727.2</v>
      </c>
      <c r="AJ438" s="110">
        <v>286678.62</v>
      </c>
      <c r="AK438" s="110">
        <v>199111.24</v>
      </c>
      <c r="AL438" s="110">
        <v>245891.18</v>
      </c>
      <c r="AM438" s="110">
        <v>227210.94</v>
      </c>
      <c r="AN438" s="110">
        <v>272654.96000000002</v>
      </c>
      <c r="AO438" s="109"/>
      <c r="AP438" s="110">
        <v>286508.92</v>
      </c>
      <c r="AQ438" s="110">
        <v>258878.1</v>
      </c>
      <c r="AR438" s="110">
        <v>323756.36</v>
      </c>
      <c r="AS438" s="110">
        <v>-14701.630000000001</v>
      </c>
      <c r="AT438" s="110">
        <v>0</v>
      </c>
      <c r="AU438" s="110">
        <v>0</v>
      </c>
      <c r="AV438" s="110">
        <v>0</v>
      </c>
      <c r="AW438" s="110">
        <v>0</v>
      </c>
      <c r="AX438" s="110">
        <v>0</v>
      </c>
      <c r="AY438" s="110">
        <v>0</v>
      </c>
      <c r="AZ438" s="110">
        <v>0</v>
      </c>
      <c r="BA438" s="110">
        <v>0</v>
      </c>
    </row>
    <row r="439" spans="1:53" s="102" customFormat="1" outlineLevel="2">
      <c r="A439" s="102" t="s">
        <v>1217</v>
      </c>
      <c r="B439" s="103" t="s">
        <v>1218</v>
      </c>
      <c r="C439" s="104" t="s">
        <v>1219</v>
      </c>
      <c r="D439" s="298"/>
      <c r="E439" s="299"/>
      <c r="F439" s="105">
        <v>275.18</v>
      </c>
      <c r="G439" s="105">
        <v>1016.32</v>
      </c>
      <c r="H439" s="106">
        <f t="shared" si="122"/>
        <v>-741.1400000000001</v>
      </c>
      <c r="I439" s="300">
        <f t="shared" si="123"/>
        <v>-0.72923882241813609</v>
      </c>
      <c r="J439" s="107"/>
      <c r="K439" s="105">
        <v>11187.39</v>
      </c>
      <c r="L439" s="105">
        <v>10248.710000000001</v>
      </c>
      <c r="M439" s="106">
        <f t="shared" si="124"/>
        <v>938.67999999999847</v>
      </c>
      <c r="N439" s="300">
        <f t="shared" si="125"/>
        <v>9.1590063529946544E-2</v>
      </c>
      <c r="O439" s="301"/>
      <c r="P439" s="107"/>
      <c r="Q439" s="105">
        <v>11187.39</v>
      </c>
      <c r="R439" s="105">
        <v>10248.710000000001</v>
      </c>
      <c r="S439" s="106">
        <f t="shared" si="126"/>
        <v>938.67999999999847</v>
      </c>
      <c r="T439" s="300">
        <f t="shared" si="127"/>
        <v>9.1590063529946544E-2</v>
      </c>
      <c r="U439" s="107"/>
      <c r="V439" s="105">
        <v>21668.07</v>
      </c>
      <c r="W439" s="105">
        <v>17185.18</v>
      </c>
      <c r="X439" s="106">
        <f t="shared" si="128"/>
        <v>4482.8899999999994</v>
      </c>
      <c r="Y439" s="300">
        <f t="shared" si="129"/>
        <v>0.26085790198298764</v>
      </c>
      <c r="Z439" s="302"/>
      <c r="AA439" s="108">
        <v>5911.7</v>
      </c>
      <c r="AB439" s="109"/>
      <c r="AC439" s="110">
        <v>11380.82</v>
      </c>
      <c r="AD439" s="110">
        <v>-2148.4299999999998</v>
      </c>
      <c r="AE439" s="110">
        <v>1016.32</v>
      </c>
      <c r="AF439" s="110">
        <v>165.29</v>
      </c>
      <c r="AG439" s="110">
        <v>195.59</v>
      </c>
      <c r="AH439" s="110">
        <v>63.95</v>
      </c>
      <c r="AI439" s="110">
        <v>735.88</v>
      </c>
      <c r="AJ439" s="110">
        <v>267.07</v>
      </c>
      <c r="AK439" s="110">
        <v>32.68</v>
      </c>
      <c r="AL439" s="110">
        <v>3515.4300000000003</v>
      </c>
      <c r="AM439" s="110">
        <v>416.03000000000003</v>
      </c>
      <c r="AN439" s="110">
        <v>5088.76</v>
      </c>
      <c r="AO439" s="109"/>
      <c r="AP439" s="110">
        <v>11886.68</v>
      </c>
      <c r="AQ439" s="110">
        <v>-974.47</v>
      </c>
      <c r="AR439" s="110">
        <v>275.18</v>
      </c>
      <c r="AS439" s="110">
        <v>6.29</v>
      </c>
      <c r="AT439" s="110">
        <v>0</v>
      </c>
      <c r="AU439" s="110">
        <v>0</v>
      </c>
      <c r="AV439" s="110">
        <v>0</v>
      </c>
      <c r="AW439" s="110">
        <v>0</v>
      </c>
      <c r="AX439" s="110">
        <v>0</v>
      </c>
      <c r="AY439" s="110">
        <v>0</v>
      </c>
      <c r="AZ439" s="110">
        <v>0</v>
      </c>
      <c r="BA439" s="110">
        <v>0</v>
      </c>
    </row>
    <row r="440" spans="1:53" s="102" customFormat="1" outlineLevel="2">
      <c r="A440" s="102" t="s">
        <v>1221</v>
      </c>
      <c r="B440" s="103" t="s">
        <v>1222</v>
      </c>
      <c r="C440" s="104" t="s">
        <v>1220</v>
      </c>
      <c r="D440" s="298"/>
      <c r="E440" s="299"/>
      <c r="F440" s="105">
        <v>0</v>
      </c>
      <c r="G440" s="105">
        <v>0</v>
      </c>
      <c r="H440" s="106">
        <f t="shared" si="122"/>
        <v>0</v>
      </c>
      <c r="I440" s="300">
        <f t="shared" si="123"/>
        <v>0</v>
      </c>
      <c r="J440" s="107"/>
      <c r="K440" s="105">
        <v>0</v>
      </c>
      <c r="L440" s="105">
        <v>0</v>
      </c>
      <c r="M440" s="106">
        <f t="shared" si="124"/>
        <v>0</v>
      </c>
      <c r="N440" s="300">
        <f t="shared" si="125"/>
        <v>0</v>
      </c>
      <c r="O440" s="301"/>
      <c r="P440" s="107"/>
      <c r="Q440" s="105">
        <v>0</v>
      </c>
      <c r="R440" s="105">
        <v>0</v>
      </c>
      <c r="S440" s="106">
        <f t="shared" si="126"/>
        <v>0</v>
      </c>
      <c r="T440" s="300">
        <f t="shared" si="127"/>
        <v>0</v>
      </c>
      <c r="U440" s="107"/>
      <c r="V440" s="105">
        <v>0</v>
      </c>
      <c r="W440" s="105">
        <v>1391.2</v>
      </c>
      <c r="X440" s="106">
        <f t="shared" si="128"/>
        <v>-1391.2</v>
      </c>
      <c r="Y440" s="300" t="str">
        <f t="shared" si="129"/>
        <v>N.M.</v>
      </c>
      <c r="Z440" s="302"/>
      <c r="AA440" s="108">
        <v>1391.2</v>
      </c>
      <c r="AB440" s="109"/>
      <c r="AC440" s="110">
        <v>0</v>
      </c>
      <c r="AD440" s="110">
        <v>0</v>
      </c>
      <c r="AE440" s="110">
        <v>0</v>
      </c>
      <c r="AF440" s="110">
        <v>0</v>
      </c>
      <c r="AG440" s="110">
        <v>0</v>
      </c>
      <c r="AH440" s="110">
        <v>0</v>
      </c>
      <c r="AI440" s="110">
        <v>0</v>
      </c>
      <c r="AJ440" s="110">
        <v>0</v>
      </c>
      <c r="AK440" s="110">
        <v>0</v>
      </c>
      <c r="AL440" s="110">
        <v>0</v>
      </c>
      <c r="AM440" s="110">
        <v>0</v>
      </c>
      <c r="AN440" s="110">
        <v>0</v>
      </c>
      <c r="AO440" s="109"/>
      <c r="AP440" s="110">
        <v>0</v>
      </c>
      <c r="AQ440" s="110">
        <v>0</v>
      </c>
      <c r="AR440" s="110">
        <v>0</v>
      </c>
      <c r="AS440" s="110">
        <v>0</v>
      </c>
      <c r="AT440" s="110">
        <v>0</v>
      </c>
      <c r="AU440" s="110">
        <v>0</v>
      </c>
      <c r="AV440" s="110">
        <v>0</v>
      </c>
      <c r="AW440" s="110">
        <v>0</v>
      </c>
      <c r="AX440" s="110">
        <v>0</v>
      </c>
      <c r="AY440" s="110">
        <v>0</v>
      </c>
      <c r="AZ440" s="110">
        <v>0</v>
      </c>
      <c r="BA440" s="110">
        <v>0</v>
      </c>
    </row>
    <row r="441" spans="1:53" s="102" customFormat="1" outlineLevel="2">
      <c r="A441" s="102" t="s">
        <v>1223</v>
      </c>
      <c r="B441" s="103" t="s">
        <v>1224</v>
      </c>
      <c r="C441" s="104" t="s">
        <v>1220</v>
      </c>
      <c r="D441" s="298"/>
      <c r="E441" s="299"/>
      <c r="F441" s="105">
        <v>0</v>
      </c>
      <c r="G441" s="105">
        <v>0</v>
      </c>
      <c r="H441" s="106">
        <f t="shared" si="122"/>
        <v>0</v>
      </c>
      <c r="I441" s="300">
        <f t="shared" si="123"/>
        <v>0</v>
      </c>
      <c r="J441" s="107"/>
      <c r="K441" s="105">
        <v>0</v>
      </c>
      <c r="L441" s="105">
        <v>0</v>
      </c>
      <c r="M441" s="106">
        <f t="shared" si="124"/>
        <v>0</v>
      </c>
      <c r="N441" s="300">
        <f t="shared" si="125"/>
        <v>0</v>
      </c>
      <c r="O441" s="301"/>
      <c r="P441" s="107"/>
      <c r="Q441" s="105">
        <v>0</v>
      </c>
      <c r="R441" s="105">
        <v>0</v>
      </c>
      <c r="S441" s="106">
        <f t="shared" si="126"/>
        <v>0</v>
      </c>
      <c r="T441" s="300">
        <f t="shared" si="127"/>
        <v>0</v>
      </c>
      <c r="U441" s="107"/>
      <c r="V441" s="105">
        <v>0</v>
      </c>
      <c r="W441" s="105">
        <v>761898.15</v>
      </c>
      <c r="X441" s="106">
        <f t="shared" si="128"/>
        <v>-761898.15</v>
      </c>
      <c r="Y441" s="300" t="str">
        <f t="shared" si="129"/>
        <v>N.M.</v>
      </c>
      <c r="Z441" s="302"/>
      <c r="AA441" s="108">
        <v>0</v>
      </c>
      <c r="AB441" s="109"/>
      <c r="AC441" s="110">
        <v>0</v>
      </c>
      <c r="AD441" s="110">
        <v>0</v>
      </c>
      <c r="AE441" s="110">
        <v>0</v>
      </c>
      <c r="AF441" s="110">
        <v>0</v>
      </c>
      <c r="AG441" s="110">
        <v>0</v>
      </c>
      <c r="AH441" s="110">
        <v>0</v>
      </c>
      <c r="AI441" s="110">
        <v>0</v>
      </c>
      <c r="AJ441" s="110">
        <v>0</v>
      </c>
      <c r="AK441" s="110">
        <v>0</v>
      </c>
      <c r="AL441" s="110">
        <v>0</v>
      </c>
      <c r="AM441" s="110">
        <v>0</v>
      </c>
      <c r="AN441" s="110">
        <v>0</v>
      </c>
      <c r="AO441" s="109"/>
      <c r="AP441" s="110">
        <v>0</v>
      </c>
      <c r="AQ441" s="110">
        <v>0</v>
      </c>
      <c r="AR441" s="110">
        <v>0</v>
      </c>
      <c r="AS441" s="110">
        <v>0</v>
      </c>
      <c r="AT441" s="110">
        <v>0</v>
      </c>
      <c r="AU441" s="110">
        <v>0</v>
      </c>
      <c r="AV441" s="110">
        <v>0</v>
      </c>
      <c r="AW441" s="110">
        <v>0</v>
      </c>
      <c r="AX441" s="110">
        <v>0</v>
      </c>
      <c r="AY441" s="110">
        <v>0</v>
      </c>
      <c r="AZ441" s="110">
        <v>0</v>
      </c>
      <c r="BA441" s="110">
        <v>0</v>
      </c>
    </row>
    <row r="442" spans="1:53" s="102" customFormat="1" outlineLevel="2">
      <c r="A442" s="102" t="s">
        <v>1737</v>
      </c>
      <c r="B442" s="103" t="s">
        <v>1738</v>
      </c>
      <c r="C442" s="104" t="s">
        <v>1220</v>
      </c>
      <c r="D442" s="298"/>
      <c r="E442" s="299"/>
      <c r="F442" s="105">
        <v>0</v>
      </c>
      <c r="G442" s="105">
        <v>255622.5</v>
      </c>
      <c r="H442" s="106">
        <f t="shared" si="122"/>
        <v>-255622.5</v>
      </c>
      <c r="I442" s="300" t="str">
        <f t="shared" si="123"/>
        <v>N.M.</v>
      </c>
      <c r="J442" s="107"/>
      <c r="K442" s="105">
        <v>0</v>
      </c>
      <c r="L442" s="105">
        <v>766867.5</v>
      </c>
      <c r="M442" s="106">
        <f t="shared" si="124"/>
        <v>-766867.5</v>
      </c>
      <c r="N442" s="300" t="str">
        <f t="shared" si="125"/>
        <v>N.M.</v>
      </c>
      <c r="O442" s="301"/>
      <c r="P442" s="107"/>
      <c r="Q442" s="105">
        <v>0</v>
      </c>
      <c r="R442" s="105">
        <v>766867.5</v>
      </c>
      <c r="S442" s="106">
        <f t="shared" si="126"/>
        <v>-766867.5</v>
      </c>
      <c r="T442" s="300" t="str">
        <f t="shared" si="127"/>
        <v>N.M.</v>
      </c>
      <c r="U442" s="107"/>
      <c r="V442" s="105">
        <v>883986.19000000006</v>
      </c>
      <c r="W442" s="105">
        <v>13635443.4</v>
      </c>
      <c r="X442" s="106">
        <f t="shared" si="128"/>
        <v>-12751457.210000001</v>
      </c>
      <c r="Y442" s="300">
        <f t="shared" si="129"/>
        <v>-0.93516997107699484</v>
      </c>
      <c r="Z442" s="302"/>
      <c r="AA442" s="108">
        <v>1515136.5</v>
      </c>
      <c r="AB442" s="109"/>
      <c r="AC442" s="110">
        <v>255622.5</v>
      </c>
      <c r="AD442" s="110">
        <v>255622.5</v>
      </c>
      <c r="AE442" s="110">
        <v>255622.5</v>
      </c>
      <c r="AF442" s="110">
        <v>255622.5</v>
      </c>
      <c r="AG442" s="110">
        <v>255622.5</v>
      </c>
      <c r="AH442" s="110">
        <v>372741.19</v>
      </c>
      <c r="AI442" s="110">
        <v>0</v>
      </c>
      <c r="AJ442" s="110">
        <v>0</v>
      </c>
      <c r="AK442" s="110">
        <v>0</v>
      </c>
      <c r="AL442" s="110">
        <v>0</v>
      </c>
      <c r="AM442" s="110">
        <v>0</v>
      </c>
      <c r="AN442" s="110">
        <v>0</v>
      </c>
      <c r="AO442" s="109"/>
      <c r="AP442" s="110">
        <v>0</v>
      </c>
      <c r="AQ442" s="110">
        <v>0</v>
      </c>
      <c r="AR442" s="110">
        <v>0</v>
      </c>
      <c r="AS442" s="110">
        <v>0</v>
      </c>
      <c r="AT442" s="110">
        <v>0</v>
      </c>
      <c r="AU442" s="110">
        <v>0</v>
      </c>
      <c r="AV442" s="110">
        <v>0</v>
      </c>
      <c r="AW442" s="110">
        <v>0</v>
      </c>
      <c r="AX442" s="110">
        <v>0</v>
      </c>
      <c r="AY442" s="110">
        <v>0</v>
      </c>
      <c r="AZ442" s="110">
        <v>0</v>
      </c>
      <c r="BA442" s="110">
        <v>0</v>
      </c>
    </row>
    <row r="443" spans="1:53" s="102" customFormat="1" outlineLevel="2">
      <c r="A443" s="102" t="s">
        <v>1739</v>
      </c>
      <c r="B443" s="103" t="s">
        <v>1740</v>
      </c>
      <c r="C443" s="104" t="s">
        <v>1220</v>
      </c>
      <c r="D443" s="298"/>
      <c r="E443" s="299"/>
      <c r="F443" s="105">
        <v>184828.49</v>
      </c>
      <c r="G443" s="105">
        <v>1276609</v>
      </c>
      <c r="H443" s="106">
        <f t="shared" si="122"/>
        <v>-1091780.51</v>
      </c>
      <c r="I443" s="300">
        <f t="shared" si="123"/>
        <v>-0.85521918614078396</v>
      </c>
      <c r="J443" s="107"/>
      <c r="K443" s="105">
        <v>789347.48</v>
      </c>
      <c r="L443" s="105">
        <v>3829827</v>
      </c>
      <c r="M443" s="106">
        <f t="shared" si="124"/>
        <v>-3040479.52</v>
      </c>
      <c r="N443" s="300">
        <f t="shared" si="125"/>
        <v>-0.7938947425040348</v>
      </c>
      <c r="O443" s="301"/>
      <c r="P443" s="107"/>
      <c r="Q443" s="105">
        <v>789347.48</v>
      </c>
      <c r="R443" s="105">
        <v>3829827</v>
      </c>
      <c r="S443" s="106">
        <f t="shared" si="126"/>
        <v>-3040479.52</v>
      </c>
      <c r="T443" s="300">
        <f t="shared" si="127"/>
        <v>-0.7938947425040348</v>
      </c>
      <c r="U443" s="107"/>
      <c r="V443" s="105">
        <v>13738105.85</v>
      </c>
      <c r="W443" s="105">
        <v>3829827</v>
      </c>
      <c r="X443" s="106">
        <f t="shared" si="128"/>
        <v>9908278.8499999996</v>
      </c>
      <c r="Y443" s="300">
        <f t="shared" si="129"/>
        <v>2.5871348366388349</v>
      </c>
      <c r="Z443" s="302"/>
      <c r="AA443" s="108">
        <v>0</v>
      </c>
      <c r="AB443" s="109"/>
      <c r="AC443" s="110">
        <v>1276609</v>
      </c>
      <c r="AD443" s="110">
        <v>1276609</v>
      </c>
      <c r="AE443" s="110">
        <v>1276609</v>
      </c>
      <c r="AF443" s="110">
        <v>1276609</v>
      </c>
      <c r="AG443" s="110">
        <v>1276609</v>
      </c>
      <c r="AH443" s="110">
        <v>1276609</v>
      </c>
      <c r="AI443" s="110">
        <v>1517680.55</v>
      </c>
      <c r="AJ443" s="110">
        <v>1516728</v>
      </c>
      <c r="AK443" s="110">
        <v>1524071.82</v>
      </c>
      <c r="AL443" s="110">
        <v>1520153</v>
      </c>
      <c r="AM443" s="110">
        <v>1520153</v>
      </c>
      <c r="AN443" s="110">
        <v>1520145</v>
      </c>
      <c r="AO443" s="109"/>
      <c r="AP443" s="110">
        <v>360975</v>
      </c>
      <c r="AQ443" s="110">
        <v>243543.99</v>
      </c>
      <c r="AR443" s="110">
        <v>184828.49</v>
      </c>
      <c r="AS443" s="110">
        <v>0</v>
      </c>
      <c r="AT443" s="110">
        <v>0</v>
      </c>
      <c r="AU443" s="110">
        <v>0</v>
      </c>
      <c r="AV443" s="110">
        <v>0</v>
      </c>
      <c r="AW443" s="110">
        <v>0</v>
      </c>
      <c r="AX443" s="110">
        <v>0</v>
      </c>
      <c r="AY443" s="110">
        <v>0</v>
      </c>
      <c r="AZ443" s="110">
        <v>0</v>
      </c>
      <c r="BA443" s="110">
        <v>0</v>
      </c>
    </row>
    <row r="444" spans="1:53" s="102" customFormat="1" outlineLevel="2">
      <c r="A444" s="102" t="s">
        <v>1741</v>
      </c>
      <c r="B444" s="103" t="s">
        <v>1742</v>
      </c>
      <c r="C444" s="104" t="s">
        <v>1220</v>
      </c>
      <c r="D444" s="298"/>
      <c r="E444" s="299"/>
      <c r="F444" s="105">
        <v>1469466</v>
      </c>
      <c r="G444" s="105">
        <v>0</v>
      </c>
      <c r="H444" s="106">
        <f t="shared" si="122"/>
        <v>1469466</v>
      </c>
      <c r="I444" s="300" t="str">
        <f t="shared" si="123"/>
        <v>N.M.</v>
      </c>
      <c r="J444" s="107"/>
      <c r="K444" s="105">
        <v>4408398</v>
      </c>
      <c r="L444" s="105">
        <v>0</v>
      </c>
      <c r="M444" s="106">
        <f t="shared" si="124"/>
        <v>4408398</v>
      </c>
      <c r="N444" s="300" t="str">
        <f t="shared" si="125"/>
        <v>N.M.</v>
      </c>
      <c r="O444" s="301"/>
      <c r="P444" s="107"/>
      <c r="Q444" s="105">
        <v>4408398</v>
      </c>
      <c r="R444" s="105">
        <v>0</v>
      </c>
      <c r="S444" s="106">
        <f t="shared" si="126"/>
        <v>4408398</v>
      </c>
      <c r="T444" s="300" t="str">
        <f t="shared" si="127"/>
        <v>N.M.</v>
      </c>
      <c r="U444" s="107"/>
      <c r="V444" s="105">
        <v>4408398</v>
      </c>
      <c r="W444" s="105">
        <v>0</v>
      </c>
      <c r="X444" s="106">
        <f t="shared" si="128"/>
        <v>4408398</v>
      </c>
      <c r="Y444" s="300" t="str">
        <f t="shared" si="129"/>
        <v>N.M.</v>
      </c>
      <c r="Z444" s="302"/>
      <c r="AA444" s="108">
        <v>0</v>
      </c>
      <c r="AB444" s="109"/>
      <c r="AC444" s="110">
        <v>0</v>
      </c>
      <c r="AD444" s="110">
        <v>0</v>
      </c>
      <c r="AE444" s="110">
        <v>0</v>
      </c>
      <c r="AF444" s="110">
        <v>0</v>
      </c>
      <c r="AG444" s="110">
        <v>0</v>
      </c>
      <c r="AH444" s="110">
        <v>0</v>
      </c>
      <c r="AI444" s="110">
        <v>0</v>
      </c>
      <c r="AJ444" s="110">
        <v>0</v>
      </c>
      <c r="AK444" s="110">
        <v>0</v>
      </c>
      <c r="AL444" s="110">
        <v>0</v>
      </c>
      <c r="AM444" s="110">
        <v>0</v>
      </c>
      <c r="AN444" s="110">
        <v>0</v>
      </c>
      <c r="AO444" s="109"/>
      <c r="AP444" s="110">
        <v>1469466</v>
      </c>
      <c r="AQ444" s="110">
        <v>1469466</v>
      </c>
      <c r="AR444" s="110">
        <v>1469466</v>
      </c>
      <c r="AS444" s="110">
        <v>0</v>
      </c>
      <c r="AT444" s="110">
        <v>0</v>
      </c>
      <c r="AU444" s="110">
        <v>0</v>
      </c>
      <c r="AV444" s="110">
        <v>0</v>
      </c>
      <c r="AW444" s="110">
        <v>0</v>
      </c>
      <c r="AX444" s="110">
        <v>0</v>
      </c>
      <c r="AY444" s="110">
        <v>0</v>
      </c>
      <c r="AZ444" s="110">
        <v>0</v>
      </c>
      <c r="BA444" s="110">
        <v>0</v>
      </c>
    </row>
    <row r="445" spans="1:53" s="102" customFormat="1" outlineLevel="2">
      <c r="A445" s="102" t="s">
        <v>1226</v>
      </c>
      <c r="B445" s="103" t="s">
        <v>1227</v>
      </c>
      <c r="C445" s="104" t="s">
        <v>1225</v>
      </c>
      <c r="D445" s="298"/>
      <c r="E445" s="299"/>
      <c r="F445" s="105">
        <v>0</v>
      </c>
      <c r="G445" s="105">
        <v>0</v>
      </c>
      <c r="H445" s="106">
        <f t="shared" si="122"/>
        <v>0</v>
      </c>
      <c r="I445" s="300">
        <f t="shared" si="123"/>
        <v>0</v>
      </c>
      <c r="J445" s="107"/>
      <c r="K445" s="105">
        <v>0</v>
      </c>
      <c r="L445" s="105">
        <v>0</v>
      </c>
      <c r="M445" s="106">
        <f t="shared" si="124"/>
        <v>0</v>
      </c>
      <c r="N445" s="300">
        <f t="shared" si="125"/>
        <v>0</v>
      </c>
      <c r="O445" s="301"/>
      <c r="P445" s="107"/>
      <c r="Q445" s="105">
        <v>0</v>
      </c>
      <c r="R445" s="105">
        <v>0</v>
      </c>
      <c r="S445" s="106">
        <f t="shared" si="126"/>
        <v>0</v>
      </c>
      <c r="T445" s="300">
        <f t="shared" si="127"/>
        <v>0</v>
      </c>
      <c r="U445" s="107"/>
      <c r="V445" s="105">
        <v>-4858.53</v>
      </c>
      <c r="W445" s="105">
        <v>-2397.15</v>
      </c>
      <c r="X445" s="106">
        <f t="shared" si="128"/>
        <v>-2461.3799999999997</v>
      </c>
      <c r="Y445" s="300">
        <f t="shared" si="129"/>
        <v>-1.0267943182529251</v>
      </c>
      <c r="Z445" s="302"/>
      <c r="AA445" s="108">
        <v>0</v>
      </c>
      <c r="AB445" s="109"/>
      <c r="AC445" s="110">
        <v>0</v>
      </c>
      <c r="AD445" s="110">
        <v>0</v>
      </c>
      <c r="AE445" s="110">
        <v>0</v>
      </c>
      <c r="AF445" s="110">
        <v>0</v>
      </c>
      <c r="AG445" s="110">
        <v>0</v>
      </c>
      <c r="AH445" s="110">
        <v>0</v>
      </c>
      <c r="AI445" s="110">
        <v>0</v>
      </c>
      <c r="AJ445" s="110">
        <v>0</v>
      </c>
      <c r="AK445" s="110">
        <v>-4858.53</v>
      </c>
      <c r="AL445" s="110">
        <v>0</v>
      </c>
      <c r="AM445" s="110">
        <v>0</v>
      </c>
      <c r="AN445" s="110">
        <v>0</v>
      </c>
      <c r="AO445" s="109"/>
      <c r="AP445" s="110">
        <v>0</v>
      </c>
      <c r="AQ445" s="110">
        <v>0</v>
      </c>
      <c r="AR445" s="110">
        <v>0</v>
      </c>
      <c r="AS445" s="110">
        <v>0</v>
      </c>
      <c r="AT445" s="110">
        <v>0</v>
      </c>
      <c r="AU445" s="110">
        <v>0</v>
      </c>
      <c r="AV445" s="110">
        <v>0</v>
      </c>
      <c r="AW445" s="110">
        <v>0</v>
      </c>
      <c r="AX445" s="110">
        <v>0</v>
      </c>
      <c r="AY445" s="110">
        <v>0</v>
      </c>
      <c r="AZ445" s="110">
        <v>0</v>
      </c>
      <c r="BA445" s="110">
        <v>0</v>
      </c>
    </row>
    <row r="446" spans="1:53" s="102" customFormat="1" outlineLevel="2">
      <c r="A446" s="102" t="s">
        <v>1228</v>
      </c>
      <c r="B446" s="103" t="s">
        <v>1229</v>
      </c>
      <c r="C446" s="104" t="s">
        <v>1225</v>
      </c>
      <c r="D446" s="298"/>
      <c r="E446" s="299"/>
      <c r="F446" s="105">
        <v>0</v>
      </c>
      <c r="G446" s="105">
        <v>0</v>
      </c>
      <c r="H446" s="106">
        <f t="shared" si="122"/>
        <v>0</v>
      </c>
      <c r="I446" s="300">
        <f t="shared" si="123"/>
        <v>0</v>
      </c>
      <c r="J446" s="107"/>
      <c r="K446" s="105">
        <v>0</v>
      </c>
      <c r="L446" s="105">
        <v>0</v>
      </c>
      <c r="M446" s="106">
        <f t="shared" si="124"/>
        <v>0</v>
      </c>
      <c r="N446" s="300">
        <f t="shared" si="125"/>
        <v>0</v>
      </c>
      <c r="O446" s="301"/>
      <c r="P446" s="107"/>
      <c r="Q446" s="105">
        <v>0</v>
      </c>
      <c r="R446" s="105">
        <v>0</v>
      </c>
      <c r="S446" s="106">
        <f t="shared" si="126"/>
        <v>0</v>
      </c>
      <c r="T446" s="300">
        <f t="shared" si="127"/>
        <v>0</v>
      </c>
      <c r="U446" s="107"/>
      <c r="V446" s="105">
        <v>-1736.03</v>
      </c>
      <c r="W446" s="105">
        <v>0</v>
      </c>
      <c r="X446" s="106">
        <f t="shared" si="128"/>
        <v>-1736.03</v>
      </c>
      <c r="Y446" s="300" t="str">
        <f t="shared" si="129"/>
        <v>N.M.</v>
      </c>
      <c r="Z446" s="302"/>
      <c r="AA446" s="108">
        <v>0</v>
      </c>
      <c r="AB446" s="109"/>
      <c r="AC446" s="110">
        <v>0</v>
      </c>
      <c r="AD446" s="110">
        <v>0</v>
      </c>
      <c r="AE446" s="110">
        <v>0</v>
      </c>
      <c r="AF446" s="110">
        <v>0</v>
      </c>
      <c r="AG446" s="110">
        <v>0</v>
      </c>
      <c r="AH446" s="110">
        <v>0</v>
      </c>
      <c r="AI446" s="110">
        <v>0</v>
      </c>
      <c r="AJ446" s="110">
        <v>-574.39</v>
      </c>
      <c r="AK446" s="110">
        <v>-1161.6400000000001</v>
      </c>
      <c r="AL446" s="110">
        <v>0</v>
      </c>
      <c r="AM446" s="110">
        <v>0</v>
      </c>
      <c r="AN446" s="110">
        <v>0</v>
      </c>
      <c r="AO446" s="109"/>
      <c r="AP446" s="110">
        <v>0</v>
      </c>
      <c r="AQ446" s="110">
        <v>0</v>
      </c>
      <c r="AR446" s="110">
        <v>0</v>
      </c>
      <c r="AS446" s="110">
        <v>0</v>
      </c>
      <c r="AT446" s="110">
        <v>0</v>
      </c>
      <c r="AU446" s="110">
        <v>0</v>
      </c>
      <c r="AV446" s="110">
        <v>0</v>
      </c>
      <c r="AW446" s="110">
        <v>0</v>
      </c>
      <c r="AX446" s="110">
        <v>0</v>
      </c>
      <c r="AY446" s="110">
        <v>0</v>
      </c>
      <c r="AZ446" s="110">
        <v>0</v>
      </c>
      <c r="BA446" s="110">
        <v>0</v>
      </c>
    </row>
    <row r="447" spans="1:53" s="102" customFormat="1" outlineLevel="2">
      <c r="A447" s="102" t="s">
        <v>1743</v>
      </c>
      <c r="B447" s="103" t="s">
        <v>1744</v>
      </c>
      <c r="C447" s="104" t="s">
        <v>1225</v>
      </c>
      <c r="D447" s="298"/>
      <c r="E447" s="299"/>
      <c r="F447" s="105">
        <v>0</v>
      </c>
      <c r="G447" s="105">
        <v>0</v>
      </c>
      <c r="H447" s="106">
        <f t="shared" si="122"/>
        <v>0</v>
      </c>
      <c r="I447" s="300">
        <f t="shared" si="123"/>
        <v>0</v>
      </c>
      <c r="J447" s="107"/>
      <c r="K447" s="105">
        <v>0</v>
      </c>
      <c r="L447" s="105">
        <v>-4671</v>
      </c>
      <c r="M447" s="106">
        <f t="shared" si="124"/>
        <v>4671</v>
      </c>
      <c r="N447" s="300" t="str">
        <f t="shared" si="125"/>
        <v>N.M.</v>
      </c>
      <c r="O447" s="301"/>
      <c r="P447" s="107"/>
      <c r="Q447" s="105">
        <v>0</v>
      </c>
      <c r="R447" s="105">
        <v>-4671</v>
      </c>
      <c r="S447" s="106">
        <f t="shared" si="126"/>
        <v>4671</v>
      </c>
      <c r="T447" s="300" t="str">
        <f t="shared" si="127"/>
        <v>N.M.</v>
      </c>
      <c r="U447" s="107"/>
      <c r="V447" s="105">
        <v>1411.15</v>
      </c>
      <c r="W447" s="105">
        <v>10869.85</v>
      </c>
      <c r="X447" s="106">
        <f t="shared" si="128"/>
        <v>-9458.7000000000007</v>
      </c>
      <c r="Y447" s="300">
        <f t="shared" si="129"/>
        <v>-0.87017760134684474</v>
      </c>
      <c r="Z447" s="302"/>
      <c r="AA447" s="108">
        <v>2887.37</v>
      </c>
      <c r="AB447" s="109"/>
      <c r="AC447" s="110">
        <v>0</v>
      </c>
      <c r="AD447" s="110">
        <v>-4671</v>
      </c>
      <c r="AE447" s="110">
        <v>0</v>
      </c>
      <c r="AF447" s="110">
        <v>1411.15</v>
      </c>
      <c r="AG447" s="110">
        <v>0</v>
      </c>
      <c r="AH447" s="110">
        <v>0</v>
      </c>
      <c r="AI447" s="110">
        <v>0</v>
      </c>
      <c r="AJ447" s="110">
        <v>0</v>
      </c>
      <c r="AK447" s="110">
        <v>0</v>
      </c>
      <c r="AL447" s="110">
        <v>0</v>
      </c>
      <c r="AM447" s="110">
        <v>0</v>
      </c>
      <c r="AN447" s="110">
        <v>0</v>
      </c>
      <c r="AO447" s="109"/>
      <c r="AP447" s="110">
        <v>0</v>
      </c>
      <c r="AQ447" s="110">
        <v>0</v>
      </c>
      <c r="AR447" s="110">
        <v>0</v>
      </c>
      <c r="AS447" s="110">
        <v>0</v>
      </c>
      <c r="AT447" s="110">
        <v>0</v>
      </c>
      <c r="AU447" s="110">
        <v>0</v>
      </c>
      <c r="AV447" s="110">
        <v>0</v>
      </c>
      <c r="AW447" s="110">
        <v>0</v>
      </c>
      <c r="AX447" s="110">
        <v>0</v>
      </c>
      <c r="AY447" s="110">
        <v>0</v>
      </c>
      <c r="AZ447" s="110">
        <v>0</v>
      </c>
      <c r="BA447" s="110">
        <v>0</v>
      </c>
    </row>
    <row r="448" spans="1:53" s="102" customFormat="1" outlineLevel="2">
      <c r="A448" s="102" t="s">
        <v>1745</v>
      </c>
      <c r="B448" s="103" t="s">
        <v>1746</v>
      </c>
      <c r="C448" s="104" t="s">
        <v>1225</v>
      </c>
      <c r="D448" s="298"/>
      <c r="E448" s="299"/>
      <c r="F448" s="105">
        <v>0</v>
      </c>
      <c r="G448" s="105">
        <v>1604.91</v>
      </c>
      <c r="H448" s="106">
        <f t="shared" si="122"/>
        <v>-1604.91</v>
      </c>
      <c r="I448" s="300" t="str">
        <f t="shared" si="123"/>
        <v>N.M.</v>
      </c>
      <c r="J448" s="107"/>
      <c r="K448" s="105">
        <v>0</v>
      </c>
      <c r="L448" s="105">
        <v>4814.7300000000005</v>
      </c>
      <c r="M448" s="106">
        <f t="shared" si="124"/>
        <v>-4814.7300000000005</v>
      </c>
      <c r="N448" s="300" t="str">
        <f t="shared" si="125"/>
        <v>N.M.</v>
      </c>
      <c r="O448" s="301"/>
      <c r="P448" s="107"/>
      <c r="Q448" s="105">
        <v>0</v>
      </c>
      <c r="R448" s="105">
        <v>4814.7300000000005</v>
      </c>
      <c r="S448" s="106">
        <f t="shared" si="126"/>
        <v>-4814.7300000000005</v>
      </c>
      <c r="T448" s="300" t="str">
        <f t="shared" si="127"/>
        <v>N.M.</v>
      </c>
      <c r="U448" s="107"/>
      <c r="V448" s="105">
        <v>16536.189999999999</v>
      </c>
      <c r="W448" s="105">
        <v>4814.7300000000005</v>
      </c>
      <c r="X448" s="106">
        <f t="shared" si="128"/>
        <v>11721.46</v>
      </c>
      <c r="Y448" s="300">
        <f t="shared" si="129"/>
        <v>2.4344999615762459</v>
      </c>
      <c r="Z448" s="302"/>
      <c r="AA448" s="108">
        <v>0</v>
      </c>
      <c r="AB448" s="109"/>
      <c r="AC448" s="110">
        <v>1604.91</v>
      </c>
      <c r="AD448" s="110">
        <v>1604.91</v>
      </c>
      <c r="AE448" s="110">
        <v>1604.91</v>
      </c>
      <c r="AF448" s="110">
        <v>1604.91</v>
      </c>
      <c r="AG448" s="110">
        <v>3307.91</v>
      </c>
      <c r="AH448" s="110">
        <v>1604.91</v>
      </c>
      <c r="AI448" s="110">
        <v>1604.91</v>
      </c>
      <c r="AJ448" s="110">
        <v>1987.91</v>
      </c>
      <c r="AK448" s="110">
        <v>1604.91</v>
      </c>
      <c r="AL448" s="110">
        <v>1604.91</v>
      </c>
      <c r="AM448" s="110">
        <v>1610.91</v>
      </c>
      <c r="AN448" s="110">
        <v>1604.91</v>
      </c>
      <c r="AO448" s="109"/>
      <c r="AP448" s="110">
        <v>0</v>
      </c>
      <c r="AQ448" s="110">
        <v>0</v>
      </c>
      <c r="AR448" s="110">
        <v>0</v>
      </c>
      <c r="AS448" s="110">
        <v>0</v>
      </c>
      <c r="AT448" s="110">
        <v>0</v>
      </c>
      <c r="AU448" s="110">
        <v>0</v>
      </c>
      <c r="AV448" s="110">
        <v>0</v>
      </c>
      <c r="AW448" s="110">
        <v>0</v>
      </c>
      <c r="AX448" s="110">
        <v>0</v>
      </c>
      <c r="AY448" s="110">
        <v>0</v>
      </c>
      <c r="AZ448" s="110">
        <v>0</v>
      </c>
      <c r="BA448" s="110">
        <v>0</v>
      </c>
    </row>
    <row r="449" spans="1:53" s="102" customFormat="1" outlineLevel="2">
      <c r="A449" s="102" t="s">
        <v>1747</v>
      </c>
      <c r="B449" s="103" t="s">
        <v>1748</v>
      </c>
      <c r="C449" s="104" t="s">
        <v>1225</v>
      </c>
      <c r="D449" s="298"/>
      <c r="E449" s="299"/>
      <c r="F449" s="105">
        <v>1710.39</v>
      </c>
      <c r="G449" s="105">
        <v>0</v>
      </c>
      <c r="H449" s="106">
        <f t="shared" si="122"/>
        <v>1710.39</v>
      </c>
      <c r="I449" s="300" t="str">
        <f t="shared" si="123"/>
        <v>N.M.</v>
      </c>
      <c r="J449" s="107"/>
      <c r="K449" s="105">
        <v>5131.17</v>
      </c>
      <c r="L449" s="105">
        <v>0</v>
      </c>
      <c r="M449" s="106">
        <f t="shared" si="124"/>
        <v>5131.17</v>
      </c>
      <c r="N449" s="300" t="str">
        <f t="shared" si="125"/>
        <v>N.M.</v>
      </c>
      <c r="O449" s="301"/>
      <c r="P449" s="107"/>
      <c r="Q449" s="105">
        <v>5131.17</v>
      </c>
      <c r="R449" s="105">
        <v>0</v>
      </c>
      <c r="S449" s="106">
        <f t="shared" si="126"/>
        <v>5131.17</v>
      </c>
      <c r="T449" s="300" t="str">
        <f t="shared" si="127"/>
        <v>N.M.</v>
      </c>
      <c r="U449" s="107"/>
      <c r="V449" s="105">
        <v>5131.17</v>
      </c>
      <c r="W449" s="105">
        <v>0</v>
      </c>
      <c r="X449" s="106">
        <f t="shared" si="128"/>
        <v>5131.17</v>
      </c>
      <c r="Y449" s="300" t="str">
        <f t="shared" si="129"/>
        <v>N.M.</v>
      </c>
      <c r="Z449" s="302"/>
      <c r="AA449" s="108">
        <v>0</v>
      </c>
      <c r="AB449" s="109"/>
      <c r="AC449" s="110">
        <v>0</v>
      </c>
      <c r="AD449" s="110">
        <v>0</v>
      </c>
      <c r="AE449" s="110">
        <v>0</v>
      </c>
      <c r="AF449" s="110">
        <v>0</v>
      </c>
      <c r="AG449" s="110">
        <v>0</v>
      </c>
      <c r="AH449" s="110">
        <v>0</v>
      </c>
      <c r="AI449" s="110">
        <v>0</v>
      </c>
      <c r="AJ449" s="110">
        <v>0</v>
      </c>
      <c r="AK449" s="110">
        <v>0</v>
      </c>
      <c r="AL449" s="110">
        <v>0</v>
      </c>
      <c r="AM449" s="110">
        <v>0</v>
      </c>
      <c r="AN449" s="110">
        <v>0</v>
      </c>
      <c r="AO449" s="109"/>
      <c r="AP449" s="110">
        <v>1680.03</v>
      </c>
      <c r="AQ449" s="110">
        <v>1740.75</v>
      </c>
      <c r="AR449" s="110">
        <v>1710.39</v>
      </c>
      <c r="AS449" s="110">
        <v>0</v>
      </c>
      <c r="AT449" s="110">
        <v>0</v>
      </c>
      <c r="AU449" s="110">
        <v>0</v>
      </c>
      <c r="AV449" s="110">
        <v>0</v>
      </c>
      <c r="AW449" s="110">
        <v>0</v>
      </c>
      <c r="AX449" s="110">
        <v>0</v>
      </c>
      <c r="AY449" s="110">
        <v>0</v>
      </c>
      <c r="AZ449" s="110">
        <v>0</v>
      </c>
      <c r="BA449" s="110">
        <v>0</v>
      </c>
    </row>
    <row r="450" spans="1:53" s="102" customFormat="1" outlineLevel="2">
      <c r="A450" s="102" t="s">
        <v>1230</v>
      </c>
      <c r="B450" s="103" t="s">
        <v>1231</v>
      </c>
      <c r="C450" s="104" t="s">
        <v>1232</v>
      </c>
      <c r="D450" s="298"/>
      <c r="E450" s="299"/>
      <c r="F450" s="105">
        <v>464.78000000000003</v>
      </c>
      <c r="G450" s="105">
        <v>-2837.54</v>
      </c>
      <c r="H450" s="106">
        <f t="shared" si="122"/>
        <v>3302.32</v>
      </c>
      <c r="I450" s="300">
        <f t="shared" si="123"/>
        <v>1.163796809912812</v>
      </c>
      <c r="J450" s="107"/>
      <c r="K450" s="105">
        <v>19832.55</v>
      </c>
      <c r="L450" s="105">
        <v>15117.07</v>
      </c>
      <c r="M450" s="106">
        <f t="shared" si="124"/>
        <v>4715.4799999999996</v>
      </c>
      <c r="N450" s="300">
        <f t="shared" si="125"/>
        <v>0.31193081728139116</v>
      </c>
      <c r="O450" s="301"/>
      <c r="P450" s="107"/>
      <c r="Q450" s="105">
        <v>19832.55</v>
      </c>
      <c r="R450" s="105">
        <v>15117.07</v>
      </c>
      <c r="S450" s="106">
        <f t="shared" si="126"/>
        <v>4715.4799999999996</v>
      </c>
      <c r="T450" s="300">
        <f t="shared" si="127"/>
        <v>0.31193081728139116</v>
      </c>
      <c r="U450" s="107"/>
      <c r="V450" s="105">
        <v>30153.35</v>
      </c>
      <c r="W450" s="105">
        <v>7222.0099999999993</v>
      </c>
      <c r="X450" s="106">
        <f t="shared" si="128"/>
        <v>22931.34</v>
      </c>
      <c r="Y450" s="300">
        <f t="shared" si="129"/>
        <v>3.1752019174717292</v>
      </c>
      <c r="Z450" s="302"/>
      <c r="AA450" s="108">
        <v>13218.74</v>
      </c>
      <c r="AB450" s="109"/>
      <c r="AC450" s="110">
        <v>17687.66</v>
      </c>
      <c r="AD450" s="110">
        <v>266.95</v>
      </c>
      <c r="AE450" s="110">
        <v>-2837.54</v>
      </c>
      <c r="AF450" s="110">
        <v>157.47999999999999</v>
      </c>
      <c r="AG450" s="110">
        <v>-6133.9800000000005</v>
      </c>
      <c r="AH450" s="110">
        <v>303.89</v>
      </c>
      <c r="AI450" s="110">
        <v>1005.11</v>
      </c>
      <c r="AJ450" s="110">
        <v>358.33</v>
      </c>
      <c r="AK450" s="110">
        <v>136.49</v>
      </c>
      <c r="AL450" s="110">
        <v>10681.92</v>
      </c>
      <c r="AM450" s="110">
        <v>1217.1300000000001</v>
      </c>
      <c r="AN450" s="110">
        <v>2594.4299999999998</v>
      </c>
      <c r="AO450" s="109"/>
      <c r="AP450" s="110">
        <v>17912.28</v>
      </c>
      <c r="AQ450" s="110">
        <v>1455.49</v>
      </c>
      <c r="AR450" s="110">
        <v>464.78000000000003</v>
      </c>
      <c r="AS450" s="110">
        <v>-40.300000000000004</v>
      </c>
      <c r="AT450" s="110">
        <v>0</v>
      </c>
      <c r="AU450" s="110">
        <v>0</v>
      </c>
      <c r="AV450" s="110">
        <v>0</v>
      </c>
      <c r="AW450" s="110">
        <v>0</v>
      </c>
      <c r="AX450" s="110">
        <v>0</v>
      </c>
      <c r="AY450" s="110">
        <v>0</v>
      </c>
      <c r="AZ450" s="110">
        <v>0</v>
      </c>
      <c r="BA450" s="110">
        <v>0</v>
      </c>
    </row>
    <row r="451" spans="1:53" s="102" customFormat="1" outlineLevel="2">
      <c r="A451" s="102" t="s">
        <v>1234</v>
      </c>
      <c r="B451" s="103" t="s">
        <v>1235</v>
      </c>
      <c r="C451" s="104" t="s">
        <v>1233</v>
      </c>
      <c r="D451" s="298"/>
      <c r="E451" s="299"/>
      <c r="F451" s="105">
        <v>0</v>
      </c>
      <c r="G451" s="105">
        <v>0</v>
      </c>
      <c r="H451" s="106">
        <f t="shared" si="122"/>
        <v>0</v>
      </c>
      <c r="I451" s="300">
        <f t="shared" si="123"/>
        <v>0</v>
      </c>
      <c r="J451" s="107"/>
      <c r="K451" s="105">
        <v>0</v>
      </c>
      <c r="L451" s="105">
        <v>0</v>
      </c>
      <c r="M451" s="106">
        <f t="shared" si="124"/>
        <v>0</v>
      </c>
      <c r="N451" s="300">
        <f t="shared" si="125"/>
        <v>0</v>
      </c>
      <c r="O451" s="301"/>
      <c r="P451" s="107"/>
      <c r="Q451" s="105">
        <v>0</v>
      </c>
      <c r="R451" s="105">
        <v>0</v>
      </c>
      <c r="S451" s="106">
        <f t="shared" si="126"/>
        <v>0</v>
      </c>
      <c r="T451" s="300">
        <f t="shared" si="127"/>
        <v>0</v>
      </c>
      <c r="U451" s="107"/>
      <c r="V451" s="105">
        <v>0</v>
      </c>
      <c r="W451" s="105">
        <v>-205172</v>
      </c>
      <c r="X451" s="106">
        <f t="shared" si="128"/>
        <v>205172</v>
      </c>
      <c r="Y451" s="300" t="str">
        <f t="shared" si="129"/>
        <v>N.M.</v>
      </c>
      <c r="Z451" s="302"/>
      <c r="AA451" s="108">
        <v>-205172</v>
      </c>
      <c r="AB451" s="109"/>
      <c r="AC451" s="110">
        <v>0</v>
      </c>
      <c r="AD451" s="110">
        <v>0</v>
      </c>
      <c r="AE451" s="110">
        <v>0</v>
      </c>
      <c r="AF451" s="110">
        <v>0</v>
      </c>
      <c r="AG451" s="110">
        <v>0</v>
      </c>
      <c r="AH451" s="110">
        <v>0</v>
      </c>
      <c r="AI451" s="110">
        <v>0</v>
      </c>
      <c r="AJ451" s="110">
        <v>0</v>
      </c>
      <c r="AK451" s="110">
        <v>0</v>
      </c>
      <c r="AL451" s="110">
        <v>0</v>
      </c>
      <c r="AM451" s="110">
        <v>0</v>
      </c>
      <c r="AN451" s="110">
        <v>0</v>
      </c>
      <c r="AO451" s="109"/>
      <c r="AP451" s="110">
        <v>0</v>
      </c>
      <c r="AQ451" s="110">
        <v>0</v>
      </c>
      <c r="AR451" s="110">
        <v>0</v>
      </c>
      <c r="AS451" s="110">
        <v>0</v>
      </c>
      <c r="AT451" s="110">
        <v>0</v>
      </c>
      <c r="AU451" s="110">
        <v>0</v>
      </c>
      <c r="AV451" s="110">
        <v>0</v>
      </c>
      <c r="AW451" s="110">
        <v>0</v>
      </c>
      <c r="AX451" s="110">
        <v>0</v>
      </c>
      <c r="AY451" s="110">
        <v>0</v>
      </c>
      <c r="AZ451" s="110">
        <v>0</v>
      </c>
      <c r="BA451" s="110">
        <v>0</v>
      </c>
    </row>
    <row r="452" spans="1:53" s="102" customFormat="1" outlineLevel="2">
      <c r="A452" s="102" t="s">
        <v>1749</v>
      </c>
      <c r="B452" s="103" t="s">
        <v>1750</v>
      </c>
      <c r="C452" s="104" t="s">
        <v>1236</v>
      </c>
      <c r="D452" s="298"/>
      <c r="E452" s="299"/>
      <c r="F452" s="105">
        <v>0</v>
      </c>
      <c r="G452" s="105">
        <v>0</v>
      </c>
      <c r="H452" s="106">
        <f t="shared" si="122"/>
        <v>0</v>
      </c>
      <c r="I452" s="300">
        <f t="shared" si="123"/>
        <v>0</v>
      </c>
      <c r="J452" s="107"/>
      <c r="K452" s="105">
        <v>0</v>
      </c>
      <c r="L452" s="105">
        <v>584.9</v>
      </c>
      <c r="M452" s="106">
        <f t="shared" si="124"/>
        <v>-584.9</v>
      </c>
      <c r="N452" s="300" t="str">
        <f t="shared" si="125"/>
        <v>N.M.</v>
      </c>
      <c r="O452" s="301"/>
      <c r="P452" s="107"/>
      <c r="Q452" s="105">
        <v>0</v>
      </c>
      <c r="R452" s="105">
        <v>584.9</v>
      </c>
      <c r="S452" s="106">
        <f t="shared" si="126"/>
        <v>-584.9</v>
      </c>
      <c r="T452" s="300" t="str">
        <f t="shared" si="127"/>
        <v>N.M.</v>
      </c>
      <c r="U452" s="107"/>
      <c r="V452" s="105">
        <v>0</v>
      </c>
      <c r="W452" s="105">
        <v>5136.2199999999993</v>
      </c>
      <c r="X452" s="106">
        <f t="shared" si="128"/>
        <v>-5136.2199999999993</v>
      </c>
      <c r="Y452" s="300" t="str">
        <f t="shared" si="129"/>
        <v>N.M.</v>
      </c>
      <c r="Z452" s="302"/>
      <c r="AA452" s="108">
        <v>0</v>
      </c>
      <c r="AB452" s="109"/>
      <c r="AC452" s="110">
        <v>584.9</v>
      </c>
      <c r="AD452" s="110">
        <v>0</v>
      </c>
      <c r="AE452" s="110">
        <v>0</v>
      </c>
      <c r="AF452" s="110">
        <v>0</v>
      </c>
      <c r="AG452" s="110">
        <v>0</v>
      </c>
      <c r="AH452" s="110">
        <v>0</v>
      </c>
      <c r="AI452" s="110">
        <v>0</v>
      </c>
      <c r="AJ452" s="110">
        <v>0</v>
      </c>
      <c r="AK452" s="110">
        <v>0</v>
      </c>
      <c r="AL452" s="110">
        <v>0</v>
      </c>
      <c r="AM452" s="110">
        <v>0</v>
      </c>
      <c r="AN452" s="110">
        <v>0</v>
      </c>
      <c r="AO452" s="109"/>
      <c r="AP452" s="110">
        <v>0</v>
      </c>
      <c r="AQ452" s="110">
        <v>0</v>
      </c>
      <c r="AR452" s="110">
        <v>0</v>
      </c>
      <c r="AS452" s="110">
        <v>0</v>
      </c>
      <c r="AT452" s="110">
        <v>0</v>
      </c>
      <c r="AU452" s="110">
        <v>0</v>
      </c>
      <c r="AV452" s="110">
        <v>0</v>
      </c>
      <c r="AW452" s="110">
        <v>0</v>
      </c>
      <c r="AX452" s="110">
        <v>0</v>
      </c>
      <c r="AY452" s="110">
        <v>0</v>
      </c>
      <c r="AZ452" s="110">
        <v>0</v>
      </c>
      <c r="BA452" s="110">
        <v>0</v>
      </c>
    </row>
    <row r="453" spans="1:53" s="102" customFormat="1" outlineLevel="2">
      <c r="A453" s="102" t="s">
        <v>1751</v>
      </c>
      <c r="B453" s="103" t="s">
        <v>1752</v>
      </c>
      <c r="C453" s="104" t="s">
        <v>1236</v>
      </c>
      <c r="D453" s="298"/>
      <c r="E453" s="299"/>
      <c r="F453" s="105">
        <v>0</v>
      </c>
      <c r="G453" s="105">
        <v>0</v>
      </c>
      <c r="H453" s="106">
        <f t="shared" si="122"/>
        <v>0</v>
      </c>
      <c r="I453" s="300">
        <f t="shared" si="123"/>
        <v>0</v>
      </c>
      <c r="J453" s="107"/>
      <c r="K453" s="105">
        <v>1037.6200000000001</v>
      </c>
      <c r="L453" s="105">
        <v>0</v>
      </c>
      <c r="M453" s="106">
        <f t="shared" si="124"/>
        <v>1037.6200000000001</v>
      </c>
      <c r="N453" s="300" t="str">
        <f t="shared" si="125"/>
        <v>N.M.</v>
      </c>
      <c r="O453" s="301"/>
      <c r="P453" s="107"/>
      <c r="Q453" s="105">
        <v>1037.6200000000001</v>
      </c>
      <c r="R453" s="105">
        <v>0</v>
      </c>
      <c r="S453" s="106">
        <f t="shared" si="126"/>
        <v>1037.6200000000001</v>
      </c>
      <c r="T453" s="300" t="str">
        <f t="shared" si="127"/>
        <v>N.M.</v>
      </c>
      <c r="U453" s="107"/>
      <c r="V453" s="105">
        <v>5749.8</v>
      </c>
      <c r="W453" s="105">
        <v>0</v>
      </c>
      <c r="X453" s="106">
        <f t="shared" si="128"/>
        <v>5749.8</v>
      </c>
      <c r="Y453" s="300" t="str">
        <f t="shared" si="129"/>
        <v>N.M.</v>
      </c>
      <c r="Z453" s="302"/>
      <c r="AA453" s="108">
        <v>0</v>
      </c>
      <c r="AB453" s="109"/>
      <c r="AC453" s="110">
        <v>0</v>
      </c>
      <c r="AD453" s="110">
        <v>0</v>
      </c>
      <c r="AE453" s="110">
        <v>0</v>
      </c>
      <c r="AF453" s="110">
        <v>638.06000000000006</v>
      </c>
      <c r="AG453" s="110">
        <v>0</v>
      </c>
      <c r="AH453" s="110">
        <v>0</v>
      </c>
      <c r="AI453" s="110">
        <v>870.09</v>
      </c>
      <c r="AJ453" s="110">
        <v>0</v>
      </c>
      <c r="AK453" s="110">
        <v>0</v>
      </c>
      <c r="AL453" s="110">
        <v>3204.03</v>
      </c>
      <c r="AM453" s="110">
        <v>0</v>
      </c>
      <c r="AN453" s="110">
        <v>0</v>
      </c>
      <c r="AO453" s="109"/>
      <c r="AP453" s="110">
        <v>1037.6200000000001</v>
      </c>
      <c r="AQ453" s="110">
        <v>0</v>
      </c>
      <c r="AR453" s="110">
        <v>0</v>
      </c>
      <c r="AS453" s="110">
        <v>0</v>
      </c>
      <c r="AT453" s="110">
        <v>0</v>
      </c>
      <c r="AU453" s="110">
        <v>0</v>
      </c>
      <c r="AV453" s="110">
        <v>0</v>
      </c>
      <c r="AW453" s="110">
        <v>0</v>
      </c>
      <c r="AX453" s="110">
        <v>0</v>
      </c>
      <c r="AY453" s="110">
        <v>0</v>
      </c>
      <c r="AZ453" s="110">
        <v>0</v>
      </c>
      <c r="BA453" s="110">
        <v>0</v>
      </c>
    </row>
    <row r="454" spans="1:53" s="102" customFormat="1" outlineLevel="2">
      <c r="A454" s="102" t="s">
        <v>1238</v>
      </c>
      <c r="B454" s="103" t="s">
        <v>1239</v>
      </c>
      <c r="C454" s="104" t="s">
        <v>1237</v>
      </c>
      <c r="D454" s="298"/>
      <c r="E454" s="299"/>
      <c r="F454" s="105">
        <v>26</v>
      </c>
      <c r="G454" s="105">
        <v>0</v>
      </c>
      <c r="H454" s="106">
        <f t="shared" si="122"/>
        <v>26</v>
      </c>
      <c r="I454" s="300" t="str">
        <f t="shared" si="123"/>
        <v>N.M.</v>
      </c>
      <c r="J454" s="107"/>
      <c r="K454" s="105">
        <v>26</v>
      </c>
      <c r="L454" s="105">
        <v>0</v>
      </c>
      <c r="M454" s="106">
        <f t="shared" si="124"/>
        <v>26</v>
      </c>
      <c r="N454" s="300" t="str">
        <f t="shared" si="125"/>
        <v>N.M.</v>
      </c>
      <c r="O454" s="301"/>
      <c r="P454" s="107"/>
      <c r="Q454" s="105">
        <v>26</v>
      </c>
      <c r="R454" s="105">
        <v>0</v>
      </c>
      <c r="S454" s="106">
        <f t="shared" si="126"/>
        <v>26</v>
      </c>
      <c r="T454" s="300" t="str">
        <f t="shared" si="127"/>
        <v>N.M.</v>
      </c>
      <c r="U454" s="107"/>
      <c r="V454" s="105">
        <v>26</v>
      </c>
      <c r="W454" s="105">
        <v>0</v>
      </c>
      <c r="X454" s="106">
        <f t="shared" si="128"/>
        <v>26</v>
      </c>
      <c r="Y454" s="300" t="str">
        <f t="shared" si="129"/>
        <v>N.M.</v>
      </c>
      <c r="Z454" s="302"/>
      <c r="AA454" s="108">
        <v>0</v>
      </c>
      <c r="AB454" s="109"/>
      <c r="AC454" s="110">
        <v>0</v>
      </c>
      <c r="AD454" s="110">
        <v>0</v>
      </c>
      <c r="AE454" s="110">
        <v>0</v>
      </c>
      <c r="AF454" s="110">
        <v>0</v>
      </c>
      <c r="AG454" s="110">
        <v>0</v>
      </c>
      <c r="AH454" s="110">
        <v>0</v>
      </c>
      <c r="AI454" s="110">
        <v>0</v>
      </c>
      <c r="AJ454" s="110">
        <v>0</v>
      </c>
      <c r="AK454" s="110">
        <v>0</v>
      </c>
      <c r="AL454" s="110">
        <v>0</v>
      </c>
      <c r="AM454" s="110">
        <v>0</v>
      </c>
      <c r="AN454" s="110">
        <v>0</v>
      </c>
      <c r="AO454" s="109"/>
      <c r="AP454" s="110">
        <v>0</v>
      </c>
      <c r="AQ454" s="110">
        <v>0</v>
      </c>
      <c r="AR454" s="110">
        <v>26</v>
      </c>
      <c r="AS454" s="110">
        <v>0</v>
      </c>
      <c r="AT454" s="110">
        <v>0</v>
      </c>
      <c r="AU454" s="110">
        <v>0</v>
      </c>
      <c r="AV454" s="110">
        <v>0</v>
      </c>
      <c r="AW454" s="110">
        <v>0</v>
      </c>
      <c r="AX454" s="110">
        <v>0</v>
      </c>
      <c r="AY454" s="110">
        <v>0</v>
      </c>
      <c r="AZ454" s="110">
        <v>0</v>
      </c>
      <c r="BA454" s="110">
        <v>0</v>
      </c>
    </row>
    <row r="455" spans="1:53" s="102" customFormat="1" outlineLevel="2">
      <c r="A455" s="102" t="s">
        <v>1753</v>
      </c>
      <c r="B455" s="103" t="s">
        <v>1754</v>
      </c>
      <c r="C455" s="104" t="s">
        <v>1240</v>
      </c>
      <c r="D455" s="298"/>
      <c r="E455" s="299"/>
      <c r="F455" s="105">
        <v>0</v>
      </c>
      <c r="G455" s="105">
        <v>0</v>
      </c>
      <c r="H455" s="106">
        <f t="shared" si="122"/>
        <v>0</v>
      </c>
      <c r="I455" s="300">
        <f t="shared" si="123"/>
        <v>0</v>
      </c>
      <c r="J455" s="107"/>
      <c r="K455" s="105">
        <v>0</v>
      </c>
      <c r="L455" s="105">
        <v>0</v>
      </c>
      <c r="M455" s="106">
        <f t="shared" si="124"/>
        <v>0</v>
      </c>
      <c r="N455" s="300">
        <f t="shared" si="125"/>
        <v>0</v>
      </c>
      <c r="O455" s="301"/>
      <c r="P455" s="107"/>
      <c r="Q455" s="105">
        <v>0</v>
      </c>
      <c r="R455" s="105">
        <v>0</v>
      </c>
      <c r="S455" s="106">
        <f t="shared" si="126"/>
        <v>0</v>
      </c>
      <c r="T455" s="300">
        <f t="shared" si="127"/>
        <v>0</v>
      </c>
      <c r="U455" s="107"/>
      <c r="V455" s="105">
        <v>0</v>
      </c>
      <c r="W455" s="105">
        <v>-291134.16000000003</v>
      </c>
      <c r="X455" s="106">
        <f t="shared" si="128"/>
        <v>291134.16000000003</v>
      </c>
      <c r="Y455" s="300" t="str">
        <f t="shared" si="129"/>
        <v>N.M.</v>
      </c>
      <c r="Z455" s="302"/>
      <c r="AA455" s="108">
        <v>-582268.37</v>
      </c>
      <c r="AB455" s="109"/>
      <c r="AC455" s="110">
        <v>0</v>
      </c>
      <c r="AD455" s="110">
        <v>0</v>
      </c>
      <c r="AE455" s="110">
        <v>0</v>
      </c>
      <c r="AF455" s="110">
        <v>0</v>
      </c>
      <c r="AG455" s="110">
        <v>0</v>
      </c>
      <c r="AH455" s="110">
        <v>0</v>
      </c>
      <c r="AI455" s="110">
        <v>0</v>
      </c>
      <c r="AJ455" s="110">
        <v>0</v>
      </c>
      <c r="AK455" s="110">
        <v>0</v>
      </c>
      <c r="AL455" s="110">
        <v>0</v>
      </c>
      <c r="AM455" s="110">
        <v>0</v>
      </c>
      <c r="AN455" s="110">
        <v>0</v>
      </c>
      <c r="AO455" s="109"/>
      <c r="AP455" s="110">
        <v>0</v>
      </c>
      <c r="AQ455" s="110">
        <v>0</v>
      </c>
      <c r="AR455" s="110">
        <v>0</v>
      </c>
      <c r="AS455" s="110">
        <v>0</v>
      </c>
      <c r="AT455" s="110">
        <v>0</v>
      </c>
      <c r="AU455" s="110">
        <v>0</v>
      </c>
      <c r="AV455" s="110">
        <v>0</v>
      </c>
      <c r="AW455" s="110">
        <v>0</v>
      </c>
      <c r="AX455" s="110">
        <v>0</v>
      </c>
      <c r="AY455" s="110">
        <v>0</v>
      </c>
      <c r="AZ455" s="110">
        <v>0</v>
      </c>
      <c r="BA455" s="110">
        <v>0</v>
      </c>
    </row>
    <row r="456" spans="1:53" s="102" customFormat="1" outlineLevel="2">
      <c r="A456" s="102" t="s">
        <v>1755</v>
      </c>
      <c r="B456" s="103" t="s">
        <v>1756</v>
      </c>
      <c r="C456" s="104" t="s">
        <v>1240</v>
      </c>
      <c r="D456" s="298"/>
      <c r="E456" s="299"/>
      <c r="F456" s="105">
        <v>0</v>
      </c>
      <c r="G456" s="105">
        <v>-173392.84</v>
      </c>
      <c r="H456" s="106">
        <f t="shared" si="122"/>
        <v>173392.84</v>
      </c>
      <c r="I456" s="300" t="str">
        <f t="shared" si="123"/>
        <v>N.M.</v>
      </c>
      <c r="J456" s="107"/>
      <c r="K456" s="105">
        <v>0</v>
      </c>
      <c r="L456" s="105">
        <v>0</v>
      </c>
      <c r="M456" s="106">
        <f t="shared" si="124"/>
        <v>0</v>
      </c>
      <c r="N456" s="300">
        <f t="shared" si="125"/>
        <v>0</v>
      </c>
      <c r="O456" s="301"/>
      <c r="P456" s="107"/>
      <c r="Q456" s="105">
        <v>0</v>
      </c>
      <c r="R456" s="105">
        <v>0</v>
      </c>
      <c r="S456" s="106">
        <f t="shared" si="126"/>
        <v>0</v>
      </c>
      <c r="T456" s="300">
        <f t="shared" si="127"/>
        <v>0</v>
      </c>
      <c r="U456" s="107"/>
      <c r="V456" s="105">
        <v>0</v>
      </c>
      <c r="W456" s="105">
        <v>0</v>
      </c>
      <c r="X456" s="106">
        <f t="shared" si="128"/>
        <v>0</v>
      </c>
      <c r="Y456" s="300">
        <f t="shared" si="129"/>
        <v>0</v>
      </c>
      <c r="Z456" s="302"/>
      <c r="AA456" s="108">
        <v>-433482.10000000003</v>
      </c>
      <c r="AB456" s="109"/>
      <c r="AC456" s="110">
        <v>86696.42</v>
      </c>
      <c r="AD456" s="110">
        <v>86696.42</v>
      </c>
      <c r="AE456" s="110">
        <v>-173392.84</v>
      </c>
      <c r="AF456" s="110">
        <v>0</v>
      </c>
      <c r="AG456" s="110">
        <v>0</v>
      </c>
      <c r="AH456" s="110">
        <v>0</v>
      </c>
      <c r="AI456" s="110">
        <v>0</v>
      </c>
      <c r="AJ456" s="110">
        <v>0</v>
      </c>
      <c r="AK456" s="110">
        <v>0</v>
      </c>
      <c r="AL456" s="110">
        <v>0</v>
      </c>
      <c r="AM456" s="110">
        <v>0</v>
      </c>
      <c r="AN456" s="110">
        <v>0</v>
      </c>
      <c r="AO456" s="109"/>
      <c r="AP456" s="110">
        <v>0</v>
      </c>
      <c r="AQ456" s="110">
        <v>0</v>
      </c>
      <c r="AR456" s="110">
        <v>0</v>
      </c>
      <c r="AS456" s="110">
        <v>0</v>
      </c>
      <c r="AT456" s="110">
        <v>0</v>
      </c>
      <c r="AU456" s="110">
        <v>0</v>
      </c>
      <c r="AV456" s="110">
        <v>0</v>
      </c>
      <c r="AW456" s="110">
        <v>0</v>
      </c>
      <c r="AX456" s="110">
        <v>0</v>
      </c>
      <c r="AY456" s="110">
        <v>0</v>
      </c>
      <c r="AZ456" s="110">
        <v>0</v>
      </c>
      <c r="BA456" s="110">
        <v>0</v>
      </c>
    </row>
    <row r="457" spans="1:53" s="102" customFormat="1" outlineLevel="2">
      <c r="A457" s="102" t="s">
        <v>1241</v>
      </c>
      <c r="B457" s="103" t="s">
        <v>1242</v>
      </c>
      <c r="C457" s="104" t="s">
        <v>1243</v>
      </c>
      <c r="D457" s="298"/>
      <c r="E457" s="299"/>
      <c r="F457" s="105">
        <v>0</v>
      </c>
      <c r="G457" s="105">
        <v>0</v>
      </c>
      <c r="H457" s="106">
        <f t="shared" si="122"/>
        <v>0</v>
      </c>
      <c r="I457" s="300">
        <f t="shared" si="123"/>
        <v>0</v>
      </c>
      <c r="J457" s="107"/>
      <c r="K457" s="105">
        <v>0</v>
      </c>
      <c r="L457" s="105">
        <v>12300</v>
      </c>
      <c r="M457" s="106">
        <f t="shared" si="124"/>
        <v>-12300</v>
      </c>
      <c r="N457" s="300" t="str">
        <f t="shared" si="125"/>
        <v>N.M.</v>
      </c>
      <c r="O457" s="301"/>
      <c r="P457" s="107"/>
      <c r="Q457" s="105">
        <v>0</v>
      </c>
      <c r="R457" s="105">
        <v>12300</v>
      </c>
      <c r="S457" s="106">
        <f t="shared" si="126"/>
        <v>-12300</v>
      </c>
      <c r="T457" s="300" t="str">
        <f t="shared" si="127"/>
        <v>N.M.</v>
      </c>
      <c r="U457" s="107"/>
      <c r="V457" s="105">
        <v>-504500</v>
      </c>
      <c r="W457" s="105">
        <v>47500</v>
      </c>
      <c r="X457" s="106">
        <f t="shared" si="128"/>
        <v>-552000</v>
      </c>
      <c r="Y457" s="300" t="str">
        <f t="shared" si="129"/>
        <v>N.M.</v>
      </c>
      <c r="Z457" s="302"/>
      <c r="AA457" s="108">
        <v>0</v>
      </c>
      <c r="AB457" s="109"/>
      <c r="AC457" s="110">
        <v>0</v>
      </c>
      <c r="AD457" s="110">
        <v>12300</v>
      </c>
      <c r="AE457" s="110">
        <v>0</v>
      </c>
      <c r="AF457" s="110">
        <v>0</v>
      </c>
      <c r="AG457" s="110">
        <v>-504500</v>
      </c>
      <c r="AH457" s="110">
        <v>0</v>
      </c>
      <c r="AI457" s="110">
        <v>0</v>
      </c>
      <c r="AJ457" s="110">
        <v>0</v>
      </c>
      <c r="AK457" s="110">
        <v>0</v>
      </c>
      <c r="AL457" s="110">
        <v>0</v>
      </c>
      <c r="AM457" s="110">
        <v>0</v>
      </c>
      <c r="AN457" s="110">
        <v>0</v>
      </c>
      <c r="AO457" s="109"/>
      <c r="AP457" s="110">
        <v>0</v>
      </c>
      <c r="AQ457" s="110">
        <v>0</v>
      </c>
      <c r="AR457" s="110">
        <v>0</v>
      </c>
      <c r="AS457" s="110">
        <v>0</v>
      </c>
      <c r="AT457" s="110">
        <v>0</v>
      </c>
      <c r="AU457" s="110">
        <v>0</v>
      </c>
      <c r="AV457" s="110">
        <v>0</v>
      </c>
      <c r="AW457" s="110">
        <v>0</v>
      </c>
      <c r="AX457" s="110">
        <v>0</v>
      </c>
      <c r="AY457" s="110">
        <v>0</v>
      </c>
      <c r="AZ457" s="110">
        <v>0</v>
      </c>
      <c r="BA457" s="110">
        <v>0</v>
      </c>
    </row>
    <row r="458" spans="1:53" s="102" customFormat="1" outlineLevel="2">
      <c r="A458" s="102" t="s">
        <v>1244</v>
      </c>
      <c r="B458" s="103" t="s">
        <v>1245</v>
      </c>
      <c r="C458" s="104" t="s">
        <v>1243</v>
      </c>
      <c r="D458" s="298"/>
      <c r="E458" s="299"/>
      <c r="F458" s="105">
        <v>0</v>
      </c>
      <c r="G458" s="105">
        <v>0</v>
      </c>
      <c r="H458" s="106">
        <f t="shared" si="122"/>
        <v>0</v>
      </c>
      <c r="I458" s="300">
        <f t="shared" si="123"/>
        <v>0</v>
      </c>
      <c r="J458" s="107"/>
      <c r="K458" s="105">
        <v>0</v>
      </c>
      <c r="L458" s="105">
        <v>0</v>
      </c>
      <c r="M458" s="106">
        <f t="shared" si="124"/>
        <v>0</v>
      </c>
      <c r="N458" s="300">
        <f t="shared" si="125"/>
        <v>0</v>
      </c>
      <c r="O458" s="301"/>
      <c r="P458" s="107"/>
      <c r="Q458" s="105">
        <v>0</v>
      </c>
      <c r="R458" s="105">
        <v>0</v>
      </c>
      <c r="S458" s="106">
        <f t="shared" si="126"/>
        <v>0</v>
      </c>
      <c r="T458" s="300">
        <f t="shared" si="127"/>
        <v>0</v>
      </c>
      <c r="U458" s="107"/>
      <c r="V458" s="105">
        <v>317581.76</v>
      </c>
      <c r="W458" s="105">
        <v>0</v>
      </c>
      <c r="X458" s="106">
        <f t="shared" si="128"/>
        <v>317581.76</v>
      </c>
      <c r="Y458" s="300" t="str">
        <f t="shared" si="129"/>
        <v>N.M.</v>
      </c>
      <c r="Z458" s="302"/>
      <c r="AA458" s="108">
        <v>0</v>
      </c>
      <c r="AB458" s="109"/>
      <c r="AC458" s="110">
        <v>0</v>
      </c>
      <c r="AD458" s="110">
        <v>0</v>
      </c>
      <c r="AE458" s="110">
        <v>0</v>
      </c>
      <c r="AF458" s="110">
        <v>0</v>
      </c>
      <c r="AG458" s="110">
        <v>317581.76</v>
      </c>
      <c r="AH458" s="110">
        <v>0</v>
      </c>
      <c r="AI458" s="110">
        <v>0</v>
      </c>
      <c r="AJ458" s="110">
        <v>0</v>
      </c>
      <c r="AK458" s="110">
        <v>0</v>
      </c>
      <c r="AL458" s="110">
        <v>0</v>
      </c>
      <c r="AM458" s="110">
        <v>0</v>
      </c>
      <c r="AN458" s="110">
        <v>0</v>
      </c>
      <c r="AO458" s="109"/>
      <c r="AP458" s="110">
        <v>0</v>
      </c>
      <c r="AQ458" s="110">
        <v>0</v>
      </c>
      <c r="AR458" s="110">
        <v>0</v>
      </c>
      <c r="AS458" s="110">
        <v>0</v>
      </c>
      <c r="AT458" s="110">
        <v>0</v>
      </c>
      <c r="AU458" s="110">
        <v>0</v>
      </c>
      <c r="AV458" s="110">
        <v>0</v>
      </c>
      <c r="AW458" s="110">
        <v>0</v>
      </c>
      <c r="AX458" s="110">
        <v>0</v>
      </c>
      <c r="AY458" s="110">
        <v>0</v>
      </c>
      <c r="AZ458" s="110">
        <v>0</v>
      </c>
      <c r="BA458" s="110">
        <v>0</v>
      </c>
    </row>
    <row r="459" spans="1:53" s="102" customFormat="1" outlineLevel="2">
      <c r="A459" s="102" t="s">
        <v>1757</v>
      </c>
      <c r="B459" s="103" t="s">
        <v>1758</v>
      </c>
      <c r="C459" s="104" t="s">
        <v>1243</v>
      </c>
      <c r="D459" s="298"/>
      <c r="E459" s="299"/>
      <c r="F459" s="105">
        <v>0</v>
      </c>
      <c r="G459" s="105">
        <v>0</v>
      </c>
      <c r="H459" s="106">
        <f t="shared" si="122"/>
        <v>0</v>
      </c>
      <c r="I459" s="300">
        <f t="shared" si="123"/>
        <v>0</v>
      </c>
      <c r="J459" s="107"/>
      <c r="K459" s="105">
        <v>0</v>
      </c>
      <c r="L459" s="105">
        <v>2603.13</v>
      </c>
      <c r="M459" s="106">
        <f t="shared" si="124"/>
        <v>-2603.13</v>
      </c>
      <c r="N459" s="300" t="str">
        <f t="shared" si="125"/>
        <v>N.M.</v>
      </c>
      <c r="O459" s="301"/>
      <c r="P459" s="107"/>
      <c r="Q459" s="105">
        <v>0</v>
      </c>
      <c r="R459" s="105">
        <v>2603.13</v>
      </c>
      <c r="S459" s="106">
        <f t="shared" si="126"/>
        <v>-2603.13</v>
      </c>
      <c r="T459" s="300" t="str">
        <f t="shared" si="127"/>
        <v>N.M.</v>
      </c>
      <c r="U459" s="107"/>
      <c r="V459" s="105">
        <v>2822.42</v>
      </c>
      <c r="W459" s="105">
        <v>44861.99</v>
      </c>
      <c r="X459" s="106">
        <f t="shared" si="128"/>
        <v>-42039.57</v>
      </c>
      <c r="Y459" s="300">
        <f t="shared" si="129"/>
        <v>-0.93708660717012338</v>
      </c>
      <c r="Z459" s="302"/>
      <c r="AA459" s="108">
        <v>4991.2700000000004</v>
      </c>
      <c r="AB459" s="109"/>
      <c r="AC459" s="110">
        <v>2603.13</v>
      </c>
      <c r="AD459" s="110">
        <v>0</v>
      </c>
      <c r="AE459" s="110">
        <v>0</v>
      </c>
      <c r="AF459" s="110">
        <v>2822.42</v>
      </c>
      <c r="AG459" s="110">
        <v>0</v>
      </c>
      <c r="AH459" s="110">
        <v>0</v>
      </c>
      <c r="AI459" s="110">
        <v>0</v>
      </c>
      <c r="AJ459" s="110">
        <v>0</v>
      </c>
      <c r="AK459" s="110">
        <v>0</v>
      </c>
      <c r="AL459" s="110">
        <v>0</v>
      </c>
      <c r="AM459" s="110">
        <v>0</v>
      </c>
      <c r="AN459" s="110">
        <v>0</v>
      </c>
      <c r="AO459" s="109"/>
      <c r="AP459" s="110">
        <v>0</v>
      </c>
      <c r="AQ459" s="110">
        <v>0</v>
      </c>
      <c r="AR459" s="110">
        <v>0</v>
      </c>
      <c r="AS459" s="110">
        <v>0</v>
      </c>
      <c r="AT459" s="110">
        <v>0</v>
      </c>
      <c r="AU459" s="110">
        <v>0</v>
      </c>
      <c r="AV459" s="110">
        <v>0</v>
      </c>
      <c r="AW459" s="110">
        <v>0</v>
      </c>
      <c r="AX459" s="110">
        <v>0</v>
      </c>
      <c r="AY459" s="110">
        <v>0</v>
      </c>
      <c r="AZ459" s="110">
        <v>0</v>
      </c>
      <c r="BA459" s="110">
        <v>0</v>
      </c>
    </row>
    <row r="460" spans="1:53" s="102" customFormat="1" outlineLevel="2">
      <c r="A460" s="102" t="s">
        <v>1759</v>
      </c>
      <c r="B460" s="103" t="s">
        <v>1760</v>
      </c>
      <c r="C460" s="104" t="s">
        <v>1243</v>
      </c>
      <c r="D460" s="298"/>
      <c r="E460" s="299"/>
      <c r="F460" s="105">
        <v>6.01</v>
      </c>
      <c r="G460" s="105">
        <v>5597.86</v>
      </c>
      <c r="H460" s="106">
        <f t="shared" si="122"/>
        <v>-5591.8499999999995</v>
      </c>
      <c r="I460" s="300">
        <f t="shared" si="123"/>
        <v>-0.99892637543632745</v>
      </c>
      <c r="J460" s="107"/>
      <c r="K460" s="105">
        <v>3081.65</v>
      </c>
      <c r="L460" s="105">
        <v>14867.32</v>
      </c>
      <c r="M460" s="106">
        <f t="shared" si="124"/>
        <v>-11785.67</v>
      </c>
      <c r="N460" s="300">
        <f t="shared" si="125"/>
        <v>-0.79272323458430982</v>
      </c>
      <c r="O460" s="301"/>
      <c r="P460" s="107"/>
      <c r="Q460" s="105">
        <v>3081.65</v>
      </c>
      <c r="R460" s="105">
        <v>14867.32</v>
      </c>
      <c r="S460" s="106">
        <f t="shared" si="126"/>
        <v>-11785.67</v>
      </c>
      <c r="T460" s="300">
        <f t="shared" si="127"/>
        <v>-0.79272323458430982</v>
      </c>
      <c r="U460" s="107"/>
      <c r="V460" s="105">
        <v>46627.504000000001</v>
      </c>
      <c r="W460" s="105">
        <v>14867.32</v>
      </c>
      <c r="X460" s="106">
        <f t="shared" si="128"/>
        <v>31760.184000000001</v>
      </c>
      <c r="Y460" s="300">
        <f t="shared" si="129"/>
        <v>2.1362413669713169</v>
      </c>
      <c r="Z460" s="302"/>
      <c r="AA460" s="108">
        <v>0</v>
      </c>
      <c r="AB460" s="109"/>
      <c r="AC460" s="110">
        <v>3209.82</v>
      </c>
      <c r="AD460" s="110">
        <v>6059.64</v>
      </c>
      <c r="AE460" s="110">
        <v>5597.86</v>
      </c>
      <c r="AF460" s="110">
        <v>4525.8599999999997</v>
      </c>
      <c r="AG460" s="110">
        <v>4577.96</v>
      </c>
      <c r="AH460" s="110">
        <v>4755.4000000000005</v>
      </c>
      <c r="AI460" s="110">
        <v>5577.54</v>
      </c>
      <c r="AJ460" s="110">
        <v>4951.7</v>
      </c>
      <c r="AK460" s="110">
        <v>6215.018</v>
      </c>
      <c r="AL460" s="110">
        <v>3715.27</v>
      </c>
      <c r="AM460" s="110">
        <v>4275.37</v>
      </c>
      <c r="AN460" s="110">
        <v>4951.7359999999999</v>
      </c>
      <c r="AO460" s="109"/>
      <c r="AP460" s="110">
        <v>3075.64</v>
      </c>
      <c r="AQ460" s="110">
        <v>0</v>
      </c>
      <c r="AR460" s="110">
        <v>6.01</v>
      </c>
      <c r="AS460" s="110">
        <v>0</v>
      </c>
      <c r="AT460" s="110">
        <v>0</v>
      </c>
      <c r="AU460" s="110">
        <v>0</v>
      </c>
      <c r="AV460" s="110">
        <v>0</v>
      </c>
      <c r="AW460" s="110">
        <v>0</v>
      </c>
      <c r="AX460" s="110">
        <v>0</v>
      </c>
      <c r="AY460" s="110">
        <v>0</v>
      </c>
      <c r="AZ460" s="110">
        <v>0</v>
      </c>
      <c r="BA460" s="110">
        <v>0</v>
      </c>
    </row>
    <row r="461" spans="1:53" s="102" customFormat="1" outlineLevel="2">
      <c r="A461" s="102" t="s">
        <v>1761</v>
      </c>
      <c r="B461" s="103" t="s">
        <v>1762</v>
      </c>
      <c r="C461" s="104" t="s">
        <v>1243</v>
      </c>
      <c r="D461" s="298"/>
      <c r="E461" s="299"/>
      <c r="F461" s="105">
        <v>6253.03</v>
      </c>
      <c r="G461" s="105">
        <v>0</v>
      </c>
      <c r="H461" s="106">
        <f t="shared" si="122"/>
        <v>6253.03</v>
      </c>
      <c r="I461" s="300" t="str">
        <f t="shared" si="123"/>
        <v>N.M.</v>
      </c>
      <c r="J461" s="107"/>
      <c r="K461" s="105">
        <v>17197.66</v>
      </c>
      <c r="L461" s="105">
        <v>0</v>
      </c>
      <c r="M461" s="106">
        <f t="shared" si="124"/>
        <v>17197.66</v>
      </c>
      <c r="N461" s="300" t="str">
        <f t="shared" si="125"/>
        <v>N.M.</v>
      </c>
      <c r="O461" s="301"/>
      <c r="P461" s="107"/>
      <c r="Q461" s="105">
        <v>17197.66</v>
      </c>
      <c r="R461" s="105">
        <v>0</v>
      </c>
      <c r="S461" s="106">
        <f t="shared" si="126"/>
        <v>17197.66</v>
      </c>
      <c r="T461" s="300" t="str">
        <f t="shared" si="127"/>
        <v>N.M.</v>
      </c>
      <c r="U461" s="107"/>
      <c r="V461" s="105">
        <v>17197.66</v>
      </c>
      <c r="W461" s="105">
        <v>0</v>
      </c>
      <c r="X461" s="106">
        <f t="shared" si="128"/>
        <v>17197.66</v>
      </c>
      <c r="Y461" s="300" t="str">
        <f t="shared" si="129"/>
        <v>N.M.</v>
      </c>
      <c r="Z461" s="302"/>
      <c r="AA461" s="108">
        <v>0</v>
      </c>
      <c r="AB461" s="109"/>
      <c r="AC461" s="110">
        <v>0</v>
      </c>
      <c r="AD461" s="110">
        <v>0</v>
      </c>
      <c r="AE461" s="110">
        <v>0</v>
      </c>
      <c r="AF461" s="110">
        <v>0</v>
      </c>
      <c r="AG461" s="110">
        <v>0</v>
      </c>
      <c r="AH461" s="110">
        <v>0</v>
      </c>
      <c r="AI461" s="110">
        <v>0</v>
      </c>
      <c r="AJ461" s="110">
        <v>0</v>
      </c>
      <c r="AK461" s="110">
        <v>0</v>
      </c>
      <c r="AL461" s="110">
        <v>0</v>
      </c>
      <c r="AM461" s="110">
        <v>0</v>
      </c>
      <c r="AN461" s="110">
        <v>0</v>
      </c>
      <c r="AO461" s="109"/>
      <c r="AP461" s="110">
        <v>3360.06</v>
      </c>
      <c r="AQ461" s="110">
        <v>7584.57</v>
      </c>
      <c r="AR461" s="110">
        <v>6253.03</v>
      </c>
      <c r="AS461" s="110">
        <v>0</v>
      </c>
      <c r="AT461" s="110">
        <v>0</v>
      </c>
      <c r="AU461" s="110">
        <v>0</v>
      </c>
      <c r="AV461" s="110">
        <v>0</v>
      </c>
      <c r="AW461" s="110">
        <v>0</v>
      </c>
      <c r="AX461" s="110">
        <v>0</v>
      </c>
      <c r="AY461" s="110">
        <v>0</v>
      </c>
      <c r="AZ461" s="110">
        <v>0</v>
      </c>
      <c r="BA461" s="110">
        <v>0</v>
      </c>
    </row>
    <row r="462" spans="1:53" s="102" customFormat="1" outlineLevel="2">
      <c r="A462" s="102" t="s">
        <v>1247</v>
      </c>
      <c r="B462" s="103" t="s">
        <v>1248</v>
      </c>
      <c r="C462" s="104" t="s">
        <v>1246</v>
      </c>
      <c r="D462" s="298"/>
      <c r="E462" s="299"/>
      <c r="F462" s="105">
        <v>0</v>
      </c>
      <c r="G462" s="105">
        <v>0</v>
      </c>
      <c r="H462" s="106">
        <f t="shared" si="122"/>
        <v>0</v>
      </c>
      <c r="I462" s="300">
        <f t="shared" si="123"/>
        <v>0</v>
      </c>
      <c r="J462" s="107"/>
      <c r="K462" s="105">
        <v>0</v>
      </c>
      <c r="L462" s="105">
        <v>-22147.27</v>
      </c>
      <c r="M462" s="106">
        <f t="shared" si="124"/>
        <v>22147.27</v>
      </c>
      <c r="N462" s="300" t="str">
        <f t="shared" si="125"/>
        <v>N.M.</v>
      </c>
      <c r="O462" s="301"/>
      <c r="P462" s="107"/>
      <c r="Q462" s="105">
        <v>0</v>
      </c>
      <c r="R462" s="105">
        <v>-22147.27</v>
      </c>
      <c r="S462" s="106">
        <f t="shared" si="126"/>
        <v>22147.27</v>
      </c>
      <c r="T462" s="300" t="str">
        <f t="shared" si="127"/>
        <v>N.M.</v>
      </c>
      <c r="U462" s="107"/>
      <c r="V462" s="105">
        <v>0</v>
      </c>
      <c r="W462" s="105">
        <v>-22147.27</v>
      </c>
      <c r="X462" s="106">
        <f t="shared" si="128"/>
        <v>22147.27</v>
      </c>
      <c r="Y462" s="300" t="str">
        <f t="shared" si="129"/>
        <v>N.M.</v>
      </c>
      <c r="Z462" s="302"/>
      <c r="AA462" s="108">
        <v>0</v>
      </c>
      <c r="AB462" s="109"/>
      <c r="AC462" s="110">
        <v>-22147.27</v>
      </c>
      <c r="AD462" s="110">
        <v>0</v>
      </c>
      <c r="AE462" s="110">
        <v>0</v>
      </c>
      <c r="AF462" s="110">
        <v>0</v>
      </c>
      <c r="AG462" s="110">
        <v>0</v>
      </c>
      <c r="AH462" s="110">
        <v>0</v>
      </c>
      <c r="AI462" s="110">
        <v>0</v>
      </c>
      <c r="AJ462" s="110">
        <v>0</v>
      </c>
      <c r="AK462" s="110">
        <v>0</v>
      </c>
      <c r="AL462" s="110">
        <v>0</v>
      </c>
      <c r="AM462" s="110">
        <v>0</v>
      </c>
      <c r="AN462" s="110">
        <v>0</v>
      </c>
      <c r="AO462" s="109"/>
      <c r="AP462" s="110">
        <v>0</v>
      </c>
      <c r="AQ462" s="110">
        <v>0</v>
      </c>
      <c r="AR462" s="110">
        <v>0</v>
      </c>
      <c r="AS462" s="110">
        <v>0</v>
      </c>
      <c r="AT462" s="110">
        <v>0</v>
      </c>
      <c r="AU462" s="110">
        <v>0</v>
      </c>
      <c r="AV462" s="110">
        <v>0</v>
      </c>
      <c r="AW462" s="110">
        <v>0</v>
      </c>
      <c r="AX462" s="110">
        <v>0</v>
      </c>
      <c r="AY462" s="110">
        <v>0</v>
      </c>
      <c r="AZ462" s="110">
        <v>0</v>
      </c>
      <c r="BA462" s="110">
        <v>0</v>
      </c>
    </row>
    <row r="463" spans="1:53" s="102" customFormat="1" outlineLevel="2">
      <c r="A463" s="102" t="s">
        <v>1763</v>
      </c>
      <c r="B463" s="103" t="s">
        <v>1764</v>
      </c>
      <c r="C463" s="104" t="s">
        <v>1246</v>
      </c>
      <c r="D463" s="298"/>
      <c r="E463" s="299"/>
      <c r="F463" s="105">
        <v>0</v>
      </c>
      <c r="G463" s="105">
        <v>0</v>
      </c>
      <c r="H463" s="106">
        <f t="shared" si="122"/>
        <v>0</v>
      </c>
      <c r="I463" s="300">
        <f t="shared" si="123"/>
        <v>0</v>
      </c>
      <c r="J463" s="107"/>
      <c r="K463" s="105">
        <v>-4295.68</v>
      </c>
      <c r="L463" s="105">
        <v>-10278.77</v>
      </c>
      <c r="M463" s="106">
        <f t="shared" si="124"/>
        <v>5983.09</v>
      </c>
      <c r="N463" s="300">
        <f t="shared" si="125"/>
        <v>0.58208229194738281</v>
      </c>
      <c r="O463" s="301"/>
      <c r="P463" s="107"/>
      <c r="Q463" s="105">
        <v>-4295.68</v>
      </c>
      <c r="R463" s="105">
        <v>-10278.77</v>
      </c>
      <c r="S463" s="106">
        <f t="shared" si="126"/>
        <v>5983.09</v>
      </c>
      <c r="T463" s="300">
        <f t="shared" si="127"/>
        <v>0.58208229194738281</v>
      </c>
      <c r="U463" s="107"/>
      <c r="V463" s="105">
        <v>-4295.68</v>
      </c>
      <c r="W463" s="105">
        <v>4683230.1400000006</v>
      </c>
      <c r="X463" s="106">
        <f t="shared" si="128"/>
        <v>-4687525.82</v>
      </c>
      <c r="Y463" s="300">
        <f t="shared" si="129"/>
        <v>-1.0009172472570396</v>
      </c>
      <c r="Z463" s="302"/>
      <c r="AA463" s="108">
        <v>520816.67</v>
      </c>
      <c r="AB463" s="109"/>
      <c r="AC463" s="110">
        <v>-10278.77</v>
      </c>
      <c r="AD463" s="110">
        <v>0</v>
      </c>
      <c r="AE463" s="110">
        <v>0</v>
      </c>
      <c r="AF463" s="110">
        <v>0</v>
      </c>
      <c r="AG463" s="110">
        <v>0</v>
      </c>
      <c r="AH463" s="110">
        <v>0</v>
      </c>
      <c r="AI463" s="110">
        <v>0</v>
      </c>
      <c r="AJ463" s="110">
        <v>0</v>
      </c>
      <c r="AK463" s="110">
        <v>0</v>
      </c>
      <c r="AL463" s="110">
        <v>0</v>
      </c>
      <c r="AM463" s="110">
        <v>0</v>
      </c>
      <c r="AN463" s="110">
        <v>0</v>
      </c>
      <c r="AO463" s="109"/>
      <c r="AP463" s="110">
        <v>-4295.68</v>
      </c>
      <c r="AQ463" s="110">
        <v>0</v>
      </c>
      <c r="AR463" s="110">
        <v>0</v>
      </c>
      <c r="AS463" s="110">
        <v>0</v>
      </c>
      <c r="AT463" s="110">
        <v>0</v>
      </c>
      <c r="AU463" s="110">
        <v>0</v>
      </c>
      <c r="AV463" s="110">
        <v>0</v>
      </c>
      <c r="AW463" s="110">
        <v>0</v>
      </c>
      <c r="AX463" s="110">
        <v>0</v>
      </c>
      <c r="AY463" s="110">
        <v>0</v>
      </c>
      <c r="AZ463" s="110">
        <v>0</v>
      </c>
      <c r="BA463" s="110">
        <v>0</v>
      </c>
    </row>
    <row r="464" spans="1:53" s="102" customFormat="1" outlineLevel="2">
      <c r="A464" s="102" t="s">
        <v>1765</v>
      </c>
      <c r="B464" s="103" t="s">
        <v>1766</v>
      </c>
      <c r="C464" s="104" t="s">
        <v>1246</v>
      </c>
      <c r="D464" s="298"/>
      <c r="E464" s="299"/>
      <c r="F464" s="105">
        <v>0</v>
      </c>
      <c r="G464" s="105">
        <v>524765.53</v>
      </c>
      <c r="H464" s="106">
        <f t="shared" si="122"/>
        <v>-524765.53</v>
      </c>
      <c r="I464" s="300" t="str">
        <f t="shared" si="123"/>
        <v>N.M.</v>
      </c>
      <c r="J464" s="107"/>
      <c r="K464" s="105">
        <v>13571</v>
      </c>
      <c r="L464" s="105">
        <v>1574296.5899999999</v>
      </c>
      <c r="M464" s="106">
        <f t="shared" si="124"/>
        <v>-1560725.5899999999</v>
      </c>
      <c r="N464" s="300">
        <f t="shared" si="125"/>
        <v>-0.99137964212956853</v>
      </c>
      <c r="O464" s="301"/>
      <c r="P464" s="107"/>
      <c r="Q464" s="105">
        <v>13571</v>
      </c>
      <c r="R464" s="105">
        <v>1574296.5899999999</v>
      </c>
      <c r="S464" s="106">
        <f t="shared" si="126"/>
        <v>-1560725.5899999999</v>
      </c>
      <c r="T464" s="300">
        <f t="shared" si="127"/>
        <v>-0.99137964212956853</v>
      </c>
      <c r="U464" s="107"/>
      <c r="V464" s="105">
        <v>4735696.91</v>
      </c>
      <c r="W464" s="105">
        <v>1574296.5899999999</v>
      </c>
      <c r="X464" s="106">
        <f t="shared" si="128"/>
        <v>3161400.3200000003</v>
      </c>
      <c r="Y464" s="300">
        <f t="shared" si="129"/>
        <v>2.0081351506960963</v>
      </c>
      <c r="Z464" s="302"/>
      <c r="AA464" s="108">
        <v>0</v>
      </c>
      <c r="AB464" s="109"/>
      <c r="AC464" s="110">
        <v>524765.53</v>
      </c>
      <c r="AD464" s="110">
        <v>524765.53</v>
      </c>
      <c r="AE464" s="110">
        <v>524765.53</v>
      </c>
      <c r="AF464" s="110">
        <v>524765.53</v>
      </c>
      <c r="AG464" s="110">
        <v>524765.53</v>
      </c>
      <c r="AH464" s="110">
        <v>524765.53</v>
      </c>
      <c r="AI464" s="110">
        <v>524765.53</v>
      </c>
      <c r="AJ464" s="110">
        <v>524765.53</v>
      </c>
      <c r="AK464" s="110">
        <v>524765.53</v>
      </c>
      <c r="AL464" s="110">
        <v>524765.53</v>
      </c>
      <c r="AM464" s="110">
        <v>524765.53</v>
      </c>
      <c r="AN464" s="110">
        <v>524001.67</v>
      </c>
      <c r="AO464" s="109"/>
      <c r="AP464" s="110">
        <v>13571</v>
      </c>
      <c r="AQ464" s="110">
        <v>0</v>
      </c>
      <c r="AR464" s="110">
        <v>0</v>
      </c>
      <c r="AS464" s="110">
        <v>0</v>
      </c>
      <c r="AT464" s="110">
        <v>0</v>
      </c>
      <c r="AU464" s="110">
        <v>0</v>
      </c>
      <c r="AV464" s="110">
        <v>0</v>
      </c>
      <c r="AW464" s="110">
        <v>0</v>
      </c>
      <c r="AX464" s="110">
        <v>0</v>
      </c>
      <c r="AY464" s="110">
        <v>0</v>
      </c>
      <c r="AZ464" s="110">
        <v>0</v>
      </c>
      <c r="BA464" s="110">
        <v>0</v>
      </c>
    </row>
    <row r="465" spans="1:53" s="102" customFormat="1" outlineLevel="2">
      <c r="A465" s="102" t="s">
        <v>1767</v>
      </c>
      <c r="B465" s="103" t="s">
        <v>1768</v>
      </c>
      <c r="C465" s="104" t="s">
        <v>1246</v>
      </c>
      <c r="D465" s="298"/>
      <c r="E465" s="299"/>
      <c r="F465" s="105">
        <v>536407.53</v>
      </c>
      <c r="G465" s="105">
        <v>0</v>
      </c>
      <c r="H465" s="106">
        <f t="shared" si="122"/>
        <v>536407.53</v>
      </c>
      <c r="I465" s="300" t="str">
        <f t="shared" si="123"/>
        <v>N.M.</v>
      </c>
      <c r="J465" s="107"/>
      <c r="K465" s="105">
        <v>1609222.5899999999</v>
      </c>
      <c r="L465" s="105">
        <v>0</v>
      </c>
      <c r="M465" s="106">
        <f t="shared" si="124"/>
        <v>1609222.5899999999</v>
      </c>
      <c r="N465" s="300" t="str">
        <f t="shared" si="125"/>
        <v>N.M.</v>
      </c>
      <c r="O465" s="301"/>
      <c r="P465" s="107"/>
      <c r="Q465" s="105">
        <v>1609222.5899999999</v>
      </c>
      <c r="R465" s="105">
        <v>0</v>
      </c>
      <c r="S465" s="106">
        <f t="shared" si="126"/>
        <v>1609222.5899999999</v>
      </c>
      <c r="T465" s="300" t="str">
        <f t="shared" si="127"/>
        <v>N.M.</v>
      </c>
      <c r="U465" s="107"/>
      <c r="V465" s="105">
        <v>1609222.5899999999</v>
      </c>
      <c r="W465" s="105">
        <v>0</v>
      </c>
      <c r="X465" s="106">
        <f t="shared" si="128"/>
        <v>1609222.5899999999</v>
      </c>
      <c r="Y465" s="300" t="str">
        <f t="shared" si="129"/>
        <v>N.M.</v>
      </c>
      <c r="Z465" s="302"/>
      <c r="AA465" s="108">
        <v>0</v>
      </c>
      <c r="AB465" s="109"/>
      <c r="AC465" s="110">
        <v>0</v>
      </c>
      <c r="AD465" s="110">
        <v>0</v>
      </c>
      <c r="AE465" s="110">
        <v>0</v>
      </c>
      <c r="AF465" s="110">
        <v>0</v>
      </c>
      <c r="AG465" s="110">
        <v>0</v>
      </c>
      <c r="AH465" s="110">
        <v>0</v>
      </c>
      <c r="AI465" s="110">
        <v>0</v>
      </c>
      <c r="AJ465" s="110">
        <v>0</v>
      </c>
      <c r="AK465" s="110">
        <v>0</v>
      </c>
      <c r="AL465" s="110">
        <v>0</v>
      </c>
      <c r="AM465" s="110">
        <v>0</v>
      </c>
      <c r="AN465" s="110">
        <v>0</v>
      </c>
      <c r="AO465" s="109"/>
      <c r="AP465" s="110">
        <v>536407.53</v>
      </c>
      <c r="AQ465" s="110">
        <v>536407.53</v>
      </c>
      <c r="AR465" s="110">
        <v>536407.53</v>
      </c>
      <c r="AS465" s="110">
        <v>0</v>
      </c>
      <c r="AT465" s="110">
        <v>0</v>
      </c>
      <c r="AU465" s="110">
        <v>0</v>
      </c>
      <c r="AV465" s="110">
        <v>0</v>
      </c>
      <c r="AW465" s="110">
        <v>0</v>
      </c>
      <c r="AX465" s="110">
        <v>0</v>
      </c>
      <c r="AY465" s="110">
        <v>0</v>
      </c>
      <c r="AZ465" s="110">
        <v>0</v>
      </c>
      <c r="BA465" s="110">
        <v>0</v>
      </c>
    </row>
    <row r="466" spans="1:53" s="102" customFormat="1" outlineLevel="2">
      <c r="A466" s="102" t="s">
        <v>1250</v>
      </c>
      <c r="B466" s="103" t="s">
        <v>1251</v>
      </c>
      <c r="C466" s="104" t="s">
        <v>1249</v>
      </c>
      <c r="D466" s="298"/>
      <c r="E466" s="299"/>
      <c r="F466" s="105">
        <v>0</v>
      </c>
      <c r="G466" s="105">
        <v>0</v>
      </c>
      <c r="H466" s="106">
        <f t="shared" si="122"/>
        <v>0</v>
      </c>
      <c r="I466" s="300">
        <f t="shared" si="123"/>
        <v>0</v>
      </c>
      <c r="J466" s="107"/>
      <c r="K466" s="105">
        <v>0</v>
      </c>
      <c r="L466" s="105">
        <v>0</v>
      </c>
      <c r="M466" s="106">
        <f t="shared" si="124"/>
        <v>0</v>
      </c>
      <c r="N466" s="300">
        <f t="shared" si="125"/>
        <v>0</v>
      </c>
      <c r="O466" s="301"/>
      <c r="P466" s="107"/>
      <c r="Q466" s="105">
        <v>0</v>
      </c>
      <c r="R466" s="105">
        <v>0</v>
      </c>
      <c r="S466" s="106">
        <f t="shared" si="126"/>
        <v>0</v>
      </c>
      <c r="T466" s="300">
        <f t="shared" si="127"/>
        <v>0</v>
      </c>
      <c r="U466" s="107"/>
      <c r="V466" s="105">
        <v>0</v>
      </c>
      <c r="W466" s="105">
        <v>285.92</v>
      </c>
      <c r="X466" s="106">
        <f t="shared" si="128"/>
        <v>-285.92</v>
      </c>
      <c r="Y466" s="300" t="str">
        <f t="shared" si="129"/>
        <v>N.M.</v>
      </c>
      <c r="Z466" s="302"/>
      <c r="AA466" s="108">
        <v>0</v>
      </c>
      <c r="AB466" s="109"/>
      <c r="AC466" s="110">
        <v>0</v>
      </c>
      <c r="AD466" s="110">
        <v>0</v>
      </c>
      <c r="AE466" s="110">
        <v>0</v>
      </c>
      <c r="AF466" s="110">
        <v>0</v>
      </c>
      <c r="AG466" s="110">
        <v>0</v>
      </c>
      <c r="AH466" s="110">
        <v>0</v>
      </c>
      <c r="AI466" s="110">
        <v>0</v>
      </c>
      <c r="AJ466" s="110">
        <v>0</v>
      </c>
      <c r="AK466" s="110">
        <v>0</v>
      </c>
      <c r="AL466" s="110">
        <v>0</v>
      </c>
      <c r="AM466" s="110">
        <v>0</v>
      </c>
      <c r="AN466" s="110">
        <v>0</v>
      </c>
      <c r="AO466" s="109"/>
      <c r="AP466" s="110">
        <v>0</v>
      </c>
      <c r="AQ466" s="110">
        <v>0</v>
      </c>
      <c r="AR466" s="110">
        <v>0</v>
      </c>
      <c r="AS466" s="110">
        <v>0</v>
      </c>
      <c r="AT466" s="110">
        <v>0</v>
      </c>
      <c r="AU466" s="110">
        <v>0</v>
      </c>
      <c r="AV466" s="110">
        <v>0</v>
      </c>
      <c r="AW466" s="110">
        <v>0</v>
      </c>
      <c r="AX466" s="110">
        <v>0</v>
      </c>
      <c r="AY466" s="110">
        <v>0</v>
      </c>
      <c r="AZ466" s="110">
        <v>0</v>
      </c>
      <c r="BA466" s="110">
        <v>0</v>
      </c>
    </row>
    <row r="467" spans="1:53" s="102" customFormat="1" outlineLevel="2">
      <c r="A467" s="102" t="s">
        <v>1769</v>
      </c>
      <c r="B467" s="103" t="s">
        <v>1770</v>
      </c>
      <c r="C467" s="104" t="s">
        <v>1249</v>
      </c>
      <c r="D467" s="298"/>
      <c r="E467" s="299"/>
      <c r="F467" s="105">
        <v>0</v>
      </c>
      <c r="G467" s="105">
        <v>0</v>
      </c>
      <c r="H467" s="106">
        <f t="shared" si="122"/>
        <v>0</v>
      </c>
      <c r="I467" s="300">
        <f t="shared" si="123"/>
        <v>0</v>
      </c>
      <c r="J467" s="107"/>
      <c r="K467" s="105">
        <v>0</v>
      </c>
      <c r="L467" s="105">
        <v>0</v>
      </c>
      <c r="M467" s="106">
        <f t="shared" si="124"/>
        <v>0</v>
      </c>
      <c r="N467" s="300">
        <f t="shared" si="125"/>
        <v>0</v>
      </c>
      <c r="O467" s="301"/>
      <c r="P467" s="107"/>
      <c r="Q467" s="105">
        <v>0</v>
      </c>
      <c r="R467" s="105">
        <v>0</v>
      </c>
      <c r="S467" s="106">
        <f t="shared" si="126"/>
        <v>0</v>
      </c>
      <c r="T467" s="300">
        <f t="shared" si="127"/>
        <v>0</v>
      </c>
      <c r="U467" s="107"/>
      <c r="V467" s="105">
        <v>289.12</v>
      </c>
      <c r="W467" s="105">
        <v>371699</v>
      </c>
      <c r="X467" s="106">
        <f t="shared" si="128"/>
        <v>-371409.88</v>
      </c>
      <c r="Y467" s="300">
        <f t="shared" si="129"/>
        <v>-0.9992221663227504</v>
      </c>
      <c r="Z467" s="302"/>
      <c r="AA467" s="108">
        <v>40563</v>
      </c>
      <c r="AB467" s="109"/>
      <c r="AC467" s="110">
        <v>0</v>
      </c>
      <c r="AD467" s="110">
        <v>0</v>
      </c>
      <c r="AE467" s="110">
        <v>0</v>
      </c>
      <c r="AF467" s="110">
        <v>0</v>
      </c>
      <c r="AG467" s="110">
        <v>0</v>
      </c>
      <c r="AH467" s="110">
        <v>0</v>
      </c>
      <c r="AI467" s="110">
        <v>0</v>
      </c>
      <c r="AJ467" s="110">
        <v>0</v>
      </c>
      <c r="AK467" s="110">
        <v>289.12</v>
      </c>
      <c r="AL467" s="110">
        <v>0</v>
      </c>
      <c r="AM467" s="110">
        <v>0</v>
      </c>
      <c r="AN467" s="110">
        <v>0</v>
      </c>
      <c r="AO467" s="109"/>
      <c r="AP467" s="110">
        <v>0</v>
      </c>
      <c r="AQ467" s="110">
        <v>0</v>
      </c>
      <c r="AR467" s="110">
        <v>0</v>
      </c>
      <c r="AS467" s="110">
        <v>0</v>
      </c>
      <c r="AT467" s="110">
        <v>0</v>
      </c>
      <c r="AU467" s="110">
        <v>0</v>
      </c>
      <c r="AV467" s="110">
        <v>0</v>
      </c>
      <c r="AW467" s="110">
        <v>0</v>
      </c>
      <c r="AX467" s="110">
        <v>0</v>
      </c>
      <c r="AY467" s="110">
        <v>0</v>
      </c>
      <c r="AZ467" s="110">
        <v>0</v>
      </c>
      <c r="BA467" s="110">
        <v>0</v>
      </c>
    </row>
    <row r="468" spans="1:53" s="102" customFormat="1" outlineLevel="2">
      <c r="A468" s="102" t="s">
        <v>1771</v>
      </c>
      <c r="B468" s="103" t="s">
        <v>1772</v>
      </c>
      <c r="C468" s="104" t="s">
        <v>1249</v>
      </c>
      <c r="D468" s="298"/>
      <c r="E468" s="299"/>
      <c r="F468" s="105">
        <v>0</v>
      </c>
      <c r="G468" s="105">
        <v>43808</v>
      </c>
      <c r="H468" s="106">
        <f t="shared" si="122"/>
        <v>-43808</v>
      </c>
      <c r="I468" s="300" t="str">
        <f t="shared" si="123"/>
        <v>N.M.</v>
      </c>
      <c r="J468" s="107"/>
      <c r="K468" s="105">
        <v>47317</v>
      </c>
      <c r="L468" s="105">
        <v>131424</v>
      </c>
      <c r="M468" s="106">
        <f t="shared" si="124"/>
        <v>-84107</v>
      </c>
      <c r="N468" s="300">
        <f t="shared" si="125"/>
        <v>-0.63996682493304113</v>
      </c>
      <c r="O468" s="301"/>
      <c r="P468" s="107"/>
      <c r="Q468" s="105">
        <v>47317</v>
      </c>
      <c r="R468" s="105">
        <v>131424</v>
      </c>
      <c r="S468" s="106">
        <f t="shared" si="126"/>
        <v>-84107</v>
      </c>
      <c r="T468" s="300">
        <f t="shared" si="127"/>
        <v>-0.63996682493304113</v>
      </c>
      <c r="U468" s="107"/>
      <c r="V468" s="105">
        <v>456103.33</v>
      </c>
      <c r="W468" s="105">
        <v>131424</v>
      </c>
      <c r="X468" s="106">
        <f t="shared" si="128"/>
        <v>324679.33</v>
      </c>
      <c r="Y468" s="300">
        <f t="shared" si="129"/>
        <v>2.4704721359873387</v>
      </c>
      <c r="Z468" s="302"/>
      <c r="AA468" s="108">
        <v>0</v>
      </c>
      <c r="AB468" s="109"/>
      <c r="AC468" s="110">
        <v>43808</v>
      </c>
      <c r="AD468" s="110">
        <v>43808</v>
      </c>
      <c r="AE468" s="110">
        <v>43808</v>
      </c>
      <c r="AF468" s="110">
        <v>43808</v>
      </c>
      <c r="AG468" s="110">
        <v>43808</v>
      </c>
      <c r="AH468" s="110">
        <v>43808</v>
      </c>
      <c r="AI468" s="110">
        <v>58318.33</v>
      </c>
      <c r="AJ468" s="110">
        <v>43808</v>
      </c>
      <c r="AK468" s="110">
        <v>43808</v>
      </c>
      <c r="AL468" s="110">
        <v>43808</v>
      </c>
      <c r="AM468" s="110">
        <v>43808</v>
      </c>
      <c r="AN468" s="110">
        <v>43812</v>
      </c>
      <c r="AO468" s="109"/>
      <c r="AP468" s="110">
        <v>47317</v>
      </c>
      <c r="AQ468" s="110">
        <v>0</v>
      </c>
      <c r="AR468" s="110">
        <v>0</v>
      </c>
      <c r="AS468" s="110">
        <v>0</v>
      </c>
      <c r="AT468" s="110">
        <v>0</v>
      </c>
      <c r="AU468" s="110">
        <v>0</v>
      </c>
      <c r="AV468" s="110">
        <v>0</v>
      </c>
      <c r="AW468" s="110">
        <v>0</v>
      </c>
      <c r="AX468" s="110">
        <v>0</v>
      </c>
      <c r="AY468" s="110">
        <v>0</v>
      </c>
      <c r="AZ468" s="110">
        <v>0</v>
      </c>
      <c r="BA468" s="110">
        <v>0</v>
      </c>
    </row>
    <row r="469" spans="1:53" s="102" customFormat="1" outlineLevel="2">
      <c r="A469" s="102" t="s">
        <v>1773</v>
      </c>
      <c r="B469" s="103" t="s">
        <v>1774</v>
      </c>
      <c r="C469" s="104" t="s">
        <v>1249</v>
      </c>
      <c r="D469" s="298"/>
      <c r="E469" s="299"/>
      <c r="F469" s="105">
        <v>47317</v>
      </c>
      <c r="G469" s="105">
        <v>0</v>
      </c>
      <c r="H469" s="106">
        <f t="shared" si="122"/>
        <v>47317</v>
      </c>
      <c r="I469" s="300" t="str">
        <f t="shared" si="123"/>
        <v>N.M.</v>
      </c>
      <c r="J469" s="107"/>
      <c r="K469" s="105">
        <v>94634</v>
      </c>
      <c r="L469" s="105">
        <v>0</v>
      </c>
      <c r="M469" s="106">
        <f t="shared" si="124"/>
        <v>94634</v>
      </c>
      <c r="N469" s="300" t="str">
        <f t="shared" si="125"/>
        <v>N.M.</v>
      </c>
      <c r="O469" s="301"/>
      <c r="P469" s="107"/>
      <c r="Q469" s="105">
        <v>94634</v>
      </c>
      <c r="R469" s="105">
        <v>0</v>
      </c>
      <c r="S469" s="106">
        <f t="shared" si="126"/>
        <v>94634</v>
      </c>
      <c r="T469" s="300" t="str">
        <f t="shared" si="127"/>
        <v>N.M.</v>
      </c>
      <c r="U469" s="107"/>
      <c r="V469" s="105">
        <v>94634</v>
      </c>
      <c r="W469" s="105">
        <v>0</v>
      </c>
      <c r="X469" s="106">
        <f t="shared" si="128"/>
        <v>94634</v>
      </c>
      <c r="Y469" s="300" t="str">
        <f t="shared" si="129"/>
        <v>N.M.</v>
      </c>
      <c r="Z469" s="302"/>
      <c r="AA469" s="108">
        <v>0</v>
      </c>
      <c r="AB469" s="109"/>
      <c r="AC469" s="110">
        <v>0</v>
      </c>
      <c r="AD469" s="110">
        <v>0</v>
      </c>
      <c r="AE469" s="110">
        <v>0</v>
      </c>
      <c r="AF469" s="110">
        <v>0</v>
      </c>
      <c r="AG469" s="110">
        <v>0</v>
      </c>
      <c r="AH469" s="110">
        <v>0</v>
      </c>
      <c r="AI469" s="110">
        <v>0</v>
      </c>
      <c r="AJ469" s="110">
        <v>0</v>
      </c>
      <c r="AK469" s="110">
        <v>0</v>
      </c>
      <c r="AL469" s="110">
        <v>0</v>
      </c>
      <c r="AM469" s="110">
        <v>0</v>
      </c>
      <c r="AN469" s="110">
        <v>0</v>
      </c>
      <c r="AO469" s="109"/>
      <c r="AP469" s="110">
        <v>0</v>
      </c>
      <c r="AQ469" s="110">
        <v>47317</v>
      </c>
      <c r="AR469" s="110">
        <v>47317</v>
      </c>
      <c r="AS469" s="110">
        <v>0</v>
      </c>
      <c r="AT469" s="110">
        <v>0</v>
      </c>
      <c r="AU469" s="110">
        <v>0</v>
      </c>
      <c r="AV469" s="110">
        <v>0</v>
      </c>
      <c r="AW469" s="110">
        <v>0</v>
      </c>
      <c r="AX469" s="110">
        <v>0</v>
      </c>
      <c r="AY469" s="110">
        <v>0</v>
      </c>
      <c r="AZ469" s="110">
        <v>0</v>
      </c>
      <c r="BA469" s="110">
        <v>0</v>
      </c>
    </row>
    <row r="470" spans="1:53" s="102" customFormat="1" outlineLevel="2">
      <c r="A470" s="102" t="s">
        <v>1252</v>
      </c>
      <c r="B470" s="103" t="s">
        <v>1253</v>
      </c>
      <c r="C470" s="104" t="s">
        <v>1254</v>
      </c>
      <c r="D470" s="298"/>
      <c r="E470" s="299"/>
      <c r="F470" s="105">
        <v>-127318.22</v>
      </c>
      <c r="G470" s="105">
        <v>-101738.40000000001</v>
      </c>
      <c r="H470" s="106">
        <f t="shared" si="122"/>
        <v>-25579.819999999992</v>
      </c>
      <c r="I470" s="300">
        <f t="shared" si="123"/>
        <v>-0.25142738631627776</v>
      </c>
      <c r="J470" s="107"/>
      <c r="K470" s="105">
        <v>-346397.75</v>
      </c>
      <c r="L470" s="105">
        <v>-311196.56</v>
      </c>
      <c r="M470" s="106">
        <f t="shared" si="124"/>
        <v>-35201.19</v>
      </c>
      <c r="N470" s="300">
        <f t="shared" si="125"/>
        <v>-0.11311561413146727</v>
      </c>
      <c r="O470" s="301"/>
      <c r="P470" s="107"/>
      <c r="Q470" s="105">
        <v>-346397.75</v>
      </c>
      <c r="R470" s="105">
        <v>-311196.56</v>
      </c>
      <c r="S470" s="106">
        <f t="shared" si="126"/>
        <v>-35201.19</v>
      </c>
      <c r="T470" s="300">
        <f t="shared" si="127"/>
        <v>-0.11311561413146727</v>
      </c>
      <c r="U470" s="107"/>
      <c r="V470" s="105">
        <v>-1403551.76</v>
      </c>
      <c r="W470" s="105">
        <v>-1277942.1200000001</v>
      </c>
      <c r="X470" s="106">
        <f t="shared" si="128"/>
        <v>-125609.6399999999</v>
      </c>
      <c r="Y470" s="300">
        <f t="shared" si="129"/>
        <v>-9.8290554817928602E-2</v>
      </c>
      <c r="Z470" s="302"/>
      <c r="AA470" s="108">
        <v>-110108.27</v>
      </c>
      <c r="AB470" s="109"/>
      <c r="AC470" s="110">
        <v>-106251.7</v>
      </c>
      <c r="AD470" s="110">
        <v>-103206.46</v>
      </c>
      <c r="AE470" s="110">
        <v>-101738.40000000001</v>
      </c>
      <c r="AF470" s="110">
        <v>-98386.650000000009</v>
      </c>
      <c r="AG470" s="110">
        <v>-96661.08</v>
      </c>
      <c r="AH470" s="110">
        <v>-107683.19</v>
      </c>
      <c r="AI470" s="110">
        <v>-189146.53</v>
      </c>
      <c r="AJ470" s="110">
        <v>-85597.32</v>
      </c>
      <c r="AK470" s="110">
        <v>-111289.73</v>
      </c>
      <c r="AL470" s="110">
        <v>-112619.93000000001</v>
      </c>
      <c r="AM470" s="110">
        <v>-116246.41</v>
      </c>
      <c r="AN470" s="110">
        <v>-139523.17000000001</v>
      </c>
      <c r="AO470" s="109"/>
      <c r="AP470" s="110">
        <v>-103440.08</v>
      </c>
      <c r="AQ470" s="110">
        <v>-115639.45</v>
      </c>
      <c r="AR470" s="110">
        <v>-127318.22</v>
      </c>
      <c r="AS470" s="110">
        <v>0</v>
      </c>
      <c r="AT470" s="110">
        <v>0</v>
      </c>
      <c r="AU470" s="110">
        <v>0</v>
      </c>
      <c r="AV470" s="110">
        <v>0</v>
      </c>
      <c r="AW470" s="110">
        <v>0</v>
      </c>
      <c r="AX470" s="110">
        <v>0</v>
      </c>
      <c r="AY470" s="110">
        <v>0</v>
      </c>
      <c r="AZ470" s="110">
        <v>0</v>
      </c>
      <c r="BA470" s="110">
        <v>0</v>
      </c>
    </row>
    <row r="471" spans="1:53" s="102" customFormat="1" outlineLevel="2">
      <c r="A471" s="102" t="s">
        <v>1255</v>
      </c>
      <c r="B471" s="103" t="s">
        <v>1256</v>
      </c>
      <c r="C471" s="104" t="s">
        <v>1257</v>
      </c>
      <c r="D471" s="298"/>
      <c r="E471" s="299"/>
      <c r="F471" s="105">
        <v>-719.7</v>
      </c>
      <c r="G471" s="105">
        <v>-569.16999999999996</v>
      </c>
      <c r="H471" s="106">
        <f t="shared" si="122"/>
        <v>-150.53000000000009</v>
      </c>
      <c r="I471" s="300">
        <f t="shared" si="123"/>
        <v>-0.26447282885605372</v>
      </c>
      <c r="J471" s="107"/>
      <c r="K471" s="105">
        <v>-2120.85</v>
      </c>
      <c r="L471" s="105">
        <v>-1654.53</v>
      </c>
      <c r="M471" s="106">
        <f t="shared" si="124"/>
        <v>-466.31999999999994</v>
      </c>
      <c r="N471" s="300">
        <f t="shared" si="125"/>
        <v>-0.28184439085420027</v>
      </c>
      <c r="O471" s="301"/>
      <c r="P471" s="107"/>
      <c r="Q471" s="105">
        <v>-2120.85</v>
      </c>
      <c r="R471" s="105">
        <v>-1654.53</v>
      </c>
      <c r="S471" s="106">
        <f t="shared" si="126"/>
        <v>-466.31999999999994</v>
      </c>
      <c r="T471" s="300">
        <f t="shared" si="127"/>
        <v>-0.28184439085420027</v>
      </c>
      <c r="U471" s="107"/>
      <c r="V471" s="105">
        <v>-8476.08</v>
      </c>
      <c r="W471" s="105">
        <v>-7614.82</v>
      </c>
      <c r="X471" s="106">
        <f t="shared" si="128"/>
        <v>-861.26000000000022</v>
      </c>
      <c r="Y471" s="300">
        <f t="shared" si="129"/>
        <v>-0.11310313310097944</v>
      </c>
      <c r="Z471" s="302"/>
      <c r="AA471" s="108">
        <v>-748.78</v>
      </c>
      <c r="AB471" s="109"/>
      <c r="AC471" s="110">
        <v>-525.29999999999995</v>
      </c>
      <c r="AD471" s="110">
        <v>-560.06000000000006</v>
      </c>
      <c r="AE471" s="110">
        <v>-569.16999999999996</v>
      </c>
      <c r="AF471" s="110">
        <v>-610.30000000000007</v>
      </c>
      <c r="AG471" s="110">
        <v>-646.93000000000006</v>
      </c>
      <c r="AH471" s="110">
        <v>-608.41999999999996</v>
      </c>
      <c r="AI471" s="110">
        <v>-856.37</v>
      </c>
      <c r="AJ471" s="110">
        <v>-527.29</v>
      </c>
      <c r="AK471" s="110">
        <v>-670.23</v>
      </c>
      <c r="AL471" s="110">
        <v>-715.39</v>
      </c>
      <c r="AM471" s="110">
        <v>-777.17000000000007</v>
      </c>
      <c r="AN471" s="110">
        <v>-943.13</v>
      </c>
      <c r="AO471" s="109"/>
      <c r="AP471" s="110">
        <v>-657.39</v>
      </c>
      <c r="AQ471" s="110">
        <v>-743.76</v>
      </c>
      <c r="AR471" s="110">
        <v>-719.7</v>
      </c>
      <c r="AS471" s="110">
        <v>0</v>
      </c>
      <c r="AT471" s="110">
        <v>0</v>
      </c>
      <c r="AU471" s="110">
        <v>0</v>
      </c>
      <c r="AV471" s="110">
        <v>0</v>
      </c>
      <c r="AW471" s="110">
        <v>0</v>
      </c>
      <c r="AX471" s="110">
        <v>0</v>
      </c>
      <c r="AY471" s="110">
        <v>0</v>
      </c>
      <c r="AZ471" s="110">
        <v>0</v>
      </c>
      <c r="BA471" s="110">
        <v>0</v>
      </c>
    </row>
    <row r="472" spans="1:53" s="102" customFormat="1" outlineLevel="2">
      <c r="A472" s="102" t="s">
        <v>1258</v>
      </c>
      <c r="B472" s="103" t="s">
        <v>1259</v>
      </c>
      <c r="C472" s="104" t="s">
        <v>1260</v>
      </c>
      <c r="D472" s="298"/>
      <c r="E472" s="299"/>
      <c r="F472" s="105">
        <v>-744.23</v>
      </c>
      <c r="G472" s="105">
        <v>-1646.04</v>
      </c>
      <c r="H472" s="106">
        <f t="shared" si="122"/>
        <v>901.81</v>
      </c>
      <c r="I472" s="300">
        <f t="shared" si="123"/>
        <v>0.54786639449831109</v>
      </c>
      <c r="J472" s="107"/>
      <c r="K472" s="105">
        <v>-2189.34</v>
      </c>
      <c r="L472" s="105">
        <v>-4726.78</v>
      </c>
      <c r="M472" s="106">
        <f t="shared" si="124"/>
        <v>2537.4399999999996</v>
      </c>
      <c r="N472" s="300">
        <f t="shared" si="125"/>
        <v>0.53682210722733015</v>
      </c>
      <c r="O472" s="301"/>
      <c r="P472" s="107"/>
      <c r="Q472" s="105">
        <v>-2189.34</v>
      </c>
      <c r="R472" s="105">
        <v>-4726.78</v>
      </c>
      <c r="S472" s="106">
        <f t="shared" si="126"/>
        <v>2537.4399999999996</v>
      </c>
      <c r="T472" s="300">
        <f t="shared" si="127"/>
        <v>0.53682210722733015</v>
      </c>
      <c r="U472" s="107"/>
      <c r="V472" s="105">
        <v>-7449.22</v>
      </c>
      <c r="W472" s="105">
        <v>-14148.21</v>
      </c>
      <c r="X472" s="106">
        <f t="shared" si="128"/>
        <v>6698.9899999999989</v>
      </c>
      <c r="Y472" s="300">
        <f t="shared" si="129"/>
        <v>0.47348675203435625</v>
      </c>
      <c r="Z472" s="302"/>
      <c r="AA472" s="108">
        <v>-830</v>
      </c>
      <c r="AB472" s="109"/>
      <c r="AC472" s="110">
        <v>-1438.69</v>
      </c>
      <c r="AD472" s="110">
        <v>-1642.05</v>
      </c>
      <c r="AE472" s="110">
        <v>-1646.04</v>
      </c>
      <c r="AF472" s="110">
        <v>-169.61</v>
      </c>
      <c r="AG472" s="110">
        <v>-152.85</v>
      </c>
      <c r="AH472" s="110">
        <v>-162.07</v>
      </c>
      <c r="AI472" s="110">
        <v>-880.99</v>
      </c>
      <c r="AJ472" s="110">
        <v>-560.38</v>
      </c>
      <c r="AK472" s="110">
        <v>-690.28</v>
      </c>
      <c r="AL472" s="110">
        <v>-764.67000000000007</v>
      </c>
      <c r="AM472" s="110">
        <v>-866.21</v>
      </c>
      <c r="AN472" s="110">
        <v>-1012.82</v>
      </c>
      <c r="AO472" s="109"/>
      <c r="AP472" s="110">
        <v>-677.59</v>
      </c>
      <c r="AQ472" s="110">
        <v>-767.52</v>
      </c>
      <c r="AR472" s="110">
        <v>-744.23</v>
      </c>
      <c r="AS472" s="110">
        <v>0</v>
      </c>
      <c r="AT472" s="110">
        <v>0</v>
      </c>
      <c r="AU472" s="110">
        <v>0</v>
      </c>
      <c r="AV472" s="110">
        <v>0</v>
      </c>
      <c r="AW472" s="110">
        <v>0</v>
      </c>
      <c r="AX472" s="110">
        <v>0</v>
      </c>
      <c r="AY472" s="110">
        <v>0</v>
      </c>
      <c r="AZ472" s="110">
        <v>0</v>
      </c>
      <c r="BA472" s="110">
        <v>0</v>
      </c>
    </row>
    <row r="473" spans="1:53" s="102" customFormat="1" outlineLevel="2">
      <c r="A473" s="102" t="s">
        <v>1262</v>
      </c>
      <c r="B473" s="103" t="s">
        <v>1263</v>
      </c>
      <c r="C473" s="104" t="s">
        <v>1261</v>
      </c>
      <c r="D473" s="298"/>
      <c r="E473" s="299"/>
      <c r="F473" s="105">
        <v>0</v>
      </c>
      <c r="G473" s="105">
        <v>0</v>
      </c>
      <c r="H473" s="106">
        <f t="shared" si="122"/>
        <v>0</v>
      </c>
      <c r="I473" s="300">
        <f t="shared" si="123"/>
        <v>0</v>
      </c>
      <c r="J473" s="107"/>
      <c r="K473" s="105">
        <v>0</v>
      </c>
      <c r="L473" s="105">
        <v>0</v>
      </c>
      <c r="M473" s="106">
        <f t="shared" si="124"/>
        <v>0</v>
      </c>
      <c r="N473" s="300">
        <f t="shared" si="125"/>
        <v>0</v>
      </c>
      <c r="O473" s="301"/>
      <c r="P473" s="107"/>
      <c r="Q473" s="105">
        <v>0</v>
      </c>
      <c r="R473" s="105">
        <v>0</v>
      </c>
      <c r="S473" s="106">
        <f t="shared" si="126"/>
        <v>0</v>
      </c>
      <c r="T473" s="300">
        <f t="shared" si="127"/>
        <v>0</v>
      </c>
      <c r="U473" s="107"/>
      <c r="V473" s="105">
        <v>0</v>
      </c>
      <c r="W473" s="105">
        <v>804.98</v>
      </c>
      <c r="X473" s="106">
        <f t="shared" si="128"/>
        <v>-804.98</v>
      </c>
      <c r="Y473" s="300" t="str">
        <f t="shared" si="129"/>
        <v>N.M.</v>
      </c>
      <c r="Z473" s="302"/>
      <c r="AA473" s="108">
        <v>0</v>
      </c>
      <c r="AB473" s="109"/>
      <c r="AC473" s="110">
        <v>0</v>
      </c>
      <c r="AD473" s="110">
        <v>0</v>
      </c>
      <c r="AE473" s="110">
        <v>0</v>
      </c>
      <c r="AF473" s="110">
        <v>0</v>
      </c>
      <c r="AG473" s="110">
        <v>0</v>
      </c>
      <c r="AH473" s="110">
        <v>0</v>
      </c>
      <c r="AI473" s="110">
        <v>0</v>
      </c>
      <c r="AJ473" s="110">
        <v>0</v>
      </c>
      <c r="AK473" s="110">
        <v>0</v>
      </c>
      <c r="AL473" s="110">
        <v>0</v>
      </c>
      <c r="AM473" s="110">
        <v>0</v>
      </c>
      <c r="AN473" s="110">
        <v>0</v>
      </c>
      <c r="AO473" s="109"/>
      <c r="AP473" s="110">
        <v>0</v>
      </c>
      <c r="AQ473" s="110">
        <v>0</v>
      </c>
      <c r="AR473" s="110">
        <v>0</v>
      </c>
      <c r="AS473" s="110">
        <v>0</v>
      </c>
      <c r="AT473" s="110">
        <v>0</v>
      </c>
      <c r="AU473" s="110">
        <v>0</v>
      </c>
      <c r="AV473" s="110">
        <v>0</v>
      </c>
      <c r="AW473" s="110">
        <v>0</v>
      </c>
      <c r="AX473" s="110">
        <v>0</v>
      </c>
      <c r="AY473" s="110">
        <v>0</v>
      </c>
      <c r="AZ473" s="110">
        <v>0</v>
      </c>
      <c r="BA473" s="110">
        <v>0</v>
      </c>
    </row>
    <row r="474" spans="1:53" s="102" customFormat="1" outlineLevel="2">
      <c r="A474" s="102" t="s">
        <v>1775</v>
      </c>
      <c r="B474" s="103" t="s">
        <v>1776</v>
      </c>
      <c r="C474" s="104" t="s">
        <v>1261</v>
      </c>
      <c r="D474" s="298"/>
      <c r="E474" s="299"/>
      <c r="F474" s="105">
        <v>0</v>
      </c>
      <c r="G474" s="105">
        <v>0</v>
      </c>
      <c r="H474" s="106">
        <f t="shared" si="122"/>
        <v>0</v>
      </c>
      <c r="I474" s="300">
        <f t="shared" si="123"/>
        <v>0</v>
      </c>
      <c r="J474" s="107"/>
      <c r="K474" s="105">
        <v>0</v>
      </c>
      <c r="L474" s="105">
        <v>0</v>
      </c>
      <c r="M474" s="106">
        <f t="shared" si="124"/>
        <v>0</v>
      </c>
      <c r="N474" s="300">
        <f t="shared" si="125"/>
        <v>0</v>
      </c>
      <c r="O474" s="301"/>
      <c r="P474" s="107"/>
      <c r="Q474" s="105">
        <v>0</v>
      </c>
      <c r="R474" s="105">
        <v>0</v>
      </c>
      <c r="S474" s="106">
        <f t="shared" si="126"/>
        <v>0</v>
      </c>
      <c r="T474" s="300">
        <f t="shared" si="127"/>
        <v>0</v>
      </c>
      <c r="U474" s="107"/>
      <c r="V474" s="105">
        <v>0</v>
      </c>
      <c r="W474" s="105">
        <v>10277.66</v>
      </c>
      <c r="X474" s="106">
        <f t="shared" si="128"/>
        <v>-10277.66</v>
      </c>
      <c r="Y474" s="300" t="str">
        <f t="shared" si="129"/>
        <v>N.M.</v>
      </c>
      <c r="Z474" s="302"/>
      <c r="AA474" s="108">
        <v>1397.66</v>
      </c>
      <c r="AB474" s="109"/>
      <c r="AC474" s="110">
        <v>0</v>
      </c>
      <c r="AD474" s="110">
        <v>0</v>
      </c>
      <c r="AE474" s="110">
        <v>0</v>
      </c>
      <c r="AF474" s="110">
        <v>0</v>
      </c>
      <c r="AG474" s="110">
        <v>0</v>
      </c>
      <c r="AH474" s="110">
        <v>0</v>
      </c>
      <c r="AI474" s="110">
        <v>0</v>
      </c>
      <c r="AJ474" s="110">
        <v>0</v>
      </c>
      <c r="AK474" s="110">
        <v>0</v>
      </c>
      <c r="AL474" s="110">
        <v>0</v>
      </c>
      <c r="AM474" s="110">
        <v>0</v>
      </c>
      <c r="AN474" s="110">
        <v>0</v>
      </c>
      <c r="AO474" s="109"/>
      <c r="AP474" s="110">
        <v>0</v>
      </c>
      <c r="AQ474" s="110">
        <v>0</v>
      </c>
      <c r="AR474" s="110">
        <v>0</v>
      </c>
      <c r="AS474" s="110">
        <v>0</v>
      </c>
      <c r="AT474" s="110">
        <v>0</v>
      </c>
      <c r="AU474" s="110">
        <v>0</v>
      </c>
      <c r="AV474" s="110">
        <v>0</v>
      </c>
      <c r="AW474" s="110">
        <v>0</v>
      </c>
      <c r="AX474" s="110">
        <v>0</v>
      </c>
      <c r="AY474" s="110">
        <v>0</v>
      </c>
      <c r="AZ474" s="110">
        <v>0</v>
      </c>
      <c r="BA474" s="110">
        <v>0</v>
      </c>
    </row>
    <row r="475" spans="1:53" s="102" customFormat="1" outlineLevel="2">
      <c r="A475" s="102" t="s">
        <v>1777</v>
      </c>
      <c r="B475" s="103" t="s">
        <v>1778</v>
      </c>
      <c r="C475" s="104" t="s">
        <v>1261</v>
      </c>
      <c r="D475" s="298"/>
      <c r="E475" s="299"/>
      <c r="F475" s="105">
        <v>0</v>
      </c>
      <c r="G475" s="105">
        <v>1133</v>
      </c>
      <c r="H475" s="106">
        <f t="shared" si="122"/>
        <v>-1133</v>
      </c>
      <c r="I475" s="300" t="str">
        <f t="shared" si="123"/>
        <v>N.M.</v>
      </c>
      <c r="J475" s="107"/>
      <c r="K475" s="105">
        <v>9</v>
      </c>
      <c r="L475" s="105">
        <v>3399</v>
      </c>
      <c r="M475" s="106">
        <f t="shared" si="124"/>
        <v>-3390</v>
      </c>
      <c r="N475" s="300">
        <f t="shared" si="125"/>
        <v>-0.99735216240070612</v>
      </c>
      <c r="O475" s="301"/>
      <c r="P475" s="107"/>
      <c r="Q475" s="105">
        <v>9</v>
      </c>
      <c r="R475" s="105">
        <v>3399</v>
      </c>
      <c r="S475" s="106">
        <f t="shared" si="126"/>
        <v>-3390</v>
      </c>
      <c r="T475" s="300">
        <f t="shared" si="127"/>
        <v>-0.99735216240070612</v>
      </c>
      <c r="U475" s="107"/>
      <c r="V475" s="105">
        <v>10210</v>
      </c>
      <c r="W475" s="105">
        <v>3399</v>
      </c>
      <c r="X475" s="106">
        <f t="shared" si="128"/>
        <v>6811</v>
      </c>
      <c r="Y475" s="300">
        <f t="shared" si="129"/>
        <v>2.0038246543100913</v>
      </c>
      <c r="Z475" s="302"/>
      <c r="AA475" s="108">
        <v>0</v>
      </c>
      <c r="AB475" s="109"/>
      <c r="AC475" s="110">
        <v>1133</v>
      </c>
      <c r="AD475" s="110">
        <v>1133</v>
      </c>
      <c r="AE475" s="110">
        <v>1133</v>
      </c>
      <c r="AF475" s="110">
        <v>1133</v>
      </c>
      <c r="AG475" s="110">
        <v>1133</v>
      </c>
      <c r="AH475" s="110">
        <v>1133</v>
      </c>
      <c r="AI475" s="110">
        <v>1133</v>
      </c>
      <c r="AJ475" s="110">
        <v>1133</v>
      </c>
      <c r="AK475" s="110">
        <v>1133</v>
      </c>
      <c r="AL475" s="110">
        <v>1133</v>
      </c>
      <c r="AM475" s="110">
        <v>1133</v>
      </c>
      <c r="AN475" s="110">
        <v>1137</v>
      </c>
      <c r="AO475" s="109"/>
      <c r="AP475" s="110">
        <v>0</v>
      </c>
      <c r="AQ475" s="110">
        <v>9</v>
      </c>
      <c r="AR475" s="110">
        <v>0</v>
      </c>
      <c r="AS475" s="110">
        <v>0</v>
      </c>
      <c r="AT475" s="110">
        <v>0</v>
      </c>
      <c r="AU475" s="110">
        <v>0</v>
      </c>
      <c r="AV475" s="110">
        <v>0</v>
      </c>
      <c r="AW475" s="110">
        <v>0</v>
      </c>
      <c r="AX475" s="110">
        <v>0</v>
      </c>
      <c r="AY475" s="110">
        <v>0</v>
      </c>
      <c r="AZ475" s="110">
        <v>0</v>
      </c>
      <c r="BA475" s="110">
        <v>0</v>
      </c>
    </row>
    <row r="476" spans="1:53" s="102" customFormat="1" outlineLevel="2">
      <c r="A476" s="102" t="s">
        <v>1779</v>
      </c>
      <c r="B476" s="103" t="s">
        <v>1780</v>
      </c>
      <c r="C476" s="104" t="s">
        <v>1261</v>
      </c>
      <c r="D476" s="298"/>
      <c r="E476" s="299"/>
      <c r="F476" s="105">
        <v>1134</v>
      </c>
      <c r="G476" s="105">
        <v>0</v>
      </c>
      <c r="H476" s="106">
        <f t="shared" si="122"/>
        <v>1134</v>
      </c>
      <c r="I476" s="300" t="str">
        <f t="shared" si="123"/>
        <v>N.M.</v>
      </c>
      <c r="J476" s="107"/>
      <c r="K476" s="105">
        <v>3402</v>
      </c>
      <c r="L476" s="105">
        <v>0</v>
      </c>
      <c r="M476" s="106">
        <f t="shared" si="124"/>
        <v>3402</v>
      </c>
      <c r="N476" s="300" t="str">
        <f t="shared" si="125"/>
        <v>N.M.</v>
      </c>
      <c r="O476" s="301"/>
      <c r="P476" s="107"/>
      <c r="Q476" s="105">
        <v>3402</v>
      </c>
      <c r="R476" s="105">
        <v>0</v>
      </c>
      <c r="S476" s="106">
        <f t="shared" si="126"/>
        <v>3402</v>
      </c>
      <c r="T476" s="300" t="str">
        <f t="shared" si="127"/>
        <v>N.M.</v>
      </c>
      <c r="U476" s="107"/>
      <c r="V476" s="105">
        <v>3402</v>
      </c>
      <c r="W476" s="105">
        <v>0</v>
      </c>
      <c r="X476" s="106">
        <f t="shared" si="128"/>
        <v>3402</v>
      </c>
      <c r="Y476" s="300" t="str">
        <f t="shared" si="129"/>
        <v>N.M.</v>
      </c>
      <c r="Z476" s="302"/>
      <c r="AA476" s="108">
        <v>0</v>
      </c>
      <c r="AB476" s="109"/>
      <c r="AC476" s="110">
        <v>0</v>
      </c>
      <c r="AD476" s="110">
        <v>0</v>
      </c>
      <c r="AE476" s="110">
        <v>0</v>
      </c>
      <c r="AF476" s="110">
        <v>0</v>
      </c>
      <c r="AG476" s="110">
        <v>0</v>
      </c>
      <c r="AH476" s="110">
        <v>0</v>
      </c>
      <c r="AI476" s="110">
        <v>0</v>
      </c>
      <c r="AJ476" s="110">
        <v>0</v>
      </c>
      <c r="AK476" s="110">
        <v>0</v>
      </c>
      <c r="AL476" s="110">
        <v>0</v>
      </c>
      <c r="AM476" s="110">
        <v>0</v>
      </c>
      <c r="AN476" s="110">
        <v>0</v>
      </c>
      <c r="AO476" s="109"/>
      <c r="AP476" s="110">
        <v>1134</v>
      </c>
      <c r="AQ476" s="110">
        <v>1134</v>
      </c>
      <c r="AR476" s="110">
        <v>1134</v>
      </c>
      <c r="AS476" s="110">
        <v>0</v>
      </c>
      <c r="AT476" s="110">
        <v>0</v>
      </c>
      <c r="AU476" s="110">
        <v>0</v>
      </c>
      <c r="AV476" s="110">
        <v>0</v>
      </c>
      <c r="AW476" s="110">
        <v>0</v>
      </c>
      <c r="AX476" s="110">
        <v>0</v>
      </c>
      <c r="AY476" s="110">
        <v>0</v>
      </c>
      <c r="AZ476" s="110">
        <v>0</v>
      </c>
      <c r="BA476" s="110">
        <v>0</v>
      </c>
    </row>
    <row r="477" spans="1:53" s="131" customFormat="1">
      <c r="A477" s="111" t="s">
        <v>1264</v>
      </c>
      <c r="B477" s="331" t="s">
        <v>1265</v>
      </c>
      <c r="C477" s="347" t="s">
        <v>1266</v>
      </c>
      <c r="D477" s="352"/>
      <c r="E477" s="352"/>
      <c r="F477" s="333">
        <v>2442862.6199999996</v>
      </c>
      <c r="G477" s="333">
        <v>2112007.0699999998</v>
      </c>
      <c r="H477" s="133">
        <f t="shared" si="122"/>
        <v>330855.54999999981</v>
      </c>
      <c r="I477" s="138">
        <f t="shared" si="123"/>
        <v>0.15665456555502905</v>
      </c>
      <c r="J477" s="158"/>
      <c r="K477" s="333">
        <v>7537534.870000001</v>
      </c>
      <c r="L477" s="333">
        <v>6740771.5600000024</v>
      </c>
      <c r="M477" s="133">
        <f t="shared" si="124"/>
        <v>796763.30999999866</v>
      </c>
      <c r="N477" s="138">
        <f t="shared" si="125"/>
        <v>0.11820060996103514</v>
      </c>
      <c r="O477" s="302"/>
      <c r="P477" s="350"/>
      <c r="Q477" s="333">
        <v>7537534.870000001</v>
      </c>
      <c r="R477" s="333">
        <v>6740771.5600000024</v>
      </c>
      <c r="S477" s="133">
        <f t="shared" si="126"/>
        <v>796763.30999999866</v>
      </c>
      <c r="T477" s="138">
        <f t="shared" si="127"/>
        <v>0.11820060996103514</v>
      </c>
      <c r="U477" s="350"/>
      <c r="V477" s="333">
        <v>27663204.474000003</v>
      </c>
      <c r="W477" s="333">
        <v>26271821.090000004</v>
      </c>
      <c r="X477" s="133">
        <f t="shared" si="128"/>
        <v>1391383.3839999996</v>
      </c>
      <c r="Y477" s="137">
        <f t="shared" si="129"/>
        <v>5.2961055848907632E-2</v>
      </c>
      <c r="AA477" s="139">
        <v>1020267.9400000001</v>
      </c>
      <c r="AB477" s="351"/>
      <c r="AC477" s="333">
        <v>2285565.4899999998</v>
      </c>
      <c r="AD477" s="333">
        <v>2343199</v>
      </c>
      <c r="AE477" s="333">
        <v>2112007.0699999998</v>
      </c>
      <c r="AF477" s="333">
        <v>2238778.7300000004</v>
      </c>
      <c r="AG477" s="333">
        <v>2060979.6499999997</v>
      </c>
      <c r="AH477" s="333">
        <v>2272877.0499999998</v>
      </c>
      <c r="AI477" s="333">
        <v>2391534.2500000005</v>
      </c>
      <c r="AJ477" s="333">
        <v>2293418.7800000003</v>
      </c>
      <c r="AK477" s="333">
        <v>2182497.3980000005</v>
      </c>
      <c r="AL477" s="333">
        <v>2244372.2799999993</v>
      </c>
      <c r="AM477" s="333">
        <v>2206700.12</v>
      </c>
      <c r="AN477" s="333">
        <v>2234511.3460000004</v>
      </c>
      <c r="AO477" s="351"/>
      <c r="AP477" s="333">
        <v>2645261.02</v>
      </c>
      <c r="AQ477" s="333">
        <v>2449411.23</v>
      </c>
      <c r="AR477" s="333">
        <v>2442862.6199999996</v>
      </c>
      <c r="AS477" s="333">
        <v>-14735.64</v>
      </c>
      <c r="AT477" s="333">
        <v>0</v>
      </c>
      <c r="AU477" s="333">
        <v>0</v>
      </c>
      <c r="AV477" s="333">
        <v>0</v>
      </c>
      <c r="AW477" s="333">
        <v>0</v>
      </c>
      <c r="AX477" s="333">
        <v>0</v>
      </c>
      <c r="AY477" s="333">
        <v>0</v>
      </c>
      <c r="AZ477" s="333">
        <v>0</v>
      </c>
      <c r="BA477" s="333">
        <v>0</v>
      </c>
    </row>
    <row r="478" spans="1:53" s="131" customFormat="1" ht="0.75" customHeight="1" outlineLevel="2">
      <c r="A478" s="111"/>
      <c r="B478" s="331"/>
      <c r="C478" s="347"/>
      <c r="D478" s="352"/>
      <c r="E478" s="352"/>
      <c r="F478" s="333"/>
      <c r="G478" s="333"/>
      <c r="H478" s="133"/>
      <c r="I478" s="138"/>
      <c r="J478" s="158"/>
      <c r="K478" s="333"/>
      <c r="L478" s="333"/>
      <c r="M478" s="133"/>
      <c r="N478" s="138"/>
      <c r="O478" s="302"/>
      <c r="P478" s="350"/>
      <c r="Q478" s="333"/>
      <c r="R478" s="333"/>
      <c r="S478" s="133"/>
      <c r="T478" s="138"/>
      <c r="U478" s="350"/>
      <c r="V478" s="333"/>
      <c r="W478" s="333"/>
      <c r="X478" s="133"/>
      <c r="Y478" s="137"/>
      <c r="AA478" s="139"/>
      <c r="AB478" s="351"/>
      <c r="AC478" s="333"/>
      <c r="AD478" s="333"/>
      <c r="AE478" s="333"/>
      <c r="AF478" s="333"/>
      <c r="AG478" s="333"/>
      <c r="AH478" s="333"/>
      <c r="AI478" s="333"/>
      <c r="AJ478" s="333"/>
      <c r="AK478" s="333"/>
      <c r="AL478" s="333"/>
      <c r="AM478" s="333"/>
      <c r="AN478" s="333"/>
      <c r="AO478" s="351"/>
      <c r="AP478" s="333"/>
      <c r="AQ478" s="333"/>
      <c r="AR478" s="333"/>
      <c r="AS478" s="333"/>
      <c r="AT478" s="333"/>
      <c r="AU478" s="333"/>
      <c r="AV478" s="333"/>
      <c r="AW478" s="333"/>
      <c r="AX478" s="333"/>
      <c r="AY478" s="333"/>
      <c r="AZ478" s="333"/>
      <c r="BA478" s="333"/>
    </row>
    <row r="479" spans="1:53" s="102" customFormat="1" outlineLevel="2">
      <c r="A479" s="102" t="s">
        <v>1267</v>
      </c>
      <c r="B479" s="103" t="s">
        <v>1268</v>
      </c>
      <c r="C479" s="104" t="s">
        <v>1269</v>
      </c>
      <c r="D479" s="298"/>
      <c r="E479" s="299"/>
      <c r="F479" s="105">
        <v>2019769.575</v>
      </c>
      <c r="G479" s="105">
        <v>2134958.48</v>
      </c>
      <c r="H479" s="106">
        <f t="shared" ref="H479:H485" si="130">+F479-G479</f>
        <v>-115188.90500000003</v>
      </c>
      <c r="I479" s="300">
        <f t="shared" ref="I479:I485" si="131">IF(G479&lt;0,IF(H479=0,0,IF(OR(G479=0,F479=0),"N.M.",IF(ABS(H479/G479)&gt;=10,"N.M.",H479/(-G479)))),IF(H479=0,0,IF(OR(G479=0,F479=0),"N.M.",IF(ABS(H479/G479)&gt;=10,"N.M.",H479/G479))))</f>
        <v>-5.3953697966060692E-2</v>
      </c>
      <c r="J479" s="107"/>
      <c r="K479" s="105">
        <v>776838.245</v>
      </c>
      <c r="L479" s="105">
        <v>-1359786.929</v>
      </c>
      <c r="M479" s="106">
        <f t="shared" ref="M479:M485" si="132">+K479-L479</f>
        <v>2136625.1740000001</v>
      </c>
      <c r="N479" s="300">
        <f t="shared" ref="N479:N485" si="133">IF(L479&lt;0,IF(M479=0,0,IF(OR(L479=0,K479=0),"N.M.",IF(ABS(M479/L479)&gt;=10,"N.M.",M479/(-L479)))),IF(M479=0,0,IF(OR(L479=0,K479=0),"N.M.",IF(ABS(M479/L479)&gt;=10,"N.M.",M479/L479))))</f>
        <v>1.5712940964738455</v>
      </c>
      <c r="O479" s="301"/>
      <c r="P479" s="107"/>
      <c r="Q479" s="105">
        <v>776838.245</v>
      </c>
      <c r="R479" s="105">
        <v>-1359786.929</v>
      </c>
      <c r="S479" s="106">
        <f t="shared" ref="S479:S485" si="134">+Q479-R479</f>
        <v>2136625.1740000001</v>
      </c>
      <c r="T479" s="300">
        <f t="shared" ref="T479:T485" si="135">IF(R479&lt;0,IF(S479=0,0,IF(OR(R479=0,Q479=0),"N.M.",IF(ABS(S479/R479)&gt;=10,"N.M.",S479/(-R479)))),IF(S479=0,0,IF(OR(R479=0,Q479=0),"N.M.",IF(ABS(S479/R479)&gt;=10,"N.M.",S479/R479))))</f>
        <v>1.5712940964738455</v>
      </c>
      <c r="U479" s="107"/>
      <c r="V479" s="105">
        <v>3493487.1240000003</v>
      </c>
      <c r="W479" s="105">
        <v>1746225.5010000002</v>
      </c>
      <c r="X479" s="106">
        <f t="shared" ref="X479:X485" si="136">+V479-W479</f>
        <v>1747261.6230000001</v>
      </c>
      <c r="Y479" s="300">
        <f t="shared" ref="Y479:Y485" si="137">IF(W479&lt;0,IF(X479=0,0,IF(OR(W479=0,V479=0),"N.M.",IF(ABS(X479/W479)&gt;=10,"N.M.",X479/(-W479)))),IF(X479=0,0,IF(OR(W479=0,V479=0),"N.M.",IF(ABS(X479/W479)&gt;=10,"N.M.",X479/W479))))</f>
        <v>1.0005933494840196</v>
      </c>
      <c r="Z479" s="302"/>
      <c r="AA479" s="108">
        <v>11611293.1</v>
      </c>
      <c r="AB479" s="109"/>
      <c r="AC479" s="110">
        <v>-5701031.6710000001</v>
      </c>
      <c r="AD479" s="110">
        <v>2206286.2620000001</v>
      </c>
      <c r="AE479" s="110">
        <v>2134958.48</v>
      </c>
      <c r="AF479" s="110">
        <v>-4153733.9339999999</v>
      </c>
      <c r="AG479" s="110">
        <v>4590288.3470000001</v>
      </c>
      <c r="AH479" s="110">
        <v>-8582319.9959999993</v>
      </c>
      <c r="AI479" s="110">
        <v>12573747.956</v>
      </c>
      <c r="AJ479" s="110">
        <v>374003.39399999997</v>
      </c>
      <c r="AK479" s="110">
        <v>-9120874.8239999991</v>
      </c>
      <c r="AL479" s="110">
        <v>5604399.5760000004</v>
      </c>
      <c r="AM479" s="110">
        <v>3285745.0300000003</v>
      </c>
      <c r="AN479" s="110">
        <v>-1854606.67</v>
      </c>
      <c r="AO479" s="109"/>
      <c r="AP479" s="110">
        <v>-620559.94000000006</v>
      </c>
      <c r="AQ479" s="110">
        <v>-622371.39</v>
      </c>
      <c r="AR479" s="110">
        <v>2019769.575</v>
      </c>
      <c r="AS479" s="110">
        <v>7864944.8250000002</v>
      </c>
      <c r="AT479" s="110">
        <v>0</v>
      </c>
      <c r="AU479" s="110">
        <v>0</v>
      </c>
      <c r="AV479" s="110">
        <v>0</v>
      </c>
      <c r="AW479" s="110">
        <v>0</v>
      </c>
      <c r="AX479" s="110">
        <v>0</v>
      </c>
      <c r="AY479" s="110">
        <v>0</v>
      </c>
      <c r="AZ479" s="110">
        <v>0</v>
      </c>
      <c r="BA479" s="110">
        <v>0</v>
      </c>
    </row>
    <row r="480" spans="1:53" s="361" customFormat="1" outlineLevel="2">
      <c r="A480" s="354" t="s">
        <v>1270</v>
      </c>
      <c r="B480" s="355"/>
      <c r="C480" s="356" t="s">
        <v>1271</v>
      </c>
      <c r="D480" s="357"/>
      <c r="E480" s="357"/>
      <c r="F480" s="358">
        <v>2019769.575</v>
      </c>
      <c r="G480" s="358">
        <v>2134958.48</v>
      </c>
      <c r="H480" s="359">
        <f t="shared" si="130"/>
        <v>-115188.90500000003</v>
      </c>
      <c r="I480" s="140">
        <f t="shared" si="131"/>
        <v>-5.3953697966060692E-2</v>
      </c>
      <c r="J480" s="141"/>
      <c r="K480" s="358">
        <v>776838.245</v>
      </c>
      <c r="L480" s="358">
        <v>-1359786.929</v>
      </c>
      <c r="M480" s="359">
        <f t="shared" si="132"/>
        <v>2136625.1740000001</v>
      </c>
      <c r="N480" s="140">
        <f t="shared" si="133"/>
        <v>1.5712940964738455</v>
      </c>
      <c r="O480" s="360"/>
      <c r="P480" s="142"/>
      <c r="Q480" s="358">
        <v>776838.245</v>
      </c>
      <c r="R480" s="358">
        <v>-1359786.929</v>
      </c>
      <c r="S480" s="359">
        <f t="shared" si="134"/>
        <v>2136625.1740000001</v>
      </c>
      <c r="T480" s="140">
        <f t="shared" si="135"/>
        <v>1.5712940964738455</v>
      </c>
      <c r="U480" s="142"/>
      <c r="V480" s="358">
        <v>3493487.1240000003</v>
      </c>
      <c r="W480" s="358">
        <v>1746225.5010000002</v>
      </c>
      <c r="X480" s="359">
        <f t="shared" si="136"/>
        <v>1747261.6230000001</v>
      </c>
      <c r="Y480" s="143">
        <f t="shared" si="137"/>
        <v>1.0005933494840196</v>
      </c>
      <c r="AA480" s="144">
        <v>11611293.1</v>
      </c>
      <c r="AB480" s="351"/>
      <c r="AC480" s="358">
        <v>-5701031.6710000001</v>
      </c>
      <c r="AD480" s="358">
        <v>2206286.2620000001</v>
      </c>
      <c r="AE480" s="358">
        <v>2134958.48</v>
      </c>
      <c r="AF480" s="358">
        <v>-4153733.9339999999</v>
      </c>
      <c r="AG480" s="358">
        <v>4590288.3470000001</v>
      </c>
      <c r="AH480" s="358">
        <v>-8582319.9959999993</v>
      </c>
      <c r="AI480" s="358">
        <v>12573747.956</v>
      </c>
      <c r="AJ480" s="358">
        <v>374003.39399999997</v>
      </c>
      <c r="AK480" s="358">
        <v>-9120874.8239999991</v>
      </c>
      <c r="AL480" s="358">
        <v>5604399.5760000004</v>
      </c>
      <c r="AM480" s="358">
        <v>3285745.0300000003</v>
      </c>
      <c r="AN480" s="358">
        <v>-1854606.67</v>
      </c>
      <c r="AO480" s="351"/>
      <c r="AP480" s="358">
        <v>-620559.94000000006</v>
      </c>
      <c r="AQ480" s="358">
        <v>-622371.39</v>
      </c>
      <c r="AR480" s="358">
        <v>2019769.575</v>
      </c>
      <c r="AS480" s="358">
        <v>7864944.8250000002</v>
      </c>
      <c r="AT480" s="358">
        <v>0</v>
      </c>
      <c r="AU480" s="358">
        <v>0</v>
      </c>
      <c r="AV480" s="358">
        <v>0</v>
      </c>
      <c r="AW480" s="358">
        <v>0</v>
      </c>
      <c r="AX480" s="358">
        <v>0</v>
      </c>
      <c r="AY480" s="358">
        <v>0</v>
      </c>
      <c r="AZ480" s="358">
        <v>0</v>
      </c>
      <c r="BA480" s="358">
        <v>0</v>
      </c>
    </row>
    <row r="481" spans="1:53" s="102" customFormat="1" outlineLevel="2">
      <c r="A481" s="102" t="s">
        <v>1272</v>
      </c>
      <c r="B481" s="103" t="s">
        <v>1273</v>
      </c>
      <c r="C481" s="104" t="s">
        <v>1274</v>
      </c>
      <c r="D481" s="298"/>
      <c r="E481" s="299"/>
      <c r="F481" s="105">
        <v>0</v>
      </c>
      <c r="G481" s="105">
        <v>-2.86</v>
      </c>
      <c r="H481" s="106">
        <f t="shared" si="130"/>
        <v>2.86</v>
      </c>
      <c r="I481" s="300" t="str">
        <f t="shared" si="131"/>
        <v>N.M.</v>
      </c>
      <c r="J481" s="107"/>
      <c r="K481" s="105">
        <v>0</v>
      </c>
      <c r="L481" s="105">
        <v>102509.55</v>
      </c>
      <c r="M481" s="106">
        <f t="shared" si="132"/>
        <v>-102509.55</v>
      </c>
      <c r="N481" s="300" t="str">
        <f t="shared" si="133"/>
        <v>N.M.</v>
      </c>
      <c r="O481" s="301"/>
      <c r="P481" s="107"/>
      <c r="Q481" s="105">
        <v>0</v>
      </c>
      <c r="R481" s="105">
        <v>102509.55</v>
      </c>
      <c r="S481" s="106">
        <f t="shared" si="134"/>
        <v>-102509.55</v>
      </c>
      <c r="T481" s="300" t="str">
        <f t="shared" si="135"/>
        <v>N.M.</v>
      </c>
      <c r="U481" s="107"/>
      <c r="V481" s="105">
        <v>-5.97</v>
      </c>
      <c r="W481" s="105">
        <v>1213719.8700000001</v>
      </c>
      <c r="X481" s="106">
        <f t="shared" si="136"/>
        <v>-1213725.8400000001</v>
      </c>
      <c r="Y481" s="300">
        <f t="shared" si="137"/>
        <v>-1.0000049187626796</v>
      </c>
      <c r="Z481" s="302"/>
      <c r="AA481" s="108">
        <v>60161.61</v>
      </c>
      <c r="AB481" s="109"/>
      <c r="AC481" s="110">
        <v>42482.340000000004</v>
      </c>
      <c r="AD481" s="110">
        <v>60030.07</v>
      </c>
      <c r="AE481" s="110">
        <v>-2.86</v>
      </c>
      <c r="AF481" s="110">
        <v>0</v>
      </c>
      <c r="AG481" s="110">
        <v>-0.25</v>
      </c>
      <c r="AH481" s="110">
        <v>-5.72</v>
      </c>
      <c r="AI481" s="110">
        <v>0</v>
      </c>
      <c r="AJ481" s="110">
        <v>0</v>
      </c>
      <c r="AK481" s="110">
        <v>0</v>
      </c>
      <c r="AL481" s="110">
        <v>0</v>
      </c>
      <c r="AM481" s="110">
        <v>0</v>
      </c>
      <c r="AN481" s="110">
        <v>0</v>
      </c>
      <c r="AO481" s="109"/>
      <c r="AP481" s="110">
        <v>0</v>
      </c>
      <c r="AQ481" s="110">
        <v>0</v>
      </c>
      <c r="AR481" s="110">
        <v>0</v>
      </c>
      <c r="AS481" s="110">
        <v>0</v>
      </c>
      <c r="AT481" s="110">
        <v>0</v>
      </c>
      <c r="AU481" s="110">
        <v>0</v>
      </c>
      <c r="AV481" s="110">
        <v>0</v>
      </c>
      <c r="AW481" s="110">
        <v>0</v>
      </c>
      <c r="AX481" s="110">
        <v>0</v>
      </c>
      <c r="AY481" s="110">
        <v>0</v>
      </c>
      <c r="AZ481" s="110">
        <v>0</v>
      </c>
      <c r="BA481" s="110">
        <v>0</v>
      </c>
    </row>
    <row r="482" spans="1:53" s="102" customFormat="1" outlineLevel="2">
      <c r="A482" s="102" t="s">
        <v>1275</v>
      </c>
      <c r="B482" s="103" t="s">
        <v>1276</v>
      </c>
      <c r="C482" s="104" t="s">
        <v>1277</v>
      </c>
      <c r="D482" s="298"/>
      <c r="E482" s="299"/>
      <c r="F482" s="105">
        <v>0</v>
      </c>
      <c r="G482" s="105">
        <v>0</v>
      </c>
      <c r="H482" s="106">
        <f t="shared" si="130"/>
        <v>0</v>
      </c>
      <c r="I482" s="300">
        <f t="shared" si="131"/>
        <v>0</v>
      </c>
      <c r="J482" s="107"/>
      <c r="K482" s="105">
        <v>0</v>
      </c>
      <c r="L482" s="105">
        <v>192670.15</v>
      </c>
      <c r="M482" s="106">
        <f t="shared" si="132"/>
        <v>-192670.15</v>
      </c>
      <c r="N482" s="300" t="str">
        <f t="shared" si="133"/>
        <v>N.M.</v>
      </c>
      <c r="O482" s="301"/>
      <c r="P482" s="107"/>
      <c r="Q482" s="105">
        <v>0</v>
      </c>
      <c r="R482" s="105">
        <v>192670.15</v>
      </c>
      <c r="S482" s="106">
        <f t="shared" si="134"/>
        <v>-192670.15</v>
      </c>
      <c r="T482" s="300" t="str">
        <f t="shared" si="135"/>
        <v>N.M.</v>
      </c>
      <c r="U482" s="107"/>
      <c r="V482" s="105">
        <v>-232191.79</v>
      </c>
      <c r="W482" s="105">
        <v>790296.34000000008</v>
      </c>
      <c r="X482" s="106">
        <f t="shared" si="136"/>
        <v>-1022488.1300000001</v>
      </c>
      <c r="Y482" s="300">
        <f t="shared" si="137"/>
        <v>-1.2938034484633953</v>
      </c>
      <c r="Z482" s="302"/>
      <c r="AA482" s="108">
        <v>318088.77</v>
      </c>
      <c r="AB482" s="109"/>
      <c r="AC482" s="110">
        <v>368396.63</v>
      </c>
      <c r="AD482" s="110">
        <v>-175726.48</v>
      </c>
      <c r="AE482" s="110">
        <v>0</v>
      </c>
      <c r="AF482" s="110">
        <v>1334.73</v>
      </c>
      <c r="AG482" s="110">
        <v>2034.06</v>
      </c>
      <c r="AH482" s="110">
        <v>-235560.58000000002</v>
      </c>
      <c r="AI482" s="110">
        <v>0</v>
      </c>
      <c r="AJ482" s="110">
        <v>0</v>
      </c>
      <c r="AK482" s="110">
        <v>0</v>
      </c>
      <c r="AL482" s="110">
        <v>0</v>
      </c>
      <c r="AM482" s="110">
        <v>0</v>
      </c>
      <c r="AN482" s="110">
        <v>0</v>
      </c>
      <c r="AO482" s="109"/>
      <c r="AP482" s="110">
        <v>0</v>
      </c>
      <c r="AQ482" s="110">
        <v>0</v>
      </c>
      <c r="AR482" s="110">
        <v>0</v>
      </c>
      <c r="AS482" s="110">
        <v>0</v>
      </c>
      <c r="AT482" s="110">
        <v>0</v>
      </c>
      <c r="AU482" s="110">
        <v>0</v>
      </c>
      <c r="AV482" s="110">
        <v>0</v>
      </c>
      <c r="AW482" s="110">
        <v>0</v>
      </c>
      <c r="AX482" s="110">
        <v>0</v>
      </c>
      <c r="AY482" s="110">
        <v>0</v>
      </c>
      <c r="AZ482" s="110">
        <v>0</v>
      </c>
      <c r="BA482" s="110">
        <v>0</v>
      </c>
    </row>
    <row r="483" spans="1:53" s="361" customFormat="1" outlineLevel="2">
      <c r="A483" s="111" t="s">
        <v>1278</v>
      </c>
      <c r="B483" s="355"/>
      <c r="C483" s="362" t="s">
        <v>1279</v>
      </c>
      <c r="D483" s="357"/>
      <c r="E483" s="357"/>
      <c r="F483" s="358">
        <v>0</v>
      </c>
      <c r="G483" s="358">
        <v>-2.86</v>
      </c>
      <c r="H483" s="359">
        <f t="shared" si="130"/>
        <v>2.86</v>
      </c>
      <c r="I483" s="140" t="str">
        <f t="shared" si="131"/>
        <v>N.M.</v>
      </c>
      <c r="J483" s="141"/>
      <c r="K483" s="358">
        <v>0</v>
      </c>
      <c r="L483" s="358">
        <v>295179.7</v>
      </c>
      <c r="M483" s="359">
        <f t="shared" si="132"/>
        <v>-295179.7</v>
      </c>
      <c r="N483" s="140" t="str">
        <f t="shared" si="133"/>
        <v>N.M.</v>
      </c>
      <c r="O483" s="363"/>
      <c r="P483" s="145"/>
      <c r="Q483" s="358">
        <v>0</v>
      </c>
      <c r="R483" s="358">
        <v>295179.7</v>
      </c>
      <c r="S483" s="359">
        <f t="shared" si="134"/>
        <v>-295179.7</v>
      </c>
      <c r="T483" s="140" t="str">
        <f t="shared" si="135"/>
        <v>N.M.</v>
      </c>
      <c r="U483" s="145"/>
      <c r="V483" s="358">
        <v>-232197.76000000001</v>
      </c>
      <c r="W483" s="358">
        <v>2004016.2100000002</v>
      </c>
      <c r="X483" s="359">
        <f t="shared" si="136"/>
        <v>-2236213.9700000002</v>
      </c>
      <c r="Y483" s="143">
        <f t="shared" si="137"/>
        <v>-1.1158662084874054</v>
      </c>
      <c r="AA483" s="144">
        <v>378250.38</v>
      </c>
      <c r="AB483" s="351"/>
      <c r="AC483" s="358">
        <v>410878.97000000003</v>
      </c>
      <c r="AD483" s="358">
        <v>-115696.41</v>
      </c>
      <c r="AE483" s="358">
        <v>-2.86</v>
      </c>
      <c r="AF483" s="358">
        <v>1334.73</v>
      </c>
      <c r="AG483" s="358">
        <v>2033.81</v>
      </c>
      <c r="AH483" s="358">
        <v>-235566.30000000002</v>
      </c>
      <c r="AI483" s="358">
        <v>0</v>
      </c>
      <c r="AJ483" s="358">
        <v>0</v>
      </c>
      <c r="AK483" s="358">
        <v>0</v>
      </c>
      <c r="AL483" s="358">
        <v>0</v>
      </c>
      <c r="AM483" s="358">
        <v>0</v>
      </c>
      <c r="AN483" s="358">
        <v>0</v>
      </c>
      <c r="AO483" s="351"/>
      <c r="AP483" s="358">
        <v>0</v>
      </c>
      <c r="AQ483" s="358">
        <v>0</v>
      </c>
      <c r="AR483" s="358">
        <v>0</v>
      </c>
      <c r="AS483" s="358">
        <v>0</v>
      </c>
      <c r="AT483" s="358">
        <v>0</v>
      </c>
      <c r="AU483" s="358">
        <v>0</v>
      </c>
      <c r="AV483" s="358">
        <v>0</v>
      </c>
      <c r="AW483" s="358">
        <v>0</v>
      </c>
      <c r="AX483" s="358">
        <v>0</v>
      </c>
      <c r="AY483" s="358">
        <v>0</v>
      </c>
      <c r="AZ483" s="358">
        <v>0</v>
      </c>
      <c r="BA483" s="358">
        <v>0</v>
      </c>
    </row>
    <row r="484" spans="1:53" s="361" customFormat="1" outlineLevel="2">
      <c r="A484" s="111"/>
      <c r="B484" s="355"/>
      <c r="C484" s="356" t="s">
        <v>1280</v>
      </c>
      <c r="D484" s="357"/>
      <c r="E484" s="357"/>
      <c r="F484" s="358">
        <f>F483*0.21</f>
        <v>0</v>
      </c>
      <c r="G484" s="358">
        <f>G483*0.21</f>
        <v>-0.60059999999999991</v>
      </c>
      <c r="H484" s="359">
        <f t="shared" si="130"/>
        <v>0.60059999999999991</v>
      </c>
      <c r="I484" s="140" t="str">
        <f t="shared" si="131"/>
        <v>N.M.</v>
      </c>
      <c r="J484" s="141"/>
      <c r="K484" s="358">
        <f>K483*0.21</f>
        <v>0</v>
      </c>
      <c r="L484" s="358">
        <f>L483*0.21</f>
        <v>61987.737000000001</v>
      </c>
      <c r="M484" s="359">
        <f t="shared" si="132"/>
        <v>-61987.737000000001</v>
      </c>
      <c r="N484" s="140" t="str">
        <f t="shared" si="133"/>
        <v>N.M.</v>
      </c>
      <c r="O484" s="363"/>
      <c r="P484" s="145"/>
      <c r="Q484" s="358">
        <f>Q483*0.21</f>
        <v>0</v>
      </c>
      <c r="R484" s="358">
        <f>R483*0.21</f>
        <v>61987.737000000001</v>
      </c>
      <c r="S484" s="359">
        <f t="shared" si="134"/>
        <v>-61987.737000000001</v>
      </c>
      <c r="T484" s="140" t="str">
        <f t="shared" si="135"/>
        <v>N.M.</v>
      </c>
      <c r="U484" s="145"/>
      <c r="V484" s="358">
        <f>V483*0.21</f>
        <v>-48761.529600000002</v>
      </c>
      <c r="W484" s="358">
        <f>W483*0.21</f>
        <v>420843.40410000004</v>
      </c>
      <c r="X484" s="359">
        <f t="shared" si="136"/>
        <v>-469604.93370000005</v>
      </c>
      <c r="Y484" s="143">
        <f t="shared" si="137"/>
        <v>-1.1158662084874054</v>
      </c>
      <c r="AA484" s="144">
        <f>AA483*0.21</f>
        <v>79432.579799999992</v>
      </c>
      <c r="AB484" s="351"/>
      <c r="AC484" s="358">
        <f t="shared" ref="AC484:AN484" si="138">AC483*0.21</f>
        <v>86284.583700000003</v>
      </c>
      <c r="AD484" s="358">
        <f t="shared" si="138"/>
        <v>-24296.2461</v>
      </c>
      <c r="AE484" s="358">
        <f t="shared" si="138"/>
        <v>-0.60059999999999991</v>
      </c>
      <c r="AF484" s="358">
        <f t="shared" si="138"/>
        <v>280.29329999999999</v>
      </c>
      <c r="AG484" s="358">
        <f t="shared" si="138"/>
        <v>427.1001</v>
      </c>
      <c r="AH484" s="358">
        <f t="shared" si="138"/>
        <v>-49468.923000000003</v>
      </c>
      <c r="AI484" s="358">
        <f t="shared" si="138"/>
        <v>0</v>
      </c>
      <c r="AJ484" s="358">
        <f t="shared" si="138"/>
        <v>0</v>
      </c>
      <c r="AK484" s="358">
        <f t="shared" si="138"/>
        <v>0</v>
      </c>
      <c r="AL484" s="358">
        <f t="shared" si="138"/>
        <v>0</v>
      </c>
      <c r="AM484" s="358">
        <f t="shared" si="138"/>
        <v>0</v>
      </c>
      <c r="AN484" s="358">
        <f t="shared" si="138"/>
        <v>0</v>
      </c>
      <c r="AO484" s="351"/>
      <c r="AP484" s="358">
        <f t="shared" ref="AP484:BA484" si="139">AP483*0.21</f>
        <v>0</v>
      </c>
      <c r="AQ484" s="358">
        <f t="shared" si="139"/>
        <v>0</v>
      </c>
      <c r="AR484" s="358">
        <f t="shared" si="139"/>
        <v>0</v>
      </c>
      <c r="AS484" s="358">
        <f t="shared" si="139"/>
        <v>0</v>
      </c>
      <c r="AT484" s="358">
        <f t="shared" si="139"/>
        <v>0</v>
      </c>
      <c r="AU484" s="358">
        <f t="shared" si="139"/>
        <v>0</v>
      </c>
      <c r="AV484" s="358">
        <f t="shared" si="139"/>
        <v>0</v>
      </c>
      <c r="AW484" s="358">
        <f t="shared" si="139"/>
        <v>0</v>
      </c>
      <c r="AX484" s="358">
        <f t="shared" si="139"/>
        <v>0</v>
      </c>
      <c r="AY484" s="358">
        <f t="shared" si="139"/>
        <v>0</v>
      </c>
      <c r="AZ484" s="358">
        <f t="shared" si="139"/>
        <v>0</v>
      </c>
      <c r="BA484" s="358">
        <f t="shared" si="139"/>
        <v>0</v>
      </c>
    </row>
    <row r="485" spans="1:53" s="131" customFormat="1">
      <c r="A485" s="111"/>
      <c r="B485" s="331" t="s">
        <v>1281</v>
      </c>
      <c r="C485" s="347" t="s">
        <v>1282</v>
      </c>
      <c r="D485" s="352"/>
      <c r="E485" s="352"/>
      <c r="F485" s="333">
        <f>F480+F484</f>
        <v>2019769.575</v>
      </c>
      <c r="G485" s="333">
        <f>G480+G484</f>
        <v>2134957.8794</v>
      </c>
      <c r="H485" s="133">
        <f t="shared" si="130"/>
        <v>-115188.30440000002</v>
      </c>
      <c r="I485" s="138">
        <f t="shared" si="131"/>
        <v>-5.3953431827129104E-2</v>
      </c>
      <c r="J485" s="158"/>
      <c r="K485" s="333">
        <f>K480+K484</f>
        <v>776838.245</v>
      </c>
      <c r="L485" s="333">
        <f>L480+L484</f>
        <v>-1297799.192</v>
      </c>
      <c r="M485" s="133">
        <f t="shared" si="132"/>
        <v>2074637.4369999999</v>
      </c>
      <c r="N485" s="138">
        <f t="shared" si="133"/>
        <v>1.5985812364413923</v>
      </c>
      <c r="O485" s="321"/>
      <c r="P485" s="364"/>
      <c r="Q485" s="333">
        <f>Q480+Q484</f>
        <v>776838.245</v>
      </c>
      <c r="R485" s="333">
        <f>R480+R484</f>
        <v>-1297799.192</v>
      </c>
      <c r="S485" s="133">
        <f t="shared" si="134"/>
        <v>2074637.4369999999</v>
      </c>
      <c r="T485" s="138">
        <f t="shared" si="135"/>
        <v>1.5985812364413923</v>
      </c>
      <c r="U485" s="364"/>
      <c r="V485" s="333">
        <f>V480+V484</f>
        <v>3444725.5944000003</v>
      </c>
      <c r="W485" s="333">
        <f>W480+W484</f>
        <v>2167068.9051000001</v>
      </c>
      <c r="X485" s="133">
        <f t="shared" si="136"/>
        <v>1277656.6893000002</v>
      </c>
      <c r="Y485" s="137">
        <f t="shared" si="137"/>
        <v>0.58957824843185702</v>
      </c>
      <c r="AA485" s="139">
        <f>AA480+AA484</f>
        <v>11690725.6798</v>
      </c>
      <c r="AB485" s="351"/>
      <c r="AC485" s="333">
        <f t="shared" ref="AC485:AN485" si="140">AC480+AC484</f>
        <v>-5614747.0872999998</v>
      </c>
      <c r="AD485" s="333">
        <f t="shared" si="140"/>
        <v>2181990.0159</v>
      </c>
      <c r="AE485" s="333">
        <f t="shared" si="140"/>
        <v>2134957.8794</v>
      </c>
      <c r="AF485" s="333">
        <f t="shared" si="140"/>
        <v>-4153453.6406999999</v>
      </c>
      <c r="AG485" s="333">
        <f t="shared" si="140"/>
        <v>4590715.4471000005</v>
      </c>
      <c r="AH485" s="333">
        <f t="shared" si="140"/>
        <v>-8631788.9189999998</v>
      </c>
      <c r="AI485" s="333">
        <f t="shared" si="140"/>
        <v>12573747.956</v>
      </c>
      <c r="AJ485" s="333">
        <f t="shared" si="140"/>
        <v>374003.39399999997</v>
      </c>
      <c r="AK485" s="333">
        <f t="shared" si="140"/>
        <v>-9120874.8239999991</v>
      </c>
      <c r="AL485" s="333">
        <f t="shared" si="140"/>
        <v>5604399.5760000004</v>
      </c>
      <c r="AM485" s="333">
        <f t="shared" si="140"/>
        <v>3285745.0300000003</v>
      </c>
      <c r="AN485" s="333">
        <f t="shared" si="140"/>
        <v>-1854606.67</v>
      </c>
      <c r="AO485" s="351"/>
      <c r="AP485" s="333">
        <f t="shared" ref="AP485:BA485" si="141">AP480+AP484</f>
        <v>-620559.94000000006</v>
      </c>
      <c r="AQ485" s="333">
        <f t="shared" si="141"/>
        <v>-622371.39</v>
      </c>
      <c r="AR485" s="333">
        <f t="shared" si="141"/>
        <v>2019769.575</v>
      </c>
      <c r="AS485" s="333">
        <f t="shared" si="141"/>
        <v>7864944.8250000002</v>
      </c>
      <c r="AT485" s="333">
        <f t="shared" si="141"/>
        <v>0</v>
      </c>
      <c r="AU485" s="333">
        <f t="shared" si="141"/>
        <v>0</v>
      </c>
      <c r="AV485" s="333">
        <f t="shared" si="141"/>
        <v>0</v>
      </c>
      <c r="AW485" s="333">
        <f t="shared" si="141"/>
        <v>0</v>
      </c>
      <c r="AX485" s="333">
        <f t="shared" si="141"/>
        <v>0</v>
      </c>
      <c r="AY485" s="333">
        <f t="shared" si="141"/>
        <v>0</v>
      </c>
      <c r="AZ485" s="333">
        <f t="shared" si="141"/>
        <v>0</v>
      </c>
      <c r="BA485" s="333">
        <f t="shared" si="141"/>
        <v>0</v>
      </c>
    </row>
    <row r="486" spans="1:53" s="131" customFormat="1" ht="0.75" customHeight="1" outlineLevel="2">
      <c r="A486" s="111"/>
      <c r="B486" s="331"/>
      <c r="C486" s="347"/>
      <c r="D486" s="352"/>
      <c r="E486" s="352"/>
      <c r="F486" s="333"/>
      <c r="G486" s="333"/>
      <c r="H486" s="133"/>
      <c r="I486" s="138"/>
      <c r="J486" s="158"/>
      <c r="K486" s="333"/>
      <c r="L486" s="333"/>
      <c r="M486" s="133"/>
      <c r="N486" s="138"/>
      <c r="O486" s="321"/>
      <c r="P486" s="364"/>
      <c r="Q486" s="333"/>
      <c r="R486" s="333"/>
      <c r="S486" s="133"/>
      <c r="T486" s="138"/>
      <c r="U486" s="364"/>
      <c r="V486" s="333"/>
      <c r="W486" s="333"/>
      <c r="X486" s="133"/>
      <c r="Y486" s="137"/>
      <c r="AA486" s="139"/>
      <c r="AB486" s="351"/>
      <c r="AC486" s="333"/>
      <c r="AD486" s="333"/>
      <c r="AE486" s="333"/>
      <c r="AF486" s="333"/>
      <c r="AG486" s="333"/>
      <c r="AH486" s="333"/>
      <c r="AI486" s="333"/>
      <c r="AJ486" s="333"/>
      <c r="AK486" s="333"/>
      <c r="AL486" s="333"/>
      <c r="AM486" s="333"/>
      <c r="AN486" s="333"/>
      <c r="AO486" s="351"/>
      <c r="AP486" s="333"/>
      <c r="AQ486" s="333"/>
      <c r="AR486" s="333"/>
      <c r="AS486" s="333"/>
      <c r="AT486" s="333"/>
      <c r="AU486" s="333"/>
      <c r="AV486" s="333"/>
      <c r="AW486" s="333"/>
      <c r="AX486" s="333"/>
      <c r="AY486" s="333"/>
      <c r="AZ486" s="333"/>
      <c r="BA486" s="333"/>
    </row>
    <row r="487" spans="1:53" s="102" customFormat="1" outlineLevel="2">
      <c r="A487" s="102" t="s">
        <v>1781</v>
      </c>
      <c r="B487" s="103" t="s">
        <v>1782</v>
      </c>
      <c r="C487" s="104" t="s">
        <v>1283</v>
      </c>
      <c r="D487" s="298"/>
      <c r="E487" s="299"/>
      <c r="F487" s="105">
        <v>0</v>
      </c>
      <c r="G487" s="105">
        <v>0</v>
      </c>
      <c r="H487" s="106">
        <f>+F487-G487</f>
        <v>0</v>
      </c>
      <c r="I487" s="300">
        <f>IF(G487&lt;0,IF(H487=0,0,IF(OR(G487=0,F487=0),"N.M.",IF(ABS(H487/G487)&gt;=10,"N.M.",H487/(-G487)))),IF(H487=0,0,IF(OR(G487=0,F487=0),"N.M.",IF(ABS(H487/G487)&gt;=10,"N.M.",H487/G487))))</f>
        <v>0</v>
      </c>
      <c r="J487" s="107"/>
      <c r="K487" s="105">
        <v>0</v>
      </c>
      <c r="L487" s="105">
        <v>0</v>
      </c>
      <c r="M487" s="106">
        <f>+K487-L487</f>
        <v>0</v>
      </c>
      <c r="N487" s="300">
        <f>IF(L487&lt;0,IF(M487=0,0,IF(OR(L487=0,K487=0),"N.M.",IF(ABS(M487/L487)&gt;=10,"N.M.",M487/(-L487)))),IF(M487=0,0,IF(OR(L487=0,K487=0),"N.M.",IF(ABS(M487/L487)&gt;=10,"N.M.",M487/L487))))</f>
        <v>0</v>
      </c>
      <c r="O487" s="301"/>
      <c r="P487" s="107"/>
      <c r="Q487" s="105">
        <v>0</v>
      </c>
      <c r="R487" s="105">
        <v>0</v>
      </c>
      <c r="S487" s="106">
        <f>+Q487-R487</f>
        <v>0</v>
      </c>
      <c r="T487" s="300">
        <f>IF(R487&lt;0,IF(S487=0,0,IF(OR(R487=0,Q487=0),"N.M.",IF(ABS(S487/R487)&gt;=10,"N.M.",S487/(-R487)))),IF(S487=0,0,IF(OR(R487=0,Q487=0),"N.M.",IF(ABS(S487/R487)&gt;=10,"N.M.",S487/R487))))</f>
        <v>0</v>
      </c>
      <c r="U487" s="107"/>
      <c r="V487" s="105">
        <v>0</v>
      </c>
      <c r="W487" s="105">
        <v>296028</v>
      </c>
      <c r="X487" s="106">
        <f>+V487-W487</f>
        <v>-296028</v>
      </c>
      <c r="Y487" s="300" t="str">
        <f>IF(W487&lt;0,IF(X487=0,0,IF(OR(W487=0,V487=0),"N.M.",IF(ABS(X487/W487)&gt;=10,"N.M.",X487/(-W487)))),IF(X487=0,0,IF(OR(W487=0,V487=0),"N.M.",IF(ABS(X487/W487)&gt;=10,"N.M.",X487/W487))))</f>
        <v>N.M.</v>
      </c>
      <c r="Z487" s="302"/>
      <c r="AA487" s="108">
        <v>238137.26</v>
      </c>
      <c r="AB487" s="109"/>
      <c r="AC487" s="110">
        <v>0</v>
      </c>
      <c r="AD487" s="110">
        <v>0</v>
      </c>
      <c r="AE487" s="110">
        <v>0</v>
      </c>
      <c r="AF487" s="110">
        <v>0</v>
      </c>
      <c r="AG487" s="110">
        <v>0</v>
      </c>
      <c r="AH487" s="110">
        <v>0</v>
      </c>
      <c r="AI487" s="110">
        <v>0</v>
      </c>
      <c r="AJ487" s="110">
        <v>0</v>
      </c>
      <c r="AK487" s="110">
        <v>0</v>
      </c>
      <c r="AL487" s="110">
        <v>0</v>
      </c>
      <c r="AM487" s="110">
        <v>0</v>
      </c>
      <c r="AN487" s="110">
        <v>0</v>
      </c>
      <c r="AO487" s="109"/>
      <c r="AP487" s="110">
        <v>0</v>
      </c>
      <c r="AQ487" s="110">
        <v>0</v>
      </c>
      <c r="AR487" s="110">
        <v>0</v>
      </c>
      <c r="AS487" s="110">
        <v>0</v>
      </c>
      <c r="AT487" s="110">
        <v>0</v>
      </c>
      <c r="AU487" s="110">
        <v>0</v>
      </c>
      <c r="AV487" s="110">
        <v>0</v>
      </c>
      <c r="AW487" s="110">
        <v>0</v>
      </c>
      <c r="AX487" s="110">
        <v>0</v>
      </c>
      <c r="AY487" s="110">
        <v>0</v>
      </c>
      <c r="AZ487" s="110">
        <v>0</v>
      </c>
      <c r="BA487" s="110">
        <v>0</v>
      </c>
    </row>
    <row r="488" spans="1:53" s="102" customFormat="1" outlineLevel="2">
      <c r="A488" s="102" t="s">
        <v>1783</v>
      </c>
      <c r="B488" s="103" t="s">
        <v>1784</v>
      </c>
      <c r="C488" s="104" t="s">
        <v>1283</v>
      </c>
      <c r="D488" s="298"/>
      <c r="E488" s="299"/>
      <c r="F488" s="105">
        <v>0</v>
      </c>
      <c r="G488" s="105">
        <v>-223953.99</v>
      </c>
      <c r="H488" s="106">
        <f>+F488-G488</f>
        <v>223953.99</v>
      </c>
      <c r="I488" s="300" t="str">
        <f>IF(G488&lt;0,IF(H488=0,0,IF(OR(G488=0,F488=0),"N.M.",IF(ABS(H488/G488)&gt;=10,"N.M.",H488/(-G488)))),IF(H488=0,0,IF(OR(G488=0,F488=0),"N.M.",IF(ABS(H488/G488)&gt;=10,"N.M.",H488/G488))))</f>
        <v>N.M.</v>
      </c>
      <c r="J488" s="107"/>
      <c r="K488" s="105">
        <v>790805.38</v>
      </c>
      <c r="L488" s="105">
        <v>742154.63</v>
      </c>
      <c r="M488" s="106">
        <f>+K488-L488</f>
        <v>48650.75</v>
      </c>
      <c r="N488" s="300">
        <f>IF(L488&lt;0,IF(M488=0,0,IF(OR(L488=0,K488=0),"N.M.",IF(ABS(M488/L488)&gt;=10,"N.M.",M488/(-L488)))),IF(M488=0,0,IF(OR(L488=0,K488=0),"N.M.",IF(ABS(M488/L488)&gt;=10,"N.M.",M488/L488))))</f>
        <v>6.5553387438949215E-2</v>
      </c>
      <c r="O488" s="301"/>
      <c r="P488" s="107"/>
      <c r="Q488" s="105">
        <v>790805.38</v>
      </c>
      <c r="R488" s="105">
        <v>742154.63</v>
      </c>
      <c r="S488" s="106">
        <f>+Q488-R488</f>
        <v>48650.75</v>
      </c>
      <c r="T488" s="300">
        <f>IF(R488&lt;0,IF(S488=0,0,IF(OR(R488=0,Q488=0),"N.M.",IF(ABS(S488/R488)&gt;=10,"N.M.",S488/(-R488)))),IF(S488=0,0,IF(OR(R488=0,Q488=0),"N.M.",IF(ABS(S488/R488)&gt;=10,"N.M.",S488/R488))))</f>
        <v>6.5553387438949215E-2</v>
      </c>
      <c r="U488" s="107"/>
      <c r="V488" s="105">
        <v>1027762.69</v>
      </c>
      <c r="W488" s="105">
        <v>742154.63</v>
      </c>
      <c r="X488" s="106">
        <f>+V488-W488</f>
        <v>285608.05999999994</v>
      </c>
      <c r="Y488" s="300">
        <f>IF(W488&lt;0,IF(X488=0,0,IF(OR(W488=0,V488=0),"N.M.",IF(ABS(X488/W488)&gt;=10,"N.M.",X488/(-W488)))),IF(X488=0,0,IF(OR(W488=0,V488=0),"N.M.",IF(ABS(X488/W488)&gt;=10,"N.M.",X488/W488))))</f>
        <v>0.38483632447324345</v>
      </c>
      <c r="Z488" s="302"/>
      <c r="AA488" s="108">
        <v>0</v>
      </c>
      <c r="AB488" s="109"/>
      <c r="AC488" s="110">
        <v>0</v>
      </c>
      <c r="AD488" s="110">
        <v>966108.62</v>
      </c>
      <c r="AE488" s="110">
        <v>-223953.99</v>
      </c>
      <c r="AF488" s="110">
        <v>-787549.81</v>
      </c>
      <c r="AG488" s="110">
        <v>-102315.51000000001</v>
      </c>
      <c r="AH488" s="110">
        <v>-188534.64</v>
      </c>
      <c r="AI488" s="110">
        <v>191372.54</v>
      </c>
      <c r="AJ488" s="110">
        <v>-838740.76</v>
      </c>
      <c r="AK488" s="110">
        <v>-181066.16</v>
      </c>
      <c r="AL488" s="110">
        <v>1098582.3799999999</v>
      </c>
      <c r="AM488" s="110">
        <v>569757.59</v>
      </c>
      <c r="AN488" s="110">
        <v>475451.68</v>
      </c>
      <c r="AO488" s="109"/>
      <c r="AP488" s="110">
        <v>0</v>
      </c>
      <c r="AQ488" s="110">
        <v>790805.38</v>
      </c>
      <c r="AR488" s="110">
        <v>0</v>
      </c>
      <c r="AS488" s="110">
        <v>0</v>
      </c>
      <c r="AT488" s="110">
        <v>0</v>
      </c>
      <c r="AU488" s="110">
        <v>0</v>
      </c>
      <c r="AV488" s="110">
        <v>0</v>
      </c>
      <c r="AW488" s="110">
        <v>0</v>
      </c>
      <c r="AX488" s="110">
        <v>0</v>
      </c>
      <c r="AY488" s="110">
        <v>0</v>
      </c>
      <c r="AZ488" s="110">
        <v>0</v>
      </c>
      <c r="BA488" s="110">
        <v>0</v>
      </c>
    </row>
    <row r="489" spans="1:53" s="102" customFormat="1" outlineLevel="2">
      <c r="A489" s="102" t="s">
        <v>1785</v>
      </c>
      <c r="B489" s="103" t="s">
        <v>1786</v>
      </c>
      <c r="C489" s="104" t="s">
        <v>1283</v>
      </c>
      <c r="D489" s="298"/>
      <c r="E489" s="299"/>
      <c r="F489" s="105">
        <v>458421.51</v>
      </c>
      <c r="G489" s="105">
        <v>0</v>
      </c>
      <c r="H489" s="106">
        <f>+F489-G489</f>
        <v>458421.51</v>
      </c>
      <c r="I489" s="300" t="str">
        <f>IF(G489&lt;0,IF(H489=0,0,IF(OR(G489=0,F489=0),"N.M.",IF(ABS(H489/G489)&gt;=10,"N.M.",H489/(-G489)))),IF(H489=0,0,IF(OR(G489=0,F489=0),"N.M.",IF(ABS(H489/G489)&gt;=10,"N.M.",H489/G489))))</f>
        <v>N.M.</v>
      </c>
      <c r="J489" s="107"/>
      <c r="K489" s="105">
        <v>458421.51</v>
      </c>
      <c r="L489" s="105">
        <v>0</v>
      </c>
      <c r="M489" s="106">
        <f>+K489-L489</f>
        <v>458421.51</v>
      </c>
      <c r="N489" s="300" t="str">
        <f>IF(L489&lt;0,IF(M489=0,0,IF(OR(L489=0,K489=0),"N.M.",IF(ABS(M489/L489)&gt;=10,"N.M.",M489/(-L489)))),IF(M489=0,0,IF(OR(L489=0,K489=0),"N.M.",IF(ABS(M489/L489)&gt;=10,"N.M.",M489/L489))))</f>
        <v>N.M.</v>
      </c>
      <c r="O489" s="301"/>
      <c r="P489" s="107"/>
      <c r="Q489" s="105">
        <v>458421.51</v>
      </c>
      <c r="R489" s="105">
        <v>0</v>
      </c>
      <c r="S489" s="106">
        <f>+Q489-R489</f>
        <v>458421.51</v>
      </c>
      <c r="T489" s="300" t="str">
        <f>IF(R489&lt;0,IF(S489=0,0,IF(OR(R489=0,Q489=0),"N.M.",IF(ABS(S489/R489)&gt;=10,"N.M.",S489/(-R489)))),IF(S489=0,0,IF(OR(R489=0,Q489=0),"N.M.",IF(ABS(S489/R489)&gt;=10,"N.M.",S489/R489))))</f>
        <v>N.M.</v>
      </c>
      <c r="U489" s="107"/>
      <c r="V489" s="105">
        <v>458421.51</v>
      </c>
      <c r="W489" s="105">
        <v>0</v>
      </c>
      <c r="X489" s="106">
        <f>+V489-W489</f>
        <v>458421.51</v>
      </c>
      <c r="Y489" s="300" t="str">
        <f>IF(W489&lt;0,IF(X489=0,0,IF(OR(W489=0,V489=0),"N.M.",IF(ABS(X489/W489)&gt;=10,"N.M.",X489/(-W489)))),IF(X489=0,0,IF(OR(W489=0,V489=0),"N.M.",IF(ABS(X489/W489)&gt;=10,"N.M.",X489/W489))))</f>
        <v>N.M.</v>
      </c>
      <c r="Z489" s="302"/>
      <c r="AA489" s="108">
        <v>0</v>
      </c>
      <c r="AB489" s="109"/>
      <c r="AC489" s="110">
        <v>0</v>
      </c>
      <c r="AD489" s="110">
        <v>0</v>
      </c>
      <c r="AE489" s="110">
        <v>0</v>
      </c>
      <c r="AF489" s="110">
        <v>0</v>
      </c>
      <c r="AG489" s="110">
        <v>0</v>
      </c>
      <c r="AH489" s="110">
        <v>0</v>
      </c>
      <c r="AI489" s="110">
        <v>0</v>
      </c>
      <c r="AJ489" s="110">
        <v>0</v>
      </c>
      <c r="AK489" s="110">
        <v>0</v>
      </c>
      <c r="AL489" s="110">
        <v>0</v>
      </c>
      <c r="AM489" s="110">
        <v>0</v>
      </c>
      <c r="AN489" s="110">
        <v>0</v>
      </c>
      <c r="AO489" s="109"/>
      <c r="AP489" s="110">
        <v>0</v>
      </c>
      <c r="AQ489" s="110">
        <v>0</v>
      </c>
      <c r="AR489" s="110">
        <v>458421.51</v>
      </c>
      <c r="AS489" s="110">
        <v>0</v>
      </c>
      <c r="AT489" s="110">
        <v>0</v>
      </c>
      <c r="AU489" s="110">
        <v>0</v>
      </c>
      <c r="AV489" s="110">
        <v>0</v>
      </c>
      <c r="AW489" s="110">
        <v>0</v>
      </c>
      <c r="AX489" s="110">
        <v>0</v>
      </c>
      <c r="AY489" s="110">
        <v>0</v>
      </c>
      <c r="AZ489" s="110">
        <v>0</v>
      </c>
      <c r="BA489" s="110">
        <v>0</v>
      </c>
    </row>
    <row r="490" spans="1:53" s="131" customFormat="1">
      <c r="A490" s="111" t="s">
        <v>1284</v>
      </c>
      <c r="B490" s="331" t="s">
        <v>1285</v>
      </c>
      <c r="C490" s="347" t="s">
        <v>1286</v>
      </c>
      <c r="D490" s="352"/>
      <c r="E490" s="352"/>
      <c r="F490" s="333">
        <v>458421.51</v>
      </c>
      <c r="G490" s="333">
        <v>-223953.99</v>
      </c>
      <c r="H490" s="133">
        <f>+F490-G490</f>
        <v>682375.5</v>
      </c>
      <c r="I490" s="138">
        <f>IF(G490&lt;0,IF(H490=0,0,IF(OR(G490=0,F490=0),"N.M.",IF(ABS(H490/G490)&gt;=10,"N.M.",H490/(-G490)))),IF(H490=0,0,IF(OR(G490=0,F490=0),"N.M.",IF(ABS(H490/G490)&gt;=10,"N.M.",H490/G490))))</f>
        <v>3.046945044381661</v>
      </c>
      <c r="J490" s="158"/>
      <c r="K490" s="333">
        <v>1249226.8900000001</v>
      </c>
      <c r="L490" s="333">
        <v>742154.63</v>
      </c>
      <c r="M490" s="133">
        <f>+K490-L490</f>
        <v>507072.26000000013</v>
      </c>
      <c r="N490" s="138">
        <f>IF(L490&lt;0,IF(M490=0,0,IF(OR(L490=0,K490=0),"N.M.",IF(ABS(M490/L490)&gt;=10,"N.M.",M490/(-L490)))),IF(M490=0,0,IF(OR(L490=0,K490=0),"N.M.",IF(ABS(M490/L490)&gt;=10,"N.M.",M490/L490))))</f>
        <v>0.68324340979992282</v>
      </c>
      <c r="O490" s="302"/>
      <c r="P490" s="350"/>
      <c r="Q490" s="333">
        <v>1249226.8900000001</v>
      </c>
      <c r="R490" s="333">
        <v>742154.63</v>
      </c>
      <c r="S490" s="133">
        <f>+Q490-R490</f>
        <v>507072.26000000013</v>
      </c>
      <c r="T490" s="138">
        <f>IF(R490&lt;0,IF(S490=0,0,IF(OR(R490=0,Q490=0),"N.M.",IF(ABS(S490/R490)&gt;=10,"N.M.",S490/(-R490)))),IF(S490=0,0,IF(OR(R490=0,Q490=0),"N.M.",IF(ABS(S490/R490)&gt;=10,"N.M.",S490/R490))))</f>
        <v>0.68324340979992282</v>
      </c>
      <c r="U490" s="350"/>
      <c r="V490" s="333">
        <v>1486184.2</v>
      </c>
      <c r="W490" s="333">
        <v>1038182.63</v>
      </c>
      <c r="X490" s="133">
        <f>+V490-W490</f>
        <v>448001.56999999995</v>
      </c>
      <c r="Y490" s="137">
        <f>IF(W490&lt;0,IF(X490=0,0,IF(OR(W490=0,V490=0),"N.M.",IF(ABS(X490/W490)&gt;=10,"N.M.",X490/(-W490)))),IF(X490=0,0,IF(OR(W490=0,V490=0),"N.M.",IF(ABS(X490/W490)&gt;=10,"N.M.",X490/W490))))</f>
        <v>0.43152481755546224</v>
      </c>
      <c r="AA490" s="139">
        <v>238137.26</v>
      </c>
      <c r="AB490" s="351"/>
      <c r="AC490" s="333">
        <v>0</v>
      </c>
      <c r="AD490" s="333">
        <v>966108.62</v>
      </c>
      <c r="AE490" s="333">
        <v>-223953.99</v>
      </c>
      <c r="AF490" s="333">
        <v>-787549.81</v>
      </c>
      <c r="AG490" s="333">
        <v>-102315.51000000001</v>
      </c>
      <c r="AH490" s="333">
        <v>-188534.64</v>
      </c>
      <c r="AI490" s="333">
        <v>191372.54</v>
      </c>
      <c r="AJ490" s="333">
        <v>-838740.76</v>
      </c>
      <c r="AK490" s="333">
        <v>-181066.16</v>
      </c>
      <c r="AL490" s="333">
        <v>1098582.3799999999</v>
      </c>
      <c r="AM490" s="333">
        <v>569757.59</v>
      </c>
      <c r="AN490" s="333">
        <v>475451.68</v>
      </c>
      <c r="AO490" s="351"/>
      <c r="AP490" s="333">
        <v>0</v>
      </c>
      <c r="AQ490" s="333">
        <v>790805.38</v>
      </c>
      <c r="AR490" s="333">
        <v>458421.51</v>
      </c>
      <c r="AS490" s="333">
        <v>0</v>
      </c>
      <c r="AT490" s="333">
        <v>0</v>
      </c>
      <c r="AU490" s="333">
        <v>0</v>
      </c>
      <c r="AV490" s="333">
        <v>0</v>
      </c>
      <c r="AW490" s="333">
        <v>0</v>
      </c>
      <c r="AX490" s="333">
        <v>0</v>
      </c>
      <c r="AY490" s="333">
        <v>0</v>
      </c>
      <c r="AZ490" s="333">
        <v>0</v>
      </c>
      <c r="BA490" s="333">
        <v>0</v>
      </c>
    </row>
    <row r="491" spans="1:53" s="131" customFormat="1" ht="0.75" customHeight="1" outlineLevel="2">
      <c r="A491" s="111"/>
      <c r="B491" s="331"/>
      <c r="C491" s="347"/>
      <c r="D491" s="352"/>
      <c r="E491" s="352"/>
      <c r="F491" s="333"/>
      <c r="G491" s="333"/>
      <c r="H491" s="133"/>
      <c r="I491" s="138"/>
      <c r="J491" s="158"/>
      <c r="K491" s="333"/>
      <c r="L491" s="333"/>
      <c r="M491" s="133"/>
      <c r="N491" s="138"/>
      <c r="O491" s="302"/>
      <c r="P491" s="350"/>
      <c r="Q491" s="333"/>
      <c r="R491" s="333"/>
      <c r="S491" s="133"/>
      <c r="T491" s="138"/>
      <c r="U491" s="350"/>
      <c r="V491" s="333"/>
      <c r="W491" s="333"/>
      <c r="X491" s="133"/>
      <c r="Y491" s="137"/>
      <c r="AA491" s="139"/>
      <c r="AB491" s="351"/>
      <c r="AC491" s="333"/>
      <c r="AD491" s="333"/>
      <c r="AE491" s="333"/>
      <c r="AF491" s="333"/>
      <c r="AG491" s="333"/>
      <c r="AH491" s="333"/>
      <c r="AI491" s="333"/>
      <c r="AJ491" s="333"/>
      <c r="AK491" s="333"/>
      <c r="AL491" s="333"/>
      <c r="AM491" s="333"/>
      <c r="AN491" s="333"/>
      <c r="AO491" s="351"/>
      <c r="AP491" s="333"/>
      <c r="AQ491" s="333"/>
      <c r="AR491" s="333"/>
      <c r="AS491" s="333"/>
      <c r="AT491" s="333"/>
      <c r="AU491" s="333"/>
      <c r="AV491" s="333"/>
      <c r="AW491" s="333"/>
      <c r="AX491" s="333"/>
      <c r="AY491" s="333"/>
      <c r="AZ491" s="333"/>
      <c r="BA491" s="333"/>
    </row>
    <row r="492" spans="1:53" s="102" customFormat="1" outlineLevel="2">
      <c r="A492" s="102" t="s">
        <v>1287</v>
      </c>
      <c r="B492" s="103" t="s">
        <v>1288</v>
      </c>
      <c r="C492" s="104" t="s">
        <v>1289</v>
      </c>
      <c r="D492" s="298"/>
      <c r="E492" s="299"/>
      <c r="F492" s="105">
        <v>8222574.1739999996</v>
      </c>
      <c r="G492" s="105">
        <v>-1470335.13</v>
      </c>
      <c r="H492" s="106">
        <f>+F492-G492</f>
        <v>9692909.3039999995</v>
      </c>
      <c r="I492" s="300">
        <f>IF(G492&lt;0,IF(H492=0,0,IF(OR(G492=0,F492=0),"N.M.",IF(ABS(H492/G492)&gt;=10,"N.M.",H492/(-G492)))),IF(H492=0,0,IF(OR(G492=0,F492=0),"N.M.",IF(ABS(H492/G492)&gt;=10,"N.M.",H492/G492))))</f>
        <v>6.5923129402478473</v>
      </c>
      <c r="J492" s="107"/>
      <c r="K492" s="105">
        <v>16258561.454</v>
      </c>
      <c r="L492" s="105">
        <v>673899.97</v>
      </c>
      <c r="M492" s="106">
        <f>+K492-L492</f>
        <v>15584661.483999999</v>
      </c>
      <c r="N492" s="300" t="str">
        <f>IF(L492&lt;0,IF(M492=0,0,IF(OR(L492=0,K492=0),"N.M.",IF(ABS(M492/L492)&gt;=10,"N.M.",M492/(-L492)))),IF(M492=0,0,IF(OR(L492=0,K492=0),"N.M.",IF(ABS(M492/L492)&gt;=10,"N.M.",M492/L492))))</f>
        <v>N.M.</v>
      </c>
      <c r="O492" s="301"/>
      <c r="P492" s="107"/>
      <c r="Q492" s="105">
        <v>16258561.454</v>
      </c>
      <c r="R492" s="105">
        <v>673899.97</v>
      </c>
      <c r="S492" s="106">
        <f>+Q492-R492</f>
        <v>15584661.483999999</v>
      </c>
      <c r="T492" s="300" t="str">
        <f>IF(R492&lt;0,IF(S492=0,0,IF(OR(R492=0,Q492=0),"N.M.",IF(ABS(S492/R492)&gt;=10,"N.M.",S492/(-R492)))),IF(S492=0,0,IF(OR(R492=0,Q492=0),"N.M.",IF(ABS(S492/R492)&gt;=10,"N.M.",S492/R492))))</f>
        <v>N.M.</v>
      </c>
      <c r="U492" s="107"/>
      <c r="V492" s="105">
        <v>99597116.333999991</v>
      </c>
      <c r="W492" s="105">
        <v>54824539.640000001</v>
      </c>
      <c r="X492" s="106">
        <f>+V492-W492</f>
        <v>44772576.693999991</v>
      </c>
      <c r="Y492" s="300">
        <f>IF(W492&lt;0,IF(X492=0,0,IF(OR(W492=0,V492=0),"N.M.",IF(ABS(X492/W492)&gt;=10,"N.M.",X492/(-W492)))),IF(X492=0,0,IF(OR(W492=0,V492=0),"N.M.",IF(ABS(X492/W492)&gt;=10,"N.M.",X492/W492))))</f>
        <v>0.81665212308201318</v>
      </c>
      <c r="Z492" s="302"/>
      <c r="AA492" s="108">
        <v>14328902.810000001</v>
      </c>
      <c r="AB492" s="109"/>
      <c r="AC492" s="110">
        <v>0</v>
      </c>
      <c r="AD492" s="110">
        <v>2144235.1</v>
      </c>
      <c r="AE492" s="110">
        <v>-1470335.13</v>
      </c>
      <c r="AF492" s="110">
        <v>9276541.7200000007</v>
      </c>
      <c r="AG492" s="110">
        <v>1781528.44</v>
      </c>
      <c r="AH492" s="110">
        <v>5510189.4950000001</v>
      </c>
      <c r="AI492" s="110">
        <v>4824844.5449999999</v>
      </c>
      <c r="AJ492" s="110">
        <v>6442528.0999999996</v>
      </c>
      <c r="AK492" s="110">
        <v>9085165.9979999997</v>
      </c>
      <c r="AL492" s="110">
        <v>9405390.8920000009</v>
      </c>
      <c r="AM492" s="110">
        <v>26892128.82</v>
      </c>
      <c r="AN492" s="110">
        <v>10120236.869999999</v>
      </c>
      <c r="AO492" s="109"/>
      <c r="AP492" s="110">
        <v>-523415.62400000001</v>
      </c>
      <c r="AQ492" s="110">
        <v>8559402.9039999992</v>
      </c>
      <c r="AR492" s="110">
        <v>8222574.1739999996</v>
      </c>
      <c r="AS492" s="110">
        <v>-12360349.544</v>
      </c>
      <c r="AT492" s="110">
        <v>0</v>
      </c>
      <c r="AU492" s="110">
        <v>0</v>
      </c>
      <c r="AV492" s="110">
        <v>0</v>
      </c>
      <c r="AW492" s="110">
        <v>0</v>
      </c>
      <c r="AX492" s="110">
        <v>0</v>
      </c>
      <c r="AY492" s="110">
        <v>0</v>
      </c>
      <c r="AZ492" s="110">
        <v>0</v>
      </c>
      <c r="BA492" s="110">
        <v>0</v>
      </c>
    </row>
    <row r="493" spans="1:53" s="102" customFormat="1" outlineLevel="2">
      <c r="A493" s="102" t="s">
        <v>1290</v>
      </c>
      <c r="B493" s="103" t="s">
        <v>1291</v>
      </c>
      <c r="C493" s="104" t="s">
        <v>1292</v>
      </c>
      <c r="D493" s="298"/>
      <c r="E493" s="299"/>
      <c r="F493" s="105">
        <v>0</v>
      </c>
      <c r="G493" s="105">
        <v>0</v>
      </c>
      <c r="H493" s="106">
        <f>+F493-G493</f>
        <v>0</v>
      </c>
      <c r="I493" s="300">
        <f>IF(G493&lt;0,IF(H493=0,0,IF(OR(G493=0,F493=0),"N.M.",IF(ABS(H493/G493)&gt;=10,"N.M.",H493/(-G493)))),IF(H493=0,0,IF(OR(G493=0,F493=0),"N.M.",IF(ABS(H493/G493)&gt;=10,"N.M.",H493/G493))))</f>
        <v>0</v>
      </c>
      <c r="J493" s="107"/>
      <c r="K493" s="105">
        <v>0</v>
      </c>
      <c r="L493" s="105">
        <v>0</v>
      </c>
      <c r="M493" s="106">
        <f>+K493-L493</f>
        <v>0</v>
      </c>
      <c r="N493" s="300">
        <f>IF(L493&lt;0,IF(M493=0,0,IF(OR(L493=0,K493=0),"N.M.",IF(ABS(M493/L493)&gt;=10,"N.M.",M493/(-L493)))),IF(M493=0,0,IF(OR(L493=0,K493=0),"N.M.",IF(ABS(M493/L493)&gt;=10,"N.M.",M493/L493))))</f>
        <v>0</v>
      </c>
      <c r="O493" s="301"/>
      <c r="P493" s="107"/>
      <c r="Q493" s="105">
        <v>0</v>
      </c>
      <c r="R493" s="105">
        <v>0</v>
      </c>
      <c r="S493" s="106">
        <f>+Q493-R493</f>
        <v>0</v>
      </c>
      <c r="T493" s="300">
        <f>IF(R493&lt;0,IF(S493=0,0,IF(OR(R493=0,Q493=0),"N.M.",IF(ABS(S493/R493)&gt;=10,"N.M.",S493/(-R493)))),IF(S493=0,0,IF(OR(R493=0,Q493=0),"N.M.",IF(ABS(S493/R493)&gt;=10,"N.M.",S493/R493))))</f>
        <v>0</v>
      </c>
      <c r="U493" s="107"/>
      <c r="V493" s="105">
        <v>1042121.87</v>
      </c>
      <c r="W493" s="105">
        <v>1381553.02</v>
      </c>
      <c r="X493" s="106">
        <f>+V493-W493</f>
        <v>-339431.15</v>
      </c>
      <c r="Y493" s="300">
        <f>IF(W493&lt;0,IF(X493=0,0,IF(OR(W493=0,V493=0),"N.M.",IF(ABS(X493/W493)&gt;=10,"N.M.",X493/(-W493)))),IF(X493=0,0,IF(OR(W493=0,V493=0),"N.M.",IF(ABS(X493/W493)&gt;=10,"N.M.",X493/W493))))</f>
        <v>-0.24568810974768093</v>
      </c>
      <c r="Z493" s="302"/>
      <c r="AA493" s="108">
        <v>1381553.02</v>
      </c>
      <c r="AB493" s="109"/>
      <c r="AC493" s="110">
        <v>0</v>
      </c>
      <c r="AD493" s="110">
        <v>0</v>
      </c>
      <c r="AE493" s="110">
        <v>0</v>
      </c>
      <c r="AF493" s="110">
        <v>0</v>
      </c>
      <c r="AG493" s="110">
        <v>0</v>
      </c>
      <c r="AH493" s="110">
        <v>0</v>
      </c>
      <c r="AI493" s="110">
        <v>0</v>
      </c>
      <c r="AJ493" s="110">
        <v>213616</v>
      </c>
      <c r="AK493" s="110">
        <v>0</v>
      </c>
      <c r="AL493" s="110">
        <v>0</v>
      </c>
      <c r="AM493" s="110">
        <v>807316.69000000006</v>
      </c>
      <c r="AN493" s="110">
        <v>21189.18</v>
      </c>
      <c r="AO493" s="109"/>
      <c r="AP493" s="110">
        <v>0</v>
      </c>
      <c r="AQ493" s="110">
        <v>0</v>
      </c>
      <c r="AR493" s="110">
        <v>0</v>
      </c>
      <c r="AS493" s="110">
        <v>0</v>
      </c>
      <c r="AT493" s="110">
        <v>0</v>
      </c>
      <c r="AU493" s="110">
        <v>0</v>
      </c>
      <c r="AV493" s="110">
        <v>0</v>
      </c>
      <c r="AW493" s="110">
        <v>0</v>
      </c>
      <c r="AX493" s="110">
        <v>0</v>
      </c>
      <c r="AY493" s="110">
        <v>0</v>
      </c>
      <c r="AZ493" s="110">
        <v>0</v>
      </c>
      <c r="BA493" s="110">
        <v>0</v>
      </c>
    </row>
    <row r="494" spans="1:53" s="131" customFormat="1">
      <c r="A494" s="111" t="s">
        <v>1293</v>
      </c>
      <c r="B494" s="331" t="s">
        <v>1294</v>
      </c>
      <c r="C494" s="347" t="s">
        <v>1295</v>
      </c>
      <c r="D494" s="352"/>
      <c r="E494" s="352"/>
      <c r="F494" s="333">
        <v>8222574.1739999996</v>
      </c>
      <c r="G494" s="333">
        <v>-1470335.13</v>
      </c>
      <c r="H494" s="133">
        <f>+F494-G494</f>
        <v>9692909.3039999995</v>
      </c>
      <c r="I494" s="138">
        <f>IF(G494&lt;0,IF(H494=0,0,IF(OR(G494=0,F494=0),"N.M.",IF(ABS(H494/G494)&gt;=10,"N.M.",H494/(-G494)))),IF(H494=0,0,IF(OR(G494=0,F494=0),"N.M.",IF(ABS(H494/G494)&gt;=10,"N.M.",H494/G494))))</f>
        <v>6.5923129402478473</v>
      </c>
      <c r="J494" s="158"/>
      <c r="K494" s="333">
        <v>16258561.454</v>
      </c>
      <c r="L494" s="333">
        <v>673899.97</v>
      </c>
      <c r="M494" s="133">
        <f>+K494-L494</f>
        <v>15584661.483999999</v>
      </c>
      <c r="N494" s="138" t="str">
        <f>IF(L494&lt;0,IF(M494=0,0,IF(OR(L494=0,K494=0),"N.M.",IF(ABS(M494/L494)&gt;=10,"N.M.",M494/(-L494)))),IF(M494=0,0,IF(OR(L494=0,K494=0),"N.M.",IF(ABS(M494/L494)&gt;=10,"N.M.",M494/L494))))</f>
        <v>N.M.</v>
      </c>
      <c r="O494" s="302"/>
      <c r="P494" s="350"/>
      <c r="Q494" s="333">
        <v>16258561.454</v>
      </c>
      <c r="R494" s="333">
        <v>673899.97</v>
      </c>
      <c r="S494" s="133">
        <f>+Q494-R494</f>
        <v>15584661.483999999</v>
      </c>
      <c r="T494" s="138" t="str">
        <f>IF(R494&lt;0,IF(S494=0,0,IF(OR(R494=0,Q494=0),"N.M.",IF(ABS(S494/R494)&gt;=10,"N.M.",S494/(-R494)))),IF(S494=0,0,IF(OR(R494=0,Q494=0),"N.M.",IF(ABS(S494/R494)&gt;=10,"N.M.",S494/R494))))</f>
        <v>N.M.</v>
      </c>
      <c r="U494" s="350"/>
      <c r="V494" s="333">
        <v>100639238.204</v>
      </c>
      <c r="W494" s="333">
        <v>56206092.660000004</v>
      </c>
      <c r="X494" s="133">
        <f>+V494-W494</f>
        <v>44433145.543999992</v>
      </c>
      <c r="Y494" s="137">
        <f>IF(W494&lt;0,IF(X494=0,0,IF(OR(W494=0,V494=0),"N.M.",IF(ABS(X494/W494)&gt;=10,"N.M.",X494/(-W494)))),IF(X494=0,0,IF(OR(W494=0,V494=0),"N.M.",IF(ABS(X494/W494)&gt;=10,"N.M.",X494/W494))))</f>
        <v>0.79053966289354916</v>
      </c>
      <c r="AA494" s="139">
        <v>15710455.83</v>
      </c>
      <c r="AB494" s="351"/>
      <c r="AC494" s="333">
        <v>0</v>
      </c>
      <c r="AD494" s="333">
        <v>2144235.1</v>
      </c>
      <c r="AE494" s="333">
        <v>-1470335.13</v>
      </c>
      <c r="AF494" s="333">
        <v>9276541.7200000007</v>
      </c>
      <c r="AG494" s="333">
        <v>1781528.44</v>
      </c>
      <c r="AH494" s="333">
        <v>5510189.4950000001</v>
      </c>
      <c r="AI494" s="333">
        <v>4824844.5449999999</v>
      </c>
      <c r="AJ494" s="333">
        <v>6656144.0999999996</v>
      </c>
      <c r="AK494" s="333">
        <v>9085165.9979999997</v>
      </c>
      <c r="AL494" s="333">
        <v>9405390.8920000009</v>
      </c>
      <c r="AM494" s="333">
        <v>27699445.510000002</v>
      </c>
      <c r="AN494" s="333">
        <v>10141426.049999999</v>
      </c>
      <c r="AO494" s="351"/>
      <c r="AP494" s="333">
        <v>-523415.62400000001</v>
      </c>
      <c r="AQ494" s="333">
        <v>8559402.9039999992</v>
      </c>
      <c r="AR494" s="333">
        <v>8222574.1739999996</v>
      </c>
      <c r="AS494" s="333">
        <v>-12360349.544</v>
      </c>
      <c r="AT494" s="333">
        <v>0</v>
      </c>
      <c r="AU494" s="333">
        <v>0</v>
      </c>
      <c r="AV494" s="333">
        <v>0</v>
      </c>
      <c r="AW494" s="333">
        <v>0</v>
      </c>
      <c r="AX494" s="333">
        <v>0</v>
      </c>
      <c r="AY494" s="333">
        <v>0</v>
      </c>
      <c r="AZ494" s="333">
        <v>0</v>
      </c>
      <c r="BA494" s="333">
        <v>0</v>
      </c>
    </row>
    <row r="495" spans="1:53" s="131" customFormat="1" ht="0.75" customHeight="1" outlineLevel="2">
      <c r="A495" s="111"/>
      <c r="B495" s="331"/>
      <c r="C495" s="347"/>
      <c r="D495" s="352"/>
      <c r="E495" s="352"/>
      <c r="F495" s="333"/>
      <c r="G495" s="333"/>
      <c r="H495" s="133"/>
      <c r="I495" s="138"/>
      <c r="J495" s="158"/>
      <c r="K495" s="333"/>
      <c r="L495" s="333"/>
      <c r="M495" s="133"/>
      <c r="N495" s="138"/>
      <c r="O495" s="302"/>
      <c r="P495" s="350"/>
      <c r="Q495" s="333"/>
      <c r="R495" s="333"/>
      <c r="S495" s="133"/>
      <c r="T495" s="138"/>
      <c r="U495" s="350"/>
      <c r="V495" s="333"/>
      <c r="W495" s="333"/>
      <c r="X495" s="133"/>
      <c r="Y495" s="137"/>
      <c r="AA495" s="139"/>
      <c r="AB495" s="351"/>
      <c r="AC495" s="333"/>
      <c r="AD495" s="333"/>
      <c r="AE495" s="333"/>
      <c r="AF495" s="333"/>
      <c r="AG495" s="333"/>
      <c r="AH495" s="333"/>
      <c r="AI495" s="333"/>
      <c r="AJ495" s="333"/>
      <c r="AK495" s="333"/>
      <c r="AL495" s="333"/>
      <c r="AM495" s="333"/>
      <c r="AN495" s="333"/>
      <c r="AO495" s="351"/>
      <c r="AP495" s="333"/>
      <c r="AQ495" s="333"/>
      <c r="AR495" s="333"/>
      <c r="AS495" s="333"/>
      <c r="AT495" s="333"/>
      <c r="AU495" s="333"/>
      <c r="AV495" s="333"/>
      <c r="AW495" s="333"/>
      <c r="AX495" s="333"/>
      <c r="AY495" s="333"/>
      <c r="AZ495" s="333"/>
      <c r="BA495" s="333"/>
    </row>
    <row r="496" spans="1:53" s="102" customFormat="1" outlineLevel="2">
      <c r="A496" s="102" t="s">
        <v>1296</v>
      </c>
      <c r="B496" s="103" t="s">
        <v>1297</v>
      </c>
      <c r="C496" s="104" t="s">
        <v>1298</v>
      </c>
      <c r="D496" s="298"/>
      <c r="E496" s="299"/>
      <c r="F496" s="105">
        <v>6147127.0499999998</v>
      </c>
      <c r="G496" s="105">
        <v>5078013.22</v>
      </c>
      <c r="H496" s="106">
        <f>+F496-G496</f>
        <v>1069113.83</v>
      </c>
      <c r="I496" s="300">
        <f>IF(G496&lt;0,IF(H496=0,0,IF(OR(G496=0,F496=0),"N.M.",IF(ABS(H496/G496)&gt;=10,"N.M.",H496/(-G496)))),IF(H496=0,0,IF(OR(G496=0,F496=0),"N.M.",IF(ABS(H496/G496)&gt;=10,"N.M.",H496/G496))))</f>
        <v>0.21053781935605126</v>
      </c>
      <c r="J496" s="107"/>
      <c r="K496" s="105">
        <v>14477578.58</v>
      </c>
      <c r="L496" s="105">
        <v>10775924.279999999</v>
      </c>
      <c r="M496" s="106">
        <f>+K496-L496</f>
        <v>3701654.3000000007</v>
      </c>
      <c r="N496" s="300">
        <f>IF(L496&lt;0,IF(M496=0,0,IF(OR(L496=0,K496=0),"N.M.",IF(ABS(M496/L496)&gt;=10,"N.M.",M496/(-L496)))),IF(M496=0,0,IF(OR(L496=0,K496=0),"N.M.",IF(ABS(M496/L496)&gt;=10,"N.M.",M496/L496))))</f>
        <v>0.34351153588469729</v>
      </c>
      <c r="O496" s="301"/>
      <c r="P496" s="107"/>
      <c r="Q496" s="105">
        <v>14477578.58</v>
      </c>
      <c r="R496" s="105">
        <v>10775924.279999999</v>
      </c>
      <c r="S496" s="106">
        <f>+Q496-R496</f>
        <v>3701654.3000000007</v>
      </c>
      <c r="T496" s="300">
        <f>IF(R496&lt;0,IF(S496=0,0,IF(OR(R496=0,Q496=0),"N.M.",IF(ABS(S496/R496)&gt;=10,"N.M.",S496/(-R496)))),IF(S496=0,0,IF(OR(R496=0,Q496=0),"N.M.",IF(ABS(S496/R496)&gt;=10,"N.M.",S496/R496))))</f>
        <v>0.34351153588469729</v>
      </c>
      <c r="U496" s="107"/>
      <c r="V496" s="105">
        <v>117638715.62</v>
      </c>
      <c r="W496" s="105">
        <v>80264419.660999998</v>
      </c>
      <c r="X496" s="106">
        <f>+V496-W496</f>
        <v>37374295.959000006</v>
      </c>
      <c r="Y496" s="300">
        <f>IF(W496&lt;0,IF(X496=0,0,IF(OR(W496=0,V496=0),"N.M.",IF(ABS(X496/W496)&gt;=10,"N.M.",X496/(-W496)))),IF(X496=0,0,IF(OR(W496=0,V496=0),"N.M.",IF(ABS(X496/W496)&gt;=10,"N.M.",X496/W496))))</f>
        <v>0.4656396460206384</v>
      </c>
      <c r="Z496" s="302"/>
      <c r="AA496" s="108">
        <v>24005293.331</v>
      </c>
      <c r="AB496" s="109"/>
      <c r="AC496" s="110">
        <v>0</v>
      </c>
      <c r="AD496" s="110">
        <v>5697911.0600000005</v>
      </c>
      <c r="AE496" s="110">
        <v>5078013.22</v>
      </c>
      <c r="AF496" s="110">
        <v>4307370.84</v>
      </c>
      <c r="AG496" s="110">
        <v>4278132.04</v>
      </c>
      <c r="AH496" s="110">
        <v>4184740.82</v>
      </c>
      <c r="AI496" s="110">
        <v>11459355.98</v>
      </c>
      <c r="AJ496" s="110">
        <v>6310087.8600000003</v>
      </c>
      <c r="AK496" s="110">
        <v>7850659.1320000002</v>
      </c>
      <c r="AL496" s="110">
        <v>17073161.647999998</v>
      </c>
      <c r="AM496" s="110">
        <v>34465773.380000003</v>
      </c>
      <c r="AN496" s="110">
        <v>13231855.34</v>
      </c>
      <c r="AO496" s="109"/>
      <c r="AP496" s="110">
        <v>0</v>
      </c>
      <c r="AQ496" s="110">
        <v>8330451.5300000003</v>
      </c>
      <c r="AR496" s="110">
        <v>6147127.0499999998</v>
      </c>
      <c r="AS496" s="110">
        <v>0</v>
      </c>
      <c r="AT496" s="110">
        <v>0</v>
      </c>
      <c r="AU496" s="110">
        <v>0</v>
      </c>
      <c r="AV496" s="110">
        <v>0</v>
      </c>
      <c r="AW496" s="110">
        <v>0</v>
      </c>
      <c r="AX496" s="110">
        <v>0</v>
      </c>
      <c r="AY496" s="110">
        <v>0</v>
      </c>
      <c r="AZ496" s="110">
        <v>0</v>
      </c>
      <c r="BA496" s="110">
        <v>0</v>
      </c>
    </row>
    <row r="497" spans="1:53" s="102" customFormat="1" outlineLevel="2">
      <c r="A497" s="102" t="s">
        <v>1299</v>
      </c>
      <c r="B497" s="103" t="s">
        <v>1300</v>
      </c>
      <c r="C497" s="104" t="s">
        <v>1301</v>
      </c>
      <c r="D497" s="298"/>
      <c r="E497" s="299"/>
      <c r="F497" s="105">
        <v>37726</v>
      </c>
      <c r="G497" s="105">
        <v>37736</v>
      </c>
      <c r="H497" s="106">
        <f>+F497-G497</f>
        <v>-10</v>
      </c>
      <c r="I497" s="300">
        <f>IF(G497&lt;0,IF(H497=0,0,IF(OR(G497=0,F497=0),"N.M.",IF(ABS(H497/G497)&gt;=10,"N.M.",H497/(-G497)))),IF(H497=0,0,IF(OR(G497=0,F497=0),"N.M.",IF(ABS(H497/G497)&gt;=10,"N.M.",H497/G497))))</f>
        <v>-2.6499894000423999E-4</v>
      </c>
      <c r="J497" s="107"/>
      <c r="K497" s="105">
        <v>75452</v>
      </c>
      <c r="L497" s="105">
        <v>75462</v>
      </c>
      <c r="M497" s="106">
        <f>+K497-L497</f>
        <v>-10</v>
      </c>
      <c r="N497" s="300">
        <f>IF(L497&lt;0,IF(M497=0,0,IF(OR(L497=0,K497=0),"N.M.",IF(ABS(M497/L497)&gt;=10,"N.M.",M497/(-L497)))),IF(M497=0,0,IF(OR(L497=0,K497=0),"N.M.",IF(ABS(M497/L497)&gt;=10,"N.M.",M497/L497))))</f>
        <v>-1.325170284381543E-4</v>
      </c>
      <c r="O497" s="301"/>
      <c r="P497" s="107"/>
      <c r="Q497" s="105">
        <v>75452</v>
      </c>
      <c r="R497" s="105">
        <v>75462</v>
      </c>
      <c r="S497" s="106">
        <f>+Q497-R497</f>
        <v>-10</v>
      </c>
      <c r="T497" s="300">
        <f>IF(R497&lt;0,IF(S497=0,0,IF(OR(R497=0,Q497=0),"N.M.",IF(ABS(S497/R497)&gt;=10,"N.M.",S497/(-R497)))),IF(S497=0,0,IF(OR(R497=0,Q497=0),"N.M.",IF(ABS(S497/R497)&gt;=10,"N.M.",S497/R497))))</f>
        <v>-1.325170284381543E-4</v>
      </c>
      <c r="U497" s="107"/>
      <c r="V497" s="105">
        <v>2488577.4700000002</v>
      </c>
      <c r="W497" s="105">
        <v>5747395.6500000004</v>
      </c>
      <c r="X497" s="106">
        <f>+V497-W497</f>
        <v>-3258818.18</v>
      </c>
      <c r="Y497" s="300">
        <f>IF(W497&lt;0,IF(X497=0,0,IF(OR(W497=0,V497=0),"N.M.",IF(ABS(X497/W497)&gt;=10,"N.M.",X497/(-W497)))),IF(X497=0,0,IF(OR(W497=0,V497=0),"N.M.",IF(ABS(X497/W497)&gt;=10,"N.M.",X497/W497))))</f>
        <v>-0.56700780291678721</v>
      </c>
      <c r="Z497" s="302"/>
      <c r="AA497" s="108">
        <v>1077542.3999999999</v>
      </c>
      <c r="AB497" s="109"/>
      <c r="AC497" s="110">
        <v>0</v>
      </c>
      <c r="AD497" s="110">
        <v>37726</v>
      </c>
      <c r="AE497" s="110">
        <v>37736</v>
      </c>
      <c r="AF497" s="110">
        <v>37716</v>
      </c>
      <c r="AG497" s="110">
        <v>37726</v>
      </c>
      <c r="AH497" s="110">
        <v>37726</v>
      </c>
      <c r="AI497" s="110">
        <v>37726</v>
      </c>
      <c r="AJ497" s="110">
        <v>983329</v>
      </c>
      <c r="AK497" s="110">
        <v>37726</v>
      </c>
      <c r="AL497" s="110">
        <v>75452</v>
      </c>
      <c r="AM497" s="110">
        <v>110816.1</v>
      </c>
      <c r="AN497" s="110">
        <v>1054908.3700000001</v>
      </c>
      <c r="AO497" s="109"/>
      <c r="AP497" s="110">
        <v>0</v>
      </c>
      <c r="AQ497" s="110">
        <v>37726</v>
      </c>
      <c r="AR497" s="110">
        <v>37726</v>
      </c>
      <c r="AS497" s="110">
        <v>0</v>
      </c>
      <c r="AT497" s="110">
        <v>0</v>
      </c>
      <c r="AU497" s="110">
        <v>0</v>
      </c>
      <c r="AV497" s="110">
        <v>0</v>
      </c>
      <c r="AW497" s="110">
        <v>0</v>
      </c>
      <c r="AX497" s="110">
        <v>0</v>
      </c>
      <c r="AY497" s="110">
        <v>0</v>
      </c>
      <c r="AZ497" s="110">
        <v>0</v>
      </c>
      <c r="BA497" s="110">
        <v>0</v>
      </c>
    </row>
    <row r="498" spans="1:53" s="131" customFormat="1">
      <c r="A498" s="111" t="s">
        <v>1302</v>
      </c>
      <c r="B498" s="331" t="s">
        <v>1303</v>
      </c>
      <c r="C498" s="347" t="s">
        <v>1304</v>
      </c>
      <c r="D498" s="352"/>
      <c r="E498" s="352"/>
      <c r="F498" s="333">
        <v>6184853.0499999998</v>
      </c>
      <c r="G498" s="333">
        <v>5115749.22</v>
      </c>
      <c r="H498" s="133">
        <f>+F498-G498</f>
        <v>1069103.83</v>
      </c>
      <c r="I498" s="138">
        <f>IF(G498&lt;0,IF(H498=0,0,IF(OR(G498=0,F498=0),"N.M.",IF(ABS(H498/G498)&gt;=10,"N.M.",H498/(-G498)))),IF(H498=0,0,IF(OR(G498=0,F498=0),"N.M.",IF(ABS(H498/G498)&gt;=10,"N.M.",H498/G498))))</f>
        <v>0.2089828457228402</v>
      </c>
      <c r="J498" s="158"/>
      <c r="K498" s="333">
        <v>14553030.58</v>
      </c>
      <c r="L498" s="333">
        <v>10851386.279999999</v>
      </c>
      <c r="M498" s="133">
        <f>+K498-L498</f>
        <v>3701644.3000000007</v>
      </c>
      <c r="N498" s="138">
        <f>IF(L498&lt;0,IF(M498=0,0,IF(OR(L498=0,K498=0),"N.M.",IF(ABS(M498/L498)&gt;=10,"N.M.",M498/(-L498)))),IF(M498=0,0,IF(OR(L498=0,K498=0),"N.M.",IF(ABS(M498/L498)&gt;=10,"N.M.",M498/L498))))</f>
        <v>0.34112178891119532</v>
      </c>
      <c r="O498" s="321"/>
      <c r="P498" s="364"/>
      <c r="Q498" s="333">
        <v>14553030.58</v>
      </c>
      <c r="R498" s="333">
        <v>10851386.279999999</v>
      </c>
      <c r="S498" s="133">
        <f>+Q498-R498</f>
        <v>3701644.3000000007</v>
      </c>
      <c r="T498" s="138">
        <f>IF(R498&lt;0,IF(S498=0,0,IF(OR(R498=0,Q498=0),"N.M.",IF(ABS(S498/R498)&gt;=10,"N.M.",S498/(-R498)))),IF(S498=0,0,IF(OR(R498=0,Q498=0),"N.M.",IF(ABS(S498/R498)&gt;=10,"N.M.",S498/R498))))</f>
        <v>0.34112178891119532</v>
      </c>
      <c r="U498" s="364"/>
      <c r="V498" s="333">
        <v>120127293.09</v>
      </c>
      <c r="W498" s="333">
        <v>86011815.311000004</v>
      </c>
      <c r="X498" s="133">
        <f>+V498-W498</f>
        <v>34115477.778999999</v>
      </c>
      <c r="Y498" s="137">
        <f>IF(W498&lt;0,IF(X498=0,0,IF(OR(W498=0,V498=0),"N.M.",IF(ABS(X498/W498)&gt;=10,"N.M.",X498/(-W498)))),IF(X498=0,0,IF(OR(W498=0,V498=0),"N.M.",IF(ABS(X498/W498)&gt;=10,"N.M.",X498/W498))))</f>
        <v>0.39663710916512873</v>
      </c>
      <c r="AA498" s="139">
        <v>25082835.730999999</v>
      </c>
      <c r="AB498" s="351"/>
      <c r="AC498" s="333">
        <v>0</v>
      </c>
      <c r="AD498" s="333">
        <v>5735637.0600000005</v>
      </c>
      <c r="AE498" s="333">
        <v>5115749.22</v>
      </c>
      <c r="AF498" s="333">
        <v>4345086.84</v>
      </c>
      <c r="AG498" s="333">
        <v>4315858.04</v>
      </c>
      <c r="AH498" s="333">
        <v>4222466.82</v>
      </c>
      <c r="AI498" s="333">
        <v>11497081.98</v>
      </c>
      <c r="AJ498" s="333">
        <v>7293416.8600000003</v>
      </c>
      <c r="AK498" s="333">
        <v>7888385.1320000002</v>
      </c>
      <c r="AL498" s="333">
        <v>17148613.647999998</v>
      </c>
      <c r="AM498" s="333">
        <v>34576589.480000004</v>
      </c>
      <c r="AN498" s="333">
        <v>14286763.710000001</v>
      </c>
      <c r="AO498" s="351"/>
      <c r="AP498" s="333">
        <v>0</v>
      </c>
      <c r="AQ498" s="333">
        <v>8368177.5300000003</v>
      </c>
      <c r="AR498" s="333">
        <v>6184853.0499999998</v>
      </c>
      <c r="AS498" s="333">
        <v>0</v>
      </c>
      <c r="AT498" s="333">
        <v>0</v>
      </c>
      <c r="AU498" s="333">
        <v>0</v>
      </c>
      <c r="AV498" s="333">
        <v>0</v>
      </c>
      <c r="AW498" s="333">
        <v>0</v>
      </c>
      <c r="AX498" s="333">
        <v>0</v>
      </c>
      <c r="AY498" s="333">
        <v>0</v>
      </c>
      <c r="AZ498" s="333">
        <v>0</v>
      </c>
      <c r="BA498" s="333">
        <v>0</v>
      </c>
    </row>
    <row r="499" spans="1:53" s="131" customFormat="1" ht="0.75" customHeight="1" outlineLevel="2">
      <c r="A499" s="111"/>
      <c r="B499" s="331"/>
      <c r="C499" s="347"/>
      <c r="D499" s="352"/>
      <c r="E499" s="352"/>
      <c r="F499" s="333"/>
      <c r="G499" s="333"/>
      <c r="H499" s="133"/>
      <c r="I499" s="138"/>
      <c r="J499" s="158"/>
      <c r="K499" s="333"/>
      <c r="L499" s="333"/>
      <c r="M499" s="133"/>
      <c r="N499" s="138"/>
      <c r="O499" s="321"/>
      <c r="P499" s="364"/>
      <c r="Q499" s="333"/>
      <c r="R499" s="333"/>
      <c r="S499" s="133"/>
      <c r="T499" s="138"/>
      <c r="U499" s="364"/>
      <c r="V499" s="333"/>
      <c r="W499" s="333"/>
      <c r="X499" s="133"/>
      <c r="Y499" s="137"/>
      <c r="AA499" s="139"/>
      <c r="AB499" s="351"/>
      <c r="AC499" s="333"/>
      <c r="AD499" s="333"/>
      <c r="AE499" s="333"/>
      <c r="AF499" s="333"/>
      <c r="AG499" s="333"/>
      <c r="AH499" s="333"/>
      <c r="AI499" s="333"/>
      <c r="AJ499" s="333"/>
      <c r="AK499" s="333"/>
      <c r="AL499" s="333"/>
      <c r="AM499" s="333"/>
      <c r="AN499" s="333"/>
      <c r="AO499" s="351"/>
      <c r="AP499" s="333"/>
      <c r="AQ499" s="333"/>
      <c r="AR499" s="333"/>
      <c r="AS499" s="333"/>
      <c r="AT499" s="333"/>
      <c r="AU499" s="333"/>
      <c r="AV499" s="333"/>
      <c r="AW499" s="333"/>
      <c r="AX499" s="333"/>
      <c r="AY499" s="333"/>
      <c r="AZ499" s="333"/>
      <c r="BA499" s="333"/>
    </row>
    <row r="500" spans="1:53" s="131" customFormat="1">
      <c r="A500" s="111" t="s">
        <v>1305</v>
      </c>
      <c r="B500" s="331" t="s">
        <v>1306</v>
      </c>
      <c r="C500" s="347" t="s">
        <v>1307</v>
      </c>
      <c r="D500" s="352"/>
      <c r="E500" s="352"/>
      <c r="F500" s="333">
        <v>0</v>
      </c>
      <c r="G500" s="333">
        <v>0</v>
      </c>
      <c r="H500" s="133">
        <f>+F500-G500</f>
        <v>0</v>
      </c>
      <c r="I500" s="138">
        <f>IF(G500&lt;0,IF(H500=0,0,IF(OR(G500=0,F500=0),"N.M.",IF(ABS(H500/G500)&gt;=10,"N.M.",H500/(-G500)))),IF(H500=0,0,IF(OR(G500=0,F500=0),"N.M.",IF(ABS(H500/G500)&gt;=10,"N.M.",H500/G500))))</f>
        <v>0</v>
      </c>
      <c r="J500" s="158"/>
      <c r="K500" s="333">
        <v>0</v>
      </c>
      <c r="L500" s="333">
        <v>0</v>
      </c>
      <c r="M500" s="133">
        <f>+K500-L500</f>
        <v>0</v>
      </c>
      <c r="N500" s="138">
        <f>IF(L500&lt;0,IF(M500=0,0,IF(OR(L500=0,K500=0),"N.M.",IF(ABS(M500/L500)&gt;=10,"N.M.",M500/(-L500)))),IF(M500=0,0,IF(OR(L500=0,K500=0),"N.M.",IF(ABS(M500/L500)&gt;=10,"N.M.",M500/L500))))</f>
        <v>0</v>
      </c>
      <c r="O500" s="302"/>
      <c r="P500" s="350"/>
      <c r="Q500" s="333">
        <v>0</v>
      </c>
      <c r="R500" s="333">
        <v>0</v>
      </c>
      <c r="S500" s="133">
        <f>+Q500-R500</f>
        <v>0</v>
      </c>
      <c r="T500" s="138">
        <f>IF(R500&lt;0,IF(S500=0,0,IF(OR(R500=0,Q500=0),"N.M.",IF(ABS(S500/R500)&gt;=10,"N.M.",S500/(-R500)))),IF(S500=0,0,IF(OR(R500=0,Q500=0),"N.M.",IF(ABS(S500/R500)&gt;=10,"N.M.",S500/R500))))</f>
        <v>0</v>
      </c>
      <c r="U500" s="350"/>
      <c r="V500" s="333">
        <v>0</v>
      </c>
      <c r="W500" s="333">
        <v>0</v>
      </c>
      <c r="X500" s="133">
        <f>+V500-W500</f>
        <v>0</v>
      </c>
      <c r="Y500" s="137">
        <f>IF(W500&lt;0,IF(X500=0,0,IF(OR(W500=0,V500=0),"N.M.",IF(ABS(X500/W500)&gt;=10,"N.M.",X500/(-W500)))),IF(X500=0,0,IF(OR(W500=0,V500=0),"N.M.",IF(ABS(X500/W500)&gt;=10,"N.M.",X500/W500))))</f>
        <v>0</v>
      </c>
      <c r="AA500" s="139">
        <v>0</v>
      </c>
      <c r="AB500" s="351"/>
      <c r="AC500" s="333">
        <v>0</v>
      </c>
      <c r="AD500" s="333">
        <v>0</v>
      </c>
      <c r="AE500" s="333">
        <v>0</v>
      </c>
      <c r="AF500" s="333">
        <v>0</v>
      </c>
      <c r="AG500" s="333">
        <v>0</v>
      </c>
      <c r="AH500" s="333">
        <v>0</v>
      </c>
      <c r="AI500" s="333">
        <v>0</v>
      </c>
      <c r="AJ500" s="333">
        <v>0</v>
      </c>
      <c r="AK500" s="333">
        <v>0</v>
      </c>
      <c r="AL500" s="333">
        <v>0</v>
      </c>
      <c r="AM500" s="333">
        <v>0</v>
      </c>
      <c r="AN500" s="333">
        <v>0</v>
      </c>
      <c r="AO500" s="351"/>
      <c r="AP500" s="333">
        <v>0</v>
      </c>
      <c r="AQ500" s="333">
        <v>0</v>
      </c>
      <c r="AR500" s="333">
        <v>0</v>
      </c>
      <c r="AS500" s="333">
        <v>0</v>
      </c>
      <c r="AT500" s="333">
        <v>0</v>
      </c>
      <c r="AU500" s="333">
        <v>0</v>
      </c>
      <c r="AV500" s="333">
        <v>0</v>
      </c>
      <c r="AW500" s="333">
        <v>0</v>
      </c>
      <c r="AX500" s="333">
        <v>0</v>
      </c>
      <c r="AY500" s="333">
        <v>0</v>
      </c>
      <c r="AZ500" s="333">
        <v>0</v>
      </c>
      <c r="BA500" s="333">
        <v>0</v>
      </c>
    </row>
    <row r="501" spans="1:53" s="131" customFormat="1" ht="0.75" customHeight="1" outlineLevel="2">
      <c r="A501" s="111"/>
      <c r="B501" s="331"/>
      <c r="C501" s="347"/>
      <c r="D501" s="352"/>
      <c r="E501" s="352"/>
      <c r="F501" s="333"/>
      <c r="G501" s="333"/>
      <c r="H501" s="133"/>
      <c r="I501" s="138"/>
      <c r="J501" s="158"/>
      <c r="K501" s="333"/>
      <c r="L501" s="333"/>
      <c r="M501" s="133"/>
      <c r="N501" s="138"/>
      <c r="O501" s="302"/>
      <c r="P501" s="350"/>
      <c r="Q501" s="333"/>
      <c r="R501" s="333"/>
      <c r="S501" s="133"/>
      <c r="T501" s="138"/>
      <c r="U501" s="350"/>
      <c r="V501" s="333"/>
      <c r="W501" s="333"/>
      <c r="X501" s="133"/>
      <c r="Y501" s="137"/>
      <c r="AA501" s="139"/>
      <c r="AB501" s="351"/>
      <c r="AC501" s="333"/>
      <c r="AD501" s="333"/>
      <c r="AE501" s="333"/>
      <c r="AF501" s="333"/>
      <c r="AG501" s="333"/>
      <c r="AH501" s="333"/>
      <c r="AI501" s="333"/>
      <c r="AJ501" s="333"/>
      <c r="AK501" s="333"/>
      <c r="AL501" s="333"/>
      <c r="AM501" s="333"/>
      <c r="AN501" s="333"/>
      <c r="AO501" s="351"/>
      <c r="AP501" s="333"/>
      <c r="AQ501" s="333"/>
      <c r="AR501" s="333"/>
      <c r="AS501" s="333"/>
      <c r="AT501" s="333"/>
      <c r="AU501" s="333"/>
      <c r="AV501" s="333"/>
      <c r="AW501" s="333"/>
      <c r="AX501" s="333"/>
      <c r="AY501" s="333"/>
      <c r="AZ501" s="333"/>
      <c r="BA501" s="333"/>
    </row>
    <row r="502" spans="1:53" s="102" customFormat="1" outlineLevel="2">
      <c r="A502" s="102" t="s">
        <v>1308</v>
      </c>
      <c r="B502" s="103" t="s">
        <v>1309</v>
      </c>
      <c r="C502" s="104" t="s">
        <v>1310</v>
      </c>
      <c r="D502" s="298"/>
      <c r="E502" s="299"/>
      <c r="F502" s="105">
        <v>1064</v>
      </c>
      <c r="G502" s="105">
        <v>936</v>
      </c>
      <c r="H502" s="106">
        <f>+F502-G502</f>
        <v>128</v>
      </c>
      <c r="I502" s="300">
        <f>IF(G502&lt;0,IF(H502=0,0,IF(OR(G502=0,F502=0),"N.M.",IF(ABS(H502/G502)&gt;=10,"N.M.",H502/(-G502)))),IF(H502=0,0,IF(OR(G502=0,F502=0),"N.M.",IF(ABS(H502/G502)&gt;=10,"N.M.",H502/G502))))</f>
        <v>0.13675213675213677</v>
      </c>
      <c r="J502" s="107"/>
      <c r="K502" s="105">
        <v>3192</v>
      </c>
      <c r="L502" s="105">
        <v>633333.27</v>
      </c>
      <c r="M502" s="106">
        <f>+K502-L502</f>
        <v>-630141.27</v>
      </c>
      <c r="N502" s="300">
        <f>IF(L502&lt;0,IF(M502=0,0,IF(OR(L502=0,K502=0),"N.M.",IF(ABS(M502/L502)&gt;=10,"N.M.",M502/(-L502)))),IF(M502=0,0,IF(OR(L502=0,K502=0),"N.M.",IF(ABS(M502/L502)&gt;=10,"N.M.",M502/L502))))</f>
        <v>-0.994959999496</v>
      </c>
      <c r="O502" s="301"/>
      <c r="P502" s="107"/>
      <c r="Q502" s="105">
        <v>3192</v>
      </c>
      <c r="R502" s="105">
        <v>633333.27</v>
      </c>
      <c r="S502" s="106">
        <f>+Q502-R502</f>
        <v>-630141.27</v>
      </c>
      <c r="T502" s="300">
        <f>IF(R502&lt;0,IF(S502=0,0,IF(OR(R502=0,Q502=0),"N.M.",IF(ABS(S502/R502)&gt;=10,"N.M.",S502/(-R502)))),IF(S502=0,0,IF(OR(R502=0,Q502=0),"N.M.",IF(ABS(S502/R502)&gt;=10,"N.M.",S502/R502))))</f>
        <v>-0.994959999496</v>
      </c>
      <c r="U502" s="107"/>
      <c r="V502" s="105">
        <v>11516.380000000001</v>
      </c>
      <c r="W502" s="105">
        <v>640740.27</v>
      </c>
      <c r="X502" s="106">
        <f>+V502-W502</f>
        <v>-629223.89</v>
      </c>
      <c r="Y502" s="300">
        <f>IF(W502&lt;0,IF(X502=0,0,IF(OR(W502=0,V502=0),"N.M.",IF(ABS(X502/W502)&gt;=10,"N.M.",X502/(-W502)))),IF(X502=0,0,IF(OR(W502=0,V502=0),"N.M.",IF(ABS(X502/W502)&gt;=10,"N.M.",X502/W502))))</f>
        <v>-0.98202644575468934</v>
      </c>
      <c r="Z502" s="302"/>
      <c r="AA502" s="108">
        <v>823</v>
      </c>
      <c r="AB502" s="109"/>
      <c r="AC502" s="110">
        <v>631461.27</v>
      </c>
      <c r="AD502" s="110">
        <v>936</v>
      </c>
      <c r="AE502" s="110">
        <v>936</v>
      </c>
      <c r="AF502" s="110">
        <v>936</v>
      </c>
      <c r="AG502" s="110">
        <v>836.38</v>
      </c>
      <c r="AH502" s="110">
        <v>936</v>
      </c>
      <c r="AI502" s="110">
        <v>936</v>
      </c>
      <c r="AJ502" s="110">
        <v>936</v>
      </c>
      <c r="AK502" s="110">
        <v>936</v>
      </c>
      <c r="AL502" s="110">
        <v>936</v>
      </c>
      <c r="AM502" s="110">
        <v>936</v>
      </c>
      <c r="AN502" s="110">
        <v>936</v>
      </c>
      <c r="AO502" s="109"/>
      <c r="AP502" s="110">
        <v>1064</v>
      </c>
      <c r="AQ502" s="110">
        <v>1064</v>
      </c>
      <c r="AR502" s="110">
        <v>1064</v>
      </c>
      <c r="AS502" s="110">
        <v>0</v>
      </c>
      <c r="AT502" s="110">
        <v>0</v>
      </c>
      <c r="AU502" s="110">
        <v>0</v>
      </c>
      <c r="AV502" s="110">
        <v>0</v>
      </c>
      <c r="AW502" s="110">
        <v>0</v>
      </c>
      <c r="AX502" s="110">
        <v>0</v>
      </c>
      <c r="AY502" s="110">
        <v>0</v>
      </c>
      <c r="AZ502" s="110">
        <v>0</v>
      </c>
      <c r="BA502" s="110">
        <v>0</v>
      </c>
    </row>
    <row r="503" spans="1:53" s="131" customFormat="1">
      <c r="A503" s="111" t="s">
        <v>1311</v>
      </c>
      <c r="B503" s="331" t="s">
        <v>1312</v>
      </c>
      <c r="C503" s="347" t="s">
        <v>1313</v>
      </c>
      <c r="D503" s="352"/>
      <c r="E503" s="352"/>
      <c r="F503" s="333">
        <v>1064</v>
      </c>
      <c r="G503" s="333">
        <v>936</v>
      </c>
      <c r="H503" s="133">
        <f>+F503-G503</f>
        <v>128</v>
      </c>
      <c r="I503" s="138">
        <f>IF(G503&lt;0,IF(H503=0,0,IF(OR(G503=0,F503=0),"N.M.",IF(ABS(H503/G503)&gt;=10,"N.M.",H503/(-G503)))),IF(H503=0,0,IF(OR(G503=0,F503=0),"N.M.",IF(ABS(H503/G503)&gt;=10,"N.M.",H503/G503))))</f>
        <v>0.13675213675213677</v>
      </c>
      <c r="J503" s="158"/>
      <c r="K503" s="333">
        <v>3192</v>
      </c>
      <c r="L503" s="333">
        <v>633333.27</v>
      </c>
      <c r="M503" s="133">
        <f>+K503-L503</f>
        <v>-630141.27</v>
      </c>
      <c r="N503" s="138">
        <f>IF(L503&lt;0,IF(M503=0,0,IF(OR(L503=0,K503=0),"N.M.",IF(ABS(M503/L503)&gt;=10,"N.M.",M503/(-L503)))),IF(M503=0,0,IF(OR(L503=0,K503=0),"N.M.",IF(ABS(M503/L503)&gt;=10,"N.M.",M503/L503))))</f>
        <v>-0.994959999496</v>
      </c>
      <c r="O503" s="302"/>
      <c r="P503" s="350"/>
      <c r="Q503" s="333">
        <v>3192</v>
      </c>
      <c r="R503" s="333">
        <v>633333.27</v>
      </c>
      <c r="S503" s="133">
        <f>+Q503-R503</f>
        <v>-630141.27</v>
      </c>
      <c r="T503" s="138">
        <f>IF(R503&lt;0,IF(S503=0,0,IF(OR(R503=0,Q503=0),"N.M.",IF(ABS(S503/R503)&gt;=10,"N.M.",S503/(-R503)))),IF(S503=0,0,IF(OR(R503=0,Q503=0),"N.M.",IF(ABS(S503/R503)&gt;=10,"N.M.",S503/R503))))</f>
        <v>-0.994959999496</v>
      </c>
      <c r="U503" s="350"/>
      <c r="V503" s="333">
        <v>11516.380000000001</v>
      </c>
      <c r="W503" s="333">
        <v>640740.27</v>
      </c>
      <c r="X503" s="133">
        <f>+V503-W503</f>
        <v>-629223.89</v>
      </c>
      <c r="Y503" s="137">
        <f>IF(W503&lt;0,IF(X503=0,0,IF(OR(W503=0,V503=0),"N.M.",IF(ABS(X503/W503)&gt;=10,"N.M.",X503/(-W503)))),IF(X503=0,0,IF(OR(W503=0,V503=0),"N.M.",IF(ABS(X503/W503)&gt;=10,"N.M.",X503/W503))))</f>
        <v>-0.98202644575468934</v>
      </c>
      <c r="AA503" s="139">
        <v>823</v>
      </c>
      <c r="AB503" s="351"/>
      <c r="AC503" s="333">
        <v>631461.27</v>
      </c>
      <c r="AD503" s="333">
        <v>936</v>
      </c>
      <c r="AE503" s="333">
        <v>936</v>
      </c>
      <c r="AF503" s="333">
        <v>936</v>
      </c>
      <c r="AG503" s="333">
        <v>836.38</v>
      </c>
      <c r="AH503" s="333">
        <v>936</v>
      </c>
      <c r="AI503" s="333">
        <v>936</v>
      </c>
      <c r="AJ503" s="333">
        <v>936</v>
      </c>
      <c r="AK503" s="333">
        <v>936</v>
      </c>
      <c r="AL503" s="333">
        <v>936</v>
      </c>
      <c r="AM503" s="333">
        <v>936</v>
      </c>
      <c r="AN503" s="333">
        <v>936</v>
      </c>
      <c r="AO503" s="351"/>
      <c r="AP503" s="333">
        <v>1064</v>
      </c>
      <c r="AQ503" s="333">
        <v>1064</v>
      </c>
      <c r="AR503" s="333">
        <v>1064</v>
      </c>
      <c r="AS503" s="333">
        <v>0</v>
      </c>
      <c r="AT503" s="333">
        <v>0</v>
      </c>
      <c r="AU503" s="333">
        <v>0</v>
      </c>
      <c r="AV503" s="333">
        <v>0</v>
      </c>
      <c r="AW503" s="333">
        <v>0</v>
      </c>
      <c r="AX503" s="333">
        <v>0</v>
      </c>
      <c r="AY503" s="333">
        <v>0</v>
      </c>
      <c r="AZ503" s="333">
        <v>0</v>
      </c>
      <c r="BA503" s="333">
        <v>0</v>
      </c>
    </row>
    <row r="504" spans="1:53" s="131" customFormat="1" ht="0.75" customHeight="1" outlineLevel="2">
      <c r="A504" s="111"/>
      <c r="B504" s="331"/>
      <c r="C504" s="347"/>
      <c r="D504" s="352"/>
      <c r="E504" s="352"/>
      <c r="F504" s="333"/>
      <c r="G504" s="333"/>
      <c r="H504" s="133"/>
      <c r="I504" s="138"/>
      <c r="J504" s="158"/>
      <c r="K504" s="333"/>
      <c r="L504" s="333"/>
      <c r="M504" s="133"/>
      <c r="N504" s="138"/>
      <c r="O504" s="302"/>
      <c r="P504" s="350"/>
      <c r="Q504" s="333"/>
      <c r="R504" s="333"/>
      <c r="S504" s="133"/>
      <c r="T504" s="138"/>
      <c r="U504" s="350"/>
      <c r="V504" s="333"/>
      <c r="W504" s="333"/>
      <c r="X504" s="133"/>
      <c r="Y504" s="137"/>
      <c r="AA504" s="139"/>
      <c r="AB504" s="351"/>
      <c r="AC504" s="333"/>
      <c r="AD504" s="333"/>
      <c r="AE504" s="333"/>
      <c r="AF504" s="333"/>
      <c r="AG504" s="333"/>
      <c r="AH504" s="333"/>
      <c r="AI504" s="333"/>
      <c r="AJ504" s="333"/>
      <c r="AK504" s="333"/>
      <c r="AL504" s="333"/>
      <c r="AM504" s="333"/>
      <c r="AN504" s="333"/>
      <c r="AO504" s="351"/>
      <c r="AP504" s="333"/>
      <c r="AQ504" s="333"/>
      <c r="AR504" s="333"/>
      <c r="AS504" s="333"/>
      <c r="AT504" s="333"/>
      <c r="AU504" s="333"/>
      <c r="AV504" s="333"/>
      <c r="AW504" s="333"/>
      <c r="AX504" s="333"/>
      <c r="AY504" s="333"/>
      <c r="AZ504" s="333"/>
      <c r="BA504" s="333"/>
    </row>
    <row r="505" spans="1:53" s="131" customFormat="1">
      <c r="A505" s="111" t="s">
        <v>1314</v>
      </c>
      <c r="B505" s="331" t="s">
        <v>1315</v>
      </c>
      <c r="C505" s="347" t="s">
        <v>1316</v>
      </c>
      <c r="D505" s="352"/>
      <c r="E505" s="352"/>
      <c r="F505" s="333">
        <v>0</v>
      </c>
      <c r="G505" s="333">
        <v>0</v>
      </c>
      <c r="H505" s="133">
        <f>+F505-G505</f>
        <v>0</v>
      </c>
      <c r="I505" s="138">
        <f>IF(G505&lt;0,IF(H505=0,0,IF(OR(G505=0,F505=0),"N.M.",IF(ABS(H505/G505)&gt;=10,"N.M.",H505/(-G505)))),IF(H505=0,0,IF(OR(G505=0,F505=0),"N.M.",IF(ABS(H505/G505)&gt;=10,"N.M.",H505/G505))))</f>
        <v>0</v>
      </c>
      <c r="J505" s="158"/>
      <c r="K505" s="333">
        <v>0</v>
      </c>
      <c r="L505" s="333">
        <v>0</v>
      </c>
      <c r="M505" s="133">
        <f>+K505-L505</f>
        <v>0</v>
      </c>
      <c r="N505" s="138">
        <f>IF(L505&lt;0,IF(M505=0,0,IF(OR(L505=0,K505=0),"N.M.",IF(ABS(M505/L505)&gt;=10,"N.M.",M505/(-L505)))),IF(M505=0,0,IF(OR(L505=0,K505=0),"N.M.",IF(ABS(M505/L505)&gt;=10,"N.M.",M505/L505))))</f>
        <v>0</v>
      </c>
      <c r="O505" s="302"/>
      <c r="P505" s="350"/>
      <c r="Q505" s="333">
        <v>0</v>
      </c>
      <c r="R505" s="333">
        <v>0</v>
      </c>
      <c r="S505" s="133">
        <f>+Q505-R505</f>
        <v>0</v>
      </c>
      <c r="T505" s="138">
        <f>IF(R505&lt;0,IF(S505=0,0,IF(OR(R505=0,Q505=0),"N.M.",IF(ABS(S505/R505)&gt;=10,"N.M.",S505/(-R505)))),IF(S505=0,0,IF(OR(R505=0,Q505=0),"N.M.",IF(ABS(S505/R505)&gt;=10,"N.M.",S505/R505))))</f>
        <v>0</v>
      </c>
      <c r="U505" s="350"/>
      <c r="V505" s="333">
        <v>0</v>
      </c>
      <c r="W505" s="333">
        <v>0</v>
      </c>
      <c r="X505" s="133">
        <f>+V505-W505</f>
        <v>0</v>
      </c>
      <c r="Y505" s="137">
        <f>IF(W505&lt;0,IF(X505=0,0,IF(OR(W505=0,V505=0),"N.M.",IF(ABS(X505/W505)&gt;=10,"N.M.",X505/(-W505)))),IF(X505=0,0,IF(OR(W505=0,V505=0),"N.M.",IF(ABS(X505/W505)&gt;=10,"N.M.",X505/W505))))</f>
        <v>0</v>
      </c>
      <c r="AA505" s="139">
        <v>0</v>
      </c>
      <c r="AB505" s="351"/>
      <c r="AC505" s="333">
        <v>0</v>
      </c>
      <c r="AD505" s="333">
        <v>0</v>
      </c>
      <c r="AE505" s="333">
        <v>0</v>
      </c>
      <c r="AF505" s="333">
        <v>0</v>
      </c>
      <c r="AG505" s="333">
        <v>0</v>
      </c>
      <c r="AH505" s="333">
        <v>0</v>
      </c>
      <c r="AI505" s="333">
        <v>0</v>
      </c>
      <c r="AJ505" s="333">
        <v>0</v>
      </c>
      <c r="AK505" s="333">
        <v>0</v>
      </c>
      <c r="AL505" s="333">
        <v>0</v>
      </c>
      <c r="AM505" s="333">
        <v>0</v>
      </c>
      <c r="AN505" s="333">
        <v>0</v>
      </c>
      <c r="AO505" s="351"/>
      <c r="AP505" s="333">
        <v>0</v>
      </c>
      <c r="AQ505" s="333">
        <v>0</v>
      </c>
      <c r="AR505" s="333">
        <v>0</v>
      </c>
      <c r="AS505" s="333">
        <v>0</v>
      </c>
      <c r="AT505" s="333">
        <v>0</v>
      </c>
      <c r="AU505" s="333">
        <v>0</v>
      </c>
      <c r="AV505" s="333">
        <v>0</v>
      </c>
      <c r="AW505" s="333">
        <v>0</v>
      </c>
      <c r="AX505" s="333">
        <v>0</v>
      </c>
      <c r="AY505" s="333">
        <v>0</v>
      </c>
      <c r="AZ505" s="333">
        <v>0</v>
      </c>
      <c r="BA505" s="333">
        <v>0</v>
      </c>
    </row>
    <row r="506" spans="1:53" s="131" customFormat="1" ht="0.75" customHeight="1" outlineLevel="2">
      <c r="A506" s="111"/>
      <c r="B506" s="331"/>
      <c r="C506" s="347"/>
      <c r="D506" s="352"/>
      <c r="E506" s="352"/>
      <c r="F506" s="333"/>
      <c r="G506" s="333"/>
      <c r="H506" s="133"/>
      <c r="I506" s="138"/>
      <c r="J506" s="158"/>
      <c r="K506" s="333"/>
      <c r="L506" s="333"/>
      <c r="M506" s="133"/>
      <c r="N506" s="138"/>
      <c r="O506" s="302"/>
      <c r="P506" s="350"/>
      <c r="Q506" s="333"/>
      <c r="R506" s="333"/>
      <c r="S506" s="133"/>
      <c r="T506" s="138"/>
      <c r="U506" s="350"/>
      <c r="V506" s="333"/>
      <c r="W506" s="333"/>
      <c r="X506" s="133"/>
      <c r="Y506" s="137"/>
      <c r="AA506" s="139"/>
      <c r="AB506" s="351"/>
      <c r="AC506" s="333"/>
      <c r="AD506" s="333"/>
      <c r="AE506" s="333"/>
      <c r="AF506" s="333"/>
      <c r="AG506" s="333"/>
      <c r="AH506" s="333"/>
      <c r="AI506" s="333"/>
      <c r="AJ506" s="333"/>
      <c r="AK506" s="333"/>
      <c r="AL506" s="333"/>
      <c r="AM506" s="333"/>
      <c r="AN506" s="333"/>
      <c r="AO506" s="351"/>
      <c r="AP506" s="333"/>
      <c r="AQ506" s="333"/>
      <c r="AR506" s="333"/>
      <c r="AS506" s="333"/>
      <c r="AT506" s="333"/>
      <c r="AU506" s="333"/>
      <c r="AV506" s="333"/>
      <c r="AW506" s="333"/>
      <c r="AX506" s="333"/>
      <c r="AY506" s="333"/>
      <c r="AZ506" s="333"/>
      <c r="BA506" s="333"/>
    </row>
    <row r="507" spans="1:53" s="102" customFormat="1" outlineLevel="2">
      <c r="A507" s="102" t="s">
        <v>1317</v>
      </c>
      <c r="B507" s="103" t="s">
        <v>1318</v>
      </c>
      <c r="C507" s="104" t="s">
        <v>1319</v>
      </c>
      <c r="D507" s="298"/>
      <c r="E507" s="299"/>
      <c r="F507" s="105">
        <v>0</v>
      </c>
      <c r="G507" s="105">
        <v>0</v>
      </c>
      <c r="H507" s="106">
        <f>+F507-G507</f>
        <v>0</v>
      </c>
      <c r="I507" s="300">
        <f>IF(G507&lt;0,IF(H507=0,0,IF(OR(G507=0,F507=0),"N.M.",IF(ABS(H507/G507)&gt;=10,"N.M.",H507/(-G507)))),IF(H507=0,0,IF(OR(G507=0,F507=0),"N.M.",IF(ABS(H507/G507)&gt;=10,"N.M.",H507/G507))))</f>
        <v>0</v>
      </c>
      <c r="J507" s="107"/>
      <c r="K507" s="105">
        <v>0</v>
      </c>
      <c r="L507" s="105">
        <v>0</v>
      </c>
      <c r="M507" s="106">
        <f>+K507-L507</f>
        <v>0</v>
      </c>
      <c r="N507" s="300">
        <f>IF(L507&lt;0,IF(M507=0,0,IF(OR(L507=0,K507=0),"N.M.",IF(ABS(M507/L507)&gt;=10,"N.M.",M507/(-L507)))),IF(M507=0,0,IF(OR(L507=0,K507=0),"N.M.",IF(ABS(M507/L507)&gt;=10,"N.M.",M507/L507))))</f>
        <v>0</v>
      </c>
      <c r="O507" s="301"/>
      <c r="P507" s="107"/>
      <c r="Q507" s="105">
        <v>0</v>
      </c>
      <c r="R507" s="105">
        <v>0</v>
      </c>
      <c r="S507" s="106">
        <f>+Q507-R507</f>
        <v>0</v>
      </c>
      <c r="T507" s="300">
        <f>IF(R507&lt;0,IF(S507=0,0,IF(OR(R507=0,Q507=0),"N.M.",IF(ABS(S507/R507)&gt;=10,"N.M.",S507/(-R507)))),IF(S507=0,0,IF(OR(R507=0,Q507=0),"N.M.",IF(ABS(S507/R507)&gt;=10,"N.M.",S507/R507))))</f>
        <v>0</v>
      </c>
      <c r="U507" s="107"/>
      <c r="V507" s="105">
        <v>0</v>
      </c>
      <c r="W507" s="105">
        <v>8.32</v>
      </c>
      <c r="X507" s="106">
        <f>+V507-W507</f>
        <v>-8.32</v>
      </c>
      <c r="Y507" s="300" t="str">
        <f>IF(W507&lt;0,IF(X507=0,0,IF(OR(W507=0,V507=0),"N.M.",IF(ABS(X507/W507)&gt;=10,"N.M.",X507/(-W507)))),IF(X507=0,0,IF(OR(W507=0,V507=0),"N.M.",IF(ABS(X507/W507)&gt;=10,"N.M.",X507/W507))))</f>
        <v>N.M.</v>
      </c>
      <c r="Z507" s="302"/>
      <c r="AA507" s="108">
        <v>0</v>
      </c>
      <c r="AB507" s="109"/>
      <c r="AC507" s="110">
        <v>0</v>
      </c>
      <c r="AD507" s="110">
        <v>0</v>
      </c>
      <c r="AE507" s="110">
        <v>0</v>
      </c>
      <c r="AF507" s="110">
        <v>0</v>
      </c>
      <c r="AG507" s="110">
        <v>0</v>
      </c>
      <c r="AH507" s="110">
        <v>0</v>
      </c>
      <c r="AI507" s="110">
        <v>0</v>
      </c>
      <c r="AJ507" s="110">
        <v>0</v>
      </c>
      <c r="AK507" s="110">
        <v>0</v>
      </c>
      <c r="AL507" s="110">
        <v>0</v>
      </c>
      <c r="AM507" s="110">
        <v>0</v>
      </c>
      <c r="AN507" s="110">
        <v>0</v>
      </c>
      <c r="AO507" s="109"/>
      <c r="AP507" s="110">
        <v>0</v>
      </c>
      <c r="AQ507" s="110">
        <v>0</v>
      </c>
      <c r="AR507" s="110">
        <v>0</v>
      </c>
      <c r="AS507" s="110">
        <v>0</v>
      </c>
      <c r="AT507" s="110">
        <v>0</v>
      </c>
      <c r="AU507" s="110">
        <v>0</v>
      </c>
      <c r="AV507" s="110">
        <v>0</v>
      </c>
      <c r="AW507" s="110">
        <v>0</v>
      </c>
      <c r="AX507" s="110">
        <v>0</v>
      </c>
      <c r="AY507" s="110">
        <v>0</v>
      </c>
      <c r="AZ507" s="110">
        <v>0</v>
      </c>
      <c r="BA507" s="110">
        <v>0</v>
      </c>
    </row>
    <row r="508" spans="1:53" s="102" customFormat="1" outlineLevel="2">
      <c r="A508" s="102" t="s">
        <v>1320</v>
      </c>
      <c r="B508" s="103" t="s">
        <v>1321</v>
      </c>
      <c r="C508" s="104" t="s">
        <v>1322</v>
      </c>
      <c r="D508" s="298"/>
      <c r="E508" s="299"/>
      <c r="F508" s="105">
        <v>0</v>
      </c>
      <c r="G508" s="105">
        <v>572616</v>
      </c>
      <c r="H508" s="106">
        <f>+F508-G508</f>
        <v>-572616</v>
      </c>
      <c r="I508" s="300" t="str">
        <f>IF(G508&lt;0,IF(H508=0,0,IF(OR(G508=0,F508=0),"N.M.",IF(ABS(H508/G508)&gt;=10,"N.M.",H508/(-G508)))),IF(H508=0,0,IF(OR(G508=0,F508=0),"N.M.",IF(ABS(H508/G508)&gt;=10,"N.M.",H508/G508))))</f>
        <v>N.M.</v>
      </c>
      <c r="J508" s="107"/>
      <c r="K508" s="105">
        <v>0</v>
      </c>
      <c r="L508" s="105">
        <v>572616</v>
      </c>
      <c r="M508" s="106">
        <f>+K508-L508</f>
        <v>-572616</v>
      </c>
      <c r="N508" s="300" t="str">
        <f>IF(L508&lt;0,IF(M508=0,0,IF(OR(L508=0,K508=0),"N.M.",IF(ABS(M508/L508)&gt;=10,"N.M.",M508/(-L508)))),IF(M508=0,0,IF(OR(L508=0,K508=0),"N.M.",IF(ABS(M508/L508)&gt;=10,"N.M.",M508/L508))))</f>
        <v>N.M.</v>
      </c>
      <c r="O508" s="301"/>
      <c r="P508" s="107"/>
      <c r="Q508" s="105">
        <v>0</v>
      </c>
      <c r="R508" s="105">
        <v>572616</v>
      </c>
      <c r="S508" s="106">
        <f>+Q508-R508</f>
        <v>-572616</v>
      </c>
      <c r="T508" s="300" t="str">
        <f>IF(R508&lt;0,IF(S508=0,0,IF(OR(R508=0,Q508=0),"N.M.",IF(ABS(S508/R508)&gt;=10,"N.M.",S508/(-R508)))),IF(S508=0,0,IF(OR(R508=0,Q508=0),"N.M.",IF(ABS(S508/R508)&gt;=10,"N.M.",S508/R508))))</f>
        <v>N.M.</v>
      </c>
      <c r="U508" s="107"/>
      <c r="V508" s="105">
        <v>140184</v>
      </c>
      <c r="W508" s="105">
        <v>572616</v>
      </c>
      <c r="X508" s="106">
        <f>+V508-W508</f>
        <v>-432432</v>
      </c>
      <c r="Y508" s="300">
        <f>IF(W508&lt;0,IF(X508=0,0,IF(OR(W508=0,V508=0),"N.M.",IF(ABS(X508/W508)&gt;=10,"N.M.",X508/(-W508)))),IF(X508=0,0,IF(OR(W508=0,V508=0),"N.M.",IF(ABS(X508/W508)&gt;=10,"N.M.",X508/W508))))</f>
        <v>-0.75518672199170123</v>
      </c>
      <c r="Z508" s="302"/>
      <c r="AA508" s="108">
        <v>0</v>
      </c>
      <c r="AB508" s="109"/>
      <c r="AC508" s="110">
        <v>0</v>
      </c>
      <c r="AD508" s="110">
        <v>0</v>
      </c>
      <c r="AE508" s="110">
        <v>572616</v>
      </c>
      <c r="AF508" s="110">
        <v>0</v>
      </c>
      <c r="AG508" s="110">
        <v>140184</v>
      </c>
      <c r="AH508" s="110">
        <v>0</v>
      </c>
      <c r="AI508" s="110">
        <v>0</v>
      </c>
      <c r="AJ508" s="110">
        <v>0</v>
      </c>
      <c r="AK508" s="110">
        <v>0</v>
      </c>
      <c r="AL508" s="110">
        <v>0</v>
      </c>
      <c r="AM508" s="110">
        <v>0</v>
      </c>
      <c r="AN508" s="110">
        <v>0</v>
      </c>
      <c r="AO508" s="109"/>
      <c r="AP508" s="110">
        <v>0</v>
      </c>
      <c r="AQ508" s="110">
        <v>0</v>
      </c>
      <c r="AR508" s="110">
        <v>0</v>
      </c>
      <c r="AS508" s="110">
        <v>0</v>
      </c>
      <c r="AT508" s="110">
        <v>0</v>
      </c>
      <c r="AU508" s="110">
        <v>0</v>
      </c>
      <c r="AV508" s="110">
        <v>0</v>
      </c>
      <c r="AW508" s="110">
        <v>0</v>
      </c>
      <c r="AX508" s="110">
        <v>0</v>
      </c>
      <c r="AY508" s="110">
        <v>0</v>
      </c>
      <c r="AZ508" s="110">
        <v>0</v>
      </c>
      <c r="BA508" s="110">
        <v>0</v>
      </c>
    </row>
    <row r="509" spans="1:53" s="131" customFormat="1">
      <c r="A509" s="111" t="s">
        <v>1323</v>
      </c>
      <c r="B509" s="331" t="s">
        <v>1324</v>
      </c>
      <c r="C509" s="347" t="s">
        <v>1325</v>
      </c>
      <c r="D509" s="352"/>
      <c r="E509" s="352"/>
      <c r="F509" s="333">
        <v>0</v>
      </c>
      <c r="G509" s="333">
        <v>572616</v>
      </c>
      <c r="H509" s="133">
        <f>+F509-G509</f>
        <v>-572616</v>
      </c>
      <c r="I509" s="138" t="str">
        <f>IF(G509&lt;0,IF(H509=0,0,IF(OR(G509=0,F509=0),"N.M.",IF(ABS(H509/G509)&gt;=10,"N.M.",H509/(-G509)))),IF(H509=0,0,IF(OR(G509=0,F509=0),"N.M.",IF(ABS(H509/G509)&gt;=10,"N.M.",H509/G509))))</f>
        <v>N.M.</v>
      </c>
      <c r="J509" s="158"/>
      <c r="K509" s="333">
        <v>0</v>
      </c>
      <c r="L509" s="333">
        <v>572616</v>
      </c>
      <c r="M509" s="133">
        <f>+K509-L509</f>
        <v>-572616</v>
      </c>
      <c r="N509" s="138" t="str">
        <f>IF(L509&lt;0,IF(M509=0,0,IF(OR(L509=0,K509=0),"N.M.",IF(ABS(M509/L509)&gt;=10,"N.M.",M509/(-L509)))),IF(M509=0,0,IF(OR(L509=0,K509=0),"N.M.",IF(ABS(M509/L509)&gt;=10,"N.M.",M509/L509))))</f>
        <v>N.M.</v>
      </c>
      <c r="O509" s="321"/>
      <c r="P509" s="364"/>
      <c r="Q509" s="333">
        <v>0</v>
      </c>
      <c r="R509" s="333">
        <v>572616</v>
      </c>
      <c r="S509" s="133">
        <f>+Q509-R509</f>
        <v>-572616</v>
      </c>
      <c r="T509" s="138" t="str">
        <f>IF(R509&lt;0,IF(S509=0,0,IF(OR(R509=0,Q509=0),"N.M.",IF(ABS(S509/R509)&gt;=10,"N.M.",S509/(-R509)))),IF(S509=0,0,IF(OR(R509=0,Q509=0),"N.M.",IF(ABS(S509/R509)&gt;=10,"N.M.",S509/R509))))</f>
        <v>N.M.</v>
      </c>
      <c r="U509" s="364"/>
      <c r="V509" s="333">
        <v>140184</v>
      </c>
      <c r="W509" s="333">
        <v>572624.31999999995</v>
      </c>
      <c r="X509" s="133">
        <f>+V509-W509</f>
        <v>-432440.31999999995</v>
      </c>
      <c r="Y509" s="137">
        <f>IF(W509&lt;0,IF(X509=0,0,IF(OR(W509=0,V509=0),"N.M.",IF(ABS(X509/W509)&gt;=10,"N.M.",X509/(-W509)))),IF(X509=0,0,IF(OR(W509=0,V509=0),"N.M.",IF(ABS(X509/W509)&gt;=10,"N.M.",X509/W509))))</f>
        <v>-0.75519027902971358</v>
      </c>
      <c r="AA509" s="139">
        <v>0</v>
      </c>
      <c r="AB509" s="351"/>
      <c r="AC509" s="333">
        <v>0</v>
      </c>
      <c r="AD509" s="333">
        <v>0</v>
      </c>
      <c r="AE509" s="333">
        <v>572616</v>
      </c>
      <c r="AF509" s="333">
        <v>0</v>
      </c>
      <c r="AG509" s="333">
        <v>140184</v>
      </c>
      <c r="AH509" s="333">
        <v>0</v>
      </c>
      <c r="AI509" s="333">
        <v>0</v>
      </c>
      <c r="AJ509" s="333">
        <v>0</v>
      </c>
      <c r="AK509" s="333">
        <v>0</v>
      </c>
      <c r="AL509" s="333">
        <v>0</v>
      </c>
      <c r="AM509" s="333">
        <v>0</v>
      </c>
      <c r="AN509" s="333">
        <v>0</v>
      </c>
      <c r="AO509" s="351"/>
      <c r="AP509" s="333">
        <v>0</v>
      </c>
      <c r="AQ509" s="333">
        <v>0</v>
      </c>
      <c r="AR509" s="333">
        <v>0</v>
      </c>
      <c r="AS509" s="333">
        <v>0</v>
      </c>
      <c r="AT509" s="333">
        <v>0</v>
      </c>
      <c r="AU509" s="333">
        <v>0</v>
      </c>
      <c r="AV509" s="333">
        <v>0</v>
      </c>
      <c r="AW509" s="333">
        <v>0</v>
      </c>
      <c r="AX509" s="333">
        <v>0</v>
      </c>
      <c r="AY509" s="333">
        <v>0</v>
      </c>
      <c r="AZ509" s="333">
        <v>0</v>
      </c>
      <c r="BA509" s="333">
        <v>0</v>
      </c>
    </row>
    <row r="510" spans="1:53" s="131" customFormat="1" ht="0.75" customHeight="1" outlineLevel="2">
      <c r="A510" s="111"/>
      <c r="B510" s="331"/>
      <c r="C510" s="347"/>
      <c r="D510" s="352"/>
      <c r="E510" s="352"/>
      <c r="F510" s="333"/>
      <c r="G510" s="333"/>
      <c r="H510" s="133"/>
      <c r="I510" s="138"/>
      <c r="J510" s="158"/>
      <c r="K510" s="333"/>
      <c r="L510" s="333"/>
      <c r="M510" s="133"/>
      <c r="N510" s="138"/>
      <c r="O510" s="321"/>
      <c r="P510" s="364"/>
      <c r="Q510" s="333"/>
      <c r="R510" s="333"/>
      <c r="S510" s="133"/>
      <c r="T510" s="138"/>
      <c r="U510" s="364"/>
      <c r="V510" s="333"/>
      <c r="W510" s="333"/>
      <c r="X510" s="133"/>
      <c r="Y510" s="137"/>
      <c r="AA510" s="139"/>
      <c r="AB510" s="351"/>
      <c r="AC510" s="333"/>
      <c r="AD510" s="333"/>
      <c r="AE510" s="333"/>
      <c r="AF510" s="333"/>
      <c r="AG510" s="333"/>
      <c r="AH510" s="333"/>
      <c r="AI510" s="333"/>
      <c r="AJ510" s="333"/>
      <c r="AK510" s="333"/>
      <c r="AL510" s="333"/>
      <c r="AM510" s="333"/>
      <c r="AN510" s="333"/>
      <c r="AO510" s="351"/>
      <c r="AP510" s="333"/>
      <c r="AQ510" s="333"/>
      <c r="AR510" s="333"/>
      <c r="AS510" s="333"/>
      <c r="AT510" s="333"/>
      <c r="AU510" s="333"/>
      <c r="AV510" s="333"/>
      <c r="AW510" s="333"/>
      <c r="AX510" s="333"/>
      <c r="AY510" s="333"/>
      <c r="AZ510" s="333"/>
      <c r="BA510" s="333"/>
    </row>
    <row r="511" spans="1:53" s="131" customFormat="1">
      <c r="A511" s="111" t="s">
        <v>1326</v>
      </c>
      <c r="B511" s="331" t="s">
        <v>1327</v>
      </c>
      <c r="C511" s="347" t="s">
        <v>1328</v>
      </c>
      <c r="D511" s="352"/>
      <c r="E511" s="352"/>
      <c r="F511" s="333">
        <v>0</v>
      </c>
      <c r="G511" s="333">
        <v>0</v>
      </c>
      <c r="H511" s="133">
        <f>+F511-G511</f>
        <v>0</v>
      </c>
      <c r="I511" s="138">
        <f>IF(G511&lt;0,IF(H511=0,0,IF(OR(G511=0,F511=0),"N.M.",IF(ABS(H511/G511)&gt;=10,"N.M.",H511/(-G511)))),IF(H511=0,0,IF(OR(G511=0,F511=0),"N.M.",IF(ABS(H511/G511)&gt;=10,"N.M.",H511/G511))))</f>
        <v>0</v>
      </c>
      <c r="J511" s="158"/>
      <c r="K511" s="333">
        <v>0</v>
      </c>
      <c r="L511" s="333">
        <v>0</v>
      </c>
      <c r="M511" s="133">
        <f>+K511-L511</f>
        <v>0</v>
      </c>
      <c r="N511" s="138">
        <f>IF(L511&lt;0,IF(M511=0,0,IF(OR(L511=0,K511=0),"N.M.",IF(ABS(M511/L511)&gt;=10,"N.M.",M511/(-L511)))),IF(M511=0,0,IF(OR(L511=0,K511=0),"N.M.",IF(ABS(M511/L511)&gt;=10,"N.M.",M511/L511))))</f>
        <v>0</v>
      </c>
      <c r="O511" s="302"/>
      <c r="P511" s="350"/>
      <c r="Q511" s="333">
        <v>0</v>
      </c>
      <c r="R511" s="333">
        <v>0</v>
      </c>
      <c r="S511" s="133">
        <f>+Q511-R511</f>
        <v>0</v>
      </c>
      <c r="T511" s="138">
        <f>IF(R511&lt;0,IF(S511=0,0,IF(OR(R511=0,Q511=0),"N.M.",IF(ABS(S511/R511)&gt;=10,"N.M.",S511/(-R511)))),IF(S511=0,0,IF(OR(R511=0,Q511=0),"N.M.",IF(ABS(S511/R511)&gt;=10,"N.M.",S511/R511))))</f>
        <v>0</v>
      </c>
      <c r="U511" s="350"/>
      <c r="V511" s="333">
        <v>0</v>
      </c>
      <c r="W511" s="333">
        <v>0</v>
      </c>
      <c r="X511" s="133">
        <f>+V511-W511</f>
        <v>0</v>
      </c>
      <c r="Y511" s="137">
        <f>IF(W511&lt;0,IF(X511=0,0,IF(OR(W511=0,V511=0),"N.M.",IF(ABS(X511/W511)&gt;=10,"N.M.",X511/(-W511)))),IF(X511=0,0,IF(OR(W511=0,V511=0),"N.M.",IF(ABS(X511/W511)&gt;=10,"N.M.",X511/W511))))</f>
        <v>0</v>
      </c>
      <c r="AA511" s="139">
        <v>0</v>
      </c>
      <c r="AB511" s="351"/>
      <c r="AC511" s="333">
        <v>0</v>
      </c>
      <c r="AD511" s="333">
        <v>0</v>
      </c>
      <c r="AE511" s="333">
        <v>0</v>
      </c>
      <c r="AF511" s="333">
        <v>0</v>
      </c>
      <c r="AG511" s="333">
        <v>0</v>
      </c>
      <c r="AH511" s="333">
        <v>0</v>
      </c>
      <c r="AI511" s="333">
        <v>0</v>
      </c>
      <c r="AJ511" s="333">
        <v>0</v>
      </c>
      <c r="AK511" s="333">
        <v>0</v>
      </c>
      <c r="AL511" s="333">
        <v>0</v>
      </c>
      <c r="AM511" s="333">
        <v>0</v>
      </c>
      <c r="AN511" s="333">
        <v>0</v>
      </c>
      <c r="AO511" s="351"/>
      <c r="AP511" s="333">
        <v>0</v>
      </c>
      <c r="AQ511" s="333">
        <v>0</v>
      </c>
      <c r="AR511" s="333">
        <v>0</v>
      </c>
      <c r="AS511" s="333">
        <v>0</v>
      </c>
      <c r="AT511" s="333">
        <v>0</v>
      </c>
      <c r="AU511" s="333">
        <v>0</v>
      </c>
      <c r="AV511" s="333">
        <v>0</v>
      </c>
      <c r="AW511" s="333">
        <v>0</v>
      </c>
      <c r="AX511" s="333">
        <v>0</v>
      </c>
      <c r="AY511" s="333">
        <v>0</v>
      </c>
      <c r="AZ511" s="333">
        <v>0</v>
      </c>
      <c r="BA511" s="333">
        <v>0</v>
      </c>
    </row>
    <row r="512" spans="1:53" s="131" customFormat="1" ht="0.75" customHeight="1" outlineLevel="2">
      <c r="A512" s="111"/>
      <c r="B512" s="331"/>
      <c r="C512" s="347"/>
      <c r="D512" s="352"/>
      <c r="E512" s="352"/>
      <c r="F512" s="333"/>
      <c r="G512" s="333"/>
      <c r="H512" s="133"/>
      <c r="I512" s="138"/>
      <c r="J512" s="158"/>
      <c r="K512" s="333"/>
      <c r="L512" s="333"/>
      <c r="M512" s="133"/>
      <c r="N512" s="138"/>
      <c r="O512" s="302"/>
      <c r="P512" s="350"/>
      <c r="Q512" s="333"/>
      <c r="R512" s="333"/>
      <c r="S512" s="133"/>
      <c r="T512" s="138"/>
      <c r="U512" s="350"/>
      <c r="V512" s="333"/>
      <c r="W512" s="333"/>
      <c r="X512" s="133"/>
      <c r="Y512" s="137"/>
      <c r="AA512" s="139"/>
      <c r="AB512" s="351"/>
      <c r="AC512" s="333"/>
      <c r="AD512" s="333"/>
      <c r="AE512" s="333"/>
      <c r="AF512" s="333"/>
      <c r="AG512" s="333"/>
      <c r="AH512" s="333"/>
      <c r="AI512" s="333"/>
      <c r="AJ512" s="333"/>
      <c r="AK512" s="333"/>
      <c r="AL512" s="333"/>
      <c r="AM512" s="333"/>
      <c r="AN512" s="333"/>
      <c r="AO512" s="351"/>
      <c r="AP512" s="333"/>
      <c r="AQ512" s="333"/>
      <c r="AR512" s="333"/>
      <c r="AS512" s="333"/>
      <c r="AT512" s="333"/>
      <c r="AU512" s="333"/>
      <c r="AV512" s="333"/>
      <c r="AW512" s="333"/>
      <c r="AX512" s="333"/>
      <c r="AY512" s="333"/>
      <c r="AZ512" s="333"/>
      <c r="BA512" s="333"/>
    </row>
    <row r="513" spans="1:53" s="102" customFormat="1" outlineLevel="2">
      <c r="A513" s="102" t="s">
        <v>1329</v>
      </c>
      <c r="B513" s="103" t="s">
        <v>1330</v>
      </c>
      <c r="C513" s="104" t="s">
        <v>1331</v>
      </c>
      <c r="D513" s="298"/>
      <c r="E513" s="299"/>
      <c r="F513" s="105">
        <v>47281.11</v>
      </c>
      <c r="G513" s="105">
        <v>46043.46</v>
      </c>
      <c r="H513" s="106">
        <f>+F513-G513</f>
        <v>1237.6500000000015</v>
      </c>
      <c r="I513" s="300">
        <f>IF(G513&lt;0,IF(H513=0,0,IF(OR(G513=0,F513=0),"N.M.",IF(ABS(H513/G513)&gt;=10,"N.M.",H513/(-G513)))),IF(H513=0,0,IF(OR(G513=0,F513=0),"N.M.",IF(ABS(H513/G513)&gt;=10,"N.M.",H513/G513))))</f>
        <v>2.6880038989250624E-2</v>
      </c>
      <c r="J513" s="107"/>
      <c r="K513" s="105">
        <v>141347.84</v>
      </c>
      <c r="L513" s="105">
        <v>137795.82</v>
      </c>
      <c r="M513" s="106">
        <f>+K513-L513</f>
        <v>3552.0199999999895</v>
      </c>
      <c r="N513" s="300">
        <f>IF(L513&lt;0,IF(M513=0,0,IF(OR(L513=0,K513=0),"N.M.",IF(ABS(M513/L513)&gt;=10,"N.M.",M513/(-L513)))),IF(M513=0,0,IF(OR(L513=0,K513=0),"N.M.",IF(ABS(M513/L513)&gt;=10,"N.M.",M513/L513))))</f>
        <v>2.5777414728545389E-2</v>
      </c>
      <c r="O513" s="301"/>
      <c r="P513" s="107"/>
      <c r="Q513" s="105">
        <v>141347.84</v>
      </c>
      <c r="R513" s="105">
        <v>137795.82</v>
      </c>
      <c r="S513" s="106">
        <f>+Q513-R513</f>
        <v>3552.0199999999895</v>
      </c>
      <c r="T513" s="300">
        <f>IF(R513&lt;0,IF(S513=0,0,IF(OR(R513=0,Q513=0),"N.M.",IF(ABS(S513/R513)&gt;=10,"N.M.",S513/(-R513)))),IF(S513=0,0,IF(OR(R513=0,Q513=0),"N.M.",IF(ABS(S513/R513)&gt;=10,"N.M.",S513/R513))))</f>
        <v>2.5777414728545389E-2</v>
      </c>
      <c r="U513" s="107"/>
      <c r="V513" s="105">
        <v>558067.74</v>
      </c>
      <c r="W513" s="105">
        <v>580619.25</v>
      </c>
      <c r="X513" s="106">
        <f>+V513-W513</f>
        <v>-22551.510000000009</v>
      </c>
      <c r="Y513" s="300">
        <f>IF(W513&lt;0,IF(X513=0,0,IF(OR(W513=0,V513=0),"N.M.",IF(ABS(X513/W513)&gt;=10,"N.M.",X513/(-W513)))),IF(X513=0,0,IF(OR(W513=0,V513=0),"N.M.",IF(ABS(X513/W513)&gt;=10,"N.M.",X513/W513))))</f>
        <v>-3.8840444921521305E-2</v>
      </c>
      <c r="Z513" s="302"/>
      <c r="AA513" s="108">
        <v>45666.590000000004</v>
      </c>
      <c r="AB513" s="109"/>
      <c r="AC513" s="110">
        <v>45795.040000000001</v>
      </c>
      <c r="AD513" s="110">
        <v>45957.32</v>
      </c>
      <c r="AE513" s="110">
        <v>46043.46</v>
      </c>
      <c r="AF513" s="110">
        <v>46075.360000000001</v>
      </c>
      <c r="AG513" s="110">
        <v>46249.49</v>
      </c>
      <c r="AH513" s="110">
        <v>46374.79</v>
      </c>
      <c r="AI513" s="110">
        <v>46454.520000000004</v>
      </c>
      <c r="AJ513" s="110">
        <v>46570.25</v>
      </c>
      <c r="AK513" s="110">
        <v>46654.17</v>
      </c>
      <c r="AL513" s="110">
        <v>46356.94</v>
      </c>
      <c r="AM513" s="110">
        <v>46261.200000000004</v>
      </c>
      <c r="AN513" s="110">
        <v>45723.18</v>
      </c>
      <c r="AO513" s="109"/>
      <c r="AP513" s="110">
        <v>46728.39</v>
      </c>
      <c r="AQ513" s="110">
        <v>47338.340000000004</v>
      </c>
      <c r="AR513" s="110">
        <v>47281.11</v>
      </c>
      <c r="AS513" s="110">
        <v>47284.6</v>
      </c>
      <c r="AT513" s="110">
        <v>0</v>
      </c>
      <c r="AU513" s="110">
        <v>0</v>
      </c>
      <c r="AV513" s="110">
        <v>0</v>
      </c>
      <c r="AW513" s="110">
        <v>0</v>
      </c>
      <c r="AX513" s="110">
        <v>0</v>
      </c>
      <c r="AY513" s="110">
        <v>0</v>
      </c>
      <c r="AZ513" s="110">
        <v>0</v>
      </c>
      <c r="BA513" s="110">
        <v>0</v>
      </c>
    </row>
    <row r="514" spans="1:53" s="131" customFormat="1">
      <c r="A514" s="111" t="s">
        <v>1332</v>
      </c>
      <c r="B514" s="331" t="s">
        <v>1333</v>
      </c>
      <c r="C514" s="365" t="s">
        <v>1334</v>
      </c>
      <c r="D514" s="366"/>
      <c r="E514" s="366"/>
      <c r="F514" s="146">
        <v>47281.11</v>
      </c>
      <c r="G514" s="146">
        <v>46043.46</v>
      </c>
      <c r="H514" s="367">
        <f>+F514-G514</f>
        <v>1237.6500000000015</v>
      </c>
      <c r="I514" s="147">
        <f>IF(G514&lt;0,IF(H514=0,0,IF(OR(G514=0,F514=0),"N.M.",IF(ABS(H514/G514)&gt;=10,"N.M.",H514/(-G514)))),IF(H514=0,0,IF(OR(G514=0,F514=0),"N.M.",IF(ABS(H514/G514)&gt;=10,"N.M.",H514/G514))))</f>
        <v>2.6880038989250624E-2</v>
      </c>
      <c r="J514" s="368"/>
      <c r="K514" s="146">
        <v>141347.84</v>
      </c>
      <c r="L514" s="146">
        <v>137795.82</v>
      </c>
      <c r="M514" s="367">
        <f>+K514-L514</f>
        <v>3552.0199999999895</v>
      </c>
      <c r="N514" s="147">
        <f>IF(L514&lt;0,IF(M514=0,0,IF(OR(L514=0,K514=0),"N.M.",IF(ABS(M514/L514)&gt;=10,"N.M.",M514/(-L514)))),IF(M514=0,0,IF(OR(L514=0,K514=0),"N.M.",IF(ABS(M514/L514)&gt;=10,"N.M.",M514/L514))))</f>
        <v>2.5777414728545389E-2</v>
      </c>
      <c r="O514" s="369"/>
      <c r="P514" s="370"/>
      <c r="Q514" s="146">
        <v>141347.84</v>
      </c>
      <c r="R514" s="146">
        <v>137795.82</v>
      </c>
      <c r="S514" s="367">
        <f>+Q514-R514</f>
        <v>3552.0199999999895</v>
      </c>
      <c r="T514" s="147">
        <f>IF(R514&lt;0,IF(S514=0,0,IF(OR(R514=0,Q514=0),"N.M.",IF(ABS(S514/R514)&gt;=10,"N.M.",S514/(-R514)))),IF(S514=0,0,IF(OR(R514=0,Q514=0),"N.M.",IF(ABS(S514/R514)&gt;=10,"N.M.",S514/R514))))</f>
        <v>2.5777414728545389E-2</v>
      </c>
      <c r="U514" s="370"/>
      <c r="V514" s="146">
        <v>558067.74</v>
      </c>
      <c r="W514" s="146">
        <v>580619.25</v>
      </c>
      <c r="X514" s="367">
        <f>+V514-W514</f>
        <v>-22551.510000000009</v>
      </c>
      <c r="Y514" s="148">
        <f>IF(W514&lt;0,IF(X514=0,0,IF(OR(W514=0,V514=0),"N.M.",IF(ABS(X514/W514)&gt;=10,"N.M.",X514/(-W514)))),IF(X514=0,0,IF(OR(W514=0,V514=0),"N.M.",IF(ABS(X514/W514)&gt;=10,"N.M.",X514/W514))))</f>
        <v>-3.8840444921521305E-2</v>
      </c>
      <c r="Z514" s="371"/>
      <c r="AA514" s="149">
        <v>45666.590000000004</v>
      </c>
      <c r="AB514" s="150"/>
      <c r="AC514" s="146">
        <v>45795.040000000001</v>
      </c>
      <c r="AD514" s="146">
        <v>45957.32</v>
      </c>
      <c r="AE514" s="146">
        <v>46043.46</v>
      </c>
      <c r="AF514" s="146">
        <v>46075.360000000001</v>
      </c>
      <c r="AG514" s="146">
        <v>46249.49</v>
      </c>
      <c r="AH514" s="146">
        <v>46374.79</v>
      </c>
      <c r="AI514" s="146">
        <v>46454.520000000004</v>
      </c>
      <c r="AJ514" s="146">
        <v>46570.25</v>
      </c>
      <c r="AK514" s="146">
        <v>46654.17</v>
      </c>
      <c r="AL514" s="146">
        <v>46356.94</v>
      </c>
      <c r="AM514" s="146">
        <v>46261.200000000004</v>
      </c>
      <c r="AN514" s="146">
        <v>45723.18</v>
      </c>
      <c r="AO514" s="150"/>
      <c r="AP514" s="146">
        <v>46728.39</v>
      </c>
      <c r="AQ514" s="146">
        <v>47338.340000000004</v>
      </c>
      <c r="AR514" s="146">
        <v>47281.11</v>
      </c>
      <c r="AS514" s="146">
        <v>47284.6</v>
      </c>
      <c r="AT514" s="146">
        <v>0</v>
      </c>
      <c r="AU514" s="146">
        <v>0</v>
      </c>
      <c r="AV514" s="146">
        <v>0</v>
      </c>
      <c r="AW514" s="146">
        <v>0</v>
      </c>
      <c r="AX514" s="146">
        <v>0</v>
      </c>
      <c r="AY514" s="146">
        <v>0</v>
      </c>
      <c r="AZ514" s="146">
        <v>0</v>
      </c>
      <c r="BA514" s="146">
        <v>0</v>
      </c>
    </row>
    <row r="515" spans="1:53" s="131" customFormat="1" ht="0.75" customHeight="1" outlineLevel="2">
      <c r="A515" s="111"/>
      <c r="B515" s="331"/>
      <c r="C515" s="347"/>
      <c r="D515" s="352"/>
      <c r="E515" s="352"/>
      <c r="F515" s="333"/>
      <c r="G515" s="333"/>
      <c r="H515" s="133"/>
      <c r="I515" s="138"/>
      <c r="J515" s="158"/>
      <c r="K515" s="333"/>
      <c r="L515" s="333"/>
      <c r="M515" s="133"/>
      <c r="N515" s="138"/>
      <c r="O515" s="302"/>
      <c r="P515" s="350"/>
      <c r="Q515" s="333"/>
      <c r="R515" s="333"/>
      <c r="S515" s="133"/>
      <c r="T515" s="138"/>
      <c r="U515" s="350"/>
      <c r="V515" s="333"/>
      <c r="W515" s="333"/>
      <c r="X515" s="133"/>
      <c r="Y515" s="137"/>
      <c r="AA515" s="139"/>
      <c r="AB515" s="351"/>
      <c r="AC515" s="333"/>
      <c r="AD515" s="333"/>
      <c r="AE515" s="333"/>
      <c r="AF515" s="333"/>
      <c r="AG515" s="333"/>
      <c r="AH515" s="333"/>
      <c r="AI515" s="333"/>
      <c r="AJ515" s="333"/>
      <c r="AK515" s="333"/>
      <c r="AL515" s="333"/>
      <c r="AM515" s="333"/>
      <c r="AN515" s="333"/>
      <c r="AO515" s="351"/>
      <c r="AP515" s="333"/>
      <c r="AQ515" s="333"/>
      <c r="AR515" s="333"/>
      <c r="AS515" s="333"/>
      <c r="AT515" s="333"/>
      <c r="AU515" s="333"/>
      <c r="AV515" s="333"/>
      <c r="AW515" s="333"/>
      <c r="AX515" s="333"/>
      <c r="AY515" s="333"/>
      <c r="AZ515" s="333"/>
      <c r="BA515" s="333"/>
    </row>
    <row r="516" spans="1:53" s="131" customFormat="1">
      <c r="A516" s="111"/>
      <c r="B516" s="331" t="s">
        <v>1335</v>
      </c>
      <c r="C516" s="372" t="s">
        <v>1336</v>
      </c>
      <c r="D516" s="373"/>
      <c r="E516" s="373"/>
      <c r="F516" s="374">
        <f>SUM(+F352,F412,F416,F419,F423,F426,F428,F430,F434,-F436,F477,F485,F490,F494,-F498,F500,-F503,F505,-F509,F511,F514)</f>
        <v>47897962.239</v>
      </c>
      <c r="G516" s="374">
        <f>SUM(+G352,G412,G416,G419,G423,G426,G428,G430,G434,-G436,G477,G485,G490,G494,-G498,G500,-G503,G505,-G509,G511,G514)</f>
        <v>42312878.364399999</v>
      </c>
      <c r="H516" s="375">
        <f>+F516-G516</f>
        <v>5585083.8746000007</v>
      </c>
      <c r="I516" s="151">
        <f>IF(G516&lt;0,IF(H516=0,0,IF(OR(G516=0,F516=0),"N.M.",IF(ABS(H516/G516)&gt;=10,"N.M.",H516/(-G516)))),IF(H516=0,0,IF(OR(G516=0,F516=0),"N.M.",IF(ABS(H516/G516)&gt;=10,"N.M.",H516/G516))))</f>
        <v>0.1319948935286572</v>
      </c>
      <c r="J516" s="158"/>
      <c r="K516" s="374">
        <f>SUM(+K352,K412,K416,K419,K423,K426,K428,K430,K434,-K436,K477,K485,K490,K494,-K498,K500,-K503,K505,-K509,K511,K514)</f>
        <v>165731755.67699999</v>
      </c>
      <c r="L516" s="374">
        <f>SUM(+L352,L412,L416,L419,L423,L426,L428,L430,L434,-L436,L477,L485,L490,L494,-L498,L500,-L503,L505,-L509,L511,L514)</f>
        <v>153199433.722</v>
      </c>
      <c r="M516" s="375">
        <f>+K516-L516</f>
        <v>12532321.954999983</v>
      </c>
      <c r="N516" s="151">
        <f>IF(L516&lt;0,IF(M516=0,0,IF(OR(L516=0,K516=0),"N.M.",IF(ABS(M516/L516)&gt;=10,"N.M.",M516/(-L516)))),IF(M516=0,0,IF(OR(L516=0,K516=0),"N.M.",IF(ABS(M516/L516)&gt;=10,"N.M.",M516/L516))))</f>
        <v>8.1803970488177433E-2</v>
      </c>
      <c r="O516" s="321"/>
      <c r="P516" s="364"/>
      <c r="Q516" s="374">
        <f>SUM(+Q352,Q412,Q416,Q419,Q423,Q426,Q428,Q430,Q434,-Q436,Q477,Q485,Q490,Q494,-Q498,Q500,-Q503,Q505,-Q509,Q511,Q514)</f>
        <v>165731755.67699999</v>
      </c>
      <c r="R516" s="374">
        <f>SUM(+R352,R412,R416,R419,R423,R426,R428,R430,R434,-R436,R477,R485,R490,R494,-R498,R500,-R503,R505,-R509,R511,R514)</f>
        <v>153199433.722</v>
      </c>
      <c r="S516" s="375">
        <f>+Q516-R516</f>
        <v>12532321.954999983</v>
      </c>
      <c r="T516" s="151">
        <f>IF(R516&lt;0,IF(S516=0,0,IF(OR(R516=0,Q516=0),"N.M.",IF(ABS(S516/R516)&gt;=10,"N.M.",S516/(-R516)))),IF(S516=0,0,IF(OR(R516=0,Q516=0),"N.M.",IF(ABS(S516/R516)&gt;=10,"N.M.",S516/R516))))</f>
        <v>8.1803970488177433E-2</v>
      </c>
      <c r="U516" s="364"/>
      <c r="V516" s="374">
        <f>SUM(+V352,V412,V416,V419,V423,V426,V428,V430,V434,-V436,V477,V485,V490,V494,-V498,V500,-V503,V505,-V509,V511,V514)</f>
        <v>721524606.26139987</v>
      </c>
      <c r="W516" s="374">
        <f>SUM(+W352,W412,W416,W419,W423,W426,W428,W430,W434,-W436,W477,W485,W490,W494,-W498,W500,-W503,W505,-W509,W511,W514)</f>
        <v>586811350.16009998</v>
      </c>
      <c r="X516" s="375">
        <f>+V516-W516</f>
        <v>134713256.10129988</v>
      </c>
      <c r="Y516" s="152">
        <f>IF(W516&lt;0,IF(X516=0,0,IF(OR(W516=0,V516=0),"N.M.",IF(ABS(X516/W516)&gt;=10,"N.M.",X516/(-W516)))),IF(X516=0,0,IF(OR(W516=0,V516=0),"N.M.",IF(ABS(X516/W516)&gt;=10,"N.M.",X516/W516))))</f>
        <v>0.22956825232597497</v>
      </c>
      <c r="AA516" s="153">
        <f>SUM(+AA352,AA412,AA416,AA419,AA423,AA426,AA428,AA430,AA434,-AA436,AA477,AA485,AA490,AA494,-AA498,AA500,-AA503,AA505,-AA509,AA511,AA514)</f>
        <v>61633006.617800005</v>
      </c>
      <c r="AB516" s="351"/>
      <c r="AC516" s="374">
        <f t="shared" ref="AC516:AN516" si="142">SUM(+AC352,AC412,AC416,AC419,AC423,AC426,AC428,AC430,AC434,-AC436,AC477,AC485,AC490,AC494,-AC498,AC500,-AC503,AC505,-AC509,AC511,AC514)</f>
        <v>60861437.933699995</v>
      </c>
      <c r="AD516" s="374">
        <f t="shared" si="142"/>
        <v>50025117.423900008</v>
      </c>
      <c r="AE516" s="374">
        <f t="shared" si="142"/>
        <v>42312878.364399999</v>
      </c>
      <c r="AF516" s="374">
        <f t="shared" si="142"/>
        <v>54520817.482299998</v>
      </c>
      <c r="AG516" s="374">
        <f t="shared" si="142"/>
        <v>62482072.969099998</v>
      </c>
      <c r="AH516" s="374">
        <f t="shared" si="142"/>
        <v>51137156.888999991</v>
      </c>
      <c r="AI516" s="374">
        <f t="shared" si="142"/>
        <v>90358027.648000032</v>
      </c>
      <c r="AJ516" s="374">
        <f t="shared" si="142"/>
        <v>68477015.872999996</v>
      </c>
      <c r="AK516" s="374">
        <f t="shared" si="142"/>
        <v>27567642.690000005</v>
      </c>
      <c r="AL516" s="374">
        <f t="shared" si="142"/>
        <v>59368039.826999992</v>
      </c>
      <c r="AM516" s="374">
        <f t="shared" si="142"/>
        <v>61776415.519999996</v>
      </c>
      <c r="AN516" s="374">
        <f t="shared" si="142"/>
        <v>80105661.686000019</v>
      </c>
      <c r="AO516" s="351"/>
      <c r="AP516" s="374">
        <f t="shared" ref="AP516:BA516" si="143">SUM(+AP352,AP412,AP416,AP419,AP423,AP426,AP428,AP430,AP434,-AP436,AP477,AP485,AP490,AP494,-AP498,AP500,-AP503,AP505,-AP509,AP511,AP514)</f>
        <v>65096298.484000012</v>
      </c>
      <c r="AQ516" s="374">
        <f t="shared" si="143"/>
        <v>52737494.954000004</v>
      </c>
      <c r="AR516" s="374">
        <f t="shared" si="143"/>
        <v>47897962.239</v>
      </c>
      <c r="AS516" s="374">
        <f t="shared" si="143"/>
        <v>91751209.081000015</v>
      </c>
      <c r="AT516" s="374">
        <f t="shared" si="143"/>
        <v>1127433</v>
      </c>
      <c r="AU516" s="374">
        <f t="shared" si="143"/>
        <v>0</v>
      </c>
      <c r="AV516" s="374">
        <f t="shared" si="143"/>
        <v>0</v>
      </c>
      <c r="AW516" s="374">
        <f t="shared" si="143"/>
        <v>0</v>
      </c>
      <c r="AX516" s="374">
        <f t="shared" si="143"/>
        <v>0</v>
      </c>
      <c r="AY516" s="374">
        <f t="shared" si="143"/>
        <v>0</v>
      </c>
      <c r="AZ516" s="374">
        <f t="shared" si="143"/>
        <v>0</v>
      </c>
      <c r="BA516" s="374">
        <f t="shared" si="143"/>
        <v>0</v>
      </c>
    </row>
    <row r="517" spans="1:53" s="131" customFormat="1">
      <c r="A517" s="111"/>
      <c r="B517" s="331" t="s">
        <v>1337</v>
      </c>
      <c r="C517" s="376" t="s">
        <v>1338</v>
      </c>
      <c r="D517" s="373"/>
      <c r="E517" s="373"/>
      <c r="F517" s="374">
        <f>+F94-F516</f>
        <v>-4269704.5789999962</v>
      </c>
      <c r="G517" s="374">
        <f>+G94-G516</f>
        <v>10337425.015600011</v>
      </c>
      <c r="H517" s="375">
        <f>+F517-G517</f>
        <v>-14607129.594600007</v>
      </c>
      <c r="I517" s="151">
        <f>IF(G517&lt;0,IF(H517=0,0,IF(OR(G517=0,F517=0),"N.M.",IF(ABS(H517/G517)&gt;=10,"N.M.",H517/(-G517)))),IF(H517=0,0,IF(OR(G517=0,F517=0),"N.M.",IF(ABS(H517/G517)&gt;=10,"N.M.",H517/G517))))</f>
        <v>-1.4130336686898979</v>
      </c>
      <c r="J517" s="158"/>
      <c r="K517" s="374">
        <f>+K94-K516</f>
        <v>7384004.0730000734</v>
      </c>
      <c r="L517" s="374">
        <f>+L94-L516</f>
        <v>35027082.60799998</v>
      </c>
      <c r="M517" s="375">
        <f>+K517-L517</f>
        <v>-27643078.534999907</v>
      </c>
      <c r="N517" s="151">
        <f>IF(L517&lt;0,IF(M517=0,0,IF(OR(L517=0,K517=0),"N.M.",IF(ABS(M517/L517)&gt;=10,"N.M.",M517/(-L517)))),IF(M517=0,0,IF(OR(L517=0,K517=0),"N.M.",IF(ABS(M517/L517)&gt;=10,"N.M.",M517/L517))))</f>
        <v>-0.78919157625438063</v>
      </c>
      <c r="O517" s="321"/>
      <c r="P517" s="364"/>
      <c r="Q517" s="374">
        <f>+Q94-Q516</f>
        <v>7384004.0730000734</v>
      </c>
      <c r="R517" s="374">
        <f>+R94-R516</f>
        <v>35027082.60799998</v>
      </c>
      <c r="S517" s="375">
        <f>+Q517-R517</f>
        <v>-27643078.534999907</v>
      </c>
      <c r="T517" s="151">
        <f>IF(R517&lt;0,IF(S517=0,0,IF(OR(R517=0,Q517=0),"N.M.",IF(ABS(S517/R517)&gt;=10,"N.M.",S517/(-R517)))),IF(S517=0,0,IF(OR(R517=0,Q517=0),"N.M.",IF(ABS(S517/R517)&gt;=10,"N.M.",S517/R517))))</f>
        <v>-0.78919157625438063</v>
      </c>
      <c r="U517" s="364"/>
      <c r="V517" s="374">
        <f>+V94-V516</f>
        <v>65488848.308600307</v>
      </c>
      <c r="W517" s="374">
        <f>+W94-W516</f>
        <v>96699547.815899849</v>
      </c>
      <c r="X517" s="375">
        <f>+V517-W517</f>
        <v>-31210699.507299542</v>
      </c>
      <c r="Y517" s="152">
        <f>IF(W517&lt;0,IF(X517=0,0,IF(OR(W517=0,V517=0),"N.M.",IF(ABS(X517/W517)&gt;=10,"N.M.",X517/(-W517)))),IF(X517=0,0,IF(OR(W517=0,V517=0),"N.M.",IF(ABS(X517/W517)&gt;=10,"N.M.",X517/W517))))</f>
        <v>-0.322759518655864</v>
      </c>
      <c r="AA517" s="153">
        <f>+AA94-AA516</f>
        <v>-1866222.8648000136</v>
      </c>
      <c r="AB517" s="351"/>
      <c r="AC517" s="374">
        <f t="shared" ref="AC517:AN517" si="144">+AC94-AC516</f>
        <v>20858963.486300007</v>
      </c>
      <c r="AD517" s="374">
        <f t="shared" si="144"/>
        <v>3830694.106099993</v>
      </c>
      <c r="AE517" s="374">
        <f t="shared" si="144"/>
        <v>10337425.015600011</v>
      </c>
      <c r="AF517" s="374">
        <f t="shared" si="144"/>
        <v>2565055.1876999959</v>
      </c>
      <c r="AG517" s="374">
        <f t="shared" si="144"/>
        <v>-407692.55910000205</v>
      </c>
      <c r="AH517" s="374">
        <f t="shared" si="144"/>
        <v>21874829.661000021</v>
      </c>
      <c r="AI517" s="374">
        <f t="shared" si="144"/>
        <v>-11226506.618000031</v>
      </c>
      <c r="AJ517" s="374">
        <f t="shared" si="144"/>
        <v>6732669.5870000124</v>
      </c>
      <c r="AK517" s="374">
        <f t="shared" si="144"/>
        <v>27638663.129999995</v>
      </c>
      <c r="AL517" s="374">
        <f t="shared" si="144"/>
        <v>3578360.0830000117</v>
      </c>
      <c r="AM517" s="374">
        <f t="shared" si="144"/>
        <v>11186464.940000013</v>
      </c>
      <c r="AN517" s="374">
        <f t="shared" si="144"/>
        <v>-3836999.1760000288</v>
      </c>
      <c r="AO517" s="351"/>
      <c r="AP517" s="374">
        <f t="shared" ref="AP517:BA517" si="145">+AP94-AP516</f>
        <v>7536594.8159999996</v>
      </c>
      <c r="AQ517" s="374">
        <f t="shared" si="145"/>
        <v>4117113.8360000029</v>
      </c>
      <c r="AR517" s="374">
        <f t="shared" si="145"/>
        <v>-4269704.5789999962</v>
      </c>
      <c r="AS517" s="374">
        <f t="shared" si="145"/>
        <v>-4105600.3210000247</v>
      </c>
      <c r="AT517" s="374">
        <f t="shared" si="145"/>
        <v>-1127433</v>
      </c>
      <c r="AU517" s="374">
        <f t="shared" si="145"/>
        <v>0</v>
      </c>
      <c r="AV517" s="374">
        <f t="shared" si="145"/>
        <v>0</v>
      </c>
      <c r="AW517" s="374">
        <f t="shared" si="145"/>
        <v>0</v>
      </c>
      <c r="AX517" s="374">
        <f t="shared" si="145"/>
        <v>0</v>
      </c>
      <c r="AY517" s="374">
        <f t="shared" si="145"/>
        <v>0</v>
      </c>
      <c r="AZ517" s="374">
        <f t="shared" si="145"/>
        <v>0</v>
      </c>
      <c r="BA517" s="374">
        <f t="shared" si="145"/>
        <v>0</v>
      </c>
    </row>
    <row r="518" spans="1:53" s="131" customFormat="1">
      <c r="A518" s="111"/>
      <c r="B518" s="331" t="s">
        <v>1339</v>
      </c>
      <c r="C518" s="376" t="s">
        <v>1340</v>
      </c>
      <c r="D518" s="373"/>
      <c r="E518" s="373"/>
      <c r="F518" s="374">
        <f>+F517</f>
        <v>-4269704.5789999962</v>
      </c>
      <c r="G518" s="374">
        <f>+G517</f>
        <v>10337425.015600011</v>
      </c>
      <c r="H518" s="375">
        <f>+F518-G518</f>
        <v>-14607129.594600007</v>
      </c>
      <c r="I518" s="151">
        <f>IF(G518&lt;0,IF(H518=0,0,IF(OR(G518=0,F518=0),"N.M.",IF(ABS(H518/G518)&gt;=10,"N.M.",H518/(-G518)))),IF(H518=0,0,IF(OR(G518=0,F518=0),"N.M.",IF(ABS(H518/G518)&gt;=10,"N.M.",H518/G518))))</f>
        <v>-1.4130336686898979</v>
      </c>
      <c r="J518" s="158"/>
      <c r="K518" s="374">
        <f>+K517</f>
        <v>7384004.0730000734</v>
      </c>
      <c r="L518" s="374">
        <f>+L517</f>
        <v>35027082.60799998</v>
      </c>
      <c r="M518" s="375">
        <f>+K518-L518</f>
        <v>-27643078.534999907</v>
      </c>
      <c r="N518" s="151">
        <f>IF(L518&lt;0,IF(M518=0,0,IF(OR(L518=0,K518=0),"N.M.",IF(ABS(M518/L518)&gt;=10,"N.M.",M518/(-L518)))),IF(M518=0,0,IF(OR(L518=0,K518=0),"N.M.",IF(ABS(M518/L518)&gt;=10,"N.M.",M518/L518))))</f>
        <v>-0.78919157625438063</v>
      </c>
      <c r="O518" s="321"/>
      <c r="P518" s="364"/>
      <c r="Q518" s="374">
        <f>+Q517</f>
        <v>7384004.0730000734</v>
      </c>
      <c r="R518" s="374">
        <f>+R517</f>
        <v>35027082.60799998</v>
      </c>
      <c r="S518" s="375">
        <f>+Q518-R518</f>
        <v>-27643078.534999907</v>
      </c>
      <c r="T518" s="151">
        <f>IF(R518&lt;0,IF(S518=0,0,IF(OR(R518=0,Q518=0),"N.M.",IF(ABS(S518/R518)&gt;=10,"N.M.",S518/(-R518)))),IF(S518=0,0,IF(OR(R518=0,Q518=0),"N.M.",IF(ABS(S518/R518)&gt;=10,"N.M.",S518/R518))))</f>
        <v>-0.78919157625438063</v>
      </c>
      <c r="U518" s="364"/>
      <c r="V518" s="374">
        <f>+V517</f>
        <v>65488848.308600307</v>
      </c>
      <c r="W518" s="374">
        <f>+W517</f>
        <v>96699547.815899849</v>
      </c>
      <c r="X518" s="375">
        <f>+V518-W518</f>
        <v>-31210699.507299542</v>
      </c>
      <c r="Y518" s="152">
        <f>IF(W518&lt;0,IF(X518=0,0,IF(OR(W518=0,V518=0),"N.M.",IF(ABS(X518/W518)&gt;=10,"N.M.",X518/(-W518)))),IF(X518=0,0,IF(OR(W518=0,V518=0),"N.M.",IF(ABS(X518/W518)&gt;=10,"N.M.",X518/W518))))</f>
        <v>-0.322759518655864</v>
      </c>
      <c r="AA518" s="153">
        <f>+AA517</f>
        <v>-1866222.8648000136</v>
      </c>
      <c r="AB518" s="351"/>
      <c r="AC518" s="374">
        <f t="shared" ref="AC518:AN518" si="146">+AC517</f>
        <v>20858963.486300007</v>
      </c>
      <c r="AD518" s="374">
        <f t="shared" si="146"/>
        <v>3830694.106099993</v>
      </c>
      <c r="AE518" s="374">
        <f t="shared" si="146"/>
        <v>10337425.015600011</v>
      </c>
      <c r="AF518" s="374">
        <f t="shared" si="146"/>
        <v>2565055.1876999959</v>
      </c>
      <c r="AG518" s="374">
        <f t="shared" si="146"/>
        <v>-407692.55910000205</v>
      </c>
      <c r="AH518" s="374">
        <f t="shared" si="146"/>
        <v>21874829.661000021</v>
      </c>
      <c r="AI518" s="374">
        <f t="shared" si="146"/>
        <v>-11226506.618000031</v>
      </c>
      <c r="AJ518" s="374">
        <f t="shared" si="146"/>
        <v>6732669.5870000124</v>
      </c>
      <c r="AK518" s="374">
        <f t="shared" si="146"/>
        <v>27638663.129999995</v>
      </c>
      <c r="AL518" s="374">
        <f t="shared" si="146"/>
        <v>3578360.0830000117</v>
      </c>
      <c r="AM518" s="374">
        <f t="shared" si="146"/>
        <v>11186464.940000013</v>
      </c>
      <c r="AN518" s="374">
        <f t="shared" si="146"/>
        <v>-3836999.1760000288</v>
      </c>
      <c r="AO518" s="351"/>
      <c r="AP518" s="374">
        <f t="shared" ref="AP518:BA518" si="147">+AP517</f>
        <v>7536594.8159999996</v>
      </c>
      <c r="AQ518" s="374">
        <f t="shared" si="147"/>
        <v>4117113.8360000029</v>
      </c>
      <c r="AR518" s="374">
        <f t="shared" si="147"/>
        <v>-4269704.5789999962</v>
      </c>
      <c r="AS518" s="374">
        <f t="shared" si="147"/>
        <v>-4105600.3210000247</v>
      </c>
      <c r="AT518" s="374">
        <f t="shared" si="147"/>
        <v>-1127433</v>
      </c>
      <c r="AU518" s="374">
        <f t="shared" si="147"/>
        <v>0</v>
      </c>
      <c r="AV518" s="374">
        <f t="shared" si="147"/>
        <v>0</v>
      </c>
      <c r="AW518" s="374">
        <f t="shared" si="147"/>
        <v>0</v>
      </c>
      <c r="AX518" s="374">
        <f t="shared" si="147"/>
        <v>0</v>
      </c>
      <c r="AY518" s="374">
        <f t="shared" si="147"/>
        <v>0</v>
      </c>
      <c r="AZ518" s="374">
        <f t="shared" si="147"/>
        <v>0</v>
      </c>
      <c r="BA518" s="374">
        <f t="shared" si="147"/>
        <v>0</v>
      </c>
    </row>
    <row r="519" spans="1:53">
      <c r="B519" s="331" t="s">
        <v>1341</v>
      </c>
      <c r="C519" s="337" t="s">
        <v>1342</v>
      </c>
      <c r="D519" s="338"/>
      <c r="E519" s="338"/>
      <c r="F519" s="334"/>
      <c r="G519" s="334"/>
      <c r="H519" s="334"/>
      <c r="I519" s="334"/>
      <c r="J519" s="135"/>
      <c r="K519" s="339"/>
      <c r="L519" s="339"/>
      <c r="M519" s="339"/>
      <c r="N519" s="340"/>
      <c r="O519" s="334"/>
      <c r="P519" s="135"/>
      <c r="Q519" s="334"/>
      <c r="R519" s="334"/>
      <c r="S519" s="334"/>
      <c r="T519" s="334"/>
      <c r="U519" s="135"/>
      <c r="V519" s="334"/>
      <c r="W519" s="334"/>
      <c r="X519" s="334"/>
      <c r="Y519" s="334"/>
      <c r="Z519" s="334"/>
      <c r="AA519" s="136"/>
      <c r="AB519" s="341"/>
      <c r="AC519" s="339"/>
      <c r="AD519" s="339"/>
      <c r="AE519" s="339"/>
      <c r="AF519" s="339"/>
      <c r="AG519" s="339"/>
      <c r="AH519" s="339"/>
      <c r="AI519" s="339"/>
      <c r="AJ519" s="339"/>
      <c r="AK519" s="339"/>
      <c r="AL519" s="339"/>
      <c r="AM519" s="339"/>
      <c r="AN519" s="339"/>
      <c r="AO519" s="341"/>
      <c r="AP519" s="339"/>
      <c r="AQ519" s="339"/>
      <c r="AR519" s="339"/>
      <c r="AS519" s="339"/>
      <c r="AT519" s="339"/>
      <c r="AU519" s="339"/>
      <c r="AV519" s="339"/>
      <c r="AW519" s="339"/>
      <c r="AX519" s="339"/>
      <c r="AY519" s="339"/>
      <c r="AZ519" s="339"/>
      <c r="BA519" s="339"/>
    </row>
    <row r="520" spans="1:53">
      <c r="B520" s="331" t="s">
        <v>1343</v>
      </c>
      <c r="C520" s="337" t="s">
        <v>1344</v>
      </c>
      <c r="D520" s="338"/>
      <c r="E520" s="338"/>
      <c r="F520" s="334"/>
      <c r="G520" s="334"/>
      <c r="H520" s="334"/>
      <c r="I520" s="334"/>
      <c r="J520" s="135"/>
      <c r="K520" s="339"/>
      <c r="L520" s="339"/>
      <c r="M520" s="339"/>
      <c r="N520" s="340"/>
      <c r="O520" s="334"/>
      <c r="P520" s="135"/>
      <c r="Q520" s="334"/>
      <c r="R520" s="334"/>
      <c r="S520" s="334"/>
      <c r="T520" s="334"/>
      <c r="U520" s="135"/>
      <c r="V520" s="334"/>
      <c r="W520" s="334"/>
      <c r="X520" s="334"/>
      <c r="Y520" s="334"/>
      <c r="Z520" s="334"/>
      <c r="AA520" s="136"/>
      <c r="AB520" s="341"/>
      <c r="AC520" s="339"/>
      <c r="AD520" s="339"/>
      <c r="AE520" s="339"/>
      <c r="AF520" s="339"/>
      <c r="AG520" s="339"/>
      <c r="AH520" s="339"/>
      <c r="AI520" s="339"/>
      <c r="AJ520" s="339"/>
      <c r="AK520" s="339"/>
      <c r="AL520" s="339"/>
      <c r="AM520" s="339"/>
      <c r="AN520" s="339"/>
      <c r="AO520" s="341"/>
      <c r="AP520" s="339"/>
      <c r="AQ520" s="339"/>
      <c r="AR520" s="339"/>
      <c r="AS520" s="339"/>
      <c r="AT520" s="339"/>
      <c r="AU520" s="339"/>
      <c r="AV520" s="339"/>
      <c r="AW520" s="339"/>
      <c r="AX520" s="339"/>
      <c r="AY520" s="339"/>
      <c r="AZ520" s="339"/>
      <c r="BA520" s="339"/>
    </row>
    <row r="521" spans="1:53">
      <c r="B521" s="331" t="s">
        <v>1345</v>
      </c>
      <c r="C521" s="337" t="s">
        <v>1346</v>
      </c>
      <c r="D521" s="338"/>
      <c r="E521" s="338"/>
      <c r="F521" s="334"/>
      <c r="G521" s="334"/>
      <c r="H521" s="334"/>
      <c r="I521" s="334"/>
      <c r="J521" s="135"/>
      <c r="K521" s="339"/>
      <c r="L521" s="339"/>
      <c r="M521" s="339"/>
      <c r="N521" s="340"/>
      <c r="O521" s="334"/>
      <c r="P521" s="135"/>
      <c r="Q521" s="334"/>
      <c r="R521" s="334"/>
      <c r="S521" s="334"/>
      <c r="T521" s="334"/>
      <c r="U521" s="135"/>
      <c r="V521" s="334"/>
      <c r="W521" s="334"/>
      <c r="X521" s="334"/>
      <c r="Y521" s="334"/>
      <c r="Z521" s="334"/>
      <c r="AA521" s="136"/>
      <c r="AB521" s="341"/>
      <c r="AC521" s="339"/>
      <c r="AD521" s="339"/>
      <c r="AE521" s="339"/>
      <c r="AF521" s="339"/>
      <c r="AG521" s="339"/>
      <c r="AH521" s="339"/>
      <c r="AI521" s="339"/>
      <c r="AJ521" s="339"/>
      <c r="AK521" s="339"/>
      <c r="AL521" s="339"/>
      <c r="AM521" s="339"/>
      <c r="AN521" s="339"/>
      <c r="AO521" s="341"/>
      <c r="AP521" s="339"/>
      <c r="AQ521" s="339"/>
      <c r="AR521" s="339"/>
      <c r="AS521" s="339"/>
      <c r="AT521" s="339"/>
      <c r="AU521" s="339"/>
      <c r="AV521" s="339"/>
      <c r="AW521" s="339"/>
      <c r="AX521" s="339"/>
      <c r="AY521" s="339"/>
      <c r="AZ521" s="339"/>
      <c r="BA521" s="339"/>
    </row>
    <row r="522" spans="1:53" s="131" customFormat="1" ht="4.5" customHeight="1" outlineLevel="2">
      <c r="A522" s="111"/>
      <c r="B522" s="331"/>
      <c r="C522" s="347"/>
      <c r="D522" s="352"/>
      <c r="E522" s="352"/>
      <c r="F522" s="333"/>
      <c r="G522" s="333"/>
      <c r="H522" s="133"/>
      <c r="I522" s="138"/>
      <c r="J522" s="158"/>
      <c r="K522" s="333"/>
      <c r="L522" s="333"/>
      <c r="M522" s="133"/>
      <c r="N522" s="138"/>
      <c r="O522" s="377"/>
      <c r="P522" s="378"/>
      <c r="Q522" s="333"/>
      <c r="R522" s="333"/>
      <c r="S522" s="133"/>
      <c r="T522" s="138"/>
      <c r="U522" s="378"/>
      <c r="V522" s="333"/>
      <c r="W522" s="333"/>
      <c r="X522" s="133"/>
      <c r="Y522" s="137"/>
      <c r="AA522" s="139"/>
      <c r="AB522" s="351"/>
      <c r="AC522" s="333"/>
      <c r="AD522" s="333"/>
      <c r="AE522" s="333"/>
      <c r="AF522" s="333"/>
      <c r="AG522" s="333"/>
      <c r="AH522" s="333"/>
      <c r="AI522" s="333"/>
      <c r="AJ522" s="333"/>
      <c r="AK522" s="333"/>
      <c r="AL522" s="333"/>
      <c r="AM522" s="333"/>
      <c r="AN522" s="333"/>
      <c r="AO522" s="351"/>
      <c r="AP522" s="333"/>
      <c r="AQ522" s="333"/>
      <c r="AR522" s="333"/>
      <c r="AS522" s="333"/>
      <c r="AT522" s="333"/>
      <c r="AU522" s="333"/>
      <c r="AV522" s="333"/>
      <c r="AW522" s="333"/>
      <c r="AX522" s="333"/>
      <c r="AY522" s="333"/>
      <c r="AZ522" s="333"/>
      <c r="BA522" s="333"/>
    </row>
    <row r="523" spans="1:53" s="131" customFormat="1">
      <c r="A523" s="111" t="s">
        <v>1347</v>
      </c>
      <c r="B523" s="331" t="s">
        <v>1348</v>
      </c>
      <c r="C523" s="347" t="s">
        <v>1349</v>
      </c>
      <c r="D523" s="352"/>
      <c r="E523" s="352"/>
      <c r="F523" s="333">
        <v>0</v>
      </c>
      <c r="G523" s="333">
        <v>0</v>
      </c>
      <c r="H523" s="133">
        <f>+F523-G523</f>
        <v>0</v>
      </c>
      <c r="I523" s="138">
        <f>IF(G523&lt;0,IF(H523=0,0,IF(OR(G523=0,F523=0),"N.M.",IF(ABS(H523/G523)&gt;=10,"N.M.",H523/(-G523)))),IF(H523=0,0,IF(OR(G523=0,F523=0),"N.M.",IF(ABS(H523/G523)&gt;=10,"N.M.",H523/G523))))</f>
        <v>0</v>
      </c>
      <c r="J523" s="158"/>
      <c r="K523" s="333">
        <v>0</v>
      </c>
      <c r="L523" s="333">
        <v>0</v>
      </c>
      <c r="M523" s="133">
        <f>+K523-L523</f>
        <v>0</v>
      </c>
      <c r="N523" s="138">
        <f>IF(L523&lt;0,IF(M523=0,0,IF(OR(L523=0,K523=0),"N.M.",IF(ABS(M523/L523)&gt;=10,"N.M.",M523/(-L523)))),IF(M523=0,0,IF(OR(L523=0,K523=0),"N.M.",IF(ABS(M523/L523)&gt;=10,"N.M.",M523/L523))))</f>
        <v>0</v>
      </c>
      <c r="O523" s="377"/>
      <c r="P523" s="378"/>
      <c r="Q523" s="333">
        <v>0</v>
      </c>
      <c r="R523" s="333">
        <v>0</v>
      </c>
      <c r="S523" s="133">
        <f>+Q523-R523</f>
        <v>0</v>
      </c>
      <c r="T523" s="138">
        <f>IF(R523&lt;0,IF(S523=0,0,IF(OR(R523=0,Q523=0),"N.M.",IF(ABS(S523/R523)&gt;=10,"N.M.",S523/(-R523)))),IF(S523=0,0,IF(OR(R523=0,Q523=0),"N.M.",IF(ABS(S523/R523)&gt;=10,"N.M.",S523/R523))))</f>
        <v>0</v>
      </c>
      <c r="U523" s="378"/>
      <c r="V523" s="333">
        <v>0</v>
      </c>
      <c r="W523" s="333">
        <v>0</v>
      </c>
      <c r="X523" s="133">
        <f>+V523-W523</f>
        <v>0</v>
      </c>
      <c r="Y523" s="137">
        <f>IF(W523&lt;0,IF(X523=0,0,IF(OR(W523=0,V523=0),"N.M.",IF(ABS(X523/W523)&gt;=10,"N.M.",X523/(-W523)))),IF(X523=0,0,IF(OR(W523=0,V523=0),"N.M.",IF(ABS(X523/W523)&gt;=10,"N.M.",X523/W523))))</f>
        <v>0</v>
      </c>
      <c r="AA523" s="139">
        <v>0</v>
      </c>
      <c r="AB523" s="351"/>
      <c r="AC523" s="333">
        <v>0</v>
      </c>
      <c r="AD523" s="333">
        <v>0</v>
      </c>
      <c r="AE523" s="333">
        <v>0</v>
      </c>
      <c r="AF523" s="333">
        <v>0</v>
      </c>
      <c r="AG523" s="333">
        <v>0</v>
      </c>
      <c r="AH523" s="333">
        <v>0</v>
      </c>
      <c r="AI523" s="333">
        <v>0</v>
      </c>
      <c r="AJ523" s="333">
        <v>0</v>
      </c>
      <c r="AK523" s="333">
        <v>0</v>
      </c>
      <c r="AL523" s="333">
        <v>0</v>
      </c>
      <c r="AM523" s="333">
        <v>0</v>
      </c>
      <c r="AN523" s="333">
        <v>0</v>
      </c>
      <c r="AO523" s="351"/>
      <c r="AP523" s="333">
        <v>0</v>
      </c>
      <c r="AQ523" s="333">
        <v>0</v>
      </c>
      <c r="AR523" s="333">
        <v>0</v>
      </c>
      <c r="AS523" s="333">
        <v>0</v>
      </c>
      <c r="AT523" s="333">
        <v>0</v>
      </c>
      <c r="AU523" s="333">
        <v>0</v>
      </c>
      <c r="AV523" s="333">
        <v>0</v>
      </c>
      <c r="AW523" s="333">
        <v>0</v>
      </c>
      <c r="AX523" s="333">
        <v>0</v>
      </c>
      <c r="AY523" s="333">
        <v>0</v>
      </c>
      <c r="AZ523" s="333">
        <v>0</v>
      </c>
      <c r="BA523" s="333">
        <v>0</v>
      </c>
    </row>
    <row r="524" spans="1:53" s="131" customFormat="1" ht="0.75" customHeight="1" outlineLevel="2">
      <c r="A524" s="111"/>
      <c r="B524" s="331"/>
      <c r="C524" s="347"/>
      <c r="D524" s="352"/>
      <c r="E524" s="352"/>
      <c r="F524" s="333"/>
      <c r="G524" s="333"/>
      <c r="H524" s="133"/>
      <c r="I524" s="138"/>
      <c r="J524" s="158"/>
      <c r="K524" s="333"/>
      <c r="L524" s="333"/>
      <c r="M524" s="133"/>
      <c r="N524" s="138"/>
      <c r="O524" s="377"/>
      <c r="P524" s="378"/>
      <c r="Q524" s="333"/>
      <c r="R524" s="333"/>
      <c r="S524" s="133"/>
      <c r="T524" s="138"/>
      <c r="U524" s="378"/>
      <c r="V524" s="333"/>
      <c r="W524" s="333"/>
      <c r="X524" s="133"/>
      <c r="Y524" s="137"/>
      <c r="AA524" s="139"/>
      <c r="AB524" s="351"/>
      <c r="AC524" s="333"/>
      <c r="AD524" s="333"/>
      <c r="AE524" s="333"/>
      <c r="AF524" s="333"/>
      <c r="AG524" s="333"/>
      <c r="AH524" s="333"/>
      <c r="AI524" s="333"/>
      <c r="AJ524" s="333"/>
      <c r="AK524" s="333"/>
      <c r="AL524" s="333"/>
      <c r="AM524" s="333"/>
      <c r="AN524" s="333"/>
      <c r="AO524" s="351"/>
      <c r="AP524" s="333"/>
      <c r="AQ524" s="333"/>
      <c r="AR524" s="333"/>
      <c r="AS524" s="333"/>
      <c r="AT524" s="333"/>
      <c r="AU524" s="333"/>
      <c r="AV524" s="333"/>
      <c r="AW524" s="333"/>
      <c r="AX524" s="333"/>
      <c r="AY524" s="333"/>
      <c r="AZ524" s="333"/>
      <c r="BA524" s="333"/>
    </row>
    <row r="525" spans="1:53" s="131" customFormat="1">
      <c r="A525" s="111" t="s">
        <v>1350</v>
      </c>
      <c r="B525" s="331" t="s">
        <v>1351</v>
      </c>
      <c r="C525" s="347" t="s">
        <v>1352</v>
      </c>
      <c r="D525" s="352"/>
      <c r="E525" s="352"/>
      <c r="F525" s="333">
        <v>0</v>
      </c>
      <c r="G525" s="333">
        <v>0</v>
      </c>
      <c r="H525" s="133">
        <f>+F525-G525</f>
        <v>0</v>
      </c>
      <c r="I525" s="138">
        <f>IF(G525&lt;0,IF(H525=0,0,IF(OR(G525=0,F525=0),"N.M.",IF(ABS(H525/G525)&gt;=10,"N.M.",H525/(-G525)))),IF(H525=0,0,IF(OR(G525=0,F525=0),"N.M.",IF(ABS(H525/G525)&gt;=10,"N.M.",H525/G525))))</f>
        <v>0</v>
      </c>
      <c r="J525" s="158"/>
      <c r="K525" s="333">
        <v>0</v>
      </c>
      <c r="L525" s="333">
        <v>0</v>
      </c>
      <c r="M525" s="133">
        <f>+K525-L525</f>
        <v>0</v>
      </c>
      <c r="N525" s="138">
        <f>IF(L525&lt;0,IF(M525=0,0,IF(OR(L525=0,K525=0),"N.M.",IF(ABS(M525/L525)&gt;=10,"N.M.",M525/(-L525)))),IF(M525=0,0,IF(OR(L525=0,K525=0),"N.M.",IF(ABS(M525/L525)&gt;=10,"N.M.",M525/L525))))</f>
        <v>0</v>
      </c>
      <c r="O525" s="379"/>
      <c r="P525" s="380"/>
      <c r="Q525" s="333">
        <v>0</v>
      </c>
      <c r="R525" s="333">
        <v>0</v>
      </c>
      <c r="S525" s="133">
        <f>+Q525-R525</f>
        <v>0</v>
      </c>
      <c r="T525" s="138">
        <f>IF(R525&lt;0,IF(S525=0,0,IF(OR(R525=0,Q525=0),"N.M.",IF(ABS(S525/R525)&gt;=10,"N.M.",S525/(-R525)))),IF(S525=0,0,IF(OR(R525=0,Q525=0),"N.M.",IF(ABS(S525/R525)&gt;=10,"N.M.",S525/R525))))</f>
        <v>0</v>
      </c>
      <c r="U525" s="380"/>
      <c r="V525" s="333">
        <v>0</v>
      </c>
      <c r="W525" s="333">
        <v>0</v>
      </c>
      <c r="X525" s="133">
        <f>+V525-W525</f>
        <v>0</v>
      </c>
      <c r="Y525" s="137">
        <f>IF(W525&lt;0,IF(X525=0,0,IF(OR(W525=0,V525=0),"N.M.",IF(ABS(X525/W525)&gt;=10,"N.M.",X525/(-W525)))),IF(X525=0,0,IF(OR(W525=0,V525=0),"N.M.",IF(ABS(X525/W525)&gt;=10,"N.M.",X525/W525))))</f>
        <v>0</v>
      </c>
      <c r="AA525" s="139">
        <v>0</v>
      </c>
      <c r="AB525" s="351"/>
      <c r="AC525" s="333">
        <v>0</v>
      </c>
      <c r="AD525" s="333">
        <v>0</v>
      </c>
      <c r="AE525" s="333">
        <v>0</v>
      </c>
      <c r="AF525" s="333">
        <v>0</v>
      </c>
      <c r="AG525" s="333">
        <v>0</v>
      </c>
      <c r="AH525" s="333">
        <v>0</v>
      </c>
      <c r="AI525" s="333">
        <v>0</v>
      </c>
      <c r="AJ525" s="333">
        <v>0</v>
      </c>
      <c r="AK525" s="333">
        <v>0</v>
      </c>
      <c r="AL525" s="333">
        <v>0</v>
      </c>
      <c r="AM525" s="333">
        <v>0</v>
      </c>
      <c r="AN525" s="333">
        <v>0</v>
      </c>
      <c r="AO525" s="351"/>
      <c r="AP525" s="333">
        <v>0</v>
      </c>
      <c r="AQ525" s="333">
        <v>0</v>
      </c>
      <c r="AR525" s="333">
        <v>0</v>
      </c>
      <c r="AS525" s="333">
        <v>0</v>
      </c>
      <c r="AT525" s="333">
        <v>0</v>
      </c>
      <c r="AU525" s="333">
        <v>0</v>
      </c>
      <c r="AV525" s="333">
        <v>0</v>
      </c>
      <c r="AW525" s="333">
        <v>0</v>
      </c>
      <c r="AX525" s="333">
        <v>0</v>
      </c>
      <c r="AY525" s="333">
        <v>0</v>
      </c>
      <c r="AZ525" s="333">
        <v>0</v>
      </c>
      <c r="BA525" s="333">
        <v>0</v>
      </c>
    </row>
    <row r="526" spans="1:53" s="131" customFormat="1" ht="0.75" customHeight="1" outlineLevel="2">
      <c r="A526" s="111"/>
      <c r="B526" s="331"/>
      <c r="C526" s="347"/>
      <c r="D526" s="352"/>
      <c r="E526" s="352"/>
      <c r="F526" s="333"/>
      <c r="G526" s="333"/>
      <c r="H526" s="133"/>
      <c r="I526" s="138"/>
      <c r="J526" s="158"/>
      <c r="K526" s="333"/>
      <c r="L526" s="333"/>
      <c r="M526" s="133"/>
      <c r="N526" s="138"/>
      <c r="O526" s="379"/>
      <c r="P526" s="380"/>
      <c r="Q526" s="333"/>
      <c r="R526" s="333"/>
      <c r="S526" s="133"/>
      <c r="T526" s="138"/>
      <c r="U526" s="380"/>
      <c r="V526" s="333"/>
      <c r="W526" s="333"/>
      <c r="X526" s="133"/>
      <c r="Y526" s="137"/>
      <c r="AA526" s="139"/>
      <c r="AB526" s="351"/>
      <c r="AC526" s="333"/>
      <c r="AD526" s="333"/>
      <c r="AE526" s="333"/>
      <c r="AF526" s="333"/>
      <c r="AG526" s="333"/>
      <c r="AH526" s="333"/>
      <c r="AI526" s="333"/>
      <c r="AJ526" s="333"/>
      <c r="AK526" s="333"/>
      <c r="AL526" s="333"/>
      <c r="AM526" s="333"/>
      <c r="AN526" s="333"/>
      <c r="AO526" s="351"/>
      <c r="AP526" s="333"/>
      <c r="AQ526" s="333"/>
      <c r="AR526" s="333"/>
      <c r="AS526" s="333"/>
      <c r="AT526" s="333"/>
      <c r="AU526" s="333"/>
      <c r="AV526" s="333"/>
      <c r="AW526" s="333"/>
      <c r="AX526" s="333"/>
      <c r="AY526" s="333"/>
      <c r="AZ526" s="333"/>
      <c r="BA526" s="333"/>
    </row>
    <row r="527" spans="1:53" s="102" customFormat="1" outlineLevel="2">
      <c r="A527" s="102" t="s">
        <v>1353</v>
      </c>
      <c r="B527" s="103" t="s">
        <v>1354</v>
      </c>
      <c r="C527" s="104" t="s">
        <v>1355</v>
      </c>
      <c r="D527" s="298"/>
      <c r="E527" s="299"/>
      <c r="F527" s="105">
        <v>29793.87</v>
      </c>
      <c r="G527" s="105">
        <v>30067.760000000002</v>
      </c>
      <c r="H527" s="106">
        <f>+F527-G527</f>
        <v>-273.89000000000306</v>
      </c>
      <c r="I527" s="300">
        <f>IF(G527&lt;0,IF(H527=0,0,IF(OR(G527=0,F527=0),"N.M.",IF(ABS(H527/G527)&gt;=10,"N.M.",H527/(-G527)))),IF(H527=0,0,IF(OR(G527=0,F527=0),"N.M.",IF(ABS(H527/G527)&gt;=10,"N.M.",H527/G527))))</f>
        <v>-9.109092263607366E-3</v>
      </c>
      <c r="J527" s="107"/>
      <c r="K527" s="105">
        <v>82567.150000000009</v>
      </c>
      <c r="L527" s="105">
        <v>82809.63</v>
      </c>
      <c r="M527" s="106">
        <f>+K527-L527</f>
        <v>-242.47999999999593</v>
      </c>
      <c r="N527" s="300">
        <f>IF(L527&lt;0,IF(M527=0,0,IF(OR(L527=0,K527=0),"N.M.",IF(ABS(M527/L527)&gt;=10,"N.M.",M527/(-L527)))),IF(M527=0,0,IF(OR(L527=0,K527=0),"N.M.",IF(ABS(M527/L527)&gt;=10,"N.M.",M527/L527))))</f>
        <v>-2.9281618575037215E-3</v>
      </c>
      <c r="O527" s="301"/>
      <c r="P527" s="107"/>
      <c r="Q527" s="105">
        <v>82567.150000000009</v>
      </c>
      <c r="R527" s="105">
        <v>82809.63</v>
      </c>
      <c r="S527" s="106">
        <f>+Q527-R527</f>
        <v>-242.47999999999593</v>
      </c>
      <c r="T527" s="300">
        <f>IF(R527&lt;0,IF(S527=0,0,IF(OR(R527=0,Q527=0),"N.M.",IF(ABS(S527/R527)&gt;=10,"N.M.",S527/(-R527)))),IF(S527=0,0,IF(OR(R527=0,Q527=0),"N.M.",IF(ABS(S527/R527)&gt;=10,"N.M.",S527/R527))))</f>
        <v>-2.9281618575037215E-3</v>
      </c>
      <c r="U527" s="107"/>
      <c r="V527" s="105">
        <v>324861.56</v>
      </c>
      <c r="W527" s="105">
        <v>316216</v>
      </c>
      <c r="X527" s="106">
        <f>+V527-W527</f>
        <v>8645.5599999999977</v>
      </c>
      <c r="Y527" s="300">
        <f>IF(W527&lt;0,IF(X527=0,0,IF(OR(W527=0,V527=0),"N.M.",IF(ABS(X527/W527)&gt;=10,"N.M.",X527/(-W527)))),IF(X527=0,0,IF(OR(W527=0,V527=0),"N.M.",IF(ABS(X527/W527)&gt;=10,"N.M.",X527/W527))))</f>
        <v>2.7340678523540864E-2</v>
      </c>
      <c r="Z527" s="302"/>
      <c r="AA527" s="108">
        <v>25338.850000000002</v>
      </c>
      <c r="AB527" s="109"/>
      <c r="AC527" s="110">
        <v>26954.97</v>
      </c>
      <c r="AD527" s="110">
        <v>25786.9</v>
      </c>
      <c r="AE527" s="110">
        <v>30067.760000000002</v>
      </c>
      <c r="AF527" s="110">
        <v>25790.25</v>
      </c>
      <c r="AG527" s="110">
        <v>27138.34</v>
      </c>
      <c r="AH527" s="110">
        <v>28498.55</v>
      </c>
      <c r="AI527" s="110">
        <v>24741.7</v>
      </c>
      <c r="AJ527" s="110">
        <v>30577.77</v>
      </c>
      <c r="AK527" s="110">
        <v>26769.3</v>
      </c>
      <c r="AL527" s="110">
        <v>27111.25</v>
      </c>
      <c r="AM527" s="110">
        <v>26132.61</v>
      </c>
      <c r="AN527" s="110">
        <v>25534.639999999999</v>
      </c>
      <c r="AO527" s="109"/>
      <c r="AP527" s="110">
        <v>27009.86</v>
      </c>
      <c r="AQ527" s="110">
        <v>25763.420000000002</v>
      </c>
      <c r="AR527" s="110">
        <v>29793.87</v>
      </c>
      <c r="AS527" s="110">
        <v>0</v>
      </c>
      <c r="AT527" s="110">
        <v>0</v>
      </c>
      <c r="AU527" s="110">
        <v>0</v>
      </c>
      <c r="AV527" s="110">
        <v>0</v>
      </c>
      <c r="AW527" s="110">
        <v>0</v>
      </c>
      <c r="AX527" s="110">
        <v>0</v>
      </c>
      <c r="AY527" s="110">
        <v>0</v>
      </c>
      <c r="AZ527" s="110">
        <v>0</v>
      </c>
      <c r="BA527" s="110">
        <v>0</v>
      </c>
    </row>
    <row r="528" spans="1:53" s="131" customFormat="1">
      <c r="A528" s="111" t="s">
        <v>1356</v>
      </c>
      <c r="B528" s="331" t="s">
        <v>1357</v>
      </c>
      <c r="C528" s="347" t="s">
        <v>1358</v>
      </c>
      <c r="D528" s="352"/>
      <c r="E528" s="352"/>
      <c r="F528" s="333">
        <v>29793.87</v>
      </c>
      <c r="G528" s="333">
        <v>30067.760000000002</v>
      </c>
      <c r="H528" s="133">
        <f>+F528-G528</f>
        <v>-273.89000000000306</v>
      </c>
      <c r="I528" s="138">
        <f>IF(G528&lt;0,IF(H528=0,0,IF(OR(G528=0,F528=0),"N.M.",IF(ABS(H528/G528)&gt;=10,"N.M.",H528/(-G528)))),IF(H528=0,0,IF(OR(G528=0,F528=0),"N.M.",IF(ABS(H528/G528)&gt;=10,"N.M.",H528/G528))))</f>
        <v>-9.109092263607366E-3</v>
      </c>
      <c r="J528" s="158"/>
      <c r="K528" s="333">
        <v>82567.150000000009</v>
      </c>
      <c r="L528" s="333">
        <v>82809.63</v>
      </c>
      <c r="M528" s="133">
        <f>+K528-L528</f>
        <v>-242.47999999999593</v>
      </c>
      <c r="N528" s="138">
        <f>IF(L528&lt;0,IF(M528=0,0,IF(OR(L528=0,K528=0),"N.M.",IF(ABS(M528/L528)&gt;=10,"N.M.",M528/(-L528)))),IF(M528=0,0,IF(OR(L528=0,K528=0),"N.M.",IF(ABS(M528/L528)&gt;=10,"N.M.",M528/L528))))</f>
        <v>-2.9281618575037215E-3</v>
      </c>
      <c r="O528" s="302"/>
      <c r="P528" s="350"/>
      <c r="Q528" s="333">
        <v>82567.150000000009</v>
      </c>
      <c r="R528" s="333">
        <v>82809.63</v>
      </c>
      <c r="S528" s="133">
        <f>+Q528-R528</f>
        <v>-242.47999999999593</v>
      </c>
      <c r="T528" s="138">
        <f>IF(R528&lt;0,IF(S528=0,0,IF(OR(R528=0,Q528=0),"N.M.",IF(ABS(S528/R528)&gt;=10,"N.M.",S528/(-R528)))),IF(S528=0,0,IF(OR(R528=0,Q528=0),"N.M.",IF(ABS(S528/R528)&gt;=10,"N.M.",S528/R528))))</f>
        <v>-2.9281618575037215E-3</v>
      </c>
      <c r="U528" s="350"/>
      <c r="V528" s="333">
        <v>324861.56</v>
      </c>
      <c r="W528" s="333">
        <v>316216</v>
      </c>
      <c r="X528" s="133">
        <f>+V528-W528</f>
        <v>8645.5599999999977</v>
      </c>
      <c r="Y528" s="137">
        <f>IF(W528&lt;0,IF(X528=0,0,IF(OR(W528=0,V528=0),"N.M.",IF(ABS(X528/W528)&gt;=10,"N.M.",X528/(-W528)))),IF(X528=0,0,IF(OR(W528=0,V528=0),"N.M.",IF(ABS(X528/W528)&gt;=10,"N.M.",X528/W528))))</f>
        <v>2.7340678523540864E-2</v>
      </c>
      <c r="AA528" s="139">
        <v>25338.850000000002</v>
      </c>
      <c r="AB528" s="351"/>
      <c r="AC528" s="333">
        <v>26954.97</v>
      </c>
      <c r="AD528" s="333">
        <v>25786.9</v>
      </c>
      <c r="AE528" s="333">
        <v>30067.760000000002</v>
      </c>
      <c r="AF528" s="333">
        <v>25790.25</v>
      </c>
      <c r="AG528" s="333">
        <v>27138.34</v>
      </c>
      <c r="AH528" s="333">
        <v>28498.55</v>
      </c>
      <c r="AI528" s="333">
        <v>24741.7</v>
      </c>
      <c r="AJ528" s="333">
        <v>30577.77</v>
      </c>
      <c r="AK528" s="333">
        <v>26769.3</v>
      </c>
      <c r="AL528" s="333">
        <v>27111.25</v>
      </c>
      <c r="AM528" s="333">
        <v>26132.61</v>
      </c>
      <c r="AN528" s="333">
        <v>25534.639999999999</v>
      </c>
      <c r="AO528" s="351"/>
      <c r="AP528" s="333">
        <v>27009.86</v>
      </c>
      <c r="AQ528" s="333">
        <v>25763.420000000002</v>
      </c>
      <c r="AR528" s="333">
        <v>29793.87</v>
      </c>
      <c r="AS528" s="333">
        <v>0</v>
      </c>
      <c r="AT528" s="333">
        <v>0</v>
      </c>
      <c r="AU528" s="333">
        <v>0</v>
      </c>
      <c r="AV528" s="333">
        <v>0</v>
      </c>
      <c r="AW528" s="333">
        <v>0</v>
      </c>
      <c r="AX528" s="333">
        <v>0</v>
      </c>
      <c r="AY528" s="333">
        <v>0</v>
      </c>
      <c r="AZ528" s="333">
        <v>0</v>
      </c>
      <c r="BA528" s="333">
        <v>0</v>
      </c>
    </row>
    <row r="529" spans="1:53" s="131" customFormat="1" ht="0.75" customHeight="1" outlineLevel="2">
      <c r="A529" s="111"/>
      <c r="B529" s="331"/>
      <c r="C529" s="347"/>
      <c r="D529" s="352"/>
      <c r="E529" s="352"/>
      <c r="F529" s="333"/>
      <c r="G529" s="333"/>
      <c r="H529" s="133"/>
      <c r="I529" s="138"/>
      <c r="J529" s="158"/>
      <c r="K529" s="333"/>
      <c r="L529" s="333"/>
      <c r="M529" s="133"/>
      <c r="N529" s="138"/>
      <c r="O529" s="302"/>
      <c r="P529" s="350"/>
      <c r="Q529" s="333"/>
      <c r="R529" s="333"/>
      <c r="S529" s="133"/>
      <c r="T529" s="138"/>
      <c r="U529" s="350"/>
      <c r="V529" s="333"/>
      <c r="W529" s="333"/>
      <c r="X529" s="133"/>
      <c r="Y529" s="137"/>
      <c r="AA529" s="139"/>
      <c r="AB529" s="351"/>
      <c r="AC529" s="333"/>
      <c r="AD529" s="333"/>
      <c r="AE529" s="333"/>
      <c r="AF529" s="333"/>
      <c r="AG529" s="333"/>
      <c r="AH529" s="333"/>
      <c r="AI529" s="333"/>
      <c r="AJ529" s="333"/>
      <c r="AK529" s="333"/>
      <c r="AL529" s="333"/>
      <c r="AM529" s="333"/>
      <c r="AN529" s="333"/>
      <c r="AO529" s="351"/>
      <c r="AP529" s="333"/>
      <c r="AQ529" s="333"/>
      <c r="AR529" s="333"/>
      <c r="AS529" s="333"/>
      <c r="AT529" s="333"/>
      <c r="AU529" s="333"/>
      <c r="AV529" s="333"/>
      <c r="AW529" s="333"/>
      <c r="AX529" s="333"/>
      <c r="AY529" s="333"/>
      <c r="AZ529" s="333"/>
      <c r="BA529" s="333"/>
    </row>
    <row r="530" spans="1:53" s="102" customFormat="1" outlineLevel="2">
      <c r="A530" s="102" t="s">
        <v>1787</v>
      </c>
      <c r="B530" s="103" t="s">
        <v>1788</v>
      </c>
      <c r="C530" s="104" t="s">
        <v>1789</v>
      </c>
      <c r="D530" s="298"/>
      <c r="E530" s="299"/>
      <c r="F530" s="105">
        <v>0</v>
      </c>
      <c r="G530" s="105">
        <v>0</v>
      </c>
      <c r="H530" s="106">
        <f>+F530-G530</f>
        <v>0</v>
      </c>
      <c r="I530" s="300">
        <f>IF(G530&lt;0,IF(H530=0,0,IF(OR(G530=0,F530=0),"N.M.",IF(ABS(H530/G530)&gt;=10,"N.M.",H530/(-G530)))),IF(H530=0,0,IF(OR(G530=0,F530=0),"N.M.",IF(ABS(H530/G530)&gt;=10,"N.M.",H530/G530))))</f>
        <v>0</v>
      </c>
      <c r="J530" s="107"/>
      <c r="K530" s="105">
        <v>0</v>
      </c>
      <c r="L530" s="105">
        <v>0</v>
      </c>
      <c r="M530" s="106">
        <f>+K530-L530</f>
        <v>0</v>
      </c>
      <c r="N530" s="300">
        <f>IF(L530&lt;0,IF(M530=0,0,IF(OR(L530=0,K530=0),"N.M.",IF(ABS(M530/L530)&gt;=10,"N.M.",M530/(-L530)))),IF(M530=0,0,IF(OR(L530=0,K530=0),"N.M.",IF(ABS(M530/L530)&gt;=10,"N.M.",M530/L530))))</f>
        <v>0</v>
      </c>
      <c r="O530" s="301"/>
      <c r="P530" s="107"/>
      <c r="Q530" s="105">
        <v>0</v>
      </c>
      <c r="R530" s="105">
        <v>0</v>
      </c>
      <c r="S530" s="106">
        <f>+Q530-R530</f>
        <v>0</v>
      </c>
      <c r="T530" s="300">
        <f>IF(R530&lt;0,IF(S530=0,0,IF(OR(R530=0,Q530=0),"N.M.",IF(ABS(S530/R530)&gt;=10,"N.M.",S530/(-R530)))),IF(S530=0,0,IF(OR(R530=0,Q530=0),"N.M.",IF(ABS(S530/R530)&gt;=10,"N.M.",S530/R530))))</f>
        <v>0</v>
      </c>
      <c r="U530" s="107"/>
      <c r="V530" s="105">
        <v>0</v>
      </c>
      <c r="W530" s="105">
        <v>19.25</v>
      </c>
      <c r="X530" s="106">
        <f>+V530-W530</f>
        <v>-19.25</v>
      </c>
      <c r="Y530" s="300" t="str">
        <f>IF(W530&lt;0,IF(X530=0,0,IF(OR(W530=0,V530=0),"N.M.",IF(ABS(X530/W530)&gt;=10,"N.M.",X530/(-W530)))),IF(X530=0,0,IF(OR(W530=0,V530=0),"N.M.",IF(ABS(X530/W530)&gt;=10,"N.M.",X530/W530))))</f>
        <v>N.M.</v>
      </c>
      <c r="Z530" s="302"/>
      <c r="AA530" s="108">
        <v>19.25</v>
      </c>
      <c r="AB530" s="109"/>
      <c r="AC530" s="110">
        <v>0</v>
      </c>
      <c r="AD530" s="110">
        <v>0</v>
      </c>
      <c r="AE530" s="110">
        <v>0</v>
      </c>
      <c r="AF530" s="110">
        <v>0</v>
      </c>
      <c r="AG530" s="110">
        <v>0</v>
      </c>
      <c r="AH530" s="110">
        <v>0</v>
      </c>
      <c r="AI530" s="110">
        <v>0</v>
      </c>
      <c r="AJ530" s="110">
        <v>0</v>
      </c>
      <c r="AK530" s="110">
        <v>0</v>
      </c>
      <c r="AL530" s="110">
        <v>0</v>
      </c>
      <c r="AM530" s="110">
        <v>0</v>
      </c>
      <c r="AN530" s="110">
        <v>0</v>
      </c>
      <c r="AO530" s="109"/>
      <c r="AP530" s="110">
        <v>0</v>
      </c>
      <c r="AQ530" s="110">
        <v>0</v>
      </c>
      <c r="AR530" s="110">
        <v>0</v>
      </c>
      <c r="AS530" s="110">
        <v>0</v>
      </c>
      <c r="AT530" s="110">
        <v>0</v>
      </c>
      <c r="AU530" s="110">
        <v>0</v>
      </c>
      <c r="AV530" s="110">
        <v>0</v>
      </c>
      <c r="AW530" s="110">
        <v>0</v>
      </c>
      <c r="AX530" s="110">
        <v>0</v>
      </c>
      <c r="AY530" s="110">
        <v>0</v>
      </c>
      <c r="AZ530" s="110">
        <v>0</v>
      </c>
      <c r="BA530" s="110">
        <v>0</v>
      </c>
    </row>
    <row r="531" spans="1:53" s="131" customFormat="1">
      <c r="A531" s="111" t="s">
        <v>1359</v>
      </c>
      <c r="B531" s="331" t="s">
        <v>1360</v>
      </c>
      <c r="C531" s="347" t="s">
        <v>1361</v>
      </c>
      <c r="D531" s="352"/>
      <c r="E531" s="352"/>
      <c r="F531" s="333">
        <v>0</v>
      </c>
      <c r="G531" s="333">
        <v>0</v>
      </c>
      <c r="H531" s="133">
        <f>+F531-G531</f>
        <v>0</v>
      </c>
      <c r="I531" s="138">
        <f>IF(G531&lt;0,IF(H531=0,0,IF(OR(G531=0,F531=0),"N.M.",IF(ABS(H531/G531)&gt;=10,"N.M.",H531/(-G531)))),IF(H531=0,0,IF(OR(G531=0,F531=0),"N.M.",IF(ABS(H531/G531)&gt;=10,"N.M.",H531/G531))))</f>
        <v>0</v>
      </c>
      <c r="J531" s="158"/>
      <c r="K531" s="333">
        <v>0</v>
      </c>
      <c r="L531" s="333">
        <v>0</v>
      </c>
      <c r="M531" s="133">
        <f>+K531-L531</f>
        <v>0</v>
      </c>
      <c r="N531" s="138">
        <f>IF(L531&lt;0,IF(M531=0,0,IF(OR(L531=0,K531=0),"N.M.",IF(ABS(M531/L531)&gt;=10,"N.M.",M531/(-L531)))),IF(M531=0,0,IF(OR(L531=0,K531=0),"N.M.",IF(ABS(M531/L531)&gt;=10,"N.M.",M531/L531))))</f>
        <v>0</v>
      </c>
      <c r="O531" s="302"/>
      <c r="P531" s="350"/>
      <c r="Q531" s="333">
        <v>0</v>
      </c>
      <c r="R531" s="333">
        <v>0</v>
      </c>
      <c r="S531" s="133">
        <f>+Q531-R531</f>
        <v>0</v>
      </c>
      <c r="T531" s="138">
        <f>IF(R531&lt;0,IF(S531=0,0,IF(OR(R531=0,Q531=0),"N.M.",IF(ABS(S531/R531)&gt;=10,"N.M.",S531/(-R531)))),IF(S531=0,0,IF(OR(R531=0,Q531=0),"N.M.",IF(ABS(S531/R531)&gt;=10,"N.M.",S531/R531))))</f>
        <v>0</v>
      </c>
      <c r="U531" s="350"/>
      <c r="V531" s="333">
        <v>0</v>
      </c>
      <c r="W531" s="333">
        <v>19.25</v>
      </c>
      <c r="X531" s="133">
        <f>+V531-W531</f>
        <v>-19.25</v>
      </c>
      <c r="Y531" s="137" t="str">
        <f>IF(W531&lt;0,IF(X531=0,0,IF(OR(W531=0,V531=0),"N.M.",IF(ABS(X531/W531)&gt;=10,"N.M.",X531/(-W531)))),IF(X531=0,0,IF(OR(W531=0,V531=0),"N.M.",IF(ABS(X531/W531)&gt;=10,"N.M.",X531/W531))))</f>
        <v>N.M.</v>
      </c>
      <c r="AA531" s="139">
        <v>19.25</v>
      </c>
      <c r="AB531" s="351"/>
      <c r="AC531" s="333">
        <v>0</v>
      </c>
      <c r="AD531" s="333">
        <v>0</v>
      </c>
      <c r="AE531" s="333">
        <v>0</v>
      </c>
      <c r="AF531" s="333">
        <v>0</v>
      </c>
      <c r="AG531" s="333">
        <v>0</v>
      </c>
      <c r="AH531" s="333">
        <v>0</v>
      </c>
      <c r="AI531" s="333">
        <v>0</v>
      </c>
      <c r="AJ531" s="333">
        <v>0</v>
      </c>
      <c r="AK531" s="333">
        <v>0</v>
      </c>
      <c r="AL531" s="333">
        <v>0</v>
      </c>
      <c r="AM531" s="333">
        <v>0</v>
      </c>
      <c r="AN531" s="333">
        <v>0</v>
      </c>
      <c r="AO531" s="351"/>
      <c r="AP531" s="333">
        <v>0</v>
      </c>
      <c r="AQ531" s="333">
        <v>0</v>
      </c>
      <c r="AR531" s="333">
        <v>0</v>
      </c>
      <c r="AS531" s="333">
        <v>0</v>
      </c>
      <c r="AT531" s="333">
        <v>0</v>
      </c>
      <c r="AU531" s="333">
        <v>0</v>
      </c>
      <c r="AV531" s="333">
        <v>0</v>
      </c>
      <c r="AW531" s="333">
        <v>0</v>
      </c>
      <c r="AX531" s="333">
        <v>0</v>
      </c>
      <c r="AY531" s="333">
        <v>0</v>
      </c>
      <c r="AZ531" s="333">
        <v>0</v>
      </c>
      <c r="BA531" s="333">
        <v>0</v>
      </c>
    </row>
    <row r="532" spans="1:53" s="131" customFormat="1" ht="0.75" customHeight="1" outlineLevel="2">
      <c r="A532" s="111"/>
      <c r="B532" s="331"/>
      <c r="C532" s="347"/>
      <c r="D532" s="352"/>
      <c r="E532" s="352"/>
      <c r="F532" s="333"/>
      <c r="G532" s="333"/>
      <c r="H532" s="133"/>
      <c r="I532" s="138"/>
      <c r="J532" s="158"/>
      <c r="K532" s="333"/>
      <c r="L532" s="333"/>
      <c r="M532" s="133"/>
      <c r="N532" s="138"/>
      <c r="O532" s="302"/>
      <c r="P532" s="350"/>
      <c r="Q532" s="333"/>
      <c r="R532" s="333"/>
      <c r="S532" s="133"/>
      <c r="T532" s="138"/>
      <c r="U532" s="350"/>
      <c r="V532" s="333"/>
      <c r="W532" s="333"/>
      <c r="X532" s="133"/>
      <c r="Y532" s="137"/>
      <c r="AA532" s="139"/>
      <c r="AB532" s="351"/>
      <c r="AC532" s="333"/>
      <c r="AD532" s="333"/>
      <c r="AE532" s="333"/>
      <c r="AF532" s="333"/>
      <c r="AG532" s="333"/>
      <c r="AH532" s="333"/>
      <c r="AI532" s="333"/>
      <c r="AJ532" s="333"/>
      <c r="AK532" s="333"/>
      <c r="AL532" s="333"/>
      <c r="AM532" s="333"/>
      <c r="AN532" s="333"/>
      <c r="AO532" s="351"/>
      <c r="AP532" s="333"/>
      <c r="AQ532" s="333"/>
      <c r="AR532" s="333"/>
      <c r="AS532" s="333"/>
      <c r="AT532" s="333"/>
      <c r="AU532" s="333"/>
      <c r="AV532" s="333"/>
      <c r="AW532" s="333"/>
      <c r="AX532" s="333"/>
      <c r="AY532" s="333"/>
      <c r="AZ532" s="333"/>
      <c r="BA532" s="333"/>
    </row>
    <row r="533" spans="1:53" s="102" customFormat="1" outlineLevel="2">
      <c r="A533" s="102" t="s">
        <v>1362</v>
      </c>
      <c r="B533" s="103" t="s">
        <v>1363</v>
      </c>
      <c r="C533" s="104" t="s">
        <v>1364</v>
      </c>
      <c r="D533" s="298"/>
      <c r="E533" s="299"/>
      <c r="F533" s="105">
        <v>400</v>
      </c>
      <c r="G533" s="105">
        <v>400</v>
      </c>
      <c r="H533" s="106">
        <f>+F533-G533</f>
        <v>0</v>
      </c>
      <c r="I533" s="300">
        <f>IF(G533&lt;0,IF(H533=0,0,IF(OR(G533=0,F533=0),"N.M.",IF(ABS(H533/G533)&gt;=10,"N.M.",H533/(-G533)))),IF(H533=0,0,IF(OR(G533=0,F533=0),"N.M.",IF(ABS(H533/G533)&gt;=10,"N.M.",H533/G533))))</f>
        <v>0</v>
      </c>
      <c r="J533" s="107"/>
      <c r="K533" s="105">
        <v>400</v>
      </c>
      <c r="L533" s="105">
        <v>400</v>
      </c>
      <c r="M533" s="106">
        <f>+K533-L533</f>
        <v>0</v>
      </c>
      <c r="N533" s="300">
        <f>IF(L533&lt;0,IF(M533=0,0,IF(OR(L533=0,K533=0),"N.M.",IF(ABS(M533/L533)&gt;=10,"N.M.",M533/(-L533)))),IF(M533=0,0,IF(OR(L533=0,K533=0),"N.M.",IF(ABS(M533/L533)&gt;=10,"N.M.",M533/L533))))</f>
        <v>0</v>
      </c>
      <c r="O533" s="301"/>
      <c r="P533" s="107"/>
      <c r="Q533" s="105">
        <v>400</v>
      </c>
      <c r="R533" s="105">
        <v>400</v>
      </c>
      <c r="S533" s="106">
        <f>+Q533-R533</f>
        <v>0</v>
      </c>
      <c r="T533" s="300">
        <f>IF(R533&lt;0,IF(S533=0,0,IF(OR(R533=0,Q533=0),"N.M.",IF(ABS(S533/R533)&gt;=10,"N.M.",S533/(-R533)))),IF(S533=0,0,IF(OR(R533=0,Q533=0),"N.M.",IF(ABS(S533/R533)&gt;=10,"N.M.",S533/R533))))</f>
        <v>0</v>
      </c>
      <c r="U533" s="107"/>
      <c r="V533" s="105">
        <v>1000</v>
      </c>
      <c r="W533" s="105">
        <v>19106.45</v>
      </c>
      <c r="X533" s="106">
        <f>+V533-W533</f>
        <v>-18106.45</v>
      </c>
      <c r="Y533" s="300">
        <f>IF(W533&lt;0,IF(X533=0,0,IF(OR(W533=0,V533=0),"N.M.",IF(ABS(X533/W533)&gt;=10,"N.M.",X533/(-W533)))),IF(X533=0,0,IF(OR(W533=0,V533=0),"N.M.",IF(ABS(X533/W533)&gt;=10,"N.M.",X533/W533))))</f>
        <v>-0.94766165352538012</v>
      </c>
      <c r="Z533" s="302"/>
      <c r="AA533" s="108">
        <v>0</v>
      </c>
      <c r="AB533" s="109"/>
      <c r="AC533" s="110">
        <v>0</v>
      </c>
      <c r="AD533" s="110">
        <v>0</v>
      </c>
      <c r="AE533" s="110">
        <v>400</v>
      </c>
      <c r="AF533" s="110">
        <v>0</v>
      </c>
      <c r="AG533" s="110">
        <v>0</v>
      </c>
      <c r="AH533" s="110">
        <v>0</v>
      </c>
      <c r="AI533" s="110">
        <v>0</v>
      </c>
      <c r="AJ533" s="110">
        <v>600</v>
      </c>
      <c r="AK533" s="110">
        <v>0</v>
      </c>
      <c r="AL533" s="110">
        <v>0</v>
      </c>
      <c r="AM533" s="110">
        <v>0</v>
      </c>
      <c r="AN533" s="110">
        <v>0</v>
      </c>
      <c r="AO533" s="109"/>
      <c r="AP533" s="110">
        <v>0</v>
      </c>
      <c r="AQ533" s="110">
        <v>0</v>
      </c>
      <c r="AR533" s="110">
        <v>400</v>
      </c>
      <c r="AS533" s="110">
        <v>0</v>
      </c>
      <c r="AT533" s="110">
        <v>0</v>
      </c>
      <c r="AU533" s="110">
        <v>0</v>
      </c>
      <c r="AV533" s="110">
        <v>0</v>
      </c>
      <c r="AW533" s="110">
        <v>0</v>
      </c>
      <c r="AX533" s="110">
        <v>0</v>
      </c>
      <c r="AY533" s="110">
        <v>0</v>
      </c>
      <c r="AZ533" s="110">
        <v>0</v>
      </c>
      <c r="BA533" s="110">
        <v>0</v>
      </c>
    </row>
    <row r="534" spans="1:53" s="102" customFormat="1" outlineLevel="2">
      <c r="A534" s="102" t="s">
        <v>1365</v>
      </c>
      <c r="B534" s="103" t="s">
        <v>1366</v>
      </c>
      <c r="C534" s="104" t="s">
        <v>1367</v>
      </c>
      <c r="D534" s="298"/>
      <c r="E534" s="299"/>
      <c r="F534" s="105">
        <v>-555.81000000000006</v>
      </c>
      <c r="G534" s="105">
        <v>-555.81000000000006</v>
      </c>
      <c r="H534" s="106">
        <f>+F534-G534</f>
        <v>0</v>
      </c>
      <c r="I534" s="300">
        <f>IF(G534&lt;0,IF(H534=0,0,IF(OR(G534=0,F534=0),"N.M.",IF(ABS(H534/G534)&gt;=10,"N.M.",H534/(-G534)))),IF(H534=0,0,IF(OR(G534=0,F534=0),"N.M.",IF(ABS(H534/G534)&gt;=10,"N.M.",H534/G534))))</f>
        <v>0</v>
      </c>
      <c r="J534" s="107"/>
      <c r="K534" s="105">
        <v>-1667.44</v>
      </c>
      <c r="L534" s="105">
        <v>-1667.44</v>
      </c>
      <c r="M534" s="106">
        <f>+K534-L534</f>
        <v>0</v>
      </c>
      <c r="N534" s="300">
        <f>IF(L534&lt;0,IF(M534=0,0,IF(OR(L534=0,K534=0),"N.M.",IF(ABS(M534/L534)&gt;=10,"N.M.",M534/(-L534)))),IF(M534=0,0,IF(OR(L534=0,K534=0),"N.M.",IF(ABS(M534/L534)&gt;=10,"N.M.",M534/L534))))</f>
        <v>0</v>
      </c>
      <c r="O534" s="301"/>
      <c r="P534" s="107"/>
      <c r="Q534" s="105">
        <v>-1667.44</v>
      </c>
      <c r="R534" s="105">
        <v>-1667.44</v>
      </c>
      <c r="S534" s="106">
        <f>+Q534-R534</f>
        <v>0</v>
      </c>
      <c r="T534" s="300">
        <f>IF(R534&lt;0,IF(S534=0,0,IF(OR(R534=0,Q534=0),"N.M.",IF(ABS(S534/R534)&gt;=10,"N.M.",S534/(-R534)))),IF(S534=0,0,IF(OR(R534=0,Q534=0),"N.M.",IF(ABS(S534/R534)&gt;=10,"N.M.",S534/R534))))</f>
        <v>0</v>
      </c>
      <c r="U534" s="107"/>
      <c r="V534" s="105">
        <v>-6669.7800000000007</v>
      </c>
      <c r="W534" s="105">
        <v>-6669.7800000000007</v>
      </c>
      <c r="X534" s="106">
        <f>+V534-W534</f>
        <v>0</v>
      </c>
      <c r="Y534" s="300">
        <f>IF(W534&lt;0,IF(X534=0,0,IF(OR(W534=0,V534=0),"N.M.",IF(ABS(X534/W534)&gt;=10,"N.M.",X534/(-W534)))),IF(X534=0,0,IF(OR(W534=0,V534=0),"N.M.",IF(ABS(X534/W534)&gt;=10,"N.M.",X534/W534))))</f>
        <v>0</v>
      </c>
      <c r="Z534" s="302"/>
      <c r="AA534" s="108">
        <v>-555.82000000000005</v>
      </c>
      <c r="AB534" s="109"/>
      <c r="AC534" s="110">
        <v>-555.81000000000006</v>
      </c>
      <c r="AD534" s="110">
        <v>-555.82000000000005</v>
      </c>
      <c r="AE534" s="110">
        <v>-555.81000000000006</v>
      </c>
      <c r="AF534" s="110">
        <v>-555.82000000000005</v>
      </c>
      <c r="AG534" s="110">
        <v>-555.81000000000006</v>
      </c>
      <c r="AH534" s="110">
        <v>-555.82000000000005</v>
      </c>
      <c r="AI534" s="110">
        <v>-555.81000000000006</v>
      </c>
      <c r="AJ534" s="110">
        <v>-555.82000000000005</v>
      </c>
      <c r="AK534" s="110">
        <v>-555.81000000000006</v>
      </c>
      <c r="AL534" s="110">
        <v>-555.82000000000005</v>
      </c>
      <c r="AM534" s="110">
        <v>-555.81000000000006</v>
      </c>
      <c r="AN534" s="110">
        <v>-555.82000000000005</v>
      </c>
      <c r="AO534" s="109"/>
      <c r="AP534" s="110">
        <v>-555.81000000000006</v>
      </c>
      <c r="AQ534" s="110">
        <v>-555.82000000000005</v>
      </c>
      <c r="AR534" s="110">
        <v>-555.81000000000006</v>
      </c>
      <c r="AS534" s="110">
        <v>0</v>
      </c>
      <c r="AT534" s="110">
        <v>0</v>
      </c>
      <c r="AU534" s="110">
        <v>0</v>
      </c>
      <c r="AV534" s="110">
        <v>0</v>
      </c>
      <c r="AW534" s="110">
        <v>0</v>
      </c>
      <c r="AX534" s="110">
        <v>0</v>
      </c>
      <c r="AY534" s="110">
        <v>0</v>
      </c>
      <c r="AZ534" s="110">
        <v>0</v>
      </c>
      <c r="BA534" s="110">
        <v>0</v>
      </c>
    </row>
    <row r="535" spans="1:53" s="131" customFormat="1">
      <c r="A535" s="111" t="s">
        <v>1368</v>
      </c>
      <c r="B535" s="331" t="s">
        <v>1369</v>
      </c>
      <c r="C535" s="347" t="s">
        <v>1370</v>
      </c>
      <c r="D535" s="352"/>
      <c r="E535" s="352"/>
      <c r="F535" s="333">
        <v>-155.81000000000006</v>
      </c>
      <c r="G535" s="333">
        <v>-155.81000000000006</v>
      </c>
      <c r="H535" s="133">
        <f>+F535-G535</f>
        <v>0</v>
      </c>
      <c r="I535" s="138">
        <f>IF(G535&lt;0,IF(H535=0,0,IF(OR(G535=0,F535=0),"N.M.",IF(ABS(H535/G535)&gt;=10,"N.M.",H535/(-G535)))),IF(H535=0,0,IF(OR(G535=0,F535=0),"N.M.",IF(ABS(H535/G535)&gt;=10,"N.M.",H535/G535))))</f>
        <v>0</v>
      </c>
      <c r="J535" s="158"/>
      <c r="K535" s="333">
        <v>-1267.44</v>
      </c>
      <c r="L535" s="333">
        <v>-1267.44</v>
      </c>
      <c r="M535" s="133">
        <f>+K535-L535</f>
        <v>0</v>
      </c>
      <c r="N535" s="138">
        <f>IF(L535&lt;0,IF(M535=0,0,IF(OR(L535=0,K535=0),"N.M.",IF(ABS(M535/L535)&gt;=10,"N.M.",M535/(-L535)))),IF(M535=0,0,IF(OR(L535=0,K535=0),"N.M.",IF(ABS(M535/L535)&gt;=10,"N.M.",M535/L535))))</f>
        <v>0</v>
      </c>
      <c r="O535" s="302"/>
      <c r="P535" s="350"/>
      <c r="Q535" s="333">
        <v>-1267.44</v>
      </c>
      <c r="R535" s="333">
        <v>-1267.44</v>
      </c>
      <c r="S535" s="133">
        <f>+Q535-R535</f>
        <v>0</v>
      </c>
      <c r="T535" s="138">
        <f>IF(R535&lt;0,IF(S535=0,0,IF(OR(R535=0,Q535=0),"N.M.",IF(ABS(S535/R535)&gt;=10,"N.M.",S535/(-R535)))),IF(S535=0,0,IF(OR(R535=0,Q535=0),"N.M.",IF(ABS(S535/R535)&gt;=10,"N.M.",S535/R535))))</f>
        <v>0</v>
      </c>
      <c r="U535" s="350"/>
      <c r="V535" s="333">
        <v>-5669.7800000000007</v>
      </c>
      <c r="W535" s="333">
        <v>12436.67</v>
      </c>
      <c r="X535" s="133">
        <f>+V535-W535</f>
        <v>-18106.45</v>
      </c>
      <c r="Y535" s="137">
        <f>IF(W535&lt;0,IF(X535=0,0,IF(OR(W535=0,V535=0),"N.M.",IF(ABS(X535/W535)&gt;=10,"N.M.",X535/(-W535)))),IF(X535=0,0,IF(OR(W535=0,V535=0),"N.M.",IF(ABS(X535/W535)&gt;=10,"N.M.",X535/W535))))</f>
        <v>-1.4558921318970433</v>
      </c>
      <c r="AA535" s="139">
        <v>-555.82000000000005</v>
      </c>
      <c r="AB535" s="351"/>
      <c r="AC535" s="333">
        <v>-555.81000000000006</v>
      </c>
      <c r="AD535" s="333">
        <v>-555.82000000000005</v>
      </c>
      <c r="AE535" s="333">
        <v>-155.81000000000006</v>
      </c>
      <c r="AF535" s="333">
        <v>-555.82000000000005</v>
      </c>
      <c r="AG535" s="333">
        <v>-555.81000000000006</v>
      </c>
      <c r="AH535" s="333">
        <v>-555.82000000000005</v>
      </c>
      <c r="AI535" s="333">
        <v>-555.81000000000006</v>
      </c>
      <c r="AJ535" s="333">
        <v>44.17999999999995</v>
      </c>
      <c r="AK535" s="333">
        <v>-555.81000000000006</v>
      </c>
      <c r="AL535" s="333">
        <v>-555.82000000000005</v>
      </c>
      <c r="AM535" s="333">
        <v>-555.81000000000006</v>
      </c>
      <c r="AN535" s="333">
        <v>-555.82000000000005</v>
      </c>
      <c r="AO535" s="351"/>
      <c r="AP535" s="333">
        <v>-555.81000000000006</v>
      </c>
      <c r="AQ535" s="333">
        <v>-555.82000000000005</v>
      </c>
      <c r="AR535" s="333">
        <v>-155.81000000000006</v>
      </c>
      <c r="AS535" s="333">
        <v>0</v>
      </c>
      <c r="AT535" s="333">
        <v>0</v>
      </c>
      <c r="AU535" s="333">
        <v>0</v>
      </c>
      <c r="AV535" s="333">
        <v>0</v>
      </c>
      <c r="AW535" s="333">
        <v>0</v>
      </c>
      <c r="AX535" s="333">
        <v>0</v>
      </c>
      <c r="AY535" s="333">
        <v>0</v>
      </c>
      <c r="AZ535" s="333">
        <v>0</v>
      </c>
      <c r="BA535" s="333">
        <v>0</v>
      </c>
    </row>
    <row r="536" spans="1:53" s="131" customFormat="1" ht="0.75" customHeight="1" outlineLevel="2">
      <c r="A536" s="111"/>
      <c r="B536" s="331"/>
      <c r="C536" s="347"/>
      <c r="D536" s="352"/>
      <c r="E536" s="352"/>
      <c r="F536" s="333"/>
      <c r="G536" s="333"/>
      <c r="H536" s="133"/>
      <c r="I536" s="138"/>
      <c r="J536" s="158"/>
      <c r="K536" s="333"/>
      <c r="L536" s="333"/>
      <c r="M536" s="133"/>
      <c r="N536" s="138"/>
      <c r="O536" s="302"/>
      <c r="P536" s="350"/>
      <c r="Q536" s="333"/>
      <c r="R536" s="333"/>
      <c r="S536" s="133"/>
      <c r="T536" s="138"/>
      <c r="U536" s="350"/>
      <c r="V536" s="333"/>
      <c r="W536" s="333"/>
      <c r="X536" s="133"/>
      <c r="Y536" s="137"/>
      <c r="AA536" s="139"/>
      <c r="AB536" s="351"/>
      <c r="AC536" s="333"/>
      <c r="AD536" s="333"/>
      <c r="AE536" s="333"/>
      <c r="AF536" s="333"/>
      <c r="AG536" s="333"/>
      <c r="AH536" s="333"/>
      <c r="AI536" s="333"/>
      <c r="AJ536" s="333"/>
      <c r="AK536" s="333"/>
      <c r="AL536" s="333"/>
      <c r="AM536" s="333"/>
      <c r="AN536" s="333"/>
      <c r="AO536" s="351"/>
      <c r="AP536" s="333"/>
      <c r="AQ536" s="333"/>
      <c r="AR536" s="333"/>
      <c r="AS536" s="333"/>
      <c r="AT536" s="333"/>
      <c r="AU536" s="333"/>
      <c r="AV536" s="333"/>
      <c r="AW536" s="333"/>
      <c r="AX536" s="333"/>
      <c r="AY536" s="333"/>
      <c r="AZ536" s="333"/>
      <c r="BA536" s="333"/>
    </row>
    <row r="537" spans="1:53" s="131" customFormat="1">
      <c r="A537" s="111" t="s">
        <v>1371</v>
      </c>
      <c r="B537" s="331" t="s">
        <v>1372</v>
      </c>
      <c r="C537" s="347" t="s">
        <v>1373</v>
      </c>
      <c r="D537" s="352"/>
      <c r="E537" s="352"/>
      <c r="F537" s="333">
        <v>0</v>
      </c>
      <c r="G537" s="333">
        <v>0</v>
      </c>
      <c r="H537" s="133">
        <f>+F537-G537</f>
        <v>0</v>
      </c>
      <c r="I537" s="138">
        <f>IF(G537&lt;0,IF(H537=0,0,IF(OR(G537=0,F537=0),"N.M.",IF(ABS(H537/G537)&gt;=10,"N.M.",H537/(-G537)))),IF(H537=0,0,IF(OR(G537=0,F537=0),"N.M.",IF(ABS(H537/G537)&gt;=10,"N.M.",H537/G537))))</f>
        <v>0</v>
      </c>
      <c r="J537" s="158"/>
      <c r="K537" s="333">
        <v>0</v>
      </c>
      <c r="L537" s="333">
        <v>0</v>
      </c>
      <c r="M537" s="133">
        <f>+K537-L537</f>
        <v>0</v>
      </c>
      <c r="N537" s="138">
        <f>IF(L537&lt;0,IF(M537=0,0,IF(OR(L537=0,K537=0),"N.M.",IF(ABS(M537/L537)&gt;=10,"N.M.",M537/(-L537)))),IF(M537=0,0,IF(OR(L537=0,K537=0),"N.M.",IF(ABS(M537/L537)&gt;=10,"N.M.",M537/L537))))</f>
        <v>0</v>
      </c>
      <c r="O537" s="377"/>
      <c r="P537" s="378"/>
      <c r="Q537" s="333">
        <v>0</v>
      </c>
      <c r="R537" s="333">
        <v>0</v>
      </c>
      <c r="S537" s="133">
        <f>+Q537-R537</f>
        <v>0</v>
      </c>
      <c r="T537" s="138">
        <f>IF(R537&lt;0,IF(S537=0,0,IF(OR(R537=0,Q537=0),"N.M.",IF(ABS(S537/R537)&gt;=10,"N.M.",S537/(-R537)))),IF(S537=0,0,IF(OR(R537=0,Q537=0),"N.M.",IF(ABS(S537/R537)&gt;=10,"N.M.",S537/R537))))</f>
        <v>0</v>
      </c>
      <c r="U537" s="378"/>
      <c r="V537" s="333">
        <v>0</v>
      </c>
      <c r="W537" s="333">
        <v>0</v>
      </c>
      <c r="X537" s="133">
        <f>+V537-W537</f>
        <v>0</v>
      </c>
      <c r="Y537" s="137">
        <f>IF(W537&lt;0,IF(X537=0,0,IF(OR(W537=0,V537=0),"N.M.",IF(ABS(X537/W537)&gt;=10,"N.M.",X537/(-W537)))),IF(X537=0,0,IF(OR(W537=0,V537=0),"N.M.",IF(ABS(X537/W537)&gt;=10,"N.M.",X537/W537))))</f>
        <v>0</v>
      </c>
      <c r="AA537" s="139">
        <v>0</v>
      </c>
      <c r="AB537" s="351"/>
      <c r="AC537" s="333">
        <v>0</v>
      </c>
      <c r="AD537" s="333">
        <v>0</v>
      </c>
      <c r="AE537" s="333">
        <v>0</v>
      </c>
      <c r="AF537" s="333">
        <v>0</v>
      </c>
      <c r="AG537" s="333">
        <v>0</v>
      </c>
      <c r="AH537" s="333">
        <v>0</v>
      </c>
      <c r="AI537" s="333">
        <v>0</v>
      </c>
      <c r="AJ537" s="333">
        <v>0</v>
      </c>
      <c r="AK537" s="333">
        <v>0</v>
      </c>
      <c r="AL537" s="333">
        <v>0</v>
      </c>
      <c r="AM537" s="333">
        <v>0</v>
      </c>
      <c r="AN537" s="333">
        <v>0</v>
      </c>
      <c r="AO537" s="351"/>
      <c r="AP537" s="333">
        <v>0</v>
      </c>
      <c r="AQ537" s="333">
        <v>0</v>
      </c>
      <c r="AR537" s="333">
        <v>0</v>
      </c>
      <c r="AS537" s="333">
        <v>0</v>
      </c>
      <c r="AT537" s="333">
        <v>0</v>
      </c>
      <c r="AU537" s="333">
        <v>0</v>
      </c>
      <c r="AV537" s="333">
        <v>0</v>
      </c>
      <c r="AW537" s="333">
        <v>0</v>
      </c>
      <c r="AX537" s="333">
        <v>0</v>
      </c>
      <c r="AY537" s="333">
        <v>0</v>
      </c>
      <c r="AZ537" s="333">
        <v>0</v>
      </c>
      <c r="BA537" s="333">
        <v>0</v>
      </c>
    </row>
    <row r="538" spans="1:53" s="131" customFormat="1" ht="0.75" customHeight="1" outlineLevel="2">
      <c r="A538" s="111"/>
      <c r="B538" s="331"/>
      <c r="C538" s="347"/>
      <c r="D538" s="352"/>
      <c r="E538" s="352"/>
      <c r="F538" s="333"/>
      <c r="G538" s="333"/>
      <c r="H538" s="133"/>
      <c r="I538" s="138"/>
      <c r="J538" s="158"/>
      <c r="K538" s="333"/>
      <c r="L538" s="333"/>
      <c r="M538" s="133"/>
      <c r="N538" s="138"/>
      <c r="O538" s="377"/>
      <c r="P538" s="378"/>
      <c r="Q538" s="333"/>
      <c r="R538" s="333"/>
      <c r="S538" s="133"/>
      <c r="T538" s="138"/>
      <c r="U538" s="378"/>
      <c r="V538" s="333"/>
      <c r="W538" s="333"/>
      <c r="X538" s="133"/>
      <c r="Y538" s="137"/>
      <c r="AA538" s="139"/>
      <c r="AB538" s="351"/>
      <c r="AC538" s="333"/>
      <c r="AD538" s="333"/>
      <c r="AE538" s="333"/>
      <c r="AF538" s="333"/>
      <c r="AG538" s="333"/>
      <c r="AH538" s="333"/>
      <c r="AI538" s="333"/>
      <c r="AJ538" s="333"/>
      <c r="AK538" s="333"/>
      <c r="AL538" s="333"/>
      <c r="AM538" s="333"/>
      <c r="AN538" s="333"/>
      <c r="AO538" s="351"/>
      <c r="AP538" s="333"/>
      <c r="AQ538" s="333"/>
      <c r="AR538" s="333"/>
      <c r="AS538" s="333"/>
      <c r="AT538" s="333"/>
      <c r="AU538" s="333"/>
      <c r="AV538" s="333"/>
      <c r="AW538" s="333"/>
      <c r="AX538" s="333"/>
      <c r="AY538" s="333"/>
      <c r="AZ538" s="333"/>
      <c r="BA538" s="333"/>
    </row>
    <row r="539" spans="1:53" s="102" customFormat="1" outlineLevel="2">
      <c r="A539" s="102" t="s">
        <v>1374</v>
      </c>
      <c r="B539" s="103" t="s">
        <v>1375</v>
      </c>
      <c r="C539" s="104" t="s">
        <v>1376</v>
      </c>
      <c r="D539" s="298"/>
      <c r="E539" s="299"/>
      <c r="F539" s="105">
        <v>11727.42</v>
      </c>
      <c r="G539" s="105">
        <v>870.95</v>
      </c>
      <c r="H539" s="106">
        <f>+F539-G539</f>
        <v>10856.47</v>
      </c>
      <c r="I539" s="300" t="str">
        <f>IF(G539&lt;0,IF(H539=0,0,IF(OR(G539=0,F539=0),"N.M.",IF(ABS(H539/G539)&gt;=10,"N.M.",H539/(-G539)))),IF(H539=0,0,IF(OR(G539=0,F539=0),"N.M.",IF(ABS(H539/G539)&gt;=10,"N.M.",H539/G539))))</f>
        <v>N.M.</v>
      </c>
      <c r="J539" s="107"/>
      <c r="K539" s="105">
        <v>23495.06</v>
      </c>
      <c r="L539" s="105">
        <v>2605.63</v>
      </c>
      <c r="M539" s="106">
        <f>+K539-L539</f>
        <v>20889.43</v>
      </c>
      <c r="N539" s="300">
        <f>IF(L539&lt;0,IF(M539=0,0,IF(OR(L539=0,K539=0),"N.M.",IF(ABS(M539/L539)&gt;=10,"N.M.",M539/(-L539)))),IF(M539=0,0,IF(OR(L539=0,K539=0),"N.M.",IF(ABS(M539/L539)&gt;=10,"N.M.",M539/L539))))</f>
        <v>8.017036187025786</v>
      </c>
      <c r="O539" s="301"/>
      <c r="P539" s="107"/>
      <c r="Q539" s="105">
        <v>23495.06</v>
      </c>
      <c r="R539" s="105">
        <v>2605.63</v>
      </c>
      <c r="S539" s="106">
        <f>+Q539-R539</f>
        <v>20889.43</v>
      </c>
      <c r="T539" s="300">
        <f>IF(R539&lt;0,IF(S539=0,0,IF(OR(R539=0,Q539=0),"N.M.",IF(ABS(S539/R539)&gt;=10,"N.M.",S539/(-R539)))),IF(S539=0,0,IF(OR(R539=0,Q539=0),"N.M.",IF(ABS(S539/R539)&gt;=10,"N.M.",S539/R539))))</f>
        <v>8.017036187025786</v>
      </c>
      <c r="U539" s="107"/>
      <c r="V539" s="105">
        <v>52516.210000000006</v>
      </c>
      <c r="W539" s="105">
        <v>12240.689999999999</v>
      </c>
      <c r="X539" s="106">
        <f>+V539-W539</f>
        <v>40275.520000000004</v>
      </c>
      <c r="Y539" s="300">
        <f>IF(W539&lt;0,IF(X539=0,0,IF(OR(W539=0,V539=0),"N.M.",IF(ABS(X539/W539)&gt;=10,"N.M.",X539/(-W539)))),IF(X539=0,0,IF(OR(W539=0,V539=0),"N.M.",IF(ABS(X539/W539)&gt;=10,"N.M.",X539/W539))))</f>
        <v>3.2902981776354117</v>
      </c>
      <c r="Z539" s="302"/>
      <c r="AA539" s="108">
        <v>1101.1600000000001</v>
      </c>
      <c r="AB539" s="109"/>
      <c r="AC539" s="110">
        <v>925.54</v>
      </c>
      <c r="AD539" s="110">
        <v>809.14</v>
      </c>
      <c r="AE539" s="110">
        <v>870.95</v>
      </c>
      <c r="AF539" s="110">
        <v>918.07</v>
      </c>
      <c r="AG539" s="110">
        <v>965.15</v>
      </c>
      <c r="AH539" s="110">
        <v>-895.83</v>
      </c>
      <c r="AI539" s="110">
        <v>144.37</v>
      </c>
      <c r="AJ539" s="110">
        <v>4668.45</v>
      </c>
      <c r="AK539" s="110">
        <v>7722.2300000000005</v>
      </c>
      <c r="AL539" s="110">
        <v>8122.1900000000005</v>
      </c>
      <c r="AM539" s="110">
        <v>4010.1600000000003</v>
      </c>
      <c r="AN539" s="110">
        <v>3366.36</v>
      </c>
      <c r="AO539" s="109"/>
      <c r="AP539" s="110">
        <v>4468.1900000000005</v>
      </c>
      <c r="AQ539" s="110">
        <v>7299.45</v>
      </c>
      <c r="AR539" s="110">
        <v>11727.42</v>
      </c>
      <c r="AS539" s="110">
        <v>0</v>
      </c>
      <c r="AT539" s="110">
        <v>0</v>
      </c>
      <c r="AU539" s="110">
        <v>0</v>
      </c>
      <c r="AV539" s="110">
        <v>0</v>
      </c>
      <c r="AW539" s="110">
        <v>0</v>
      </c>
      <c r="AX539" s="110">
        <v>0</v>
      </c>
      <c r="AY539" s="110">
        <v>0</v>
      </c>
      <c r="AZ539" s="110">
        <v>0</v>
      </c>
      <c r="BA539" s="110">
        <v>0</v>
      </c>
    </row>
    <row r="540" spans="1:53" s="102" customFormat="1" outlineLevel="2">
      <c r="A540" s="102" t="s">
        <v>1377</v>
      </c>
      <c r="B540" s="103" t="s">
        <v>1378</v>
      </c>
      <c r="C540" s="104" t="s">
        <v>1379</v>
      </c>
      <c r="D540" s="298"/>
      <c r="E540" s="299"/>
      <c r="F540" s="105">
        <v>0</v>
      </c>
      <c r="G540" s="105">
        <v>-911.34</v>
      </c>
      <c r="H540" s="106">
        <f>+F540-G540</f>
        <v>911.34</v>
      </c>
      <c r="I540" s="300" t="str">
        <f>IF(G540&lt;0,IF(H540=0,0,IF(OR(G540=0,F540=0),"N.M.",IF(ABS(H540/G540)&gt;=10,"N.M.",H540/(-G540)))),IF(H540=0,0,IF(OR(G540=0,F540=0),"N.M.",IF(ABS(H540/G540)&gt;=10,"N.M.",H540/G540))))</f>
        <v>N.M.</v>
      </c>
      <c r="J540" s="107"/>
      <c r="K540" s="105">
        <v>0</v>
      </c>
      <c r="L540" s="105">
        <v>1059.33</v>
      </c>
      <c r="M540" s="106">
        <f>+K540-L540</f>
        <v>-1059.33</v>
      </c>
      <c r="N540" s="300" t="str">
        <f>IF(L540&lt;0,IF(M540=0,0,IF(OR(L540=0,K540=0),"N.M.",IF(ABS(M540/L540)&gt;=10,"N.M.",M540/(-L540)))),IF(M540=0,0,IF(OR(L540=0,K540=0),"N.M.",IF(ABS(M540/L540)&gt;=10,"N.M.",M540/L540))))</f>
        <v>N.M.</v>
      </c>
      <c r="O540" s="301"/>
      <c r="P540" s="107"/>
      <c r="Q540" s="105">
        <v>0</v>
      </c>
      <c r="R540" s="105">
        <v>1059.33</v>
      </c>
      <c r="S540" s="106">
        <f>+Q540-R540</f>
        <v>-1059.33</v>
      </c>
      <c r="T540" s="300" t="str">
        <f>IF(R540&lt;0,IF(S540=0,0,IF(OR(R540=0,Q540=0),"N.M.",IF(ABS(S540/R540)&gt;=10,"N.M.",S540/(-R540)))),IF(S540=0,0,IF(OR(R540=0,Q540=0),"N.M.",IF(ABS(S540/R540)&gt;=10,"N.M.",S540/R540))))</f>
        <v>N.M.</v>
      </c>
      <c r="U540" s="107"/>
      <c r="V540" s="105">
        <v>101401.7</v>
      </c>
      <c r="W540" s="105">
        <v>7028.29</v>
      </c>
      <c r="X540" s="106">
        <f>+V540-W540</f>
        <v>94373.41</v>
      </c>
      <c r="Y540" s="300" t="str">
        <f>IF(W540&lt;0,IF(X540=0,0,IF(OR(W540=0,V540=0),"N.M.",IF(ABS(X540/W540)&gt;=10,"N.M.",X540/(-W540)))),IF(X540=0,0,IF(OR(W540=0,V540=0),"N.M.",IF(ABS(X540/W540)&gt;=10,"N.M.",X540/W540))))</f>
        <v>N.M.</v>
      </c>
      <c r="Z540" s="302"/>
      <c r="AA540" s="108">
        <v>13.48</v>
      </c>
      <c r="AB540" s="109"/>
      <c r="AC540" s="110">
        <v>0</v>
      </c>
      <c r="AD540" s="110">
        <v>1970.67</v>
      </c>
      <c r="AE540" s="110">
        <v>-911.34</v>
      </c>
      <c r="AF540" s="110">
        <v>-1059.33</v>
      </c>
      <c r="AG540" s="110">
        <v>0</v>
      </c>
      <c r="AH540" s="110">
        <v>45.230000000000004</v>
      </c>
      <c r="AI540" s="110">
        <v>0</v>
      </c>
      <c r="AJ540" s="110">
        <v>102281.2</v>
      </c>
      <c r="AK540" s="110">
        <v>0</v>
      </c>
      <c r="AL540" s="110">
        <v>0</v>
      </c>
      <c r="AM540" s="110">
        <v>0</v>
      </c>
      <c r="AN540" s="110">
        <v>134.6</v>
      </c>
      <c r="AO540" s="109"/>
      <c r="AP540" s="110">
        <v>0</v>
      </c>
      <c r="AQ540" s="110">
        <v>0</v>
      </c>
      <c r="AR540" s="110">
        <v>0</v>
      </c>
      <c r="AS540" s="110">
        <v>684601.9</v>
      </c>
      <c r="AT540" s="110">
        <v>0</v>
      </c>
      <c r="AU540" s="110">
        <v>0</v>
      </c>
      <c r="AV540" s="110">
        <v>0</v>
      </c>
      <c r="AW540" s="110">
        <v>0</v>
      </c>
      <c r="AX540" s="110">
        <v>0</v>
      </c>
      <c r="AY540" s="110">
        <v>0</v>
      </c>
      <c r="AZ540" s="110">
        <v>0</v>
      </c>
      <c r="BA540" s="110">
        <v>0</v>
      </c>
    </row>
    <row r="541" spans="1:53" s="131" customFormat="1">
      <c r="A541" s="111" t="s">
        <v>1380</v>
      </c>
      <c r="B541" s="331" t="s">
        <v>1381</v>
      </c>
      <c r="C541" s="347" t="s">
        <v>1382</v>
      </c>
      <c r="D541" s="352"/>
      <c r="E541" s="352"/>
      <c r="F541" s="333">
        <v>11727.42</v>
      </c>
      <c r="G541" s="333">
        <v>-40.389999999999986</v>
      </c>
      <c r="H541" s="133">
        <f>+F541-G541</f>
        <v>11767.81</v>
      </c>
      <c r="I541" s="138" t="str">
        <f>IF(G541&lt;0,IF(H541=0,0,IF(OR(G541=0,F541=0),"N.M.",IF(ABS(H541/G541)&gt;=10,"N.M.",H541/(-G541)))),IF(H541=0,0,IF(OR(G541=0,F541=0),"N.M.",IF(ABS(H541/G541)&gt;=10,"N.M.",H541/G541))))</f>
        <v>N.M.</v>
      </c>
      <c r="J541" s="158"/>
      <c r="K541" s="333">
        <v>23495.06</v>
      </c>
      <c r="L541" s="333">
        <v>3664.96</v>
      </c>
      <c r="M541" s="133">
        <f>+K541-L541</f>
        <v>19830.100000000002</v>
      </c>
      <c r="N541" s="138">
        <f>IF(L541&lt;0,IF(M541=0,0,IF(OR(L541=0,K541=0),"N.M.",IF(ABS(M541/L541)&gt;=10,"N.M.",M541/(-L541)))),IF(M541=0,0,IF(OR(L541=0,K541=0),"N.M.",IF(ABS(M541/L541)&gt;=10,"N.M.",M541/L541))))</f>
        <v>5.4107275386361655</v>
      </c>
      <c r="O541" s="377"/>
      <c r="P541" s="378"/>
      <c r="Q541" s="333">
        <v>23495.06</v>
      </c>
      <c r="R541" s="333">
        <v>3664.96</v>
      </c>
      <c r="S541" s="133">
        <f>+Q541-R541</f>
        <v>19830.100000000002</v>
      </c>
      <c r="T541" s="138">
        <f>IF(R541&lt;0,IF(S541=0,0,IF(OR(R541=0,Q541=0),"N.M.",IF(ABS(S541/R541)&gt;=10,"N.M.",S541/(-R541)))),IF(S541=0,0,IF(OR(R541=0,Q541=0),"N.M.",IF(ABS(S541/R541)&gt;=10,"N.M.",S541/R541))))</f>
        <v>5.4107275386361655</v>
      </c>
      <c r="U541" s="378"/>
      <c r="V541" s="333">
        <v>153917.91</v>
      </c>
      <c r="W541" s="333">
        <v>19268.980000000003</v>
      </c>
      <c r="X541" s="133">
        <f>+V541-W541</f>
        <v>134648.93</v>
      </c>
      <c r="Y541" s="137">
        <f>IF(W541&lt;0,IF(X541=0,0,IF(OR(W541=0,V541=0),"N.M.",IF(ABS(X541/W541)&gt;=10,"N.M.",X541/(-W541)))),IF(X541=0,0,IF(OR(W541=0,V541=0),"N.M.",IF(ABS(X541/W541)&gt;=10,"N.M.",X541/W541))))</f>
        <v>6.9878597621669636</v>
      </c>
      <c r="AA541" s="139">
        <v>1114.6400000000001</v>
      </c>
      <c r="AB541" s="351"/>
      <c r="AC541" s="333">
        <v>925.54</v>
      </c>
      <c r="AD541" s="333">
        <v>2779.81</v>
      </c>
      <c r="AE541" s="333">
        <v>-40.389999999999986</v>
      </c>
      <c r="AF541" s="333">
        <v>-141.25999999999988</v>
      </c>
      <c r="AG541" s="333">
        <v>965.15</v>
      </c>
      <c r="AH541" s="333">
        <v>-850.6</v>
      </c>
      <c r="AI541" s="333">
        <v>144.37</v>
      </c>
      <c r="AJ541" s="333">
        <v>106949.65</v>
      </c>
      <c r="AK541" s="333">
        <v>7722.2300000000005</v>
      </c>
      <c r="AL541" s="333">
        <v>8122.1900000000005</v>
      </c>
      <c r="AM541" s="333">
        <v>4010.1600000000003</v>
      </c>
      <c r="AN541" s="333">
        <v>3500.96</v>
      </c>
      <c r="AO541" s="351"/>
      <c r="AP541" s="333">
        <v>4468.1900000000005</v>
      </c>
      <c r="AQ541" s="333">
        <v>7299.45</v>
      </c>
      <c r="AR541" s="333">
        <v>11727.42</v>
      </c>
      <c r="AS541" s="333">
        <v>684601.9</v>
      </c>
      <c r="AT541" s="333">
        <v>0</v>
      </c>
      <c r="AU541" s="333">
        <v>0</v>
      </c>
      <c r="AV541" s="333">
        <v>0</v>
      </c>
      <c r="AW541" s="333">
        <v>0</v>
      </c>
      <c r="AX541" s="333">
        <v>0</v>
      </c>
      <c r="AY541" s="333">
        <v>0</v>
      </c>
      <c r="AZ541" s="333">
        <v>0</v>
      </c>
      <c r="BA541" s="333">
        <v>0</v>
      </c>
    </row>
    <row r="542" spans="1:53" s="131" customFormat="1" ht="0.75" customHeight="1" outlineLevel="2">
      <c r="A542" s="111"/>
      <c r="B542" s="331"/>
      <c r="C542" s="347"/>
      <c r="D542" s="352"/>
      <c r="E542" s="352"/>
      <c r="F542" s="333"/>
      <c r="G542" s="333"/>
      <c r="H542" s="133"/>
      <c r="I542" s="138"/>
      <c r="J542" s="158"/>
      <c r="K542" s="333"/>
      <c r="L542" s="333"/>
      <c r="M542" s="133"/>
      <c r="N542" s="138"/>
      <c r="O542" s="377"/>
      <c r="P542" s="378"/>
      <c r="Q542" s="333"/>
      <c r="R542" s="333"/>
      <c r="S542" s="133"/>
      <c r="T542" s="138"/>
      <c r="U542" s="378"/>
      <c r="V542" s="333"/>
      <c r="W542" s="333"/>
      <c r="X542" s="133"/>
      <c r="Y542" s="137"/>
      <c r="AA542" s="139"/>
      <c r="AB542" s="351"/>
      <c r="AC542" s="333"/>
      <c r="AD542" s="333"/>
      <c r="AE542" s="333"/>
      <c r="AF542" s="333"/>
      <c r="AG542" s="333"/>
      <c r="AH542" s="333"/>
      <c r="AI542" s="333"/>
      <c r="AJ542" s="333"/>
      <c r="AK542" s="333"/>
      <c r="AL542" s="333"/>
      <c r="AM542" s="333"/>
      <c r="AN542" s="333"/>
      <c r="AO542" s="351"/>
      <c r="AP542" s="333"/>
      <c r="AQ542" s="333"/>
      <c r="AR542" s="333"/>
      <c r="AS542" s="333"/>
      <c r="AT542" s="333"/>
      <c r="AU542" s="333"/>
      <c r="AV542" s="333"/>
      <c r="AW542" s="333"/>
      <c r="AX542" s="333"/>
      <c r="AY542" s="333"/>
      <c r="AZ542" s="333"/>
      <c r="BA542" s="333"/>
    </row>
    <row r="543" spans="1:53" s="102" customFormat="1" outlineLevel="2">
      <c r="A543" s="102" t="s">
        <v>1383</v>
      </c>
      <c r="B543" s="103" t="s">
        <v>1384</v>
      </c>
      <c r="C543" s="104" t="s">
        <v>1385</v>
      </c>
      <c r="D543" s="298"/>
      <c r="E543" s="299"/>
      <c r="F543" s="105">
        <v>90120.56</v>
      </c>
      <c r="G543" s="105">
        <v>96720.95</v>
      </c>
      <c r="H543" s="106">
        <f>+F543-G543</f>
        <v>-6600.3899999999994</v>
      </c>
      <c r="I543" s="300">
        <f>IF(G543&lt;0,IF(H543=0,0,IF(OR(G543=0,F543=0),"N.M.",IF(ABS(H543/G543)&gt;=10,"N.M.",H543/(-G543)))),IF(H543=0,0,IF(OR(G543=0,F543=0),"N.M.",IF(ABS(H543/G543)&gt;=10,"N.M.",H543/G543))))</f>
        <v>-6.8241575377413058E-2</v>
      </c>
      <c r="J543" s="107"/>
      <c r="K543" s="105">
        <v>255954.01</v>
      </c>
      <c r="L543" s="105">
        <v>376739.46</v>
      </c>
      <c r="M543" s="106">
        <f>+K543-L543</f>
        <v>-120785.45000000001</v>
      </c>
      <c r="N543" s="300">
        <f>IF(L543&lt;0,IF(M543=0,0,IF(OR(L543=0,K543=0),"N.M.",IF(ABS(M543/L543)&gt;=10,"N.M.",M543/(-L543)))),IF(M543=0,0,IF(OR(L543=0,K543=0),"N.M.",IF(ABS(M543/L543)&gt;=10,"N.M.",M543/L543))))</f>
        <v>-0.32060737677969808</v>
      </c>
      <c r="O543" s="301"/>
      <c r="P543" s="107"/>
      <c r="Q543" s="105">
        <v>255954.01</v>
      </c>
      <c r="R543" s="105">
        <v>376739.46</v>
      </c>
      <c r="S543" s="106">
        <f>+Q543-R543</f>
        <v>-120785.45000000001</v>
      </c>
      <c r="T543" s="300">
        <f>IF(R543&lt;0,IF(S543=0,0,IF(OR(R543=0,Q543=0),"N.M.",IF(ABS(S543/R543)&gt;=10,"N.M.",S543/(-R543)))),IF(S543=0,0,IF(OR(R543=0,Q543=0),"N.M.",IF(ABS(S543/R543)&gt;=10,"N.M.",S543/R543))))</f>
        <v>-0.32060737677969808</v>
      </c>
      <c r="U543" s="107"/>
      <c r="V543" s="105">
        <v>1071483.99</v>
      </c>
      <c r="W543" s="105">
        <v>1922123.97</v>
      </c>
      <c r="X543" s="106">
        <f>+V543-W543</f>
        <v>-850639.98</v>
      </c>
      <c r="Y543" s="300">
        <f>IF(W543&lt;0,IF(X543=0,0,IF(OR(W543=0,V543=0),"N.M.",IF(ABS(X543/W543)&gt;=10,"N.M.",X543/(-W543)))),IF(X543=0,0,IF(OR(W543=0,V543=0),"N.M.",IF(ABS(X543/W543)&gt;=10,"N.M.",X543/W543))))</f>
        <v>-0.44255208991540751</v>
      </c>
      <c r="Z543" s="302"/>
      <c r="AA543" s="108">
        <v>214230.27000000002</v>
      </c>
      <c r="AB543" s="109"/>
      <c r="AC543" s="110">
        <v>137303.65</v>
      </c>
      <c r="AD543" s="110">
        <v>142714.86000000002</v>
      </c>
      <c r="AE543" s="110">
        <v>96720.95</v>
      </c>
      <c r="AF543" s="110">
        <v>6253.03</v>
      </c>
      <c r="AG543" s="110">
        <v>13055.23</v>
      </c>
      <c r="AH543" s="110">
        <v>1684.3</v>
      </c>
      <c r="AI543" s="110">
        <v>13091.14</v>
      </c>
      <c r="AJ543" s="110">
        <v>23565.119999999999</v>
      </c>
      <c r="AK543" s="110">
        <v>211494.58000000002</v>
      </c>
      <c r="AL543" s="110">
        <v>230565.92</v>
      </c>
      <c r="AM543" s="110">
        <v>180113.29</v>
      </c>
      <c r="AN543" s="110">
        <v>135707.37</v>
      </c>
      <c r="AO543" s="109"/>
      <c r="AP543" s="110">
        <v>102366.64</v>
      </c>
      <c r="AQ543" s="110">
        <v>63466.810000000005</v>
      </c>
      <c r="AR543" s="110">
        <v>90120.56</v>
      </c>
      <c r="AS543" s="110">
        <v>0</v>
      </c>
      <c r="AT543" s="110">
        <v>0</v>
      </c>
      <c r="AU543" s="110">
        <v>0</v>
      </c>
      <c r="AV543" s="110">
        <v>0</v>
      </c>
      <c r="AW543" s="110">
        <v>0</v>
      </c>
      <c r="AX543" s="110">
        <v>0</v>
      </c>
      <c r="AY543" s="110">
        <v>0</v>
      </c>
      <c r="AZ543" s="110">
        <v>0</v>
      </c>
      <c r="BA543" s="110">
        <v>0</v>
      </c>
    </row>
    <row r="544" spans="1:53" s="131" customFormat="1">
      <c r="A544" s="111" t="s">
        <v>1386</v>
      </c>
      <c r="B544" s="331" t="s">
        <v>1387</v>
      </c>
      <c r="C544" s="347" t="s">
        <v>1388</v>
      </c>
      <c r="D544" s="352"/>
      <c r="E544" s="352"/>
      <c r="F544" s="333">
        <v>90120.56</v>
      </c>
      <c r="G544" s="333">
        <v>96720.95</v>
      </c>
      <c r="H544" s="133">
        <f>+F544-G544</f>
        <v>-6600.3899999999994</v>
      </c>
      <c r="I544" s="138">
        <f>IF(G544&lt;0,IF(H544=0,0,IF(OR(G544=0,F544=0),"N.M.",IF(ABS(H544/G544)&gt;=10,"N.M.",H544/(-G544)))),IF(H544=0,0,IF(OR(G544=0,F544=0),"N.M.",IF(ABS(H544/G544)&gt;=10,"N.M.",H544/G544))))</f>
        <v>-6.8241575377413058E-2</v>
      </c>
      <c r="J544" s="158"/>
      <c r="K544" s="333">
        <v>255954.01</v>
      </c>
      <c r="L544" s="333">
        <v>376739.46</v>
      </c>
      <c r="M544" s="133">
        <f>+K544-L544</f>
        <v>-120785.45000000001</v>
      </c>
      <c r="N544" s="138">
        <f>IF(L544&lt;0,IF(M544=0,0,IF(OR(L544=0,K544=0),"N.M.",IF(ABS(M544/L544)&gt;=10,"N.M.",M544/(-L544)))),IF(M544=0,0,IF(OR(L544=0,K544=0),"N.M.",IF(ABS(M544/L544)&gt;=10,"N.M.",M544/L544))))</f>
        <v>-0.32060737677969808</v>
      </c>
      <c r="O544" s="377"/>
      <c r="P544" s="378"/>
      <c r="Q544" s="333">
        <v>255954.01</v>
      </c>
      <c r="R544" s="333">
        <v>376739.46</v>
      </c>
      <c r="S544" s="133">
        <f>+Q544-R544</f>
        <v>-120785.45000000001</v>
      </c>
      <c r="T544" s="138">
        <f>IF(R544&lt;0,IF(S544=0,0,IF(OR(R544=0,Q544=0),"N.M.",IF(ABS(S544/R544)&gt;=10,"N.M.",S544/(-R544)))),IF(S544=0,0,IF(OR(R544=0,Q544=0),"N.M.",IF(ABS(S544/R544)&gt;=10,"N.M.",S544/R544))))</f>
        <v>-0.32060737677969808</v>
      </c>
      <c r="U544" s="378"/>
      <c r="V544" s="333">
        <v>1071483.99</v>
      </c>
      <c r="W544" s="333">
        <v>1922123.97</v>
      </c>
      <c r="X544" s="133">
        <f>+V544-W544</f>
        <v>-850639.98</v>
      </c>
      <c r="Y544" s="137">
        <f>IF(W544&lt;0,IF(X544=0,0,IF(OR(W544=0,V544=0),"N.M.",IF(ABS(X544/W544)&gt;=10,"N.M.",X544/(-W544)))),IF(X544=0,0,IF(OR(W544=0,V544=0),"N.M.",IF(ABS(X544/W544)&gt;=10,"N.M.",X544/W544))))</f>
        <v>-0.44255208991540751</v>
      </c>
      <c r="AA544" s="139">
        <v>214230.27000000002</v>
      </c>
      <c r="AB544" s="351"/>
      <c r="AC544" s="333">
        <v>137303.65</v>
      </c>
      <c r="AD544" s="333">
        <v>142714.86000000002</v>
      </c>
      <c r="AE544" s="333">
        <v>96720.95</v>
      </c>
      <c r="AF544" s="333">
        <v>6253.03</v>
      </c>
      <c r="AG544" s="333">
        <v>13055.23</v>
      </c>
      <c r="AH544" s="333">
        <v>1684.3</v>
      </c>
      <c r="AI544" s="333">
        <v>13091.14</v>
      </c>
      <c r="AJ544" s="333">
        <v>23565.119999999999</v>
      </c>
      <c r="AK544" s="333">
        <v>211494.58000000002</v>
      </c>
      <c r="AL544" s="333">
        <v>230565.92</v>
      </c>
      <c r="AM544" s="333">
        <v>180113.29</v>
      </c>
      <c r="AN544" s="333">
        <v>135707.37</v>
      </c>
      <c r="AO544" s="351"/>
      <c r="AP544" s="333">
        <v>102366.64</v>
      </c>
      <c r="AQ544" s="333">
        <v>63466.810000000005</v>
      </c>
      <c r="AR544" s="333">
        <v>90120.56</v>
      </c>
      <c r="AS544" s="333">
        <v>0</v>
      </c>
      <c r="AT544" s="333">
        <v>0</v>
      </c>
      <c r="AU544" s="333">
        <v>0</v>
      </c>
      <c r="AV544" s="333">
        <v>0</v>
      </c>
      <c r="AW544" s="333">
        <v>0</v>
      </c>
      <c r="AX544" s="333">
        <v>0</v>
      </c>
      <c r="AY544" s="333">
        <v>0</v>
      </c>
      <c r="AZ544" s="333">
        <v>0</v>
      </c>
      <c r="BA544" s="333">
        <v>0</v>
      </c>
    </row>
    <row r="545" spans="1:53" s="131" customFormat="1" ht="0.75" customHeight="1" outlineLevel="2">
      <c r="A545" s="111"/>
      <c r="B545" s="331"/>
      <c r="C545" s="347"/>
      <c r="D545" s="352"/>
      <c r="E545" s="352"/>
      <c r="F545" s="333"/>
      <c r="G545" s="333"/>
      <c r="H545" s="133"/>
      <c r="I545" s="138"/>
      <c r="J545" s="158"/>
      <c r="K545" s="333"/>
      <c r="L545" s="333"/>
      <c r="M545" s="133"/>
      <c r="N545" s="138"/>
      <c r="O545" s="377"/>
      <c r="P545" s="378"/>
      <c r="Q545" s="333"/>
      <c r="R545" s="333"/>
      <c r="S545" s="133"/>
      <c r="T545" s="138"/>
      <c r="U545" s="378"/>
      <c r="V545" s="333"/>
      <c r="W545" s="333"/>
      <c r="X545" s="133"/>
      <c r="Y545" s="137"/>
      <c r="AA545" s="139"/>
      <c r="AB545" s="351"/>
      <c r="AC545" s="333"/>
      <c r="AD545" s="333"/>
      <c r="AE545" s="333"/>
      <c r="AF545" s="333"/>
      <c r="AG545" s="333"/>
      <c r="AH545" s="333"/>
      <c r="AI545" s="333"/>
      <c r="AJ545" s="333"/>
      <c r="AK545" s="333"/>
      <c r="AL545" s="333"/>
      <c r="AM545" s="333"/>
      <c r="AN545" s="333"/>
      <c r="AO545" s="351"/>
      <c r="AP545" s="333"/>
      <c r="AQ545" s="333"/>
      <c r="AR545" s="333"/>
      <c r="AS545" s="333"/>
      <c r="AT545" s="333"/>
      <c r="AU545" s="333"/>
      <c r="AV545" s="333"/>
      <c r="AW545" s="333"/>
      <c r="AX545" s="333"/>
      <c r="AY545" s="333"/>
      <c r="AZ545" s="333"/>
      <c r="BA545" s="333"/>
    </row>
    <row r="546" spans="1:53" s="102" customFormat="1" outlineLevel="2">
      <c r="A546" s="102" t="s">
        <v>1389</v>
      </c>
      <c r="B546" s="103" t="s">
        <v>1390</v>
      </c>
      <c r="C546" s="104" t="s">
        <v>1391</v>
      </c>
      <c r="D546" s="298"/>
      <c r="E546" s="299"/>
      <c r="F546" s="105">
        <v>321.07</v>
      </c>
      <c r="G546" s="105">
        <v>147.46</v>
      </c>
      <c r="H546" s="106">
        <f t="shared" ref="H546:H551" si="148">+F546-G546</f>
        <v>173.60999999999999</v>
      </c>
      <c r="I546" s="300">
        <f t="shared" ref="I546:I551" si="149">IF(G546&lt;0,IF(H546=0,0,IF(OR(G546=0,F546=0),"N.M.",IF(ABS(H546/G546)&gt;=10,"N.M.",H546/(-G546)))),IF(H546=0,0,IF(OR(G546=0,F546=0),"N.M.",IF(ABS(H546/G546)&gt;=10,"N.M.",H546/G546))))</f>
        <v>1.177336226773362</v>
      </c>
      <c r="J546" s="107"/>
      <c r="K546" s="105">
        <v>733.86</v>
      </c>
      <c r="L546" s="105">
        <v>458.98</v>
      </c>
      <c r="M546" s="106">
        <f t="shared" ref="M546:M551" si="150">+K546-L546</f>
        <v>274.88</v>
      </c>
      <c r="N546" s="300">
        <f t="shared" ref="N546:N551" si="151">IF(L546&lt;0,IF(M546=0,0,IF(OR(L546=0,K546=0),"N.M.",IF(ABS(M546/L546)&gt;=10,"N.M.",M546/(-L546)))),IF(M546=0,0,IF(OR(L546=0,K546=0),"N.M.",IF(ABS(M546/L546)&gt;=10,"N.M.",M546/L546))))</f>
        <v>0.5988931979606954</v>
      </c>
      <c r="O546" s="301"/>
      <c r="P546" s="107"/>
      <c r="Q546" s="105">
        <v>733.86</v>
      </c>
      <c r="R546" s="105">
        <v>458.98</v>
      </c>
      <c r="S546" s="106">
        <f t="shared" ref="S546:S551" si="152">+Q546-R546</f>
        <v>274.88</v>
      </c>
      <c r="T546" s="300">
        <f t="shared" ref="T546:T551" si="153">IF(R546&lt;0,IF(S546=0,0,IF(OR(R546=0,Q546=0),"N.M.",IF(ABS(S546/R546)&gt;=10,"N.M.",S546/(-R546)))),IF(S546=0,0,IF(OR(R546=0,Q546=0),"N.M.",IF(ABS(S546/R546)&gt;=10,"N.M.",S546/R546))))</f>
        <v>0.5988931979606954</v>
      </c>
      <c r="U546" s="107"/>
      <c r="V546" s="105">
        <v>2218.65</v>
      </c>
      <c r="W546" s="105">
        <v>1811.89</v>
      </c>
      <c r="X546" s="106">
        <f t="shared" ref="X546:X551" si="154">+V546-W546</f>
        <v>406.76</v>
      </c>
      <c r="Y546" s="300">
        <f t="shared" ref="Y546:Y551" si="155">IF(W546&lt;0,IF(X546=0,0,IF(OR(W546=0,V546=0),"N.M.",IF(ABS(X546/W546)&gt;=10,"N.M.",X546/(-W546)))),IF(X546=0,0,IF(OR(W546=0,V546=0),"N.M.",IF(ABS(X546/W546)&gt;=10,"N.M.",X546/W546))))</f>
        <v>0.22449486447852793</v>
      </c>
      <c r="Z546" s="302"/>
      <c r="AA546" s="108">
        <v>336.6</v>
      </c>
      <c r="AB546" s="109"/>
      <c r="AC546" s="110">
        <v>155.75</v>
      </c>
      <c r="AD546" s="110">
        <v>155.77000000000001</v>
      </c>
      <c r="AE546" s="110">
        <v>147.46</v>
      </c>
      <c r="AF546" s="110">
        <v>168.93</v>
      </c>
      <c r="AG546" s="110">
        <v>183.63</v>
      </c>
      <c r="AH546" s="110">
        <v>170.20000000000002</v>
      </c>
      <c r="AI546" s="110">
        <v>171.86</v>
      </c>
      <c r="AJ546" s="110">
        <v>171.64000000000001</v>
      </c>
      <c r="AK546" s="110">
        <v>168.86</v>
      </c>
      <c r="AL546" s="110">
        <v>173.63</v>
      </c>
      <c r="AM546" s="110">
        <v>137.88</v>
      </c>
      <c r="AN546" s="110">
        <v>138.16</v>
      </c>
      <c r="AO546" s="109"/>
      <c r="AP546" s="110">
        <v>139.21</v>
      </c>
      <c r="AQ546" s="110">
        <v>273.58</v>
      </c>
      <c r="AR546" s="110">
        <v>321.07</v>
      </c>
      <c r="AS546" s="110">
        <v>0</v>
      </c>
      <c r="AT546" s="110">
        <v>0</v>
      </c>
      <c r="AU546" s="110">
        <v>0</v>
      </c>
      <c r="AV546" s="110">
        <v>0</v>
      </c>
      <c r="AW546" s="110">
        <v>0</v>
      </c>
      <c r="AX546" s="110">
        <v>0</v>
      </c>
      <c r="AY546" s="110">
        <v>0</v>
      </c>
      <c r="AZ546" s="110">
        <v>0</v>
      </c>
      <c r="BA546" s="110">
        <v>0</v>
      </c>
    </row>
    <row r="547" spans="1:53" s="102" customFormat="1" outlineLevel="2">
      <c r="A547" s="102" t="s">
        <v>1392</v>
      </c>
      <c r="B547" s="103" t="s">
        <v>1393</v>
      </c>
      <c r="C547" s="104" t="s">
        <v>1394</v>
      </c>
      <c r="D547" s="298"/>
      <c r="E547" s="299"/>
      <c r="F547" s="105">
        <v>0</v>
      </c>
      <c r="G547" s="105">
        <v>0</v>
      </c>
      <c r="H547" s="106">
        <f t="shared" si="148"/>
        <v>0</v>
      </c>
      <c r="I547" s="300">
        <f t="shared" si="149"/>
        <v>0</v>
      </c>
      <c r="J547" s="107"/>
      <c r="K547" s="105">
        <v>0</v>
      </c>
      <c r="L547" s="105">
        <v>0</v>
      </c>
      <c r="M547" s="106">
        <f t="shared" si="150"/>
        <v>0</v>
      </c>
      <c r="N547" s="300">
        <f t="shared" si="151"/>
        <v>0</v>
      </c>
      <c r="O547" s="301"/>
      <c r="P547" s="107"/>
      <c r="Q547" s="105">
        <v>0</v>
      </c>
      <c r="R547" s="105">
        <v>0</v>
      </c>
      <c r="S547" s="106">
        <f t="shared" si="152"/>
        <v>0</v>
      </c>
      <c r="T547" s="300">
        <f t="shared" si="153"/>
        <v>0</v>
      </c>
      <c r="U547" s="107"/>
      <c r="V547" s="105">
        <v>0</v>
      </c>
      <c r="W547" s="105">
        <v>6713</v>
      </c>
      <c r="X547" s="106">
        <f t="shared" si="154"/>
        <v>-6713</v>
      </c>
      <c r="Y547" s="300" t="str">
        <f t="shared" si="155"/>
        <v>N.M.</v>
      </c>
      <c r="Z547" s="302"/>
      <c r="AA547" s="108">
        <v>0</v>
      </c>
      <c r="AB547" s="109"/>
      <c r="AC547" s="110">
        <v>0</v>
      </c>
      <c r="AD547" s="110">
        <v>0</v>
      </c>
      <c r="AE547" s="110">
        <v>0</v>
      </c>
      <c r="AF547" s="110">
        <v>0</v>
      </c>
      <c r="AG547" s="110">
        <v>0</v>
      </c>
      <c r="AH547" s="110">
        <v>0</v>
      </c>
      <c r="AI547" s="110">
        <v>0</v>
      </c>
      <c r="AJ547" s="110">
        <v>0</v>
      </c>
      <c r="AK547" s="110">
        <v>0</v>
      </c>
      <c r="AL547" s="110">
        <v>0</v>
      </c>
      <c r="AM547" s="110">
        <v>0</v>
      </c>
      <c r="AN547" s="110">
        <v>0</v>
      </c>
      <c r="AO547" s="109"/>
      <c r="AP547" s="110">
        <v>0</v>
      </c>
      <c r="AQ547" s="110">
        <v>0</v>
      </c>
      <c r="AR547" s="110">
        <v>0</v>
      </c>
      <c r="AS547" s="110">
        <v>0</v>
      </c>
      <c r="AT547" s="110">
        <v>0</v>
      </c>
      <c r="AU547" s="110">
        <v>0</v>
      </c>
      <c r="AV547" s="110">
        <v>0</v>
      </c>
      <c r="AW547" s="110">
        <v>0</v>
      </c>
      <c r="AX547" s="110">
        <v>0</v>
      </c>
      <c r="AY547" s="110">
        <v>0</v>
      </c>
      <c r="AZ547" s="110">
        <v>0</v>
      </c>
      <c r="BA547" s="110">
        <v>0</v>
      </c>
    </row>
    <row r="548" spans="1:53" s="102" customFormat="1" outlineLevel="2">
      <c r="A548" s="102" t="s">
        <v>1395</v>
      </c>
      <c r="B548" s="103" t="s">
        <v>1396</v>
      </c>
      <c r="C548" s="104" t="s">
        <v>1397</v>
      </c>
      <c r="D548" s="298"/>
      <c r="E548" s="299"/>
      <c r="F548" s="105">
        <v>1977.54</v>
      </c>
      <c r="G548" s="105">
        <v>1970.28</v>
      </c>
      <c r="H548" s="106">
        <f t="shared" si="148"/>
        <v>7.2599999999999909</v>
      </c>
      <c r="I548" s="300">
        <f t="shared" si="149"/>
        <v>3.6847554662281456E-3</v>
      </c>
      <c r="J548" s="107"/>
      <c r="K548" s="105">
        <v>5931.3</v>
      </c>
      <c r="L548" s="105">
        <v>5914.84</v>
      </c>
      <c r="M548" s="106">
        <f t="shared" si="150"/>
        <v>16.460000000000036</v>
      </c>
      <c r="N548" s="300">
        <f t="shared" si="151"/>
        <v>2.7828309810578201E-3</v>
      </c>
      <c r="O548" s="301"/>
      <c r="P548" s="107"/>
      <c r="Q548" s="105">
        <v>5931.3</v>
      </c>
      <c r="R548" s="105">
        <v>5914.84</v>
      </c>
      <c r="S548" s="106">
        <f t="shared" si="152"/>
        <v>16.460000000000036</v>
      </c>
      <c r="T548" s="300">
        <f t="shared" si="153"/>
        <v>2.7828309810578201E-3</v>
      </c>
      <c r="U548" s="107"/>
      <c r="V548" s="105">
        <v>23583.85</v>
      </c>
      <c r="W548" s="105">
        <v>23325.86</v>
      </c>
      <c r="X548" s="106">
        <f t="shared" si="154"/>
        <v>257.98999999999796</v>
      </c>
      <c r="Y548" s="300">
        <f t="shared" si="155"/>
        <v>1.106025672794049E-2</v>
      </c>
      <c r="Z548" s="302"/>
      <c r="AA548" s="108">
        <v>1553.28</v>
      </c>
      <c r="AB548" s="109"/>
      <c r="AC548" s="110">
        <v>1972.28</v>
      </c>
      <c r="AD548" s="110">
        <v>1972.28</v>
      </c>
      <c r="AE548" s="110">
        <v>1970.28</v>
      </c>
      <c r="AF548" s="110">
        <v>1970.28</v>
      </c>
      <c r="AG548" s="110">
        <v>1972.28</v>
      </c>
      <c r="AH548" s="110">
        <v>1970.28</v>
      </c>
      <c r="AI548" s="110">
        <v>1980.78</v>
      </c>
      <c r="AJ548" s="110">
        <v>1972.28</v>
      </c>
      <c r="AK548" s="110">
        <v>1975.8700000000001</v>
      </c>
      <c r="AL548" s="110">
        <v>1977.88</v>
      </c>
      <c r="AM548" s="110">
        <v>1977.88</v>
      </c>
      <c r="AN548" s="110">
        <v>1855.02</v>
      </c>
      <c r="AO548" s="109"/>
      <c r="AP548" s="110">
        <v>1976.88</v>
      </c>
      <c r="AQ548" s="110">
        <v>1976.88</v>
      </c>
      <c r="AR548" s="110">
        <v>1977.54</v>
      </c>
      <c r="AS548" s="110">
        <v>12</v>
      </c>
      <c r="AT548" s="110">
        <v>0</v>
      </c>
      <c r="AU548" s="110">
        <v>0</v>
      </c>
      <c r="AV548" s="110">
        <v>0</v>
      </c>
      <c r="AW548" s="110">
        <v>0</v>
      </c>
      <c r="AX548" s="110">
        <v>0</v>
      </c>
      <c r="AY548" s="110">
        <v>0</v>
      </c>
      <c r="AZ548" s="110">
        <v>0</v>
      </c>
      <c r="BA548" s="110">
        <v>0</v>
      </c>
    </row>
    <row r="549" spans="1:53" s="102" customFormat="1" outlineLevel="2">
      <c r="A549" s="102" t="s">
        <v>1398</v>
      </c>
      <c r="B549" s="103" t="s">
        <v>1399</v>
      </c>
      <c r="C549" s="104" t="s">
        <v>1400</v>
      </c>
      <c r="D549" s="298"/>
      <c r="E549" s="299"/>
      <c r="F549" s="105">
        <v>-334.44</v>
      </c>
      <c r="G549" s="105">
        <v>-220.61</v>
      </c>
      <c r="H549" s="106">
        <f t="shared" si="148"/>
        <v>-113.82999999999998</v>
      </c>
      <c r="I549" s="300">
        <f t="shared" si="149"/>
        <v>-0.51597842346221834</v>
      </c>
      <c r="J549" s="107"/>
      <c r="K549" s="105">
        <v>-638.35</v>
      </c>
      <c r="L549" s="105">
        <v>-450.14</v>
      </c>
      <c r="M549" s="106">
        <f t="shared" si="150"/>
        <v>-188.21000000000004</v>
      </c>
      <c r="N549" s="300">
        <f t="shared" si="151"/>
        <v>-0.41811436441995831</v>
      </c>
      <c r="O549" s="301"/>
      <c r="P549" s="107"/>
      <c r="Q549" s="105">
        <v>-638.35</v>
      </c>
      <c r="R549" s="105">
        <v>-450.14</v>
      </c>
      <c r="S549" s="106">
        <f t="shared" si="152"/>
        <v>-188.21000000000004</v>
      </c>
      <c r="T549" s="300">
        <f t="shared" si="153"/>
        <v>-0.41811436441995831</v>
      </c>
      <c r="U549" s="107"/>
      <c r="V549" s="105">
        <v>-1107.6600000000001</v>
      </c>
      <c r="W549" s="105">
        <v>-79.5</v>
      </c>
      <c r="X549" s="106">
        <f t="shared" si="154"/>
        <v>-1028.1600000000001</v>
      </c>
      <c r="Y549" s="300" t="str">
        <f t="shared" si="155"/>
        <v>N.M.</v>
      </c>
      <c r="Z549" s="302"/>
      <c r="AA549" s="108">
        <v>406.48</v>
      </c>
      <c r="AB549" s="109"/>
      <c r="AC549" s="110">
        <v>-212.25</v>
      </c>
      <c r="AD549" s="110">
        <v>-17.28</v>
      </c>
      <c r="AE549" s="110">
        <v>-220.61</v>
      </c>
      <c r="AF549" s="110">
        <v>-930.1</v>
      </c>
      <c r="AG549" s="110">
        <v>40.65</v>
      </c>
      <c r="AH549" s="110">
        <v>-134.78</v>
      </c>
      <c r="AI549" s="110">
        <v>410.91</v>
      </c>
      <c r="AJ549" s="110">
        <v>-174.37</v>
      </c>
      <c r="AK549" s="110">
        <v>-102.24000000000001</v>
      </c>
      <c r="AL549" s="110">
        <v>-93.13</v>
      </c>
      <c r="AM549" s="110">
        <v>-23.97</v>
      </c>
      <c r="AN549" s="110">
        <v>537.72</v>
      </c>
      <c r="AO549" s="109"/>
      <c r="AP549" s="110">
        <v>-343.11</v>
      </c>
      <c r="AQ549" s="110">
        <v>39.200000000000003</v>
      </c>
      <c r="AR549" s="110">
        <v>-334.44</v>
      </c>
      <c r="AS549" s="110">
        <v>0</v>
      </c>
      <c r="AT549" s="110">
        <v>0</v>
      </c>
      <c r="AU549" s="110">
        <v>0</v>
      </c>
      <c r="AV549" s="110">
        <v>0</v>
      </c>
      <c r="AW549" s="110">
        <v>0</v>
      </c>
      <c r="AX549" s="110">
        <v>0</v>
      </c>
      <c r="AY549" s="110">
        <v>0</v>
      </c>
      <c r="AZ549" s="110">
        <v>0</v>
      </c>
      <c r="BA549" s="110">
        <v>0</v>
      </c>
    </row>
    <row r="550" spans="1:53" s="102" customFormat="1" outlineLevel="2">
      <c r="A550" s="102" t="s">
        <v>1401</v>
      </c>
      <c r="B550" s="103" t="s">
        <v>1402</v>
      </c>
      <c r="C550" s="104" t="s">
        <v>1403</v>
      </c>
      <c r="D550" s="298"/>
      <c r="E550" s="299"/>
      <c r="F550" s="105">
        <v>0</v>
      </c>
      <c r="G550" s="105">
        <v>0</v>
      </c>
      <c r="H550" s="106">
        <f t="shared" si="148"/>
        <v>0</v>
      </c>
      <c r="I550" s="300">
        <f t="shared" si="149"/>
        <v>0</v>
      </c>
      <c r="J550" s="107"/>
      <c r="K550" s="105">
        <v>0</v>
      </c>
      <c r="L550" s="105">
        <v>0</v>
      </c>
      <c r="M550" s="106">
        <f t="shared" si="150"/>
        <v>0</v>
      </c>
      <c r="N550" s="300">
        <f t="shared" si="151"/>
        <v>0</v>
      </c>
      <c r="O550" s="301"/>
      <c r="P550" s="107"/>
      <c r="Q550" s="105">
        <v>0</v>
      </c>
      <c r="R550" s="105">
        <v>0</v>
      </c>
      <c r="S550" s="106">
        <f t="shared" si="152"/>
        <v>0</v>
      </c>
      <c r="T550" s="300">
        <f t="shared" si="153"/>
        <v>0</v>
      </c>
      <c r="U550" s="107"/>
      <c r="V550" s="105">
        <v>792.27</v>
      </c>
      <c r="W550" s="105">
        <v>7445.77</v>
      </c>
      <c r="X550" s="106">
        <f t="shared" si="154"/>
        <v>-6653.5</v>
      </c>
      <c r="Y550" s="300">
        <f t="shared" si="155"/>
        <v>-0.89359461815232</v>
      </c>
      <c r="Z550" s="302"/>
      <c r="AA550" s="108">
        <v>0</v>
      </c>
      <c r="AB550" s="109"/>
      <c r="AC550" s="110">
        <v>0</v>
      </c>
      <c r="AD550" s="110">
        <v>0</v>
      </c>
      <c r="AE550" s="110">
        <v>0</v>
      </c>
      <c r="AF550" s="110">
        <v>0</v>
      </c>
      <c r="AG550" s="110">
        <v>0</v>
      </c>
      <c r="AH550" s="110">
        <v>0</v>
      </c>
      <c r="AI550" s="110">
        <v>0</v>
      </c>
      <c r="AJ550" s="110">
        <v>0</v>
      </c>
      <c r="AK550" s="110">
        <v>0</v>
      </c>
      <c r="AL550" s="110">
        <v>0</v>
      </c>
      <c r="AM550" s="110">
        <v>0</v>
      </c>
      <c r="AN550" s="110">
        <v>792.27</v>
      </c>
      <c r="AO550" s="109"/>
      <c r="AP550" s="110">
        <v>0</v>
      </c>
      <c r="AQ550" s="110">
        <v>0</v>
      </c>
      <c r="AR550" s="110">
        <v>0</v>
      </c>
      <c r="AS550" s="110">
        <v>0</v>
      </c>
      <c r="AT550" s="110">
        <v>0</v>
      </c>
      <c r="AU550" s="110">
        <v>0</v>
      </c>
      <c r="AV550" s="110">
        <v>0</v>
      </c>
      <c r="AW550" s="110">
        <v>0</v>
      </c>
      <c r="AX550" s="110">
        <v>0</v>
      </c>
      <c r="AY550" s="110">
        <v>0</v>
      </c>
      <c r="AZ550" s="110">
        <v>0</v>
      </c>
      <c r="BA550" s="110">
        <v>0</v>
      </c>
    </row>
    <row r="551" spans="1:53" s="131" customFormat="1">
      <c r="A551" s="111" t="s">
        <v>1404</v>
      </c>
      <c r="B551" s="331" t="s">
        <v>1405</v>
      </c>
      <c r="C551" s="347" t="s">
        <v>1406</v>
      </c>
      <c r="D551" s="352"/>
      <c r="E551" s="352"/>
      <c r="F551" s="333">
        <v>1964.17</v>
      </c>
      <c r="G551" s="333">
        <v>1897.1299999999997</v>
      </c>
      <c r="H551" s="133">
        <f t="shared" si="148"/>
        <v>67.040000000000418</v>
      </c>
      <c r="I551" s="138">
        <f t="shared" si="149"/>
        <v>3.5337588884262243E-2</v>
      </c>
      <c r="J551" s="158"/>
      <c r="K551" s="333">
        <v>6026.8099999999995</v>
      </c>
      <c r="L551" s="333">
        <v>5923.6799999999994</v>
      </c>
      <c r="M551" s="133">
        <f t="shared" si="150"/>
        <v>103.13000000000011</v>
      </c>
      <c r="N551" s="138">
        <f t="shared" si="151"/>
        <v>1.7409785808821562E-2</v>
      </c>
      <c r="O551" s="377"/>
      <c r="P551" s="378"/>
      <c r="Q551" s="333">
        <v>6026.8099999999995</v>
      </c>
      <c r="R551" s="333">
        <v>5923.6799999999994</v>
      </c>
      <c r="S551" s="133">
        <f t="shared" si="152"/>
        <v>103.13000000000011</v>
      </c>
      <c r="T551" s="138">
        <f t="shared" si="153"/>
        <v>1.7409785808821562E-2</v>
      </c>
      <c r="U551" s="378"/>
      <c r="V551" s="333">
        <v>25487.11</v>
      </c>
      <c r="W551" s="333">
        <v>39217.020000000004</v>
      </c>
      <c r="X551" s="133">
        <f t="shared" si="154"/>
        <v>-13729.910000000003</v>
      </c>
      <c r="Y551" s="137">
        <f t="shared" si="155"/>
        <v>-0.35010079807185762</v>
      </c>
      <c r="AA551" s="139">
        <v>2296.36</v>
      </c>
      <c r="AB551" s="351"/>
      <c r="AC551" s="333">
        <v>1915.7799999999997</v>
      </c>
      <c r="AD551" s="333">
        <v>2110.77</v>
      </c>
      <c r="AE551" s="333">
        <v>1897.1299999999997</v>
      </c>
      <c r="AF551" s="333">
        <v>1209.1100000000001</v>
      </c>
      <c r="AG551" s="333">
        <v>2196.56</v>
      </c>
      <c r="AH551" s="333">
        <v>2005.7</v>
      </c>
      <c r="AI551" s="333">
        <v>2563.5499999999997</v>
      </c>
      <c r="AJ551" s="333">
        <v>1969.5500000000002</v>
      </c>
      <c r="AK551" s="333">
        <v>2042.49</v>
      </c>
      <c r="AL551" s="333">
        <v>2058.38</v>
      </c>
      <c r="AM551" s="333">
        <v>2091.7900000000004</v>
      </c>
      <c r="AN551" s="333">
        <v>3323.17</v>
      </c>
      <c r="AO551" s="351"/>
      <c r="AP551" s="333">
        <v>1772.98</v>
      </c>
      <c r="AQ551" s="333">
        <v>2289.66</v>
      </c>
      <c r="AR551" s="333">
        <v>1964.17</v>
      </c>
      <c r="AS551" s="333">
        <v>12</v>
      </c>
      <c r="AT551" s="333">
        <v>0</v>
      </c>
      <c r="AU551" s="333">
        <v>0</v>
      </c>
      <c r="AV551" s="333">
        <v>0</v>
      </c>
      <c r="AW551" s="333">
        <v>0</v>
      </c>
      <c r="AX551" s="333">
        <v>0</v>
      </c>
      <c r="AY551" s="333">
        <v>0</v>
      </c>
      <c r="AZ551" s="333">
        <v>0</v>
      </c>
      <c r="BA551" s="333">
        <v>0</v>
      </c>
    </row>
    <row r="552" spans="1:53" s="131" customFormat="1" ht="0.75" customHeight="1" outlineLevel="2">
      <c r="A552" s="111"/>
      <c r="B552" s="331"/>
      <c r="C552" s="347"/>
      <c r="D552" s="352"/>
      <c r="E552" s="352"/>
      <c r="F552" s="333"/>
      <c r="G552" s="333"/>
      <c r="H552" s="133"/>
      <c r="I552" s="138"/>
      <c r="J552" s="158"/>
      <c r="K552" s="333"/>
      <c r="L552" s="333"/>
      <c r="M552" s="133"/>
      <c r="N552" s="138"/>
      <c r="O552" s="377"/>
      <c r="P552" s="378"/>
      <c r="Q552" s="333"/>
      <c r="R552" s="333"/>
      <c r="S552" s="133"/>
      <c r="T552" s="138"/>
      <c r="U552" s="378"/>
      <c r="V552" s="333"/>
      <c r="W552" s="333"/>
      <c r="X552" s="133"/>
      <c r="Y552" s="137"/>
      <c r="AA552" s="139"/>
      <c r="AB552" s="351"/>
      <c r="AC552" s="333"/>
      <c r="AD552" s="333"/>
      <c r="AE552" s="333"/>
      <c r="AF552" s="333"/>
      <c r="AG552" s="333"/>
      <c r="AH552" s="333"/>
      <c r="AI552" s="333"/>
      <c r="AJ552" s="333"/>
      <c r="AK552" s="333"/>
      <c r="AL552" s="333"/>
      <c r="AM552" s="333"/>
      <c r="AN552" s="333"/>
      <c r="AO552" s="351"/>
      <c r="AP552" s="333"/>
      <c r="AQ552" s="333"/>
      <c r="AR552" s="333"/>
      <c r="AS552" s="333"/>
      <c r="AT552" s="333"/>
      <c r="AU552" s="333"/>
      <c r="AV552" s="333"/>
      <c r="AW552" s="333"/>
      <c r="AX552" s="333"/>
      <c r="AY552" s="333"/>
      <c r="AZ552" s="333"/>
      <c r="BA552" s="333"/>
    </row>
    <row r="553" spans="1:53" s="102" customFormat="1" outlineLevel="2">
      <c r="A553" s="102" t="s">
        <v>1407</v>
      </c>
      <c r="B553" s="103" t="s">
        <v>1408</v>
      </c>
      <c r="C553" s="104" t="s">
        <v>1409</v>
      </c>
      <c r="D553" s="298"/>
      <c r="E553" s="299"/>
      <c r="F553" s="105">
        <v>0</v>
      </c>
      <c r="G553" s="105">
        <v>0</v>
      </c>
      <c r="H553" s="106">
        <f>+F553-G553</f>
        <v>0</v>
      </c>
      <c r="I553" s="300">
        <f>IF(G553&lt;0,IF(H553=0,0,IF(OR(G553=0,F553=0),"N.M.",IF(ABS(H553/G553)&gt;=10,"N.M.",H553/(-G553)))),IF(H553=0,0,IF(OR(G553=0,F553=0),"N.M.",IF(ABS(H553/G553)&gt;=10,"N.M.",H553/G553))))</f>
        <v>0</v>
      </c>
      <c r="J553" s="107"/>
      <c r="K553" s="105">
        <v>0</v>
      </c>
      <c r="L553" s="105">
        <v>0</v>
      </c>
      <c r="M553" s="106">
        <f>+K553-L553</f>
        <v>0</v>
      </c>
      <c r="N553" s="300">
        <f>IF(L553&lt;0,IF(M553=0,0,IF(OR(L553=0,K553=0),"N.M.",IF(ABS(M553/L553)&gt;=10,"N.M.",M553/(-L553)))),IF(M553=0,0,IF(OR(L553=0,K553=0),"N.M.",IF(ABS(M553/L553)&gt;=10,"N.M.",M553/L553))))</f>
        <v>0</v>
      </c>
      <c r="O553" s="301"/>
      <c r="P553" s="107"/>
      <c r="Q553" s="105">
        <v>0</v>
      </c>
      <c r="R553" s="105">
        <v>0</v>
      </c>
      <c r="S553" s="106">
        <f>+Q553-R553</f>
        <v>0</v>
      </c>
      <c r="T553" s="300">
        <f>IF(R553&lt;0,IF(S553=0,0,IF(OR(R553=0,Q553=0),"N.M.",IF(ABS(S553/R553)&gt;=10,"N.M.",S553/(-R553)))),IF(S553=0,0,IF(OR(R553=0,Q553=0),"N.M.",IF(ABS(S553/R553)&gt;=10,"N.M.",S553/R553))))</f>
        <v>0</v>
      </c>
      <c r="U553" s="107"/>
      <c r="V553" s="105">
        <v>17512.46</v>
      </c>
      <c r="W553" s="105">
        <v>412861.82</v>
      </c>
      <c r="X553" s="106">
        <f>+V553-W553</f>
        <v>-395349.36</v>
      </c>
      <c r="Y553" s="300">
        <f>IF(W553&lt;0,IF(X553=0,0,IF(OR(W553=0,V553=0),"N.M.",IF(ABS(X553/W553)&gt;=10,"N.M.",X553/(-W553)))),IF(X553=0,0,IF(OR(W553=0,V553=0),"N.M.",IF(ABS(X553/W553)&gt;=10,"N.M.",X553/W553))))</f>
        <v>-0.95758275734966236</v>
      </c>
      <c r="Z553" s="302"/>
      <c r="AA553" s="108">
        <v>-701.79</v>
      </c>
      <c r="AB553" s="109"/>
      <c r="AC553" s="110">
        <v>0</v>
      </c>
      <c r="AD553" s="110">
        <v>0</v>
      </c>
      <c r="AE553" s="110">
        <v>0</v>
      </c>
      <c r="AF553" s="110">
        <v>11126.32</v>
      </c>
      <c r="AG553" s="110">
        <v>0</v>
      </c>
      <c r="AH553" s="110">
        <v>0</v>
      </c>
      <c r="AI553" s="110">
        <v>0</v>
      </c>
      <c r="AJ553" s="110">
        <v>0</v>
      </c>
      <c r="AK553" s="110">
        <v>0</v>
      </c>
      <c r="AL553" s="110">
        <v>6386.14</v>
      </c>
      <c r="AM553" s="110">
        <v>0</v>
      </c>
      <c r="AN553" s="110">
        <v>0</v>
      </c>
      <c r="AO553" s="109"/>
      <c r="AP553" s="110">
        <v>0</v>
      </c>
      <c r="AQ553" s="110">
        <v>0</v>
      </c>
      <c r="AR553" s="110">
        <v>0</v>
      </c>
      <c r="AS553" s="110">
        <v>0</v>
      </c>
      <c r="AT553" s="110">
        <v>0</v>
      </c>
      <c r="AU553" s="110">
        <v>0</v>
      </c>
      <c r="AV553" s="110">
        <v>0</v>
      </c>
      <c r="AW553" s="110">
        <v>0</v>
      </c>
      <c r="AX553" s="110">
        <v>0</v>
      </c>
      <c r="AY553" s="110">
        <v>0</v>
      </c>
      <c r="AZ553" s="110">
        <v>0</v>
      </c>
      <c r="BA553" s="110">
        <v>0</v>
      </c>
    </row>
    <row r="554" spans="1:53" s="131" customFormat="1">
      <c r="A554" s="111" t="s">
        <v>1410</v>
      </c>
      <c r="B554" s="331" t="s">
        <v>1411</v>
      </c>
      <c r="C554" s="365" t="s">
        <v>1412</v>
      </c>
      <c r="D554" s="366"/>
      <c r="E554" s="366"/>
      <c r="F554" s="146">
        <v>0</v>
      </c>
      <c r="G554" s="146">
        <v>0</v>
      </c>
      <c r="H554" s="367">
        <f>+F554-G554</f>
        <v>0</v>
      </c>
      <c r="I554" s="147">
        <f>IF(G554&lt;0,IF(H554=0,0,IF(OR(G554=0,F554=0),"N.M.",IF(ABS(H554/G554)&gt;=10,"N.M.",H554/(-G554)))),IF(H554=0,0,IF(OR(G554=0,F554=0),"N.M.",IF(ABS(H554/G554)&gt;=10,"N.M.",H554/G554))))</f>
        <v>0</v>
      </c>
      <c r="J554" s="368"/>
      <c r="K554" s="146">
        <v>0</v>
      </c>
      <c r="L554" s="146">
        <v>0</v>
      </c>
      <c r="M554" s="367">
        <f>+K554-L554</f>
        <v>0</v>
      </c>
      <c r="N554" s="147">
        <f>IF(L554&lt;0,IF(M554=0,0,IF(OR(L554=0,K554=0),"N.M.",IF(ABS(M554/L554)&gt;=10,"N.M.",M554/(-L554)))),IF(M554=0,0,IF(OR(L554=0,K554=0),"N.M.",IF(ABS(M554/L554)&gt;=10,"N.M.",M554/L554))))</f>
        <v>0</v>
      </c>
      <c r="O554" s="369"/>
      <c r="P554" s="370"/>
      <c r="Q554" s="146">
        <v>0</v>
      </c>
      <c r="R554" s="146">
        <v>0</v>
      </c>
      <c r="S554" s="367">
        <f>+Q554-R554</f>
        <v>0</v>
      </c>
      <c r="T554" s="147">
        <f>IF(R554&lt;0,IF(S554=0,0,IF(OR(R554=0,Q554=0),"N.M.",IF(ABS(S554/R554)&gt;=10,"N.M.",S554/(-R554)))),IF(S554=0,0,IF(OR(R554=0,Q554=0),"N.M.",IF(ABS(S554/R554)&gt;=10,"N.M.",S554/R554))))</f>
        <v>0</v>
      </c>
      <c r="U554" s="370"/>
      <c r="V554" s="146">
        <v>17512.46</v>
      </c>
      <c r="W554" s="146">
        <v>412861.82</v>
      </c>
      <c r="X554" s="367">
        <f>+V554-W554</f>
        <v>-395349.36</v>
      </c>
      <c r="Y554" s="148">
        <f>IF(W554&lt;0,IF(X554=0,0,IF(OR(W554=0,V554=0),"N.M.",IF(ABS(X554/W554)&gt;=10,"N.M.",X554/(-W554)))),IF(X554=0,0,IF(OR(W554=0,V554=0),"N.M.",IF(ABS(X554/W554)&gt;=10,"N.M.",X554/W554))))</f>
        <v>-0.95758275734966236</v>
      </c>
      <c r="Z554" s="371"/>
      <c r="AA554" s="149">
        <v>-701.79</v>
      </c>
      <c r="AB554" s="150"/>
      <c r="AC554" s="146">
        <v>0</v>
      </c>
      <c r="AD554" s="146">
        <v>0</v>
      </c>
      <c r="AE554" s="146">
        <v>0</v>
      </c>
      <c r="AF554" s="146">
        <v>11126.32</v>
      </c>
      <c r="AG554" s="146">
        <v>0</v>
      </c>
      <c r="AH554" s="146">
        <v>0</v>
      </c>
      <c r="AI554" s="146">
        <v>0</v>
      </c>
      <c r="AJ554" s="146">
        <v>0</v>
      </c>
      <c r="AK554" s="146">
        <v>0</v>
      </c>
      <c r="AL554" s="146">
        <v>6386.14</v>
      </c>
      <c r="AM554" s="146">
        <v>0</v>
      </c>
      <c r="AN554" s="146">
        <v>0</v>
      </c>
      <c r="AO554" s="150"/>
      <c r="AP554" s="146">
        <v>0</v>
      </c>
      <c r="AQ554" s="146">
        <v>0</v>
      </c>
      <c r="AR554" s="146">
        <v>0</v>
      </c>
      <c r="AS554" s="146">
        <v>0</v>
      </c>
      <c r="AT554" s="146">
        <v>0</v>
      </c>
      <c r="AU554" s="146">
        <v>0</v>
      </c>
      <c r="AV554" s="146">
        <v>0</v>
      </c>
      <c r="AW554" s="146">
        <v>0</v>
      </c>
      <c r="AX554" s="146">
        <v>0</v>
      </c>
      <c r="AY554" s="146">
        <v>0</v>
      </c>
      <c r="AZ554" s="146">
        <v>0</v>
      </c>
      <c r="BA554" s="146">
        <v>0</v>
      </c>
    </row>
    <row r="555" spans="1:53" s="131" customFormat="1" ht="0.75" customHeight="1" outlineLevel="2">
      <c r="A555" s="111"/>
      <c r="B555" s="331"/>
      <c r="C555" s="347"/>
      <c r="D555" s="352"/>
      <c r="E555" s="352"/>
      <c r="F555" s="333"/>
      <c r="G555" s="333"/>
      <c r="H555" s="133"/>
      <c r="I555" s="138"/>
      <c r="J555" s="158"/>
      <c r="K555" s="333"/>
      <c r="L555" s="333"/>
      <c r="M555" s="133"/>
      <c r="N555" s="138"/>
      <c r="O555" s="377"/>
      <c r="P555" s="378"/>
      <c r="Q555" s="333"/>
      <c r="R555" s="333"/>
      <c r="S555" s="133"/>
      <c r="T555" s="138"/>
      <c r="U555" s="378"/>
      <c r="V555" s="333"/>
      <c r="W555" s="333"/>
      <c r="X555" s="133"/>
      <c r="Y555" s="137"/>
      <c r="AA555" s="139"/>
      <c r="AB555" s="351"/>
      <c r="AC555" s="333"/>
      <c r="AD555" s="333"/>
      <c r="AE555" s="333"/>
      <c r="AF555" s="333"/>
      <c r="AG555" s="333"/>
      <c r="AH555" s="333"/>
      <c r="AI555" s="333"/>
      <c r="AJ555" s="333"/>
      <c r="AK555" s="333"/>
      <c r="AL555" s="333"/>
      <c r="AM555" s="333"/>
      <c r="AN555" s="333"/>
      <c r="AO555" s="351"/>
      <c r="AP555" s="333"/>
      <c r="AQ555" s="333"/>
      <c r="AR555" s="333"/>
      <c r="AS555" s="333"/>
      <c r="AT555" s="333"/>
      <c r="AU555" s="333"/>
      <c r="AV555" s="333"/>
      <c r="AW555" s="333"/>
      <c r="AX555" s="333"/>
      <c r="AY555" s="333"/>
      <c r="AZ555" s="333"/>
      <c r="BA555" s="333"/>
    </row>
    <row r="556" spans="1:53" s="131" customFormat="1">
      <c r="A556" s="111"/>
      <c r="B556" s="331" t="s">
        <v>1413</v>
      </c>
      <c r="C556" s="372" t="s">
        <v>1414</v>
      </c>
      <c r="D556" s="373"/>
      <c r="E556" s="373"/>
      <c r="F556" s="374">
        <f>SUM(F523,-F525,F528,-F531,F535,F537,F541,F544,F551,F554)</f>
        <v>133450.21</v>
      </c>
      <c r="G556" s="374">
        <f>SUM(G523,-G525,G528,-G531,G535,G537,G541,G544,G551,G554)</f>
        <v>128489.64</v>
      </c>
      <c r="H556" s="375">
        <f>+F556-G556</f>
        <v>4960.5699999999924</v>
      </c>
      <c r="I556" s="151">
        <f>IF(G556&lt;0,IF(H556=0,0,IF(OR(G556=0,F556=0),"N.M.",IF(ABS(H556/G556)&gt;=10,"N.M.",H556/(-G556)))),IF(H556=0,0,IF(OR(G556=0,F556=0),"N.M.",IF(ABS(H556/G556)&gt;=10,"N.M.",H556/G556))))</f>
        <v>3.8606770164505033E-2</v>
      </c>
      <c r="J556" s="158"/>
      <c r="K556" s="374">
        <f>SUM(K523,-K525,K528,-K531,K535,K537,K541,K544,K551,K554)</f>
        <v>366775.59</v>
      </c>
      <c r="L556" s="374">
        <f>SUM(L523,-L525,L528,-L531,L535,L537,L541,L544,L551,L554)</f>
        <v>467870.29000000004</v>
      </c>
      <c r="M556" s="375">
        <f>+K556-L556</f>
        <v>-101094.70000000001</v>
      </c>
      <c r="N556" s="151">
        <f>IF(L556&lt;0,IF(M556=0,0,IF(OR(L556=0,K556=0),"N.M.",IF(ABS(M556/L556)&gt;=10,"N.M.",M556/(-L556)))),IF(M556=0,0,IF(OR(L556=0,K556=0),"N.M.",IF(ABS(M556/L556)&gt;=10,"N.M.",M556/L556))))</f>
        <v>-0.21607420295911503</v>
      </c>
      <c r="O556" s="321"/>
      <c r="P556" s="364"/>
      <c r="Q556" s="374">
        <f>SUM(Q523,-Q525,Q528,-Q531,Q535,Q537,Q541,Q544,Q551,Q554)</f>
        <v>366775.59</v>
      </c>
      <c r="R556" s="374">
        <f>SUM(R523,-R525,R528,-R531,R535,R537,R541,R544,R551,R554)</f>
        <v>467870.29000000004</v>
      </c>
      <c r="S556" s="375">
        <f>+Q556-R556</f>
        <v>-101094.70000000001</v>
      </c>
      <c r="T556" s="151">
        <f>IF(R556&lt;0,IF(S556=0,0,IF(OR(R556=0,Q556=0),"N.M.",IF(ABS(S556/R556)&gt;=10,"N.M.",S556/(-R556)))),IF(S556=0,0,IF(OR(R556=0,Q556=0),"N.M.",IF(ABS(S556/R556)&gt;=10,"N.M.",S556/R556))))</f>
        <v>-0.21607420295911503</v>
      </c>
      <c r="U556" s="364"/>
      <c r="V556" s="374">
        <f>SUM(V523,-V525,V528,-V531,V535,V537,V541,V544,V551,V554)</f>
        <v>1587593.25</v>
      </c>
      <c r="W556" s="374">
        <f>SUM(W523,-W525,W528,-W531,W535,W537,W541,W544,W551,W554)</f>
        <v>2722105.21</v>
      </c>
      <c r="X556" s="375">
        <f>+V556-W556</f>
        <v>-1134511.96</v>
      </c>
      <c r="Y556" s="152">
        <f>IF(W556&lt;0,IF(X556=0,0,IF(OR(W556=0,V556=0),"N.M.",IF(ABS(X556/W556)&gt;=10,"N.M.",X556/(-W556)))),IF(X556=0,0,IF(OR(W556=0,V556=0),"N.M.",IF(ABS(X556/W556)&gt;=10,"N.M.",X556/W556))))</f>
        <v>-0.41677741030443127</v>
      </c>
      <c r="AA556" s="153">
        <f>SUM(AA523,-AA525,AA528,-AA531,AA535,AA537,AA541,AA544,AA551,AA554)</f>
        <v>241703.26</v>
      </c>
      <c r="AB556" s="351"/>
      <c r="AC556" s="374">
        <f t="shared" ref="AC556:AN556" si="156">SUM(AC523,-AC525,AC528,-AC531,AC535,AC537,AC541,AC544,AC551,AC554)</f>
        <v>166544.13</v>
      </c>
      <c r="AD556" s="374">
        <f t="shared" si="156"/>
        <v>172836.52000000002</v>
      </c>
      <c r="AE556" s="374">
        <f t="shared" si="156"/>
        <v>128489.64</v>
      </c>
      <c r="AF556" s="374">
        <f t="shared" si="156"/>
        <v>43681.630000000005</v>
      </c>
      <c r="AG556" s="374">
        <f t="shared" si="156"/>
        <v>42799.47</v>
      </c>
      <c r="AH556" s="374">
        <f t="shared" si="156"/>
        <v>30782.13</v>
      </c>
      <c r="AI556" s="374">
        <f t="shared" si="156"/>
        <v>39984.949999999997</v>
      </c>
      <c r="AJ556" s="374">
        <f t="shared" si="156"/>
        <v>163106.26999999999</v>
      </c>
      <c r="AK556" s="374">
        <f t="shared" si="156"/>
        <v>247472.79</v>
      </c>
      <c r="AL556" s="374">
        <f t="shared" si="156"/>
        <v>273688.06000000006</v>
      </c>
      <c r="AM556" s="374">
        <f t="shared" si="156"/>
        <v>211792.04</v>
      </c>
      <c r="AN556" s="374">
        <f t="shared" si="156"/>
        <v>167510.32</v>
      </c>
      <c r="AO556" s="351"/>
      <c r="AP556" s="374">
        <f t="shared" ref="AP556:BA556" si="157">SUM(AP523,-AP525,AP528,-AP531,AP535,AP537,AP541,AP544,AP551,AP554)</f>
        <v>135061.86000000002</v>
      </c>
      <c r="AQ556" s="374">
        <f t="shared" si="157"/>
        <v>98263.520000000019</v>
      </c>
      <c r="AR556" s="374">
        <f t="shared" si="157"/>
        <v>133450.21</v>
      </c>
      <c r="AS556" s="374">
        <f t="shared" si="157"/>
        <v>684613.9</v>
      </c>
      <c r="AT556" s="374">
        <f t="shared" si="157"/>
        <v>0</v>
      </c>
      <c r="AU556" s="374">
        <f t="shared" si="157"/>
        <v>0</v>
      </c>
      <c r="AV556" s="374">
        <f t="shared" si="157"/>
        <v>0</v>
      </c>
      <c r="AW556" s="374">
        <f t="shared" si="157"/>
        <v>0</v>
      </c>
      <c r="AX556" s="374">
        <f t="shared" si="157"/>
        <v>0</v>
      </c>
      <c r="AY556" s="374">
        <f t="shared" si="157"/>
        <v>0</v>
      </c>
      <c r="AZ556" s="374">
        <f t="shared" si="157"/>
        <v>0</v>
      </c>
      <c r="BA556" s="374">
        <f t="shared" si="157"/>
        <v>0</v>
      </c>
    </row>
    <row r="557" spans="1:53">
      <c r="B557" s="331" t="s">
        <v>1415</v>
      </c>
      <c r="C557" s="337" t="s">
        <v>1416</v>
      </c>
      <c r="D557" s="338"/>
      <c r="E557" s="338"/>
      <c r="F557" s="334"/>
      <c r="G557" s="334"/>
      <c r="H557" s="334"/>
      <c r="I557" s="334"/>
      <c r="J557" s="135"/>
      <c r="K557" s="339"/>
      <c r="L557" s="339"/>
      <c r="M557" s="339"/>
      <c r="N557" s="340"/>
      <c r="O557" s="334"/>
      <c r="P557" s="135"/>
      <c r="Q557" s="334"/>
      <c r="R557" s="334"/>
      <c r="S557" s="334"/>
      <c r="T557" s="334"/>
      <c r="U557" s="135"/>
      <c r="V557" s="334"/>
      <c r="W557" s="334"/>
      <c r="X557" s="334"/>
      <c r="Y557" s="334"/>
      <c r="Z557" s="334"/>
      <c r="AA557" s="136"/>
      <c r="AB557" s="341"/>
      <c r="AC557" s="339"/>
      <c r="AD557" s="339"/>
      <c r="AE557" s="339"/>
      <c r="AF557" s="339"/>
      <c r="AG557" s="339"/>
      <c r="AH557" s="339"/>
      <c r="AI557" s="339"/>
      <c r="AJ557" s="339"/>
      <c r="AK557" s="339"/>
      <c r="AL557" s="339"/>
      <c r="AM557" s="339"/>
      <c r="AN557" s="339"/>
      <c r="AO557" s="341"/>
      <c r="AP557" s="339"/>
      <c r="AQ557" s="339"/>
      <c r="AR557" s="339"/>
      <c r="AS557" s="339"/>
      <c r="AT557" s="339"/>
      <c r="AU557" s="339"/>
      <c r="AV557" s="339"/>
      <c r="AW557" s="339"/>
      <c r="AX557" s="339"/>
      <c r="AY557" s="339"/>
      <c r="AZ557" s="339"/>
      <c r="BA557" s="339"/>
    </row>
    <row r="558" spans="1:53" s="131" customFormat="1" outlineLevel="2">
      <c r="A558" s="111"/>
      <c r="B558" s="331"/>
      <c r="C558" s="381"/>
      <c r="D558" s="382"/>
      <c r="E558" s="382"/>
      <c r="F558" s="383"/>
      <c r="G558" s="383"/>
      <c r="H558" s="383"/>
      <c r="I558" s="384"/>
      <c r="J558" s="158"/>
      <c r="K558" s="383"/>
      <c r="L558" s="383"/>
      <c r="M558" s="383"/>
      <c r="N558" s="384"/>
      <c r="O558" s="385"/>
      <c r="P558" s="154"/>
      <c r="Q558" s="383"/>
      <c r="R558" s="383"/>
      <c r="S558" s="383"/>
      <c r="T558" s="384"/>
      <c r="U558" s="154"/>
      <c r="V558" s="383"/>
      <c r="W558" s="383"/>
      <c r="X558" s="383"/>
      <c r="Y558" s="155"/>
      <c r="AA558" s="156"/>
      <c r="AB558" s="351"/>
      <c r="AC558" s="383"/>
      <c r="AD558" s="383"/>
      <c r="AE558" s="383"/>
      <c r="AF558" s="383"/>
      <c r="AG558" s="383"/>
      <c r="AH558" s="383"/>
      <c r="AI558" s="383"/>
      <c r="AJ558" s="383"/>
      <c r="AK558" s="383"/>
      <c r="AL558" s="383"/>
      <c r="AM558" s="383"/>
      <c r="AN558" s="383"/>
      <c r="AO558" s="351"/>
      <c r="AP558" s="383"/>
      <c r="AQ558" s="383"/>
      <c r="AR558" s="383"/>
      <c r="AS558" s="383"/>
      <c r="AT558" s="383"/>
      <c r="AU558" s="383"/>
      <c r="AV558" s="383"/>
      <c r="AW558" s="383"/>
      <c r="AX558" s="383"/>
      <c r="AY558" s="383"/>
      <c r="AZ558" s="383"/>
      <c r="BA558" s="383"/>
    </row>
    <row r="559" spans="1:53" s="102" customFormat="1" outlineLevel="2">
      <c r="A559" s="102" t="s">
        <v>1417</v>
      </c>
      <c r="B559" s="103" t="s">
        <v>1418</v>
      </c>
      <c r="C559" s="104" t="s">
        <v>1419</v>
      </c>
      <c r="D559" s="298"/>
      <c r="E559" s="299"/>
      <c r="F559" s="105">
        <v>0</v>
      </c>
      <c r="G559" s="105">
        <v>0</v>
      </c>
      <c r="H559" s="106">
        <f>+F559-G559</f>
        <v>0</v>
      </c>
      <c r="I559" s="300">
        <f>IF(G559&lt;0,IF(H559=0,0,IF(OR(G559=0,F559=0),"N.M.",IF(ABS(H559/G559)&gt;=10,"N.M.",H559/(-G559)))),IF(H559=0,0,IF(OR(G559=0,F559=0),"N.M.",IF(ABS(H559/G559)&gt;=10,"N.M.",H559/G559))))</f>
        <v>0</v>
      </c>
      <c r="J559" s="107"/>
      <c r="K559" s="105">
        <v>0</v>
      </c>
      <c r="L559" s="105">
        <v>0</v>
      </c>
      <c r="M559" s="106">
        <f>+K559-L559</f>
        <v>0</v>
      </c>
      <c r="N559" s="300">
        <f>IF(L559&lt;0,IF(M559=0,0,IF(OR(L559=0,K559=0),"N.M.",IF(ABS(M559/L559)&gt;=10,"N.M.",M559/(-L559)))),IF(M559=0,0,IF(OR(L559=0,K559=0),"N.M.",IF(ABS(M559/L559)&gt;=10,"N.M.",M559/L559))))</f>
        <v>0</v>
      </c>
      <c r="O559" s="301"/>
      <c r="P559" s="107"/>
      <c r="Q559" s="105">
        <v>0</v>
      </c>
      <c r="R559" s="105">
        <v>0</v>
      </c>
      <c r="S559" s="106">
        <f>+Q559-R559</f>
        <v>0</v>
      </c>
      <c r="T559" s="300">
        <f>IF(R559&lt;0,IF(S559=0,0,IF(OR(R559=0,Q559=0),"N.M.",IF(ABS(S559/R559)&gt;=10,"N.M.",S559/(-R559)))),IF(S559=0,0,IF(OR(R559=0,Q559=0),"N.M.",IF(ABS(S559/R559)&gt;=10,"N.M.",S559/R559))))</f>
        <v>0</v>
      </c>
      <c r="U559" s="107"/>
      <c r="V559" s="105">
        <v>35070.03</v>
      </c>
      <c r="W559" s="105">
        <v>0</v>
      </c>
      <c r="X559" s="106">
        <f>+V559-W559</f>
        <v>35070.03</v>
      </c>
      <c r="Y559" s="300" t="str">
        <f>IF(W559&lt;0,IF(X559=0,0,IF(OR(W559=0,V559=0),"N.M.",IF(ABS(X559/W559)&gt;=10,"N.M.",X559/(-W559)))),IF(X559=0,0,IF(OR(W559=0,V559=0),"N.M.",IF(ABS(X559/W559)&gt;=10,"N.M.",X559/W559))))</f>
        <v>N.M.</v>
      </c>
      <c r="Z559" s="302"/>
      <c r="AA559" s="108">
        <v>0</v>
      </c>
      <c r="AB559" s="109"/>
      <c r="AC559" s="110">
        <v>0</v>
      </c>
      <c r="AD559" s="110">
        <v>0</v>
      </c>
      <c r="AE559" s="110">
        <v>0</v>
      </c>
      <c r="AF559" s="110">
        <v>0</v>
      </c>
      <c r="AG559" s="110">
        <v>35052.94</v>
      </c>
      <c r="AH559" s="110">
        <v>0</v>
      </c>
      <c r="AI559" s="110">
        <v>0</v>
      </c>
      <c r="AJ559" s="110">
        <v>17.09</v>
      </c>
      <c r="AK559" s="110">
        <v>0</v>
      </c>
      <c r="AL559" s="110">
        <v>0</v>
      </c>
      <c r="AM559" s="110">
        <v>0</v>
      </c>
      <c r="AN559" s="110">
        <v>0</v>
      </c>
      <c r="AO559" s="109"/>
      <c r="AP559" s="110">
        <v>0</v>
      </c>
      <c r="AQ559" s="110">
        <v>0</v>
      </c>
      <c r="AR559" s="110">
        <v>0</v>
      </c>
      <c r="AS559" s="110">
        <v>0</v>
      </c>
      <c r="AT559" s="110">
        <v>0</v>
      </c>
      <c r="AU559" s="110">
        <v>0</v>
      </c>
      <c r="AV559" s="110">
        <v>0</v>
      </c>
      <c r="AW559" s="110">
        <v>0</v>
      </c>
      <c r="AX559" s="110">
        <v>0</v>
      </c>
      <c r="AY559" s="110">
        <v>0</v>
      </c>
      <c r="AZ559" s="110">
        <v>0</v>
      </c>
      <c r="BA559" s="110">
        <v>0</v>
      </c>
    </row>
    <row r="560" spans="1:53" s="131" customFormat="1">
      <c r="A560" s="111" t="s">
        <v>1420</v>
      </c>
      <c r="B560" s="331" t="s">
        <v>1421</v>
      </c>
      <c r="C560" s="347" t="s">
        <v>1422</v>
      </c>
      <c r="D560" s="352"/>
      <c r="E560" s="352"/>
      <c r="F560" s="333">
        <v>0</v>
      </c>
      <c r="G560" s="333">
        <v>0</v>
      </c>
      <c r="H560" s="133">
        <f>+F560-G560</f>
        <v>0</v>
      </c>
      <c r="I560" s="138">
        <f>IF(G560&lt;0,IF(H560=0,0,IF(OR(G560=0,F560=0),"N.M.",IF(ABS(H560/G560)&gt;=10,"N.M.",H560/(-G560)))),IF(H560=0,0,IF(OR(G560=0,F560=0),"N.M.",IF(ABS(H560/G560)&gt;=10,"N.M.",H560/G560))))</f>
        <v>0</v>
      </c>
      <c r="J560" s="158"/>
      <c r="K560" s="333">
        <v>0</v>
      </c>
      <c r="L560" s="333">
        <v>0</v>
      </c>
      <c r="M560" s="133">
        <f>+K560-L560</f>
        <v>0</v>
      </c>
      <c r="N560" s="138">
        <f>IF(L560&lt;0,IF(M560=0,0,IF(OR(L560=0,K560=0),"N.M.",IF(ABS(M560/L560)&gt;=10,"N.M.",M560/(-L560)))),IF(M560=0,0,IF(OR(L560=0,K560=0),"N.M.",IF(ABS(M560/L560)&gt;=10,"N.M.",M560/L560))))</f>
        <v>0</v>
      </c>
      <c r="O560" s="377"/>
      <c r="P560" s="378"/>
      <c r="Q560" s="333">
        <v>0</v>
      </c>
      <c r="R560" s="333">
        <v>0</v>
      </c>
      <c r="S560" s="133">
        <f>+Q560-R560</f>
        <v>0</v>
      </c>
      <c r="T560" s="138">
        <f>IF(R560&lt;0,IF(S560=0,0,IF(OR(R560=0,Q560=0),"N.M.",IF(ABS(S560/R560)&gt;=10,"N.M.",S560/(-R560)))),IF(S560=0,0,IF(OR(R560=0,Q560=0),"N.M.",IF(ABS(S560/R560)&gt;=10,"N.M.",S560/R560))))</f>
        <v>0</v>
      </c>
      <c r="U560" s="378"/>
      <c r="V560" s="333">
        <v>35070.03</v>
      </c>
      <c r="W560" s="333">
        <v>0</v>
      </c>
      <c r="X560" s="133">
        <f>+V560-W560</f>
        <v>35070.03</v>
      </c>
      <c r="Y560" s="137" t="str">
        <f>IF(W560&lt;0,IF(X560=0,0,IF(OR(W560=0,V560=0),"N.M.",IF(ABS(X560/W560)&gt;=10,"N.M.",X560/(-W560)))),IF(X560=0,0,IF(OR(W560=0,V560=0),"N.M.",IF(ABS(X560/W560)&gt;=10,"N.M.",X560/W560))))</f>
        <v>N.M.</v>
      </c>
      <c r="AA560" s="139">
        <v>0</v>
      </c>
      <c r="AB560" s="351"/>
      <c r="AC560" s="333">
        <v>0</v>
      </c>
      <c r="AD560" s="333">
        <v>0</v>
      </c>
      <c r="AE560" s="333">
        <v>0</v>
      </c>
      <c r="AF560" s="333">
        <v>0</v>
      </c>
      <c r="AG560" s="333">
        <v>35052.94</v>
      </c>
      <c r="AH560" s="333">
        <v>0</v>
      </c>
      <c r="AI560" s="333">
        <v>0</v>
      </c>
      <c r="AJ560" s="333">
        <v>17.09</v>
      </c>
      <c r="AK560" s="333">
        <v>0</v>
      </c>
      <c r="AL560" s="333">
        <v>0</v>
      </c>
      <c r="AM560" s="333">
        <v>0</v>
      </c>
      <c r="AN560" s="333">
        <v>0</v>
      </c>
      <c r="AO560" s="351"/>
      <c r="AP560" s="333">
        <v>0</v>
      </c>
      <c r="AQ560" s="333">
        <v>0</v>
      </c>
      <c r="AR560" s="333">
        <v>0</v>
      </c>
      <c r="AS560" s="333">
        <v>0</v>
      </c>
      <c r="AT560" s="333">
        <v>0</v>
      </c>
      <c r="AU560" s="333">
        <v>0</v>
      </c>
      <c r="AV560" s="333">
        <v>0</v>
      </c>
      <c r="AW560" s="333">
        <v>0</v>
      </c>
      <c r="AX560" s="333">
        <v>0</v>
      </c>
      <c r="AY560" s="333">
        <v>0</v>
      </c>
      <c r="AZ560" s="333">
        <v>0</v>
      </c>
      <c r="BA560" s="333">
        <v>0</v>
      </c>
    </row>
    <row r="561" spans="1:53" s="131" customFormat="1" ht="0.75" customHeight="1" outlineLevel="2">
      <c r="A561" s="111"/>
      <c r="B561" s="331"/>
      <c r="C561" s="347"/>
      <c r="D561" s="352"/>
      <c r="E561" s="352"/>
      <c r="F561" s="333"/>
      <c r="G561" s="333"/>
      <c r="H561" s="133"/>
      <c r="I561" s="138"/>
      <c r="J561" s="158"/>
      <c r="K561" s="333"/>
      <c r="L561" s="333"/>
      <c r="M561" s="133"/>
      <c r="N561" s="138"/>
      <c r="O561" s="377"/>
      <c r="P561" s="378"/>
      <c r="Q561" s="333"/>
      <c r="R561" s="333"/>
      <c r="S561" s="133"/>
      <c r="T561" s="138"/>
      <c r="U561" s="378"/>
      <c r="V561" s="333"/>
      <c r="W561" s="333"/>
      <c r="X561" s="133"/>
      <c r="Y561" s="137"/>
      <c r="AA561" s="139"/>
      <c r="AB561" s="351"/>
      <c r="AC561" s="333"/>
      <c r="AD561" s="333"/>
      <c r="AE561" s="333"/>
      <c r="AF561" s="333"/>
      <c r="AG561" s="333"/>
      <c r="AH561" s="333"/>
      <c r="AI561" s="333"/>
      <c r="AJ561" s="333"/>
      <c r="AK561" s="333"/>
      <c r="AL561" s="333"/>
      <c r="AM561" s="333"/>
      <c r="AN561" s="333"/>
      <c r="AO561" s="351"/>
      <c r="AP561" s="333"/>
      <c r="AQ561" s="333"/>
      <c r="AR561" s="333"/>
      <c r="AS561" s="333"/>
      <c r="AT561" s="333"/>
      <c r="AU561" s="333"/>
      <c r="AV561" s="333"/>
      <c r="AW561" s="333"/>
      <c r="AX561" s="333"/>
      <c r="AY561" s="333"/>
      <c r="AZ561" s="333"/>
      <c r="BA561" s="333"/>
    </row>
    <row r="562" spans="1:53" s="131" customFormat="1">
      <c r="A562" s="111" t="s">
        <v>1423</v>
      </c>
      <c r="B562" s="331" t="s">
        <v>1424</v>
      </c>
      <c r="C562" s="347" t="s">
        <v>1425</v>
      </c>
      <c r="D562" s="352"/>
      <c r="E562" s="352"/>
      <c r="F562" s="333">
        <v>0</v>
      </c>
      <c r="G562" s="333">
        <v>0</v>
      </c>
      <c r="H562" s="133">
        <f>+F562-G562</f>
        <v>0</v>
      </c>
      <c r="I562" s="138">
        <f>IF(G562&lt;0,IF(H562=0,0,IF(OR(G562=0,F562=0),"N.M.",IF(ABS(H562/G562)&gt;=10,"N.M.",H562/(-G562)))),IF(H562=0,0,IF(OR(G562=0,F562=0),"N.M.",IF(ABS(H562/G562)&gt;=10,"N.M.",H562/G562))))</f>
        <v>0</v>
      </c>
      <c r="J562" s="158"/>
      <c r="K562" s="333">
        <v>0</v>
      </c>
      <c r="L562" s="333">
        <v>0</v>
      </c>
      <c r="M562" s="133">
        <f>+K562-L562</f>
        <v>0</v>
      </c>
      <c r="N562" s="138">
        <f>IF(L562&lt;0,IF(M562=0,0,IF(OR(L562=0,K562=0),"N.M.",IF(ABS(M562/L562)&gt;=10,"N.M.",M562/(-L562)))),IF(M562=0,0,IF(OR(L562=0,K562=0),"N.M.",IF(ABS(M562/L562)&gt;=10,"N.M.",M562/L562))))</f>
        <v>0</v>
      </c>
      <c r="O562" s="377"/>
      <c r="P562" s="378"/>
      <c r="Q562" s="333">
        <v>0</v>
      </c>
      <c r="R562" s="333">
        <v>0</v>
      </c>
      <c r="S562" s="133">
        <f>+Q562-R562</f>
        <v>0</v>
      </c>
      <c r="T562" s="138">
        <f>IF(R562&lt;0,IF(S562=0,0,IF(OR(R562=0,Q562=0),"N.M.",IF(ABS(S562/R562)&gt;=10,"N.M.",S562/(-R562)))),IF(S562=0,0,IF(OR(R562=0,Q562=0),"N.M.",IF(ABS(S562/R562)&gt;=10,"N.M.",S562/R562))))</f>
        <v>0</v>
      </c>
      <c r="U562" s="378"/>
      <c r="V562" s="333">
        <v>0</v>
      </c>
      <c r="W562" s="333">
        <v>0</v>
      </c>
      <c r="X562" s="133">
        <f>+V562-W562</f>
        <v>0</v>
      </c>
      <c r="Y562" s="137">
        <f>IF(W562&lt;0,IF(X562=0,0,IF(OR(W562=0,V562=0),"N.M.",IF(ABS(X562/W562)&gt;=10,"N.M.",X562/(-W562)))),IF(X562=0,0,IF(OR(W562=0,V562=0),"N.M.",IF(ABS(X562/W562)&gt;=10,"N.M.",X562/W562))))</f>
        <v>0</v>
      </c>
      <c r="AA562" s="139">
        <v>0</v>
      </c>
      <c r="AB562" s="351"/>
      <c r="AC562" s="333">
        <v>0</v>
      </c>
      <c r="AD562" s="333">
        <v>0</v>
      </c>
      <c r="AE562" s="333">
        <v>0</v>
      </c>
      <c r="AF562" s="333">
        <v>0</v>
      </c>
      <c r="AG562" s="333">
        <v>0</v>
      </c>
      <c r="AH562" s="333">
        <v>0</v>
      </c>
      <c r="AI562" s="333">
        <v>0</v>
      </c>
      <c r="AJ562" s="333">
        <v>0</v>
      </c>
      <c r="AK562" s="333">
        <v>0</v>
      </c>
      <c r="AL562" s="333">
        <v>0</v>
      </c>
      <c r="AM562" s="333">
        <v>0</v>
      </c>
      <c r="AN562" s="333">
        <v>0</v>
      </c>
      <c r="AO562" s="351"/>
      <c r="AP562" s="333">
        <v>0</v>
      </c>
      <c r="AQ562" s="333">
        <v>0</v>
      </c>
      <c r="AR562" s="333">
        <v>0</v>
      </c>
      <c r="AS562" s="333">
        <v>0</v>
      </c>
      <c r="AT562" s="333">
        <v>0</v>
      </c>
      <c r="AU562" s="333">
        <v>0</v>
      </c>
      <c r="AV562" s="333">
        <v>0</v>
      </c>
      <c r="AW562" s="333">
        <v>0</v>
      </c>
      <c r="AX562" s="333">
        <v>0</v>
      </c>
      <c r="AY562" s="333">
        <v>0</v>
      </c>
      <c r="AZ562" s="333">
        <v>0</v>
      </c>
      <c r="BA562" s="333">
        <v>0</v>
      </c>
    </row>
    <row r="563" spans="1:53" s="131" customFormat="1" ht="0.75" customHeight="1" outlineLevel="2">
      <c r="A563" s="111"/>
      <c r="B563" s="331"/>
      <c r="C563" s="347"/>
      <c r="D563" s="352"/>
      <c r="E563" s="352"/>
      <c r="F563" s="333"/>
      <c r="G563" s="333"/>
      <c r="H563" s="133"/>
      <c r="I563" s="138"/>
      <c r="J563" s="158"/>
      <c r="K563" s="333"/>
      <c r="L563" s="333"/>
      <c r="M563" s="133"/>
      <c r="N563" s="138"/>
      <c r="O563" s="377"/>
      <c r="P563" s="378"/>
      <c r="Q563" s="333"/>
      <c r="R563" s="333"/>
      <c r="S563" s="133"/>
      <c r="T563" s="138"/>
      <c r="U563" s="378"/>
      <c r="V563" s="333"/>
      <c r="W563" s="333"/>
      <c r="X563" s="133"/>
      <c r="Y563" s="137"/>
      <c r="AA563" s="139"/>
      <c r="AB563" s="351"/>
      <c r="AC563" s="333"/>
      <c r="AD563" s="333"/>
      <c r="AE563" s="333"/>
      <c r="AF563" s="333"/>
      <c r="AG563" s="333"/>
      <c r="AH563" s="333"/>
      <c r="AI563" s="333"/>
      <c r="AJ563" s="333"/>
      <c r="AK563" s="333"/>
      <c r="AL563" s="333"/>
      <c r="AM563" s="333"/>
      <c r="AN563" s="333"/>
      <c r="AO563" s="351"/>
      <c r="AP563" s="333"/>
      <c r="AQ563" s="333"/>
      <c r="AR563" s="333"/>
      <c r="AS563" s="333"/>
      <c r="AT563" s="333"/>
      <c r="AU563" s="333"/>
      <c r="AV563" s="333"/>
      <c r="AW563" s="333"/>
      <c r="AX563" s="333"/>
      <c r="AY563" s="333"/>
      <c r="AZ563" s="333"/>
      <c r="BA563" s="333"/>
    </row>
    <row r="564" spans="1:53" s="102" customFormat="1" outlineLevel="2">
      <c r="A564" s="102" t="s">
        <v>1426</v>
      </c>
      <c r="B564" s="103" t="s">
        <v>1427</v>
      </c>
      <c r="C564" s="104" t="s">
        <v>1428</v>
      </c>
      <c r="D564" s="298"/>
      <c r="E564" s="299"/>
      <c r="F564" s="105">
        <v>84143.35</v>
      </c>
      <c r="G564" s="105">
        <v>81129.100000000006</v>
      </c>
      <c r="H564" s="106">
        <f>+F564-G564</f>
        <v>3014.25</v>
      </c>
      <c r="I564" s="300">
        <f>IF(G564&lt;0,IF(H564=0,0,IF(OR(G564=0,F564=0),"N.M.",IF(ABS(H564/G564)&gt;=10,"N.M.",H564/(-G564)))),IF(H564=0,0,IF(OR(G564=0,F564=0),"N.M.",IF(ABS(H564/G564)&gt;=10,"N.M.",H564/G564))))</f>
        <v>3.7153746312975244E-2</v>
      </c>
      <c r="J564" s="107"/>
      <c r="K564" s="105">
        <v>244986.82</v>
      </c>
      <c r="L564" s="105">
        <v>237094.27000000002</v>
      </c>
      <c r="M564" s="106">
        <f>+K564-L564</f>
        <v>7892.5499999999884</v>
      </c>
      <c r="N564" s="300">
        <f>IF(L564&lt;0,IF(M564=0,0,IF(OR(L564=0,K564=0),"N.M.",IF(ABS(M564/L564)&gt;=10,"N.M.",M564/(-L564)))),IF(M564=0,0,IF(OR(L564=0,K564=0),"N.M.",IF(ABS(M564/L564)&gt;=10,"N.M.",M564/L564))))</f>
        <v>3.3288657714081356E-2</v>
      </c>
      <c r="O564" s="301"/>
      <c r="P564" s="107"/>
      <c r="Q564" s="105">
        <v>244986.82</v>
      </c>
      <c r="R564" s="105">
        <v>237094.27000000002</v>
      </c>
      <c r="S564" s="106">
        <f>+Q564-R564</f>
        <v>7892.5499999999884</v>
      </c>
      <c r="T564" s="300">
        <f>IF(R564&lt;0,IF(S564=0,0,IF(OR(R564=0,Q564=0),"N.M.",IF(ABS(S564/R564)&gt;=10,"N.M.",S564/(-R564)))),IF(S564=0,0,IF(OR(R564=0,Q564=0),"N.M.",IF(ABS(S564/R564)&gt;=10,"N.M.",S564/R564))))</f>
        <v>3.3288657714081356E-2</v>
      </c>
      <c r="U564" s="107"/>
      <c r="V564" s="105">
        <v>3733581.8299999996</v>
      </c>
      <c r="W564" s="105">
        <v>938516.81</v>
      </c>
      <c r="X564" s="106">
        <f>+V564-W564</f>
        <v>2795065.0199999996</v>
      </c>
      <c r="Y564" s="300">
        <f>IF(W564&lt;0,IF(X564=0,0,IF(OR(W564=0,V564=0),"N.M.",IF(ABS(X564/W564)&gt;=10,"N.M.",X564/(-W564)))),IF(X564=0,0,IF(OR(W564=0,V564=0),"N.M.",IF(ABS(X564/W564)&gt;=10,"N.M.",X564/W564))))</f>
        <v>2.9781725699724007</v>
      </c>
      <c r="Z564" s="302"/>
      <c r="AA564" s="108">
        <v>71768.92</v>
      </c>
      <c r="AB564" s="109"/>
      <c r="AC564" s="110">
        <v>77191.759999999995</v>
      </c>
      <c r="AD564" s="110">
        <v>78773.41</v>
      </c>
      <c r="AE564" s="110">
        <v>81129.100000000006</v>
      </c>
      <c r="AF564" s="110">
        <v>81140.36</v>
      </c>
      <c r="AG564" s="110">
        <v>86501.89</v>
      </c>
      <c r="AH564" s="110">
        <v>79318.14</v>
      </c>
      <c r="AI564" s="110">
        <v>72881.31</v>
      </c>
      <c r="AJ564" s="110">
        <v>77232.75</v>
      </c>
      <c r="AK564" s="110">
        <v>71301.180000000008</v>
      </c>
      <c r="AL564" s="110">
        <v>74361.759999999995</v>
      </c>
      <c r="AM564" s="110">
        <v>80081.279999999999</v>
      </c>
      <c r="AN564" s="110">
        <v>2865776.34</v>
      </c>
      <c r="AO564" s="109"/>
      <c r="AP564" s="110">
        <v>70356.7</v>
      </c>
      <c r="AQ564" s="110">
        <v>90486.77</v>
      </c>
      <c r="AR564" s="110">
        <v>84143.35</v>
      </c>
      <c r="AS564" s="110">
        <v>10672.12</v>
      </c>
      <c r="AT564" s="110">
        <v>0</v>
      </c>
      <c r="AU564" s="110">
        <v>0</v>
      </c>
      <c r="AV564" s="110">
        <v>0</v>
      </c>
      <c r="AW564" s="110">
        <v>0</v>
      </c>
      <c r="AX564" s="110">
        <v>0</v>
      </c>
      <c r="AY564" s="110">
        <v>0</v>
      </c>
      <c r="AZ564" s="110">
        <v>0</v>
      </c>
      <c r="BA564" s="110">
        <v>0</v>
      </c>
    </row>
    <row r="565" spans="1:53" s="131" customFormat="1">
      <c r="A565" s="111" t="s">
        <v>1429</v>
      </c>
      <c r="B565" s="331" t="s">
        <v>1430</v>
      </c>
      <c r="C565" s="347" t="s">
        <v>1431</v>
      </c>
      <c r="D565" s="352"/>
      <c r="E565" s="352"/>
      <c r="F565" s="333">
        <v>84143.35</v>
      </c>
      <c r="G565" s="333">
        <v>81129.100000000006</v>
      </c>
      <c r="H565" s="133">
        <f>+F565-G565</f>
        <v>3014.25</v>
      </c>
      <c r="I565" s="138">
        <f>IF(G565&lt;0,IF(H565=0,0,IF(OR(G565=0,F565=0),"N.M.",IF(ABS(H565/G565)&gt;=10,"N.M.",H565/(-G565)))),IF(H565=0,0,IF(OR(G565=0,F565=0),"N.M.",IF(ABS(H565/G565)&gt;=10,"N.M.",H565/G565))))</f>
        <v>3.7153746312975244E-2</v>
      </c>
      <c r="J565" s="158"/>
      <c r="K565" s="333">
        <v>244986.82</v>
      </c>
      <c r="L565" s="333">
        <v>237094.27000000002</v>
      </c>
      <c r="M565" s="133">
        <f>+K565-L565</f>
        <v>7892.5499999999884</v>
      </c>
      <c r="N565" s="138">
        <f>IF(L565&lt;0,IF(M565=0,0,IF(OR(L565=0,K565=0),"N.M.",IF(ABS(M565/L565)&gt;=10,"N.M.",M565/(-L565)))),IF(M565=0,0,IF(OR(L565=0,K565=0),"N.M.",IF(ABS(M565/L565)&gt;=10,"N.M.",M565/L565))))</f>
        <v>3.3288657714081356E-2</v>
      </c>
      <c r="O565" s="377"/>
      <c r="P565" s="378"/>
      <c r="Q565" s="333">
        <v>244986.82</v>
      </c>
      <c r="R565" s="333">
        <v>237094.27000000002</v>
      </c>
      <c r="S565" s="133">
        <f>+Q565-R565</f>
        <v>7892.5499999999884</v>
      </c>
      <c r="T565" s="138">
        <f>IF(R565&lt;0,IF(S565=0,0,IF(OR(R565=0,Q565=0),"N.M.",IF(ABS(S565/R565)&gt;=10,"N.M.",S565/(-R565)))),IF(S565=0,0,IF(OR(R565=0,Q565=0),"N.M.",IF(ABS(S565/R565)&gt;=10,"N.M.",S565/R565))))</f>
        <v>3.3288657714081356E-2</v>
      </c>
      <c r="U565" s="378"/>
      <c r="V565" s="333">
        <v>3733581.8299999996</v>
      </c>
      <c r="W565" s="333">
        <v>938516.81</v>
      </c>
      <c r="X565" s="133">
        <f>+V565-W565</f>
        <v>2795065.0199999996</v>
      </c>
      <c r="Y565" s="137">
        <f>IF(W565&lt;0,IF(X565=0,0,IF(OR(W565=0,V565=0),"N.M.",IF(ABS(X565/W565)&gt;=10,"N.M.",X565/(-W565)))),IF(X565=0,0,IF(OR(W565=0,V565=0),"N.M.",IF(ABS(X565/W565)&gt;=10,"N.M.",X565/W565))))</f>
        <v>2.9781725699724007</v>
      </c>
      <c r="AA565" s="139">
        <v>71768.92</v>
      </c>
      <c r="AB565" s="351"/>
      <c r="AC565" s="333">
        <v>77191.759999999995</v>
      </c>
      <c r="AD565" s="333">
        <v>78773.41</v>
      </c>
      <c r="AE565" s="333">
        <v>81129.100000000006</v>
      </c>
      <c r="AF565" s="333">
        <v>81140.36</v>
      </c>
      <c r="AG565" s="333">
        <v>86501.89</v>
      </c>
      <c r="AH565" s="333">
        <v>79318.14</v>
      </c>
      <c r="AI565" s="333">
        <v>72881.31</v>
      </c>
      <c r="AJ565" s="333">
        <v>77232.75</v>
      </c>
      <c r="AK565" s="333">
        <v>71301.180000000008</v>
      </c>
      <c r="AL565" s="333">
        <v>74361.759999999995</v>
      </c>
      <c r="AM565" s="333">
        <v>80081.279999999999</v>
      </c>
      <c r="AN565" s="333">
        <v>2865776.34</v>
      </c>
      <c r="AO565" s="351"/>
      <c r="AP565" s="333">
        <v>70356.7</v>
      </c>
      <c r="AQ565" s="333">
        <v>90486.77</v>
      </c>
      <c r="AR565" s="333">
        <v>84143.35</v>
      </c>
      <c r="AS565" s="333">
        <v>10672.12</v>
      </c>
      <c r="AT565" s="333">
        <v>0</v>
      </c>
      <c r="AU565" s="333">
        <v>0</v>
      </c>
      <c r="AV565" s="333">
        <v>0</v>
      </c>
      <c r="AW565" s="333">
        <v>0</v>
      </c>
      <c r="AX565" s="333">
        <v>0</v>
      </c>
      <c r="AY565" s="333">
        <v>0</v>
      </c>
      <c r="AZ565" s="333">
        <v>0</v>
      </c>
      <c r="BA565" s="333">
        <v>0</v>
      </c>
    </row>
    <row r="566" spans="1:53" s="131" customFormat="1" ht="0.75" customHeight="1" outlineLevel="2">
      <c r="A566" s="111"/>
      <c r="B566" s="331"/>
      <c r="C566" s="347"/>
      <c r="D566" s="352"/>
      <c r="E566" s="352"/>
      <c r="F566" s="333"/>
      <c r="G566" s="333"/>
      <c r="H566" s="133"/>
      <c r="I566" s="138"/>
      <c r="J566" s="158"/>
      <c r="K566" s="333"/>
      <c r="L566" s="333"/>
      <c r="M566" s="133"/>
      <c r="N566" s="138"/>
      <c r="O566" s="377"/>
      <c r="P566" s="378"/>
      <c r="Q566" s="333"/>
      <c r="R566" s="333"/>
      <c r="S566" s="133"/>
      <c r="T566" s="138"/>
      <c r="U566" s="378"/>
      <c r="V566" s="333"/>
      <c r="W566" s="333"/>
      <c r="X566" s="133"/>
      <c r="Y566" s="137"/>
      <c r="AA566" s="139"/>
      <c r="AB566" s="351"/>
      <c r="AC566" s="333"/>
      <c r="AD566" s="333"/>
      <c r="AE566" s="333"/>
      <c r="AF566" s="333"/>
      <c r="AG566" s="333"/>
      <c r="AH566" s="333"/>
      <c r="AI566" s="333"/>
      <c r="AJ566" s="333"/>
      <c r="AK566" s="333"/>
      <c r="AL566" s="333"/>
      <c r="AM566" s="333"/>
      <c r="AN566" s="333"/>
      <c r="AO566" s="351"/>
      <c r="AP566" s="333"/>
      <c r="AQ566" s="333"/>
      <c r="AR566" s="333"/>
      <c r="AS566" s="333"/>
      <c r="AT566" s="333"/>
      <c r="AU566" s="333"/>
      <c r="AV566" s="333"/>
      <c r="AW566" s="333"/>
      <c r="AX566" s="333"/>
      <c r="AY566" s="333"/>
      <c r="AZ566" s="333"/>
      <c r="BA566" s="333"/>
    </row>
    <row r="567" spans="1:53" s="131" customFormat="1">
      <c r="A567" s="111" t="s">
        <v>1432</v>
      </c>
      <c r="B567" s="331" t="s">
        <v>1433</v>
      </c>
      <c r="C567" s="347" t="s">
        <v>1434</v>
      </c>
      <c r="D567" s="352"/>
      <c r="E567" s="352"/>
      <c r="F567" s="333">
        <v>0</v>
      </c>
      <c r="G567" s="333">
        <v>0</v>
      </c>
      <c r="H567" s="133">
        <f>+F567-G567</f>
        <v>0</v>
      </c>
      <c r="I567" s="138">
        <f>IF(G567&lt;0,IF(H567=0,0,IF(OR(G567=0,F567=0),"N.M.",IF(ABS(H567/G567)&gt;=10,"N.M.",H567/(-G567)))),IF(H567=0,0,IF(OR(G567=0,F567=0),"N.M.",IF(ABS(H567/G567)&gt;=10,"N.M.",H567/G567))))</f>
        <v>0</v>
      </c>
      <c r="J567" s="158"/>
      <c r="K567" s="333">
        <v>0</v>
      </c>
      <c r="L567" s="333">
        <v>0</v>
      </c>
      <c r="M567" s="133">
        <f>+K567-L567</f>
        <v>0</v>
      </c>
      <c r="N567" s="138">
        <f>IF(L567&lt;0,IF(M567=0,0,IF(OR(L567=0,K567=0),"N.M.",IF(ABS(M567/L567)&gt;=10,"N.M.",M567/(-L567)))),IF(M567=0,0,IF(OR(L567=0,K567=0),"N.M.",IF(ABS(M567/L567)&gt;=10,"N.M.",M567/L567))))</f>
        <v>0</v>
      </c>
      <c r="O567" s="379"/>
      <c r="P567" s="380"/>
      <c r="Q567" s="333">
        <v>0</v>
      </c>
      <c r="R567" s="333">
        <v>0</v>
      </c>
      <c r="S567" s="133">
        <f>+Q567-R567</f>
        <v>0</v>
      </c>
      <c r="T567" s="138">
        <f>IF(R567&lt;0,IF(S567=0,0,IF(OR(R567=0,Q567=0),"N.M.",IF(ABS(S567/R567)&gt;=10,"N.M.",S567/(-R567)))),IF(S567=0,0,IF(OR(R567=0,Q567=0),"N.M.",IF(ABS(S567/R567)&gt;=10,"N.M.",S567/R567))))</f>
        <v>0</v>
      </c>
      <c r="U567" s="380"/>
      <c r="V567" s="333">
        <v>0</v>
      </c>
      <c r="W567" s="333">
        <v>0</v>
      </c>
      <c r="X567" s="133">
        <f>+V567-W567</f>
        <v>0</v>
      </c>
      <c r="Y567" s="137">
        <f>IF(W567&lt;0,IF(X567=0,0,IF(OR(W567=0,V567=0),"N.M.",IF(ABS(X567/W567)&gt;=10,"N.M.",X567/(-W567)))),IF(X567=0,0,IF(OR(W567=0,V567=0),"N.M.",IF(ABS(X567/W567)&gt;=10,"N.M.",X567/W567))))</f>
        <v>0</v>
      </c>
      <c r="AA567" s="139">
        <v>0</v>
      </c>
      <c r="AB567" s="351"/>
      <c r="AC567" s="333">
        <v>0</v>
      </c>
      <c r="AD567" s="333">
        <v>0</v>
      </c>
      <c r="AE567" s="333">
        <v>0</v>
      </c>
      <c r="AF567" s="333">
        <v>0</v>
      </c>
      <c r="AG567" s="333">
        <v>0</v>
      </c>
      <c r="AH567" s="333">
        <v>0</v>
      </c>
      <c r="AI567" s="333">
        <v>0</v>
      </c>
      <c r="AJ567" s="333">
        <v>0</v>
      </c>
      <c r="AK567" s="333">
        <v>0</v>
      </c>
      <c r="AL567" s="333">
        <v>0</v>
      </c>
      <c r="AM567" s="333">
        <v>0</v>
      </c>
      <c r="AN567" s="333">
        <v>0</v>
      </c>
      <c r="AO567" s="351"/>
      <c r="AP567" s="333">
        <v>0</v>
      </c>
      <c r="AQ567" s="333">
        <v>0</v>
      </c>
      <c r="AR567" s="333">
        <v>0</v>
      </c>
      <c r="AS567" s="333">
        <v>0</v>
      </c>
      <c r="AT567" s="333">
        <v>0</v>
      </c>
      <c r="AU567" s="333">
        <v>0</v>
      </c>
      <c r="AV567" s="333">
        <v>0</v>
      </c>
      <c r="AW567" s="333">
        <v>0</v>
      </c>
      <c r="AX567" s="333">
        <v>0</v>
      </c>
      <c r="AY567" s="333">
        <v>0</v>
      </c>
      <c r="AZ567" s="333">
        <v>0</v>
      </c>
      <c r="BA567" s="333">
        <v>0</v>
      </c>
    </row>
    <row r="568" spans="1:53" s="131" customFormat="1" ht="0.75" customHeight="1" outlineLevel="2">
      <c r="A568" s="111"/>
      <c r="B568" s="331"/>
      <c r="C568" s="347"/>
      <c r="D568" s="352"/>
      <c r="E568" s="352"/>
      <c r="F568" s="333"/>
      <c r="G568" s="333"/>
      <c r="H568" s="133"/>
      <c r="I568" s="138"/>
      <c r="J568" s="158"/>
      <c r="K568" s="333"/>
      <c r="L568" s="333"/>
      <c r="M568" s="133"/>
      <c r="N568" s="138"/>
      <c r="O568" s="379"/>
      <c r="P568" s="380"/>
      <c r="Q568" s="333"/>
      <c r="R568" s="333"/>
      <c r="S568" s="133"/>
      <c r="T568" s="138"/>
      <c r="U568" s="380"/>
      <c r="V568" s="333"/>
      <c r="W568" s="333"/>
      <c r="X568" s="133"/>
      <c r="Y568" s="137"/>
      <c r="AA568" s="139"/>
      <c r="AB568" s="351"/>
      <c r="AC568" s="333"/>
      <c r="AD568" s="333"/>
      <c r="AE568" s="333"/>
      <c r="AF568" s="333"/>
      <c r="AG568" s="333"/>
      <c r="AH568" s="333"/>
      <c r="AI568" s="333"/>
      <c r="AJ568" s="333"/>
      <c r="AK568" s="333"/>
      <c r="AL568" s="333"/>
      <c r="AM568" s="333"/>
      <c r="AN568" s="333"/>
      <c r="AO568" s="351"/>
      <c r="AP568" s="333"/>
      <c r="AQ568" s="333"/>
      <c r="AR568" s="333"/>
      <c r="AS568" s="333"/>
      <c r="AT568" s="333"/>
      <c r="AU568" s="333"/>
      <c r="AV568" s="333"/>
      <c r="AW568" s="333"/>
      <c r="AX568" s="333"/>
      <c r="AY568" s="333"/>
      <c r="AZ568" s="333"/>
      <c r="BA568" s="333"/>
    </row>
    <row r="569" spans="1:53" s="102" customFormat="1" outlineLevel="2">
      <c r="A569" s="102" t="s">
        <v>1435</v>
      </c>
      <c r="B569" s="103" t="s">
        <v>1436</v>
      </c>
      <c r="C569" s="104" t="s">
        <v>1437</v>
      </c>
      <c r="D569" s="298"/>
      <c r="E569" s="299"/>
      <c r="F569" s="105">
        <v>3684.444</v>
      </c>
      <c r="G569" s="105">
        <v>-0.33</v>
      </c>
      <c r="H569" s="106">
        <f>+F569-G569</f>
        <v>3684.7739999999999</v>
      </c>
      <c r="I569" s="300" t="str">
        <f>IF(G569&lt;0,IF(H569=0,0,IF(OR(G569=0,F569=0),"N.M.",IF(ABS(H569/G569)&gt;=10,"N.M.",H569/(-G569)))),IF(H569=0,0,IF(OR(G569=0,F569=0),"N.M.",IF(ABS(H569/G569)&gt;=10,"N.M.",H569/G569))))</f>
        <v>N.M.</v>
      </c>
      <c r="J569" s="107"/>
      <c r="K569" s="105">
        <v>3830.2240000000002</v>
      </c>
      <c r="L569" s="105">
        <v>147.72999999999999</v>
      </c>
      <c r="M569" s="106">
        <f>+K569-L569</f>
        <v>3682.4940000000001</v>
      </c>
      <c r="N569" s="300" t="str">
        <f>IF(L569&lt;0,IF(M569=0,0,IF(OR(L569=0,K569=0),"N.M.",IF(ABS(M569/L569)&gt;=10,"N.M.",M569/(-L569)))),IF(M569=0,0,IF(OR(L569=0,K569=0),"N.M.",IF(ABS(M569/L569)&gt;=10,"N.M.",M569/L569))))</f>
        <v>N.M.</v>
      </c>
      <c r="O569" s="301"/>
      <c r="P569" s="107"/>
      <c r="Q569" s="105">
        <v>3830.2240000000002</v>
      </c>
      <c r="R569" s="105">
        <v>147.72999999999999</v>
      </c>
      <c r="S569" s="106">
        <f>+Q569-R569</f>
        <v>3682.4940000000001</v>
      </c>
      <c r="T569" s="300" t="str">
        <f>IF(R569&lt;0,IF(S569=0,0,IF(OR(R569=0,Q569=0),"N.M.",IF(ABS(S569/R569)&gt;=10,"N.M.",S569/(-R569)))),IF(S569=0,0,IF(OR(R569=0,Q569=0),"N.M.",IF(ABS(S569/R569)&gt;=10,"N.M.",S569/R569))))</f>
        <v>N.M.</v>
      </c>
      <c r="U569" s="107"/>
      <c r="V569" s="105">
        <v>4152.174</v>
      </c>
      <c r="W569" s="105">
        <v>32370.9</v>
      </c>
      <c r="X569" s="106">
        <f>+V569-W569</f>
        <v>-28218.726000000002</v>
      </c>
      <c r="Y569" s="300">
        <f>IF(W569&lt;0,IF(X569=0,0,IF(OR(W569=0,V569=0),"N.M.",IF(ABS(X569/W569)&gt;=10,"N.M.",X569/(-W569)))),IF(X569=0,0,IF(OR(W569=0,V569=0),"N.M.",IF(ABS(X569/W569)&gt;=10,"N.M.",X569/W569))))</f>
        <v>-0.8717312771656025</v>
      </c>
      <c r="Z569" s="302"/>
      <c r="AA569" s="108">
        <v>0</v>
      </c>
      <c r="AB569" s="109"/>
      <c r="AC569" s="110">
        <v>148.06</v>
      </c>
      <c r="AD569" s="110">
        <v>0</v>
      </c>
      <c r="AE569" s="110">
        <v>-0.33</v>
      </c>
      <c r="AF569" s="110">
        <v>0.70000000000000007</v>
      </c>
      <c r="AG569" s="110">
        <v>3.34</v>
      </c>
      <c r="AH569" s="110">
        <v>6.18</v>
      </c>
      <c r="AI569" s="110">
        <v>2.15</v>
      </c>
      <c r="AJ569" s="110">
        <v>0</v>
      </c>
      <c r="AK569" s="110">
        <v>2.0100000000000002</v>
      </c>
      <c r="AL569" s="110">
        <v>0</v>
      </c>
      <c r="AM569" s="110">
        <v>0</v>
      </c>
      <c r="AN569" s="110">
        <v>307.57</v>
      </c>
      <c r="AO569" s="109"/>
      <c r="AP569" s="110">
        <v>145.62</v>
      </c>
      <c r="AQ569" s="110">
        <v>0.16</v>
      </c>
      <c r="AR569" s="110">
        <v>3684.444</v>
      </c>
      <c r="AS569" s="110">
        <v>0</v>
      </c>
      <c r="AT569" s="110">
        <v>0</v>
      </c>
      <c r="AU569" s="110">
        <v>0</v>
      </c>
      <c r="AV569" s="110">
        <v>0</v>
      </c>
      <c r="AW569" s="110">
        <v>0</v>
      </c>
      <c r="AX569" s="110">
        <v>0</v>
      </c>
      <c r="AY569" s="110">
        <v>0</v>
      </c>
      <c r="AZ569" s="110">
        <v>0</v>
      </c>
      <c r="BA569" s="110">
        <v>0</v>
      </c>
    </row>
    <row r="570" spans="1:53" s="102" customFormat="1" outlineLevel="2">
      <c r="A570" s="102" t="s">
        <v>1438</v>
      </c>
      <c r="B570" s="103" t="s">
        <v>1439</v>
      </c>
      <c r="C570" s="104" t="s">
        <v>1440</v>
      </c>
      <c r="D570" s="298"/>
      <c r="E570" s="299"/>
      <c r="F570" s="105">
        <v>0</v>
      </c>
      <c r="G570" s="105">
        <v>0</v>
      </c>
      <c r="H570" s="106">
        <f>+F570-G570</f>
        <v>0</v>
      </c>
      <c r="I570" s="300">
        <f>IF(G570&lt;0,IF(H570=0,0,IF(OR(G570=0,F570=0),"N.M.",IF(ABS(H570/G570)&gt;=10,"N.M.",H570/(-G570)))),IF(H570=0,0,IF(OR(G570=0,F570=0),"N.M.",IF(ABS(H570/G570)&gt;=10,"N.M.",H570/G570))))</f>
        <v>0</v>
      </c>
      <c r="J570" s="107"/>
      <c r="K570" s="105">
        <v>0</v>
      </c>
      <c r="L570" s="105">
        <v>0</v>
      </c>
      <c r="M570" s="106">
        <f>+K570-L570</f>
        <v>0</v>
      </c>
      <c r="N570" s="300">
        <f>IF(L570&lt;0,IF(M570=0,0,IF(OR(L570=0,K570=0),"N.M.",IF(ABS(M570/L570)&gt;=10,"N.M.",M570/(-L570)))),IF(M570=0,0,IF(OR(L570=0,K570=0),"N.M.",IF(ABS(M570/L570)&gt;=10,"N.M.",M570/L570))))</f>
        <v>0</v>
      </c>
      <c r="O570" s="301"/>
      <c r="P570" s="107"/>
      <c r="Q570" s="105">
        <v>0</v>
      </c>
      <c r="R570" s="105">
        <v>0</v>
      </c>
      <c r="S570" s="106">
        <f>+Q570-R570</f>
        <v>0</v>
      </c>
      <c r="T570" s="300">
        <f>IF(R570&lt;0,IF(S570=0,0,IF(OR(R570=0,Q570=0),"N.M.",IF(ABS(S570/R570)&gt;=10,"N.M.",S570/(-R570)))),IF(S570=0,0,IF(OR(R570=0,Q570=0),"N.M.",IF(ABS(S570/R570)&gt;=10,"N.M.",S570/R570))))</f>
        <v>0</v>
      </c>
      <c r="U570" s="107"/>
      <c r="V570" s="105">
        <v>0</v>
      </c>
      <c r="W570" s="105">
        <v>-139938.80000000002</v>
      </c>
      <c r="X570" s="106">
        <f>+V570-W570</f>
        <v>139938.80000000002</v>
      </c>
      <c r="Y570" s="300" t="str">
        <f>IF(W570&lt;0,IF(X570=0,0,IF(OR(W570=0,V570=0),"N.M.",IF(ABS(X570/W570)&gt;=10,"N.M.",X570/(-W570)))),IF(X570=0,0,IF(OR(W570=0,V570=0),"N.M.",IF(ABS(X570/W570)&gt;=10,"N.M.",X570/W570))))</f>
        <v>N.M.</v>
      </c>
      <c r="Z570" s="302"/>
      <c r="AA570" s="108">
        <v>0</v>
      </c>
      <c r="AB570" s="109"/>
      <c r="AC570" s="110">
        <v>0</v>
      </c>
      <c r="AD570" s="110">
        <v>0</v>
      </c>
      <c r="AE570" s="110">
        <v>0</v>
      </c>
      <c r="AF570" s="110">
        <v>0</v>
      </c>
      <c r="AG570" s="110">
        <v>0</v>
      </c>
      <c r="AH570" s="110">
        <v>0</v>
      </c>
      <c r="AI570" s="110">
        <v>0</v>
      </c>
      <c r="AJ570" s="110">
        <v>0</v>
      </c>
      <c r="AK570" s="110">
        <v>0</v>
      </c>
      <c r="AL570" s="110">
        <v>0</v>
      </c>
      <c r="AM570" s="110">
        <v>0</v>
      </c>
      <c r="AN570" s="110">
        <v>0</v>
      </c>
      <c r="AO570" s="109"/>
      <c r="AP570" s="110">
        <v>0</v>
      </c>
      <c r="AQ570" s="110">
        <v>0</v>
      </c>
      <c r="AR570" s="110">
        <v>0</v>
      </c>
      <c r="AS570" s="110">
        <v>0</v>
      </c>
      <c r="AT570" s="110">
        <v>0</v>
      </c>
      <c r="AU570" s="110">
        <v>0</v>
      </c>
      <c r="AV570" s="110">
        <v>0</v>
      </c>
      <c r="AW570" s="110">
        <v>0</v>
      </c>
      <c r="AX570" s="110">
        <v>0</v>
      </c>
      <c r="AY570" s="110">
        <v>0</v>
      </c>
      <c r="AZ570" s="110">
        <v>0</v>
      </c>
      <c r="BA570" s="110">
        <v>0</v>
      </c>
    </row>
    <row r="571" spans="1:53" s="131" customFormat="1">
      <c r="A571" s="111" t="s">
        <v>1441</v>
      </c>
      <c r="B571" s="331" t="s">
        <v>1442</v>
      </c>
      <c r="C571" s="347" t="s">
        <v>1443</v>
      </c>
      <c r="D571" s="352"/>
      <c r="E571" s="352"/>
      <c r="F571" s="333">
        <v>3684.444</v>
      </c>
      <c r="G571" s="333">
        <v>-0.33</v>
      </c>
      <c r="H571" s="133">
        <f>+F571-G571</f>
        <v>3684.7739999999999</v>
      </c>
      <c r="I571" s="138" t="str">
        <f>IF(G571&lt;0,IF(H571=0,0,IF(OR(G571=0,F571=0),"N.M.",IF(ABS(H571/G571)&gt;=10,"N.M.",H571/(-G571)))),IF(H571=0,0,IF(OR(G571=0,F571=0),"N.M.",IF(ABS(H571/G571)&gt;=10,"N.M.",H571/G571))))</f>
        <v>N.M.</v>
      </c>
      <c r="J571" s="158"/>
      <c r="K571" s="333">
        <v>3830.2240000000002</v>
      </c>
      <c r="L571" s="333">
        <v>147.72999999999999</v>
      </c>
      <c r="M571" s="133">
        <f>+K571-L571</f>
        <v>3682.4940000000001</v>
      </c>
      <c r="N571" s="138" t="str">
        <f>IF(L571&lt;0,IF(M571=0,0,IF(OR(L571=0,K571=0),"N.M.",IF(ABS(M571/L571)&gt;=10,"N.M.",M571/(-L571)))),IF(M571=0,0,IF(OR(L571=0,K571=0),"N.M.",IF(ABS(M571/L571)&gt;=10,"N.M.",M571/L571))))</f>
        <v>N.M.</v>
      </c>
      <c r="O571" s="302"/>
      <c r="P571" s="350"/>
      <c r="Q571" s="333">
        <v>3830.2240000000002</v>
      </c>
      <c r="R571" s="333">
        <v>147.72999999999999</v>
      </c>
      <c r="S571" s="133">
        <f>+Q571-R571</f>
        <v>3682.4940000000001</v>
      </c>
      <c r="T571" s="138" t="str">
        <f>IF(R571&lt;0,IF(S571=0,0,IF(OR(R571=0,Q571=0),"N.M.",IF(ABS(S571/R571)&gt;=10,"N.M.",S571/(-R571)))),IF(S571=0,0,IF(OR(R571=0,Q571=0),"N.M.",IF(ABS(S571/R571)&gt;=10,"N.M.",S571/R571))))</f>
        <v>N.M.</v>
      </c>
      <c r="U571" s="350"/>
      <c r="V571" s="333">
        <v>4152.174</v>
      </c>
      <c r="W571" s="333">
        <v>-107567.90000000002</v>
      </c>
      <c r="X571" s="133">
        <f>+V571-W571</f>
        <v>111720.07400000002</v>
      </c>
      <c r="Y571" s="137">
        <f>IF(W571&lt;0,IF(X571=0,0,IF(OR(W571=0,V571=0),"N.M.",IF(ABS(X571/W571)&gt;=10,"N.M.",X571/(-W571)))),IF(X571=0,0,IF(OR(W571=0,V571=0),"N.M.",IF(ABS(X571/W571)&gt;=10,"N.M.",X571/W571))))</f>
        <v>1.0386004932698323</v>
      </c>
      <c r="AA571" s="139">
        <v>0</v>
      </c>
      <c r="AB571" s="351"/>
      <c r="AC571" s="333">
        <v>148.06</v>
      </c>
      <c r="AD571" s="333">
        <v>0</v>
      </c>
      <c r="AE571" s="333">
        <v>-0.33</v>
      </c>
      <c r="AF571" s="333">
        <v>0.70000000000000007</v>
      </c>
      <c r="AG571" s="333">
        <v>3.34</v>
      </c>
      <c r="AH571" s="333">
        <v>6.18</v>
      </c>
      <c r="AI571" s="333">
        <v>2.15</v>
      </c>
      <c r="AJ571" s="333">
        <v>0</v>
      </c>
      <c r="AK571" s="333">
        <v>2.0100000000000002</v>
      </c>
      <c r="AL571" s="333">
        <v>0</v>
      </c>
      <c r="AM571" s="333">
        <v>0</v>
      </c>
      <c r="AN571" s="333">
        <v>307.57</v>
      </c>
      <c r="AO571" s="351"/>
      <c r="AP571" s="333">
        <v>145.62</v>
      </c>
      <c r="AQ571" s="333">
        <v>0.16</v>
      </c>
      <c r="AR571" s="333">
        <v>3684.444</v>
      </c>
      <c r="AS571" s="333">
        <v>0</v>
      </c>
      <c r="AT571" s="333">
        <v>0</v>
      </c>
      <c r="AU571" s="333">
        <v>0</v>
      </c>
      <c r="AV571" s="333">
        <v>0</v>
      </c>
      <c r="AW571" s="333">
        <v>0</v>
      </c>
      <c r="AX571" s="333">
        <v>0</v>
      </c>
      <c r="AY571" s="333">
        <v>0</v>
      </c>
      <c r="AZ571" s="333">
        <v>0</v>
      </c>
      <c r="BA571" s="333">
        <v>0</v>
      </c>
    </row>
    <row r="572" spans="1:53" s="131" customFormat="1" ht="0.75" customHeight="1" outlineLevel="2">
      <c r="A572" s="111"/>
      <c r="B572" s="331"/>
      <c r="C572" s="347"/>
      <c r="D572" s="352"/>
      <c r="E572" s="352"/>
      <c r="F572" s="333"/>
      <c r="G572" s="333"/>
      <c r="H572" s="133"/>
      <c r="I572" s="138"/>
      <c r="J572" s="158"/>
      <c r="K572" s="333"/>
      <c r="L572" s="333"/>
      <c r="M572" s="133"/>
      <c r="N572" s="138"/>
      <c r="O572" s="302"/>
      <c r="P572" s="350"/>
      <c r="Q572" s="333"/>
      <c r="R572" s="333"/>
      <c r="S572" s="133"/>
      <c r="T572" s="138"/>
      <c r="U572" s="350"/>
      <c r="V572" s="333"/>
      <c r="W572" s="333"/>
      <c r="X572" s="133"/>
      <c r="Y572" s="137"/>
      <c r="AA572" s="139"/>
      <c r="AB572" s="351"/>
      <c r="AC572" s="333"/>
      <c r="AD572" s="333"/>
      <c r="AE572" s="333"/>
      <c r="AF572" s="333"/>
      <c r="AG572" s="333"/>
      <c r="AH572" s="333"/>
      <c r="AI572" s="333"/>
      <c r="AJ572" s="333"/>
      <c r="AK572" s="333"/>
      <c r="AL572" s="333"/>
      <c r="AM572" s="333"/>
      <c r="AN572" s="333"/>
      <c r="AO572" s="351"/>
      <c r="AP572" s="333"/>
      <c r="AQ572" s="333"/>
      <c r="AR572" s="333"/>
      <c r="AS572" s="333"/>
      <c r="AT572" s="333"/>
      <c r="AU572" s="333"/>
      <c r="AV572" s="333"/>
      <c r="AW572" s="333"/>
      <c r="AX572" s="333"/>
      <c r="AY572" s="333"/>
      <c r="AZ572" s="333"/>
      <c r="BA572" s="333"/>
    </row>
    <row r="573" spans="1:53" s="102" customFormat="1" outlineLevel="2">
      <c r="A573" s="102" t="s">
        <v>1444</v>
      </c>
      <c r="B573" s="103" t="s">
        <v>1445</v>
      </c>
      <c r="C573" s="104" t="s">
        <v>1446</v>
      </c>
      <c r="D573" s="298"/>
      <c r="E573" s="299"/>
      <c r="F573" s="105">
        <v>25468.350000000002</v>
      </c>
      <c r="G573" s="105">
        <v>21026.21</v>
      </c>
      <c r="H573" s="106">
        <f>+F573-G573</f>
        <v>4442.1400000000031</v>
      </c>
      <c r="I573" s="300">
        <f>IF(G573&lt;0,IF(H573=0,0,IF(OR(G573=0,F573=0),"N.M.",IF(ABS(H573/G573)&gt;=10,"N.M.",H573/(-G573)))),IF(H573=0,0,IF(OR(G573=0,F573=0),"N.M.",IF(ABS(H573/G573)&gt;=10,"N.M.",H573/G573))))</f>
        <v>0.2112667951095325</v>
      </c>
      <c r="J573" s="107"/>
      <c r="K573" s="105">
        <v>45196.23</v>
      </c>
      <c r="L573" s="105">
        <v>72974.19</v>
      </c>
      <c r="M573" s="106">
        <f>+K573-L573</f>
        <v>-27777.96</v>
      </c>
      <c r="N573" s="300">
        <f>IF(L573&lt;0,IF(M573=0,0,IF(OR(L573=0,K573=0),"N.M.",IF(ABS(M573/L573)&gt;=10,"N.M.",M573/(-L573)))),IF(M573=0,0,IF(OR(L573=0,K573=0),"N.M.",IF(ABS(M573/L573)&gt;=10,"N.M.",M573/L573))))</f>
        <v>-0.38065458486075693</v>
      </c>
      <c r="O573" s="301"/>
      <c r="P573" s="107"/>
      <c r="Q573" s="105">
        <v>45196.23</v>
      </c>
      <c r="R573" s="105">
        <v>72974.19</v>
      </c>
      <c r="S573" s="106">
        <f>+Q573-R573</f>
        <v>-27777.96</v>
      </c>
      <c r="T573" s="300">
        <f>IF(R573&lt;0,IF(S573=0,0,IF(OR(R573=0,Q573=0),"N.M.",IF(ABS(S573/R573)&gt;=10,"N.M.",S573/(-R573)))),IF(S573=0,0,IF(OR(R573=0,Q573=0),"N.M.",IF(ABS(S573/R573)&gt;=10,"N.M.",S573/R573))))</f>
        <v>-0.38065458486075693</v>
      </c>
      <c r="U573" s="107"/>
      <c r="V573" s="105">
        <v>189942.83000000002</v>
      </c>
      <c r="W573" s="105">
        <v>258816.12</v>
      </c>
      <c r="X573" s="106">
        <f>+V573-W573</f>
        <v>-68873.289999999979</v>
      </c>
      <c r="Y573" s="300">
        <f>IF(W573&lt;0,IF(X573=0,0,IF(OR(W573=0,V573=0),"N.M.",IF(ABS(X573/W573)&gt;=10,"N.M.",X573/(-W573)))),IF(X573=0,0,IF(OR(W573=0,V573=0),"N.M.",IF(ABS(X573/W573)&gt;=10,"N.M.",X573/W573))))</f>
        <v>-0.26610896570120895</v>
      </c>
      <c r="Z573" s="302"/>
      <c r="AA573" s="108">
        <v>17417.73</v>
      </c>
      <c r="AB573" s="109"/>
      <c r="AC573" s="110">
        <v>36068.980000000003</v>
      </c>
      <c r="AD573" s="110">
        <v>15879</v>
      </c>
      <c r="AE573" s="110">
        <v>21026.21</v>
      </c>
      <c r="AF573" s="110">
        <v>21954.05</v>
      </c>
      <c r="AG573" s="110">
        <v>16674.849999999999</v>
      </c>
      <c r="AH573" s="110">
        <v>21580.43</v>
      </c>
      <c r="AI573" s="110">
        <v>15491.27</v>
      </c>
      <c r="AJ573" s="110">
        <v>18258.41</v>
      </c>
      <c r="AK573" s="110">
        <v>17338.14</v>
      </c>
      <c r="AL573" s="110">
        <v>9508.07</v>
      </c>
      <c r="AM573" s="110">
        <v>13147.74</v>
      </c>
      <c r="AN573" s="110">
        <v>10793.64</v>
      </c>
      <c r="AO573" s="109"/>
      <c r="AP573" s="110">
        <v>6882.7300000000005</v>
      </c>
      <c r="AQ573" s="110">
        <v>12845.15</v>
      </c>
      <c r="AR573" s="110">
        <v>25468.350000000002</v>
      </c>
      <c r="AS573" s="110">
        <v>10000</v>
      </c>
      <c r="AT573" s="110">
        <v>0</v>
      </c>
      <c r="AU573" s="110">
        <v>0</v>
      </c>
      <c r="AV573" s="110">
        <v>0</v>
      </c>
      <c r="AW573" s="110">
        <v>0</v>
      </c>
      <c r="AX573" s="110">
        <v>0</v>
      </c>
      <c r="AY573" s="110">
        <v>0</v>
      </c>
      <c r="AZ573" s="110">
        <v>0</v>
      </c>
      <c r="BA573" s="110">
        <v>0</v>
      </c>
    </row>
    <row r="574" spans="1:53" s="102" customFormat="1" outlineLevel="2">
      <c r="A574" s="102" t="s">
        <v>1447</v>
      </c>
      <c r="B574" s="103" t="s">
        <v>1448</v>
      </c>
      <c r="C574" s="104" t="s">
        <v>1449</v>
      </c>
      <c r="D574" s="298"/>
      <c r="E574" s="299"/>
      <c r="F574" s="105">
        <v>571.89</v>
      </c>
      <c r="G574" s="105">
        <v>12154.49</v>
      </c>
      <c r="H574" s="106">
        <f>+F574-G574</f>
        <v>-11582.6</v>
      </c>
      <c r="I574" s="300">
        <f>IF(G574&lt;0,IF(H574=0,0,IF(OR(G574=0,F574=0),"N.M.",IF(ABS(H574/G574)&gt;=10,"N.M.",H574/(-G574)))),IF(H574=0,0,IF(OR(G574=0,F574=0),"N.M.",IF(ABS(H574/G574)&gt;=10,"N.M.",H574/G574))))</f>
        <v>-0.95294825204512901</v>
      </c>
      <c r="J574" s="107"/>
      <c r="K574" s="105">
        <v>6600.7300000000005</v>
      </c>
      <c r="L574" s="105">
        <v>12920.2</v>
      </c>
      <c r="M574" s="106">
        <f>+K574-L574</f>
        <v>-6319.47</v>
      </c>
      <c r="N574" s="300">
        <f>IF(L574&lt;0,IF(M574=0,0,IF(OR(L574=0,K574=0),"N.M.",IF(ABS(M574/L574)&gt;=10,"N.M.",M574/(-L574)))),IF(M574=0,0,IF(OR(L574=0,K574=0),"N.M.",IF(ABS(M574/L574)&gt;=10,"N.M.",M574/L574))))</f>
        <v>-0.48911549356821099</v>
      </c>
      <c r="O574" s="301"/>
      <c r="P574" s="107"/>
      <c r="Q574" s="105">
        <v>6600.7300000000005</v>
      </c>
      <c r="R574" s="105">
        <v>12920.2</v>
      </c>
      <c r="S574" s="106">
        <f>+Q574-R574</f>
        <v>-6319.47</v>
      </c>
      <c r="T574" s="300">
        <f>IF(R574&lt;0,IF(S574=0,0,IF(OR(R574=0,Q574=0),"N.M.",IF(ABS(S574/R574)&gt;=10,"N.M.",S574/(-R574)))),IF(S574=0,0,IF(OR(R574=0,Q574=0),"N.M.",IF(ABS(S574/R574)&gt;=10,"N.M.",S574/R574))))</f>
        <v>-0.48911549356821099</v>
      </c>
      <c r="U574" s="107"/>
      <c r="V574" s="105">
        <v>24119.57</v>
      </c>
      <c r="W574" s="105">
        <v>43257.270000000004</v>
      </c>
      <c r="X574" s="106">
        <f>+V574-W574</f>
        <v>-19137.700000000004</v>
      </c>
      <c r="Y574" s="300">
        <f>IF(W574&lt;0,IF(X574=0,0,IF(OR(W574=0,V574=0),"N.M.",IF(ABS(X574/W574)&gt;=10,"N.M.",X574/(-W574)))),IF(X574=0,0,IF(OR(W574=0,V574=0),"N.M.",IF(ABS(X574/W574)&gt;=10,"N.M.",X574/W574))))</f>
        <v>-0.44241580663782071</v>
      </c>
      <c r="Z574" s="302"/>
      <c r="AA574" s="108">
        <v>16461.43</v>
      </c>
      <c r="AB574" s="109"/>
      <c r="AC574" s="110">
        <v>174.87</v>
      </c>
      <c r="AD574" s="110">
        <v>590.84</v>
      </c>
      <c r="AE574" s="110">
        <v>12154.49</v>
      </c>
      <c r="AF574" s="110">
        <v>591.14</v>
      </c>
      <c r="AG574" s="110">
        <v>925.95</v>
      </c>
      <c r="AH574" s="110">
        <v>1031.31</v>
      </c>
      <c r="AI574" s="110">
        <v>887.14</v>
      </c>
      <c r="AJ574" s="110">
        <v>4316.17</v>
      </c>
      <c r="AK574" s="110">
        <v>937.41</v>
      </c>
      <c r="AL574" s="110">
        <v>877.4</v>
      </c>
      <c r="AM574" s="110">
        <v>958.54</v>
      </c>
      <c r="AN574" s="110">
        <v>6993.78</v>
      </c>
      <c r="AO574" s="109"/>
      <c r="AP574" s="110">
        <v>5631.54</v>
      </c>
      <c r="AQ574" s="110">
        <v>397.3</v>
      </c>
      <c r="AR574" s="110">
        <v>571.89</v>
      </c>
      <c r="AS574" s="110">
        <v>0</v>
      </c>
      <c r="AT574" s="110">
        <v>0</v>
      </c>
      <c r="AU574" s="110">
        <v>0</v>
      </c>
      <c r="AV574" s="110">
        <v>0</v>
      </c>
      <c r="AW574" s="110">
        <v>0</v>
      </c>
      <c r="AX574" s="110">
        <v>0</v>
      </c>
      <c r="AY574" s="110">
        <v>0</v>
      </c>
      <c r="AZ574" s="110">
        <v>0</v>
      </c>
      <c r="BA574" s="110">
        <v>0</v>
      </c>
    </row>
    <row r="575" spans="1:53" s="131" customFormat="1">
      <c r="A575" s="111" t="s">
        <v>1450</v>
      </c>
      <c r="B575" s="331" t="s">
        <v>1451</v>
      </c>
      <c r="C575" s="347" t="s">
        <v>1452</v>
      </c>
      <c r="D575" s="352"/>
      <c r="E575" s="352"/>
      <c r="F575" s="333">
        <v>26040.240000000002</v>
      </c>
      <c r="G575" s="333">
        <v>33180.699999999997</v>
      </c>
      <c r="H575" s="133">
        <f>+F575-G575</f>
        <v>-7140.4599999999955</v>
      </c>
      <c r="I575" s="138">
        <f>IF(G575&lt;0,IF(H575=0,0,IF(OR(G575=0,F575=0),"N.M.",IF(ABS(H575/G575)&gt;=10,"N.M.",H575/(-G575)))),IF(H575=0,0,IF(OR(G575=0,F575=0),"N.M.",IF(ABS(H575/G575)&gt;=10,"N.M.",H575/G575))))</f>
        <v>-0.21519919712362898</v>
      </c>
      <c r="J575" s="158"/>
      <c r="K575" s="333">
        <v>51796.960000000006</v>
      </c>
      <c r="L575" s="333">
        <v>85894.39</v>
      </c>
      <c r="M575" s="133">
        <f>+K575-L575</f>
        <v>-34097.429999999993</v>
      </c>
      <c r="N575" s="138">
        <f>IF(L575&lt;0,IF(M575=0,0,IF(OR(L575=0,K575=0),"N.M.",IF(ABS(M575/L575)&gt;=10,"N.M.",M575/(-L575)))),IF(M575=0,0,IF(OR(L575=0,K575=0),"N.M.",IF(ABS(M575/L575)&gt;=10,"N.M.",M575/L575))))</f>
        <v>-0.39696923163433601</v>
      </c>
      <c r="O575" s="302"/>
      <c r="P575" s="350"/>
      <c r="Q575" s="333">
        <v>51796.960000000006</v>
      </c>
      <c r="R575" s="333">
        <v>85894.39</v>
      </c>
      <c r="S575" s="133">
        <f>+Q575-R575</f>
        <v>-34097.429999999993</v>
      </c>
      <c r="T575" s="138">
        <f>IF(R575&lt;0,IF(S575=0,0,IF(OR(R575=0,Q575=0),"N.M.",IF(ABS(S575/R575)&gt;=10,"N.M.",S575/(-R575)))),IF(S575=0,0,IF(OR(R575=0,Q575=0),"N.M.",IF(ABS(S575/R575)&gt;=10,"N.M.",S575/R575))))</f>
        <v>-0.39696923163433601</v>
      </c>
      <c r="U575" s="350"/>
      <c r="V575" s="333">
        <v>214062.40000000002</v>
      </c>
      <c r="W575" s="333">
        <v>302073.39</v>
      </c>
      <c r="X575" s="133">
        <f>+V575-W575</f>
        <v>-88010.989999999991</v>
      </c>
      <c r="Y575" s="137">
        <f>IF(W575&lt;0,IF(X575=0,0,IF(OR(W575=0,V575=0),"N.M.",IF(ABS(X575/W575)&gt;=10,"N.M.",X575/(-W575)))),IF(X575=0,0,IF(OR(W575=0,V575=0),"N.M.",IF(ABS(X575/W575)&gt;=10,"N.M.",X575/W575))))</f>
        <v>-0.29135631576154386</v>
      </c>
      <c r="AA575" s="139">
        <v>33879.160000000003</v>
      </c>
      <c r="AB575" s="351"/>
      <c r="AC575" s="333">
        <v>36243.850000000006</v>
      </c>
      <c r="AD575" s="333">
        <v>16469.84</v>
      </c>
      <c r="AE575" s="333">
        <v>33180.699999999997</v>
      </c>
      <c r="AF575" s="333">
        <v>22545.19</v>
      </c>
      <c r="AG575" s="333">
        <v>17600.8</v>
      </c>
      <c r="AH575" s="333">
        <v>22611.74</v>
      </c>
      <c r="AI575" s="333">
        <v>16378.41</v>
      </c>
      <c r="AJ575" s="333">
        <v>22574.58</v>
      </c>
      <c r="AK575" s="333">
        <v>18275.55</v>
      </c>
      <c r="AL575" s="333">
        <v>10385.469999999999</v>
      </c>
      <c r="AM575" s="333">
        <v>14106.279999999999</v>
      </c>
      <c r="AN575" s="333">
        <v>17787.419999999998</v>
      </c>
      <c r="AO575" s="351"/>
      <c r="AP575" s="333">
        <v>12514.27</v>
      </c>
      <c r="AQ575" s="333">
        <v>13242.449999999999</v>
      </c>
      <c r="AR575" s="333">
        <v>26040.240000000002</v>
      </c>
      <c r="AS575" s="333">
        <v>10000</v>
      </c>
      <c r="AT575" s="333">
        <v>0</v>
      </c>
      <c r="AU575" s="333">
        <v>0</v>
      </c>
      <c r="AV575" s="333">
        <v>0</v>
      </c>
      <c r="AW575" s="333">
        <v>0</v>
      </c>
      <c r="AX575" s="333">
        <v>0</v>
      </c>
      <c r="AY575" s="333">
        <v>0</v>
      </c>
      <c r="AZ575" s="333">
        <v>0</v>
      </c>
      <c r="BA575" s="333">
        <v>0</v>
      </c>
    </row>
    <row r="576" spans="1:53" s="131" customFormat="1" ht="0.75" customHeight="1" outlineLevel="2">
      <c r="A576" s="111"/>
      <c r="B576" s="331"/>
      <c r="C576" s="347"/>
      <c r="D576" s="352"/>
      <c r="E576" s="352"/>
      <c r="F576" s="333"/>
      <c r="G576" s="333"/>
      <c r="H576" s="133"/>
      <c r="I576" s="138"/>
      <c r="J576" s="158"/>
      <c r="K576" s="333"/>
      <c r="L576" s="333"/>
      <c r="M576" s="133"/>
      <c r="N576" s="138"/>
      <c r="O576" s="302"/>
      <c r="P576" s="350"/>
      <c r="Q576" s="333"/>
      <c r="R576" s="333"/>
      <c r="S576" s="133"/>
      <c r="T576" s="138"/>
      <c r="U576" s="350"/>
      <c r="V576" s="333"/>
      <c r="W576" s="333"/>
      <c r="X576" s="133"/>
      <c r="Y576" s="137"/>
      <c r="AA576" s="139"/>
      <c r="AB576" s="351"/>
      <c r="AC576" s="333"/>
      <c r="AD576" s="333"/>
      <c r="AE576" s="333"/>
      <c r="AF576" s="333"/>
      <c r="AG576" s="333"/>
      <c r="AH576" s="333"/>
      <c r="AI576" s="333"/>
      <c r="AJ576" s="333"/>
      <c r="AK576" s="333"/>
      <c r="AL576" s="333"/>
      <c r="AM576" s="333"/>
      <c r="AN576" s="333"/>
      <c r="AO576" s="351"/>
      <c r="AP576" s="333"/>
      <c r="AQ576" s="333"/>
      <c r="AR576" s="333"/>
      <c r="AS576" s="333"/>
      <c r="AT576" s="333"/>
      <c r="AU576" s="333"/>
      <c r="AV576" s="333"/>
      <c r="AW576" s="333"/>
      <c r="AX576" s="333"/>
      <c r="AY576" s="333"/>
      <c r="AZ576" s="333"/>
      <c r="BA576" s="333"/>
    </row>
    <row r="577" spans="1:53" s="102" customFormat="1" outlineLevel="2">
      <c r="A577" s="102" t="s">
        <v>1790</v>
      </c>
      <c r="B577" s="103" t="s">
        <v>1791</v>
      </c>
      <c r="C577" s="104" t="s">
        <v>1792</v>
      </c>
      <c r="D577" s="298"/>
      <c r="E577" s="299"/>
      <c r="F577" s="105">
        <v>0</v>
      </c>
      <c r="G577" s="105">
        <v>60</v>
      </c>
      <c r="H577" s="106">
        <f t="shared" ref="H577:H584" si="158">+F577-G577</f>
        <v>-60</v>
      </c>
      <c r="I577" s="300" t="str">
        <f t="shared" ref="I577:I584" si="159">IF(G577&lt;0,IF(H577=0,0,IF(OR(G577=0,F577=0),"N.M.",IF(ABS(H577/G577)&gt;=10,"N.M.",H577/(-G577)))),IF(H577=0,0,IF(OR(G577=0,F577=0),"N.M.",IF(ABS(H577/G577)&gt;=10,"N.M.",H577/G577))))</f>
        <v>N.M.</v>
      </c>
      <c r="J577" s="107"/>
      <c r="K577" s="105">
        <v>0</v>
      </c>
      <c r="L577" s="105">
        <v>60</v>
      </c>
      <c r="M577" s="106">
        <f t="shared" ref="M577:M584" si="160">+K577-L577</f>
        <v>-60</v>
      </c>
      <c r="N577" s="300" t="str">
        <f t="shared" ref="N577:N584" si="161">IF(L577&lt;0,IF(M577=0,0,IF(OR(L577=0,K577=0),"N.M.",IF(ABS(M577/L577)&gt;=10,"N.M.",M577/(-L577)))),IF(M577=0,0,IF(OR(L577=0,K577=0),"N.M.",IF(ABS(M577/L577)&gt;=10,"N.M.",M577/L577))))</f>
        <v>N.M.</v>
      </c>
      <c r="O577" s="301"/>
      <c r="P577" s="107"/>
      <c r="Q577" s="105">
        <v>0</v>
      </c>
      <c r="R577" s="105">
        <v>60</v>
      </c>
      <c r="S577" s="106">
        <f t="shared" ref="S577:S584" si="162">+Q577-R577</f>
        <v>-60</v>
      </c>
      <c r="T577" s="300" t="str">
        <f t="shared" ref="T577:T584" si="163">IF(R577&lt;0,IF(S577=0,0,IF(OR(R577=0,Q577=0),"N.M.",IF(ABS(S577/R577)&gt;=10,"N.M.",S577/(-R577)))),IF(S577=0,0,IF(OR(R577=0,Q577=0),"N.M.",IF(ABS(S577/R577)&gt;=10,"N.M.",S577/R577))))</f>
        <v>N.M.</v>
      </c>
      <c r="U577" s="107"/>
      <c r="V577" s="105">
        <v>0</v>
      </c>
      <c r="W577" s="105">
        <v>60</v>
      </c>
      <c r="X577" s="106">
        <f t="shared" ref="X577:X584" si="164">+V577-W577</f>
        <v>-60</v>
      </c>
      <c r="Y577" s="300" t="str">
        <f t="shared" ref="Y577:Y584" si="165">IF(W577&lt;0,IF(X577=0,0,IF(OR(W577=0,V577=0),"N.M.",IF(ABS(X577/W577)&gt;=10,"N.M.",X577/(-W577)))),IF(X577=0,0,IF(OR(W577=0,V577=0),"N.M.",IF(ABS(X577/W577)&gt;=10,"N.M.",X577/W577))))</f>
        <v>N.M.</v>
      </c>
      <c r="Z577" s="302"/>
      <c r="AA577" s="108">
        <v>0</v>
      </c>
      <c r="AB577" s="109"/>
      <c r="AC577" s="110">
        <v>0</v>
      </c>
      <c r="AD577" s="110">
        <v>0</v>
      </c>
      <c r="AE577" s="110">
        <v>60</v>
      </c>
      <c r="AF577" s="110">
        <v>0</v>
      </c>
      <c r="AG577" s="110">
        <v>0</v>
      </c>
      <c r="AH577" s="110">
        <v>0</v>
      </c>
      <c r="AI577" s="110">
        <v>0</v>
      </c>
      <c r="AJ577" s="110">
        <v>0</v>
      </c>
      <c r="AK577" s="110">
        <v>0</v>
      </c>
      <c r="AL577" s="110">
        <v>0</v>
      </c>
      <c r="AM577" s="110">
        <v>0</v>
      </c>
      <c r="AN577" s="110">
        <v>0</v>
      </c>
      <c r="AO577" s="109"/>
      <c r="AP577" s="110">
        <v>0</v>
      </c>
      <c r="AQ577" s="110">
        <v>0</v>
      </c>
      <c r="AR577" s="110">
        <v>0</v>
      </c>
      <c r="AS577" s="110">
        <v>0</v>
      </c>
      <c r="AT577" s="110">
        <v>0</v>
      </c>
      <c r="AU577" s="110">
        <v>0</v>
      </c>
      <c r="AV577" s="110">
        <v>0</v>
      </c>
      <c r="AW577" s="110">
        <v>0</v>
      </c>
      <c r="AX577" s="110">
        <v>0</v>
      </c>
      <c r="AY577" s="110">
        <v>0</v>
      </c>
      <c r="AZ577" s="110">
        <v>0</v>
      </c>
      <c r="BA577" s="110">
        <v>0</v>
      </c>
    </row>
    <row r="578" spans="1:53" s="102" customFormat="1" outlineLevel="2">
      <c r="A578" s="102" t="s">
        <v>1453</v>
      </c>
      <c r="B578" s="103" t="s">
        <v>1454</v>
      </c>
      <c r="C578" s="104" t="s">
        <v>1455</v>
      </c>
      <c r="D578" s="298"/>
      <c r="E578" s="299"/>
      <c r="F578" s="105">
        <v>8759.43</v>
      </c>
      <c r="G578" s="105">
        <v>4833.66</v>
      </c>
      <c r="H578" s="106">
        <f t="shared" si="158"/>
        <v>3925.7700000000004</v>
      </c>
      <c r="I578" s="300">
        <f t="shared" si="159"/>
        <v>0.81217338414369245</v>
      </c>
      <c r="J578" s="107"/>
      <c r="K578" s="105">
        <v>15851.75</v>
      </c>
      <c r="L578" s="105">
        <v>-391006.48</v>
      </c>
      <c r="M578" s="106">
        <f t="shared" si="160"/>
        <v>406858.23</v>
      </c>
      <c r="N578" s="300">
        <f t="shared" si="161"/>
        <v>1.0405408882226197</v>
      </c>
      <c r="O578" s="301"/>
      <c r="P578" s="107"/>
      <c r="Q578" s="105">
        <v>15851.75</v>
      </c>
      <c r="R578" s="105">
        <v>-391006.48</v>
      </c>
      <c r="S578" s="106">
        <f t="shared" si="162"/>
        <v>406858.23</v>
      </c>
      <c r="T578" s="300">
        <f t="shared" si="163"/>
        <v>1.0405408882226197</v>
      </c>
      <c r="U578" s="107"/>
      <c r="V578" s="105">
        <v>207336.91</v>
      </c>
      <c r="W578" s="105">
        <v>111244.27000000002</v>
      </c>
      <c r="X578" s="106">
        <f t="shared" si="164"/>
        <v>96092.639999999985</v>
      </c>
      <c r="Y578" s="300">
        <f t="shared" si="165"/>
        <v>0.86379855789426252</v>
      </c>
      <c r="Z578" s="302"/>
      <c r="AA578" s="108">
        <v>451575.48</v>
      </c>
      <c r="AB578" s="109"/>
      <c r="AC578" s="110">
        <v>10518.76</v>
      </c>
      <c r="AD578" s="110">
        <v>-406358.9</v>
      </c>
      <c r="AE578" s="110">
        <v>4833.66</v>
      </c>
      <c r="AF578" s="110">
        <v>9183.65</v>
      </c>
      <c r="AG578" s="110">
        <v>13321.82</v>
      </c>
      <c r="AH578" s="110">
        <v>18041.98</v>
      </c>
      <c r="AI578" s="110">
        <v>3896.27</v>
      </c>
      <c r="AJ578" s="110">
        <v>16337.57</v>
      </c>
      <c r="AK578" s="110">
        <v>11041.25</v>
      </c>
      <c r="AL578" s="110">
        <v>95402.72</v>
      </c>
      <c r="AM578" s="110">
        <v>6925.13</v>
      </c>
      <c r="AN578" s="110">
        <v>17334.77</v>
      </c>
      <c r="AO578" s="109"/>
      <c r="AP578" s="110">
        <v>4568.5600000000004</v>
      </c>
      <c r="AQ578" s="110">
        <v>2523.7600000000002</v>
      </c>
      <c r="AR578" s="110">
        <v>8759.43</v>
      </c>
      <c r="AS578" s="110">
        <v>0</v>
      </c>
      <c r="AT578" s="110">
        <v>0</v>
      </c>
      <c r="AU578" s="110">
        <v>0</v>
      </c>
      <c r="AV578" s="110">
        <v>0</v>
      </c>
      <c r="AW578" s="110">
        <v>0</v>
      </c>
      <c r="AX578" s="110">
        <v>0</v>
      </c>
      <c r="AY578" s="110">
        <v>0</v>
      </c>
      <c r="AZ578" s="110">
        <v>0</v>
      </c>
      <c r="BA578" s="110">
        <v>0</v>
      </c>
    </row>
    <row r="579" spans="1:53" s="102" customFormat="1" outlineLevel="2">
      <c r="A579" s="102" t="s">
        <v>1456</v>
      </c>
      <c r="B579" s="103" t="s">
        <v>1457</v>
      </c>
      <c r="C579" s="104" t="s">
        <v>1458</v>
      </c>
      <c r="D579" s="298"/>
      <c r="E579" s="299"/>
      <c r="F579" s="105">
        <v>658.69</v>
      </c>
      <c r="G579" s="105">
        <v>10200.94</v>
      </c>
      <c r="H579" s="106">
        <f t="shared" si="158"/>
        <v>-9542.25</v>
      </c>
      <c r="I579" s="300">
        <f t="shared" si="159"/>
        <v>-0.93542849972649578</v>
      </c>
      <c r="J579" s="107"/>
      <c r="K579" s="105">
        <v>12164.65</v>
      </c>
      <c r="L579" s="105">
        <v>51476.23</v>
      </c>
      <c r="M579" s="106">
        <f t="shared" si="160"/>
        <v>-39311.58</v>
      </c>
      <c r="N579" s="300">
        <f t="shared" si="161"/>
        <v>-0.76368413149136993</v>
      </c>
      <c r="O579" s="301"/>
      <c r="P579" s="107"/>
      <c r="Q579" s="105">
        <v>12164.65</v>
      </c>
      <c r="R579" s="105">
        <v>51476.23</v>
      </c>
      <c r="S579" s="106">
        <f t="shared" si="162"/>
        <v>-39311.58</v>
      </c>
      <c r="T579" s="300">
        <f t="shared" si="163"/>
        <v>-0.76368413149136993</v>
      </c>
      <c r="U579" s="107"/>
      <c r="V579" s="105">
        <v>41518.68</v>
      </c>
      <c r="W579" s="105">
        <v>108468.44</v>
      </c>
      <c r="X579" s="106">
        <f t="shared" si="164"/>
        <v>-66949.760000000009</v>
      </c>
      <c r="Y579" s="300">
        <f t="shared" si="165"/>
        <v>-0.61722801581731979</v>
      </c>
      <c r="Z579" s="302"/>
      <c r="AA579" s="108">
        <v>42356.46</v>
      </c>
      <c r="AB579" s="109"/>
      <c r="AC579" s="110">
        <v>36722.700000000004</v>
      </c>
      <c r="AD579" s="110">
        <v>4552.59</v>
      </c>
      <c r="AE579" s="110">
        <v>10200.94</v>
      </c>
      <c r="AF579" s="110">
        <v>63.6</v>
      </c>
      <c r="AG579" s="110">
        <v>3746.85</v>
      </c>
      <c r="AH579" s="110">
        <v>473.59000000000003</v>
      </c>
      <c r="AI579" s="110">
        <v>329.90000000000003</v>
      </c>
      <c r="AJ579" s="110">
        <v>2352.4299999999998</v>
      </c>
      <c r="AK579" s="110">
        <v>40.54</v>
      </c>
      <c r="AL579" s="110">
        <v>183.70000000000002</v>
      </c>
      <c r="AM579" s="110">
        <v>8286.5</v>
      </c>
      <c r="AN579" s="110">
        <v>13876.92</v>
      </c>
      <c r="AO579" s="109"/>
      <c r="AP579" s="110">
        <v>10462.870000000001</v>
      </c>
      <c r="AQ579" s="110">
        <v>1043.0899999999999</v>
      </c>
      <c r="AR579" s="110">
        <v>658.69</v>
      </c>
      <c r="AS579" s="110">
        <v>0</v>
      </c>
      <c r="AT579" s="110">
        <v>0</v>
      </c>
      <c r="AU579" s="110">
        <v>0</v>
      </c>
      <c r="AV579" s="110">
        <v>0</v>
      </c>
      <c r="AW579" s="110">
        <v>0</v>
      </c>
      <c r="AX579" s="110">
        <v>0</v>
      </c>
      <c r="AY579" s="110">
        <v>0</v>
      </c>
      <c r="AZ579" s="110">
        <v>0</v>
      </c>
      <c r="BA579" s="110">
        <v>0</v>
      </c>
    </row>
    <row r="580" spans="1:53" s="102" customFormat="1" outlineLevel="2">
      <c r="A580" s="102" t="s">
        <v>1459</v>
      </c>
      <c r="B580" s="103" t="s">
        <v>1460</v>
      </c>
      <c r="C580" s="104" t="s">
        <v>1461</v>
      </c>
      <c r="D580" s="298"/>
      <c r="E580" s="299"/>
      <c r="F580" s="105">
        <v>0</v>
      </c>
      <c r="G580" s="105">
        <v>0</v>
      </c>
      <c r="H580" s="106">
        <f t="shared" si="158"/>
        <v>0</v>
      </c>
      <c r="I580" s="300">
        <f t="shared" si="159"/>
        <v>0</v>
      </c>
      <c r="J580" s="107"/>
      <c r="K580" s="105">
        <v>0</v>
      </c>
      <c r="L580" s="105">
        <v>1976.16</v>
      </c>
      <c r="M580" s="106">
        <f t="shared" si="160"/>
        <v>-1976.16</v>
      </c>
      <c r="N580" s="300" t="str">
        <f t="shared" si="161"/>
        <v>N.M.</v>
      </c>
      <c r="O580" s="301"/>
      <c r="P580" s="107"/>
      <c r="Q580" s="105">
        <v>0</v>
      </c>
      <c r="R580" s="105">
        <v>1976.16</v>
      </c>
      <c r="S580" s="106">
        <f t="shared" si="162"/>
        <v>-1976.16</v>
      </c>
      <c r="T580" s="300" t="str">
        <f t="shared" si="163"/>
        <v>N.M.</v>
      </c>
      <c r="U580" s="107"/>
      <c r="V580" s="105">
        <v>1954.95</v>
      </c>
      <c r="W580" s="105">
        <v>11118.31</v>
      </c>
      <c r="X580" s="106">
        <f t="shared" si="164"/>
        <v>-9163.3599999999988</v>
      </c>
      <c r="Y580" s="300">
        <f t="shared" si="165"/>
        <v>-0.82416842127985268</v>
      </c>
      <c r="Z580" s="302"/>
      <c r="AA580" s="108">
        <v>1007.95</v>
      </c>
      <c r="AB580" s="109"/>
      <c r="AC580" s="110">
        <v>0</v>
      </c>
      <c r="AD580" s="110">
        <v>1976.16</v>
      </c>
      <c r="AE580" s="110">
        <v>0</v>
      </c>
      <c r="AF580" s="110">
        <v>976.81000000000006</v>
      </c>
      <c r="AG580" s="110">
        <v>978.14</v>
      </c>
      <c r="AH580" s="110">
        <v>0</v>
      </c>
      <c r="AI580" s="110">
        <v>0</v>
      </c>
      <c r="AJ580" s="110">
        <v>0</v>
      </c>
      <c r="AK580" s="110">
        <v>0</v>
      </c>
      <c r="AL580" s="110">
        <v>0</v>
      </c>
      <c r="AM580" s="110">
        <v>0</v>
      </c>
      <c r="AN580" s="110">
        <v>0</v>
      </c>
      <c r="AO580" s="109"/>
      <c r="AP580" s="110">
        <v>0</v>
      </c>
      <c r="AQ580" s="110">
        <v>0</v>
      </c>
      <c r="AR580" s="110">
        <v>0</v>
      </c>
      <c r="AS580" s="110">
        <v>0</v>
      </c>
      <c r="AT580" s="110">
        <v>0</v>
      </c>
      <c r="AU580" s="110">
        <v>0</v>
      </c>
      <c r="AV580" s="110">
        <v>0</v>
      </c>
      <c r="AW580" s="110">
        <v>0</v>
      </c>
      <c r="AX580" s="110">
        <v>0</v>
      </c>
      <c r="AY580" s="110">
        <v>0</v>
      </c>
      <c r="AZ580" s="110">
        <v>0</v>
      </c>
      <c r="BA580" s="110">
        <v>0</v>
      </c>
    </row>
    <row r="581" spans="1:53" s="102" customFormat="1" outlineLevel="2">
      <c r="A581" s="102" t="s">
        <v>1272</v>
      </c>
      <c r="B581" s="103" t="s">
        <v>1273</v>
      </c>
      <c r="C581" s="104" t="s">
        <v>1274</v>
      </c>
      <c r="D581" s="298"/>
      <c r="E581" s="299"/>
      <c r="F581" s="105">
        <v>0</v>
      </c>
      <c r="G581" s="105">
        <v>-2.86</v>
      </c>
      <c r="H581" s="106">
        <f t="shared" si="158"/>
        <v>2.86</v>
      </c>
      <c r="I581" s="300" t="str">
        <f t="shared" si="159"/>
        <v>N.M.</v>
      </c>
      <c r="J581" s="107"/>
      <c r="K581" s="105">
        <v>0</v>
      </c>
      <c r="L581" s="105">
        <v>102509.55</v>
      </c>
      <c r="M581" s="106">
        <f t="shared" si="160"/>
        <v>-102509.55</v>
      </c>
      <c r="N581" s="300" t="str">
        <f t="shared" si="161"/>
        <v>N.M.</v>
      </c>
      <c r="O581" s="301"/>
      <c r="P581" s="107"/>
      <c r="Q581" s="105">
        <v>0</v>
      </c>
      <c r="R581" s="105">
        <v>102509.55</v>
      </c>
      <c r="S581" s="106">
        <f t="shared" si="162"/>
        <v>-102509.55</v>
      </c>
      <c r="T581" s="300" t="str">
        <f t="shared" si="163"/>
        <v>N.M.</v>
      </c>
      <c r="U581" s="107"/>
      <c r="V581" s="105">
        <v>-5.97</v>
      </c>
      <c r="W581" s="105">
        <v>1213719.8700000001</v>
      </c>
      <c r="X581" s="106">
        <f t="shared" si="164"/>
        <v>-1213725.8400000001</v>
      </c>
      <c r="Y581" s="300">
        <f t="shared" si="165"/>
        <v>-1.0000049187626796</v>
      </c>
      <c r="Z581" s="302"/>
      <c r="AA581" s="108">
        <v>60161.61</v>
      </c>
      <c r="AB581" s="109"/>
      <c r="AC581" s="110">
        <v>42482.340000000004</v>
      </c>
      <c r="AD581" s="110">
        <v>60030.07</v>
      </c>
      <c r="AE581" s="110">
        <v>-2.86</v>
      </c>
      <c r="AF581" s="110">
        <v>0</v>
      </c>
      <c r="AG581" s="110">
        <v>-0.25</v>
      </c>
      <c r="AH581" s="110">
        <v>-5.72</v>
      </c>
      <c r="AI581" s="110">
        <v>0</v>
      </c>
      <c r="AJ581" s="110">
        <v>0</v>
      </c>
      <c r="AK581" s="110">
        <v>0</v>
      </c>
      <c r="AL581" s="110">
        <v>0</v>
      </c>
      <c r="AM581" s="110">
        <v>0</v>
      </c>
      <c r="AN581" s="110">
        <v>0</v>
      </c>
      <c r="AO581" s="109"/>
      <c r="AP581" s="110">
        <v>0</v>
      </c>
      <c r="AQ581" s="110">
        <v>0</v>
      </c>
      <c r="AR581" s="110">
        <v>0</v>
      </c>
      <c r="AS581" s="110">
        <v>0</v>
      </c>
      <c r="AT581" s="110">
        <v>0</v>
      </c>
      <c r="AU581" s="110">
        <v>0</v>
      </c>
      <c r="AV581" s="110">
        <v>0</v>
      </c>
      <c r="AW581" s="110">
        <v>0</v>
      </c>
      <c r="AX581" s="110">
        <v>0</v>
      </c>
      <c r="AY581" s="110">
        <v>0</v>
      </c>
      <c r="AZ581" s="110">
        <v>0</v>
      </c>
      <c r="BA581" s="110">
        <v>0</v>
      </c>
    </row>
    <row r="582" spans="1:53" s="102" customFormat="1" outlineLevel="2">
      <c r="A582" s="102" t="s">
        <v>1275</v>
      </c>
      <c r="B582" s="103" t="s">
        <v>1276</v>
      </c>
      <c r="C582" s="104" t="s">
        <v>1277</v>
      </c>
      <c r="D582" s="298"/>
      <c r="E582" s="299"/>
      <c r="F582" s="105">
        <v>0</v>
      </c>
      <c r="G582" s="105">
        <v>0</v>
      </c>
      <c r="H582" s="106">
        <f t="shared" si="158"/>
        <v>0</v>
      </c>
      <c r="I582" s="300">
        <f t="shared" si="159"/>
        <v>0</v>
      </c>
      <c r="J582" s="107"/>
      <c r="K582" s="105">
        <v>0</v>
      </c>
      <c r="L582" s="105">
        <v>192670.15</v>
      </c>
      <c r="M582" s="106">
        <f t="shared" si="160"/>
        <v>-192670.15</v>
      </c>
      <c r="N582" s="300" t="str">
        <f t="shared" si="161"/>
        <v>N.M.</v>
      </c>
      <c r="O582" s="301"/>
      <c r="P582" s="107"/>
      <c r="Q582" s="105">
        <v>0</v>
      </c>
      <c r="R582" s="105">
        <v>192670.15</v>
      </c>
      <c r="S582" s="106">
        <f t="shared" si="162"/>
        <v>-192670.15</v>
      </c>
      <c r="T582" s="300" t="str">
        <f t="shared" si="163"/>
        <v>N.M.</v>
      </c>
      <c r="U582" s="107"/>
      <c r="V582" s="105">
        <v>-232191.79</v>
      </c>
      <c r="W582" s="105">
        <v>790296.34000000008</v>
      </c>
      <c r="X582" s="106">
        <f t="shared" si="164"/>
        <v>-1022488.1300000001</v>
      </c>
      <c r="Y582" s="300">
        <f t="shared" si="165"/>
        <v>-1.2938034484633953</v>
      </c>
      <c r="Z582" s="302"/>
      <c r="AA582" s="108">
        <v>318088.77</v>
      </c>
      <c r="AB582" s="109"/>
      <c r="AC582" s="110">
        <v>368396.63</v>
      </c>
      <c r="AD582" s="110">
        <v>-175726.48</v>
      </c>
      <c r="AE582" s="110">
        <v>0</v>
      </c>
      <c r="AF582" s="110">
        <v>1334.73</v>
      </c>
      <c r="AG582" s="110">
        <v>2034.06</v>
      </c>
      <c r="AH582" s="110">
        <v>-235560.58000000002</v>
      </c>
      <c r="AI582" s="110">
        <v>0</v>
      </c>
      <c r="AJ582" s="110">
        <v>0</v>
      </c>
      <c r="AK582" s="110">
        <v>0</v>
      </c>
      <c r="AL582" s="110">
        <v>0</v>
      </c>
      <c r="AM582" s="110">
        <v>0</v>
      </c>
      <c r="AN582" s="110">
        <v>0</v>
      </c>
      <c r="AO582" s="109"/>
      <c r="AP582" s="110">
        <v>0</v>
      </c>
      <c r="AQ582" s="110">
        <v>0</v>
      </c>
      <c r="AR582" s="110">
        <v>0</v>
      </c>
      <c r="AS582" s="110">
        <v>0</v>
      </c>
      <c r="AT582" s="110">
        <v>0</v>
      </c>
      <c r="AU582" s="110">
        <v>0</v>
      </c>
      <c r="AV582" s="110">
        <v>0</v>
      </c>
      <c r="AW582" s="110">
        <v>0</v>
      </c>
      <c r="AX582" s="110">
        <v>0</v>
      </c>
      <c r="AY582" s="110">
        <v>0</v>
      </c>
      <c r="AZ582" s="110">
        <v>0</v>
      </c>
      <c r="BA582" s="110">
        <v>0</v>
      </c>
    </row>
    <row r="583" spans="1:53" s="102" customFormat="1" outlineLevel="2">
      <c r="A583" s="102" t="s">
        <v>1462</v>
      </c>
      <c r="B583" s="103" t="s">
        <v>1463</v>
      </c>
      <c r="C583" s="104" t="s">
        <v>1464</v>
      </c>
      <c r="D583" s="298"/>
      <c r="E583" s="299"/>
      <c r="F583" s="105">
        <v>0</v>
      </c>
      <c r="G583" s="105">
        <v>73506.27</v>
      </c>
      <c r="H583" s="106">
        <f t="shared" si="158"/>
        <v>-73506.27</v>
      </c>
      <c r="I583" s="300" t="str">
        <f t="shared" si="159"/>
        <v>N.M.</v>
      </c>
      <c r="J583" s="107"/>
      <c r="K583" s="105">
        <v>0</v>
      </c>
      <c r="L583" s="105">
        <v>141623.97</v>
      </c>
      <c r="M583" s="106">
        <f t="shared" si="160"/>
        <v>-141623.97</v>
      </c>
      <c r="N583" s="300" t="str">
        <f t="shared" si="161"/>
        <v>N.M.</v>
      </c>
      <c r="O583" s="301"/>
      <c r="P583" s="107"/>
      <c r="Q583" s="105">
        <v>0</v>
      </c>
      <c r="R583" s="105">
        <v>141623.97</v>
      </c>
      <c r="S583" s="106">
        <f t="shared" si="162"/>
        <v>-141623.97</v>
      </c>
      <c r="T583" s="300" t="str">
        <f t="shared" si="163"/>
        <v>N.M.</v>
      </c>
      <c r="U583" s="107"/>
      <c r="V583" s="105">
        <v>54122.64</v>
      </c>
      <c r="W583" s="105">
        <v>172008.61</v>
      </c>
      <c r="X583" s="106">
        <f t="shared" si="164"/>
        <v>-117885.96999999999</v>
      </c>
      <c r="Y583" s="300">
        <f t="shared" si="165"/>
        <v>-0.68534923920378166</v>
      </c>
      <c r="Z583" s="302"/>
      <c r="AA583" s="108">
        <v>30384.639999999999</v>
      </c>
      <c r="AB583" s="109"/>
      <c r="AC583" s="110">
        <v>45021.090000000004</v>
      </c>
      <c r="AD583" s="110">
        <v>23096.61</v>
      </c>
      <c r="AE583" s="110">
        <v>73506.27</v>
      </c>
      <c r="AF583" s="110">
        <v>4580.22</v>
      </c>
      <c r="AG583" s="110">
        <v>15117.93</v>
      </c>
      <c r="AH583" s="110">
        <v>3845.8</v>
      </c>
      <c r="AI583" s="110">
        <v>9522.43</v>
      </c>
      <c r="AJ583" s="110">
        <v>6771.92</v>
      </c>
      <c r="AK583" s="110">
        <v>5279.1900000000005</v>
      </c>
      <c r="AL583" s="110">
        <v>3427.4300000000003</v>
      </c>
      <c r="AM583" s="110">
        <v>5303.72</v>
      </c>
      <c r="AN583" s="110">
        <v>274</v>
      </c>
      <c r="AO583" s="109"/>
      <c r="AP583" s="110">
        <v>0</v>
      </c>
      <c r="AQ583" s="110">
        <v>0</v>
      </c>
      <c r="AR583" s="110">
        <v>0</v>
      </c>
      <c r="AS583" s="110">
        <v>0</v>
      </c>
      <c r="AT583" s="110">
        <v>0</v>
      </c>
      <c r="AU583" s="110">
        <v>0</v>
      </c>
      <c r="AV583" s="110">
        <v>0</v>
      </c>
      <c r="AW583" s="110">
        <v>0</v>
      </c>
      <c r="AX583" s="110">
        <v>0</v>
      </c>
      <c r="AY583" s="110">
        <v>0</v>
      </c>
      <c r="AZ583" s="110">
        <v>0</v>
      </c>
      <c r="BA583" s="110">
        <v>0</v>
      </c>
    </row>
    <row r="584" spans="1:53" s="131" customFormat="1">
      <c r="A584" s="111" t="s">
        <v>1465</v>
      </c>
      <c r="B584" s="331" t="s">
        <v>1466</v>
      </c>
      <c r="C584" s="365" t="s">
        <v>1467</v>
      </c>
      <c r="D584" s="366"/>
      <c r="E584" s="366"/>
      <c r="F584" s="146">
        <v>9418.1200000000008</v>
      </c>
      <c r="G584" s="146">
        <v>88598.010000000009</v>
      </c>
      <c r="H584" s="367">
        <f t="shared" si="158"/>
        <v>-79179.890000000014</v>
      </c>
      <c r="I584" s="147">
        <f t="shared" si="159"/>
        <v>-0.89369828961169673</v>
      </c>
      <c r="J584" s="368"/>
      <c r="K584" s="146">
        <v>28016.400000000001</v>
      </c>
      <c r="L584" s="146">
        <v>99309.579999999958</v>
      </c>
      <c r="M584" s="367">
        <f t="shared" si="160"/>
        <v>-71293.179999999964</v>
      </c>
      <c r="N584" s="147">
        <f t="shared" si="161"/>
        <v>-0.71788824401432361</v>
      </c>
      <c r="O584" s="369"/>
      <c r="P584" s="370"/>
      <c r="Q584" s="146">
        <v>28016.400000000001</v>
      </c>
      <c r="R584" s="146">
        <v>99309.579999999958</v>
      </c>
      <c r="S584" s="367">
        <f t="shared" si="162"/>
        <v>-71293.179999999964</v>
      </c>
      <c r="T584" s="147">
        <f t="shared" si="163"/>
        <v>-0.71788824401432361</v>
      </c>
      <c r="U584" s="370"/>
      <c r="V584" s="146">
        <v>72735.42</v>
      </c>
      <c r="W584" s="146">
        <v>2406915.8400000003</v>
      </c>
      <c r="X584" s="367">
        <f t="shared" si="164"/>
        <v>-2334180.4200000004</v>
      </c>
      <c r="Y584" s="148">
        <f t="shared" si="165"/>
        <v>-0.9697806550643665</v>
      </c>
      <c r="Z584" s="371"/>
      <c r="AA584" s="149">
        <v>903574.91</v>
      </c>
      <c r="AB584" s="150"/>
      <c r="AC584" s="146">
        <v>503141.52000000008</v>
      </c>
      <c r="AD584" s="146">
        <v>-492429.95000000007</v>
      </c>
      <c r="AE584" s="146">
        <v>88598.010000000009</v>
      </c>
      <c r="AF584" s="146">
        <v>16139.009999999998</v>
      </c>
      <c r="AG584" s="146">
        <v>35198.550000000003</v>
      </c>
      <c r="AH584" s="146">
        <v>-213204.93000000002</v>
      </c>
      <c r="AI584" s="146">
        <v>13748.6</v>
      </c>
      <c r="AJ584" s="146">
        <v>25461.919999999998</v>
      </c>
      <c r="AK584" s="146">
        <v>16360.980000000001</v>
      </c>
      <c r="AL584" s="146">
        <v>99013.85</v>
      </c>
      <c r="AM584" s="146">
        <v>20515.350000000002</v>
      </c>
      <c r="AN584" s="146">
        <v>31485.690000000002</v>
      </c>
      <c r="AO584" s="150"/>
      <c r="AP584" s="146">
        <v>15031.43</v>
      </c>
      <c r="AQ584" s="146">
        <v>3566.8500000000004</v>
      </c>
      <c r="AR584" s="146">
        <v>9418.1200000000008</v>
      </c>
      <c r="AS584" s="146">
        <v>0</v>
      </c>
      <c r="AT584" s="146">
        <v>0</v>
      </c>
      <c r="AU584" s="146">
        <v>0</v>
      </c>
      <c r="AV584" s="146">
        <v>0</v>
      </c>
      <c r="AW584" s="146">
        <v>0</v>
      </c>
      <c r="AX584" s="146">
        <v>0</v>
      </c>
      <c r="AY584" s="146">
        <v>0</v>
      </c>
      <c r="AZ584" s="146">
        <v>0</v>
      </c>
      <c r="BA584" s="146">
        <v>0</v>
      </c>
    </row>
    <row r="585" spans="1:53" s="131" customFormat="1" ht="0.75" customHeight="1" outlineLevel="2">
      <c r="A585" s="111"/>
      <c r="B585" s="331"/>
      <c r="C585" s="347"/>
      <c r="D585" s="352"/>
      <c r="E585" s="352"/>
      <c r="F585" s="333"/>
      <c r="G585" s="333"/>
      <c r="H585" s="133"/>
      <c r="I585" s="138"/>
      <c r="J585" s="158"/>
      <c r="K585" s="333"/>
      <c r="L585" s="333"/>
      <c r="M585" s="133"/>
      <c r="N585" s="138"/>
      <c r="O585" s="302"/>
      <c r="P585" s="350"/>
      <c r="Q585" s="333"/>
      <c r="R585" s="333"/>
      <c r="S585" s="133"/>
      <c r="T585" s="138"/>
      <c r="U585" s="350"/>
      <c r="V585" s="333"/>
      <c r="W585" s="333"/>
      <c r="X585" s="133"/>
      <c r="Y585" s="137"/>
      <c r="AA585" s="139"/>
      <c r="AB585" s="351"/>
      <c r="AC585" s="333"/>
      <c r="AD585" s="333"/>
      <c r="AE585" s="333"/>
      <c r="AF585" s="333"/>
      <c r="AG585" s="333"/>
      <c r="AH585" s="333"/>
      <c r="AI585" s="333"/>
      <c r="AJ585" s="333"/>
      <c r="AK585" s="333"/>
      <c r="AL585" s="333"/>
      <c r="AM585" s="333"/>
      <c r="AN585" s="333"/>
      <c r="AO585" s="351"/>
      <c r="AP585" s="333"/>
      <c r="AQ585" s="333"/>
      <c r="AR585" s="333"/>
      <c r="AS585" s="333"/>
      <c r="AT585" s="333"/>
      <c r="AU585" s="333"/>
      <c r="AV585" s="333"/>
      <c r="AW585" s="333"/>
      <c r="AX585" s="333"/>
      <c r="AY585" s="333"/>
      <c r="AZ585" s="333"/>
      <c r="BA585" s="333"/>
    </row>
    <row r="586" spans="1:53" s="131" customFormat="1">
      <c r="A586" s="111"/>
      <c r="B586" s="331" t="s">
        <v>1468</v>
      </c>
      <c r="C586" s="372" t="s">
        <v>1469</v>
      </c>
      <c r="D586" s="373"/>
      <c r="E586" s="373"/>
      <c r="F586" s="374">
        <f>+F584+F575+F571+F567+F565+F562+F560</f>
        <v>123286.15400000001</v>
      </c>
      <c r="G586" s="374">
        <f>+G584+G575+G571+G567+G565+G562+G560</f>
        <v>202907.48</v>
      </c>
      <c r="H586" s="375">
        <f>+F586-G586</f>
        <v>-79621.326000000001</v>
      </c>
      <c r="I586" s="151">
        <f>IF(G586&lt;0,IF(H586=0,0,IF(OR(G586=0,F586=0),"N.M.",IF(ABS(H586/G586)&gt;=10,"N.M.",H586/(-G586)))),IF(H586=0,0,IF(OR(G586=0,F586=0),"N.M.",IF(ABS(H586/G586)&gt;=10,"N.M.",H586/G586))))</f>
        <v>-0.39240212337169628</v>
      </c>
      <c r="J586" s="158"/>
      <c r="K586" s="374">
        <f>+K584+K575+K571+K567+K565+K562+K560</f>
        <v>328630.40400000004</v>
      </c>
      <c r="L586" s="374">
        <f>+L584+L575+L571+L567+L565+L562+L560</f>
        <v>422445.97</v>
      </c>
      <c r="M586" s="375">
        <f>+K586-L586</f>
        <v>-93815.565999999933</v>
      </c>
      <c r="N586" s="151">
        <f>IF(L586&lt;0,IF(M586=0,0,IF(OR(L586=0,K586=0),"N.M.",IF(ABS(M586/L586)&gt;=10,"N.M.",M586/(-L586)))),IF(M586=0,0,IF(OR(L586=0,K586=0),"N.M.",IF(ABS(M586/L586)&gt;=10,"N.M.",M586/L586))))</f>
        <v>-0.22207707650755892</v>
      </c>
      <c r="O586" s="321"/>
      <c r="P586" s="364"/>
      <c r="Q586" s="374">
        <f>+Q584+Q575+Q571+Q567+Q565+Q562+Q560</f>
        <v>328630.40400000004</v>
      </c>
      <c r="R586" s="374">
        <f>+R584+R575+R571+R567+R565+R562+R560</f>
        <v>422445.97</v>
      </c>
      <c r="S586" s="375">
        <f>+Q586-R586</f>
        <v>-93815.565999999933</v>
      </c>
      <c r="T586" s="151">
        <f>IF(R586&lt;0,IF(S586=0,0,IF(OR(R586=0,Q586=0),"N.M.",IF(ABS(S586/R586)&gt;=10,"N.M.",S586/(-R586)))),IF(S586=0,0,IF(OR(R586=0,Q586=0),"N.M.",IF(ABS(S586/R586)&gt;=10,"N.M.",S586/R586))))</f>
        <v>-0.22207707650755892</v>
      </c>
      <c r="U586" s="364"/>
      <c r="V586" s="374">
        <f>+V584+V575+V571+V567+V565+V562+V560</f>
        <v>4059601.8539999994</v>
      </c>
      <c r="W586" s="374">
        <f>+W584+W575+W571+W567+W565+W562+W560</f>
        <v>3539938.1400000006</v>
      </c>
      <c r="X586" s="375">
        <f>+V586-W586</f>
        <v>519663.71399999876</v>
      </c>
      <c r="Y586" s="152">
        <f>IF(W586&lt;0,IF(X586=0,0,IF(OR(W586=0,V586=0),"N.M.",IF(ABS(X586/W586)&gt;=10,"N.M.",X586/(-W586)))),IF(X586=0,0,IF(OR(W586=0,V586=0),"N.M.",IF(ABS(X586/W586)&gt;=10,"N.M.",X586/W586))))</f>
        <v>0.1468002245937548</v>
      </c>
      <c r="AA586" s="153">
        <f>+AA584+AA575+AA571+AA567+AA565+AA562+AA560</f>
        <v>1009222.9900000001</v>
      </c>
      <c r="AB586" s="351"/>
      <c r="AC586" s="374">
        <f t="shared" ref="AC586:AN586" si="166">+AC584+AC575+AC571+AC567+AC565+AC562+AC560</f>
        <v>616725.19000000018</v>
      </c>
      <c r="AD586" s="374">
        <f t="shared" si="166"/>
        <v>-397186.70000000007</v>
      </c>
      <c r="AE586" s="374">
        <f t="shared" si="166"/>
        <v>202907.48</v>
      </c>
      <c r="AF586" s="374">
        <f t="shared" si="166"/>
        <v>119825.26</v>
      </c>
      <c r="AG586" s="374">
        <f t="shared" si="166"/>
        <v>174357.52000000002</v>
      </c>
      <c r="AH586" s="374">
        <f t="shared" si="166"/>
        <v>-111268.87000000004</v>
      </c>
      <c r="AI586" s="374">
        <f t="shared" si="166"/>
        <v>103010.47</v>
      </c>
      <c r="AJ586" s="374">
        <f t="shared" si="166"/>
        <v>125286.34</v>
      </c>
      <c r="AK586" s="374">
        <f t="shared" si="166"/>
        <v>105939.72</v>
      </c>
      <c r="AL586" s="374">
        <f t="shared" si="166"/>
        <v>183761.08000000002</v>
      </c>
      <c r="AM586" s="374">
        <f t="shared" si="166"/>
        <v>114702.91</v>
      </c>
      <c r="AN586" s="374">
        <f t="shared" si="166"/>
        <v>2915357.02</v>
      </c>
      <c r="AO586" s="351"/>
      <c r="AP586" s="374">
        <f t="shared" ref="AP586:BA586" si="167">+AP584+AP575+AP571+AP567+AP565+AP562+AP560</f>
        <v>98048.01999999999</v>
      </c>
      <c r="AQ586" s="374">
        <f t="shared" si="167"/>
        <v>107296.23000000001</v>
      </c>
      <c r="AR586" s="374">
        <f t="shared" si="167"/>
        <v>123286.15400000001</v>
      </c>
      <c r="AS586" s="374">
        <f t="shared" si="167"/>
        <v>20672.120000000003</v>
      </c>
      <c r="AT586" s="374">
        <f t="shared" si="167"/>
        <v>0</v>
      </c>
      <c r="AU586" s="374">
        <f t="shared" si="167"/>
        <v>0</v>
      </c>
      <c r="AV586" s="374">
        <f t="shared" si="167"/>
        <v>0</v>
      </c>
      <c r="AW586" s="374">
        <f t="shared" si="167"/>
        <v>0</v>
      </c>
      <c r="AX586" s="374">
        <f t="shared" si="167"/>
        <v>0</v>
      </c>
      <c r="AY586" s="374">
        <f t="shared" si="167"/>
        <v>0</v>
      </c>
      <c r="AZ586" s="374">
        <f t="shared" si="167"/>
        <v>0</v>
      </c>
      <c r="BA586" s="374">
        <f t="shared" si="167"/>
        <v>0</v>
      </c>
    </row>
    <row r="587" spans="1:53">
      <c r="B587" s="331" t="s">
        <v>1470</v>
      </c>
      <c r="C587" s="337" t="s">
        <v>1471</v>
      </c>
      <c r="D587" s="338"/>
      <c r="E587" s="338"/>
      <c r="F587" s="334"/>
      <c r="G587" s="334"/>
      <c r="H587" s="334"/>
      <c r="I587" s="334"/>
      <c r="J587" s="135"/>
      <c r="K587" s="339"/>
      <c r="L587" s="339"/>
      <c r="M587" s="339"/>
      <c r="N587" s="340"/>
      <c r="O587" s="334"/>
      <c r="P587" s="135"/>
      <c r="Q587" s="334"/>
      <c r="R587" s="334"/>
      <c r="S587" s="334"/>
      <c r="T587" s="334"/>
      <c r="U587" s="135"/>
      <c r="V587" s="334"/>
      <c r="W587" s="334"/>
      <c r="X587" s="334"/>
      <c r="Y587" s="334"/>
      <c r="Z587" s="334"/>
      <c r="AA587" s="136"/>
      <c r="AB587" s="341"/>
      <c r="AC587" s="339"/>
      <c r="AD587" s="339"/>
      <c r="AE587" s="339"/>
      <c r="AF587" s="339"/>
      <c r="AG587" s="339"/>
      <c r="AH587" s="339"/>
      <c r="AI587" s="339"/>
      <c r="AJ587" s="339"/>
      <c r="AK587" s="339"/>
      <c r="AL587" s="339"/>
      <c r="AM587" s="339"/>
      <c r="AN587" s="339"/>
      <c r="AO587" s="341"/>
      <c r="AP587" s="339"/>
      <c r="AQ587" s="339"/>
      <c r="AR587" s="339"/>
      <c r="AS587" s="339"/>
      <c r="AT587" s="339"/>
      <c r="AU587" s="339"/>
      <c r="AV587" s="339"/>
      <c r="AW587" s="339"/>
      <c r="AX587" s="339"/>
      <c r="AY587" s="339"/>
      <c r="AZ587" s="339"/>
      <c r="BA587" s="339"/>
    </row>
    <row r="588" spans="1:53" s="131" customFormat="1" ht="0.75" customHeight="1" outlineLevel="2">
      <c r="A588" s="111"/>
      <c r="B588" s="331"/>
      <c r="C588" s="381"/>
      <c r="D588" s="382"/>
      <c r="E588" s="382"/>
      <c r="F588" s="383"/>
      <c r="G588" s="383"/>
      <c r="H588" s="383"/>
      <c r="I588" s="384"/>
      <c r="J588" s="158"/>
      <c r="K588" s="383"/>
      <c r="L588" s="383"/>
      <c r="M588" s="383"/>
      <c r="N588" s="384"/>
      <c r="O588" s="385"/>
      <c r="P588" s="154"/>
      <c r="Q588" s="383"/>
      <c r="R588" s="383"/>
      <c r="S588" s="383"/>
      <c r="T588" s="384"/>
      <c r="U588" s="154"/>
      <c r="V588" s="383"/>
      <c r="W588" s="383"/>
      <c r="X588" s="383"/>
      <c r="Y588" s="155"/>
      <c r="AA588" s="156"/>
      <c r="AB588" s="351"/>
      <c r="AC588" s="383"/>
      <c r="AD588" s="383"/>
      <c r="AE588" s="383"/>
      <c r="AF588" s="383"/>
      <c r="AG588" s="383"/>
      <c r="AH588" s="383"/>
      <c r="AI588" s="383"/>
      <c r="AJ588" s="383"/>
      <c r="AK588" s="383"/>
      <c r="AL588" s="383"/>
      <c r="AM588" s="383"/>
      <c r="AN588" s="383"/>
      <c r="AO588" s="351"/>
      <c r="AP588" s="383"/>
      <c r="AQ588" s="383"/>
      <c r="AR588" s="383"/>
      <c r="AS588" s="383"/>
      <c r="AT588" s="383"/>
      <c r="AU588" s="383"/>
      <c r="AV588" s="383"/>
      <c r="AW588" s="383"/>
      <c r="AX588" s="383"/>
      <c r="AY588" s="383"/>
      <c r="AZ588" s="383"/>
      <c r="BA588" s="383"/>
    </row>
    <row r="589" spans="1:53" s="102" customFormat="1" outlineLevel="2">
      <c r="A589" s="102" t="s">
        <v>1793</v>
      </c>
      <c r="B589" s="103" t="s">
        <v>1794</v>
      </c>
      <c r="C589" s="104" t="s">
        <v>1220</v>
      </c>
      <c r="D589" s="298"/>
      <c r="E589" s="299"/>
      <c r="F589" s="105">
        <v>0</v>
      </c>
      <c r="G589" s="105">
        <v>0</v>
      </c>
      <c r="H589" s="106">
        <f>+F589-G589</f>
        <v>0</v>
      </c>
      <c r="I589" s="300">
        <f>IF(G589&lt;0,IF(H589=0,0,IF(OR(G589=0,F589=0),"N.M.",IF(ABS(H589/G589)&gt;=10,"N.M.",H589/(-G589)))),IF(H589=0,0,IF(OR(G589=0,F589=0),"N.M.",IF(ABS(H589/G589)&gt;=10,"N.M.",H589/G589))))</f>
        <v>0</v>
      </c>
      <c r="J589" s="107"/>
      <c r="K589" s="105">
        <v>0</v>
      </c>
      <c r="L589" s="105">
        <v>0</v>
      </c>
      <c r="M589" s="106">
        <f>+K589-L589</f>
        <v>0</v>
      </c>
      <c r="N589" s="300">
        <f>IF(L589&lt;0,IF(M589=0,0,IF(OR(L589=0,K589=0),"N.M.",IF(ABS(M589/L589)&gt;=10,"N.M.",M589/(-L589)))),IF(M589=0,0,IF(OR(L589=0,K589=0),"N.M.",IF(ABS(M589/L589)&gt;=10,"N.M.",M589/L589))))</f>
        <v>0</v>
      </c>
      <c r="O589" s="301"/>
      <c r="P589" s="107"/>
      <c r="Q589" s="105">
        <v>0</v>
      </c>
      <c r="R589" s="105">
        <v>0</v>
      </c>
      <c r="S589" s="106">
        <f>+Q589-R589</f>
        <v>0</v>
      </c>
      <c r="T589" s="300">
        <f>IF(R589&lt;0,IF(S589=0,0,IF(OR(R589=0,Q589=0),"N.M.",IF(ABS(S589/R589)&gt;=10,"N.M.",S589/(-R589)))),IF(S589=0,0,IF(OR(R589=0,Q589=0),"N.M.",IF(ABS(S589/R589)&gt;=10,"N.M.",S589/R589))))</f>
        <v>0</v>
      </c>
      <c r="U589" s="107"/>
      <c r="V589" s="105">
        <v>0</v>
      </c>
      <c r="W589" s="105">
        <v>60215.31</v>
      </c>
      <c r="X589" s="106">
        <f>+V589-W589</f>
        <v>-60215.31</v>
      </c>
      <c r="Y589" s="300" t="str">
        <f>IF(W589&lt;0,IF(X589=0,0,IF(OR(W589=0,V589=0),"N.M.",IF(ABS(X589/W589)&gt;=10,"N.M.",X589/(-W589)))),IF(X589=0,0,IF(OR(W589=0,V589=0),"N.M.",IF(ABS(X589/W589)&gt;=10,"N.M.",X589/W589))))</f>
        <v>N.M.</v>
      </c>
      <c r="Z589" s="302"/>
      <c r="AA589" s="108">
        <v>1412</v>
      </c>
      <c r="AB589" s="109"/>
      <c r="AC589" s="110">
        <v>0</v>
      </c>
      <c r="AD589" s="110">
        <v>0</v>
      </c>
      <c r="AE589" s="110">
        <v>0</v>
      </c>
      <c r="AF589" s="110">
        <v>0</v>
      </c>
      <c r="AG589" s="110">
        <v>0</v>
      </c>
      <c r="AH589" s="110">
        <v>0</v>
      </c>
      <c r="AI589" s="110">
        <v>0</v>
      </c>
      <c r="AJ589" s="110">
        <v>0</v>
      </c>
      <c r="AK589" s="110">
        <v>0</v>
      </c>
      <c r="AL589" s="110">
        <v>0</v>
      </c>
      <c r="AM589" s="110">
        <v>0</v>
      </c>
      <c r="AN589" s="110">
        <v>0</v>
      </c>
      <c r="AO589" s="109"/>
      <c r="AP589" s="110">
        <v>0</v>
      </c>
      <c r="AQ589" s="110">
        <v>0</v>
      </c>
      <c r="AR589" s="110">
        <v>0</v>
      </c>
      <c r="AS589" s="110">
        <v>0</v>
      </c>
      <c r="AT589" s="110">
        <v>0</v>
      </c>
      <c r="AU589" s="110">
        <v>0</v>
      </c>
      <c r="AV589" s="110">
        <v>0</v>
      </c>
      <c r="AW589" s="110">
        <v>0</v>
      </c>
      <c r="AX589" s="110">
        <v>0</v>
      </c>
      <c r="AY589" s="110">
        <v>0</v>
      </c>
      <c r="AZ589" s="110">
        <v>0</v>
      </c>
      <c r="BA589" s="110">
        <v>0</v>
      </c>
    </row>
    <row r="590" spans="1:53" s="102" customFormat="1" outlineLevel="2">
      <c r="A590" s="102" t="s">
        <v>1795</v>
      </c>
      <c r="B590" s="103" t="s">
        <v>1796</v>
      </c>
      <c r="C590" s="104" t="s">
        <v>1220</v>
      </c>
      <c r="D590" s="298"/>
      <c r="E590" s="299"/>
      <c r="F590" s="105">
        <v>0</v>
      </c>
      <c r="G590" s="105">
        <v>6350</v>
      </c>
      <c r="H590" s="106">
        <f>+F590-G590</f>
        <v>-6350</v>
      </c>
      <c r="I590" s="300" t="str">
        <f>IF(G590&lt;0,IF(H590=0,0,IF(OR(G590=0,F590=0),"N.M.",IF(ABS(H590/G590)&gt;=10,"N.M.",H590/(-G590)))),IF(H590=0,0,IF(OR(G590=0,F590=0),"N.M.",IF(ABS(H590/G590)&gt;=10,"N.M.",H590/G590))))</f>
        <v>N.M.</v>
      </c>
      <c r="J590" s="107"/>
      <c r="K590" s="105">
        <v>0</v>
      </c>
      <c r="L590" s="105">
        <v>19050</v>
      </c>
      <c r="M590" s="106">
        <f>+K590-L590</f>
        <v>-19050</v>
      </c>
      <c r="N590" s="300" t="str">
        <f>IF(L590&lt;0,IF(M590=0,0,IF(OR(L590=0,K590=0),"N.M.",IF(ABS(M590/L590)&gt;=10,"N.M.",M590/(-L590)))),IF(M590=0,0,IF(OR(L590=0,K590=0),"N.M.",IF(ABS(M590/L590)&gt;=10,"N.M.",M590/L590))))</f>
        <v>N.M.</v>
      </c>
      <c r="O590" s="301"/>
      <c r="P590" s="107"/>
      <c r="Q590" s="105">
        <v>0</v>
      </c>
      <c r="R590" s="105">
        <v>19050</v>
      </c>
      <c r="S590" s="106">
        <f>+Q590-R590</f>
        <v>-19050</v>
      </c>
      <c r="T590" s="300" t="str">
        <f>IF(R590&lt;0,IF(S590=0,0,IF(OR(R590=0,Q590=0),"N.M.",IF(ABS(S590/R590)&gt;=10,"N.M.",S590/(-R590)))),IF(S590=0,0,IF(OR(R590=0,Q590=0),"N.M.",IF(ABS(S590/R590)&gt;=10,"N.M.",S590/R590))))</f>
        <v>N.M.</v>
      </c>
      <c r="U590" s="107"/>
      <c r="V590" s="105">
        <v>3555.52</v>
      </c>
      <c r="W590" s="105">
        <v>48552</v>
      </c>
      <c r="X590" s="106">
        <f>+V590-W590</f>
        <v>-44996.480000000003</v>
      </c>
      <c r="Y590" s="300">
        <f>IF(W590&lt;0,IF(X590=0,0,IF(OR(W590=0,V590=0),"N.M.",IF(ABS(X590/W590)&gt;=10,"N.M.",X590/(-W590)))),IF(X590=0,0,IF(OR(W590=0,V590=0),"N.M.",IF(ABS(X590/W590)&gt;=10,"N.M.",X590/W590))))</f>
        <v>-0.92676882517712977</v>
      </c>
      <c r="Z590" s="302"/>
      <c r="AA590" s="108">
        <v>4917</v>
      </c>
      <c r="AB590" s="109"/>
      <c r="AC590" s="110">
        <v>6350</v>
      </c>
      <c r="AD590" s="110">
        <v>6350</v>
      </c>
      <c r="AE590" s="110">
        <v>6350</v>
      </c>
      <c r="AF590" s="110">
        <v>3695</v>
      </c>
      <c r="AG590" s="110">
        <v>6350</v>
      </c>
      <c r="AH590" s="110">
        <v>6346</v>
      </c>
      <c r="AI590" s="110">
        <v>1433</v>
      </c>
      <c r="AJ590" s="110">
        <v>1433</v>
      </c>
      <c r="AK590" s="110">
        <v>-20004.48</v>
      </c>
      <c r="AL590" s="110">
        <v>1433</v>
      </c>
      <c r="AM590" s="110">
        <v>1433</v>
      </c>
      <c r="AN590" s="110">
        <v>1437</v>
      </c>
      <c r="AO590" s="109"/>
      <c r="AP590" s="110">
        <v>0</v>
      </c>
      <c r="AQ590" s="110">
        <v>0</v>
      </c>
      <c r="AR590" s="110">
        <v>0</v>
      </c>
      <c r="AS590" s="110">
        <v>0</v>
      </c>
      <c r="AT590" s="110">
        <v>0</v>
      </c>
      <c r="AU590" s="110">
        <v>0</v>
      </c>
      <c r="AV590" s="110">
        <v>0</v>
      </c>
      <c r="AW590" s="110">
        <v>0</v>
      </c>
      <c r="AX590" s="110">
        <v>0</v>
      </c>
      <c r="AY590" s="110">
        <v>0</v>
      </c>
      <c r="AZ590" s="110">
        <v>0</v>
      </c>
      <c r="BA590" s="110">
        <v>0</v>
      </c>
    </row>
    <row r="591" spans="1:53" s="102" customFormat="1" outlineLevel="2">
      <c r="A591" s="102" t="s">
        <v>1797</v>
      </c>
      <c r="B591" s="103" t="s">
        <v>1798</v>
      </c>
      <c r="C591" s="104" t="s">
        <v>1220</v>
      </c>
      <c r="D591" s="298"/>
      <c r="E591" s="299"/>
      <c r="F591" s="105">
        <v>4917</v>
      </c>
      <c r="G591" s="105">
        <v>0</v>
      </c>
      <c r="H591" s="106">
        <f>+F591-G591</f>
        <v>4917</v>
      </c>
      <c r="I591" s="300" t="str">
        <f>IF(G591&lt;0,IF(H591=0,0,IF(OR(G591=0,F591=0),"N.M.",IF(ABS(H591/G591)&gt;=10,"N.M.",H591/(-G591)))),IF(H591=0,0,IF(OR(G591=0,F591=0),"N.M.",IF(ABS(H591/G591)&gt;=10,"N.M.",H591/G591))))</f>
        <v>N.M.</v>
      </c>
      <c r="J591" s="107"/>
      <c r="K591" s="105">
        <v>21051</v>
      </c>
      <c r="L591" s="105">
        <v>0</v>
      </c>
      <c r="M591" s="106">
        <f>+K591-L591</f>
        <v>21051</v>
      </c>
      <c r="N591" s="300" t="str">
        <f>IF(L591&lt;0,IF(M591=0,0,IF(OR(L591=0,K591=0),"N.M.",IF(ABS(M591/L591)&gt;=10,"N.M.",M591/(-L591)))),IF(M591=0,0,IF(OR(L591=0,K591=0),"N.M.",IF(ABS(M591/L591)&gt;=10,"N.M.",M591/L591))))</f>
        <v>N.M.</v>
      </c>
      <c r="O591" s="301"/>
      <c r="P591" s="107"/>
      <c r="Q591" s="105">
        <v>21051</v>
      </c>
      <c r="R591" s="105">
        <v>0</v>
      </c>
      <c r="S591" s="106">
        <f>+Q591-R591</f>
        <v>21051</v>
      </c>
      <c r="T591" s="300" t="str">
        <f>IF(R591&lt;0,IF(S591=0,0,IF(OR(R591=0,Q591=0),"N.M.",IF(ABS(S591/R591)&gt;=10,"N.M.",S591/(-R591)))),IF(S591=0,0,IF(OR(R591=0,Q591=0),"N.M.",IF(ABS(S591/R591)&gt;=10,"N.M.",S591/R591))))</f>
        <v>N.M.</v>
      </c>
      <c r="U591" s="107"/>
      <c r="V591" s="105">
        <v>50553</v>
      </c>
      <c r="W591" s="105">
        <v>0</v>
      </c>
      <c r="X591" s="106">
        <f>+V591-W591</f>
        <v>50553</v>
      </c>
      <c r="Y591" s="300" t="str">
        <f>IF(W591&lt;0,IF(X591=0,0,IF(OR(W591=0,V591=0),"N.M.",IF(ABS(X591/W591)&gt;=10,"N.M.",X591/(-W591)))),IF(X591=0,0,IF(OR(W591=0,V591=0),"N.M.",IF(ABS(X591/W591)&gt;=10,"N.M.",X591/W591))))</f>
        <v>N.M.</v>
      </c>
      <c r="Z591" s="302"/>
      <c r="AA591" s="108">
        <v>0</v>
      </c>
      <c r="AB591" s="109"/>
      <c r="AC591" s="110">
        <v>0</v>
      </c>
      <c r="AD591" s="110">
        <v>0</v>
      </c>
      <c r="AE591" s="110">
        <v>0</v>
      </c>
      <c r="AF591" s="110">
        <v>0</v>
      </c>
      <c r="AG591" s="110">
        <v>0</v>
      </c>
      <c r="AH591" s="110">
        <v>0</v>
      </c>
      <c r="AI591" s="110">
        <v>4917</v>
      </c>
      <c r="AJ591" s="110">
        <v>4917</v>
      </c>
      <c r="AK591" s="110">
        <v>4917</v>
      </c>
      <c r="AL591" s="110">
        <v>4917</v>
      </c>
      <c r="AM591" s="110">
        <v>4917</v>
      </c>
      <c r="AN591" s="110">
        <v>4917</v>
      </c>
      <c r="AO591" s="109"/>
      <c r="AP591" s="110">
        <v>11217</v>
      </c>
      <c r="AQ591" s="110">
        <v>4917</v>
      </c>
      <c r="AR591" s="110">
        <v>4917</v>
      </c>
      <c r="AS591" s="110">
        <v>0</v>
      </c>
      <c r="AT591" s="110">
        <v>0</v>
      </c>
      <c r="AU591" s="110">
        <v>0</v>
      </c>
      <c r="AV591" s="110">
        <v>0</v>
      </c>
      <c r="AW591" s="110">
        <v>0</v>
      </c>
      <c r="AX591" s="110">
        <v>0</v>
      </c>
      <c r="AY591" s="110">
        <v>0</v>
      </c>
      <c r="AZ591" s="110">
        <v>0</v>
      </c>
      <c r="BA591" s="110">
        <v>0</v>
      </c>
    </row>
    <row r="592" spans="1:53" s="131" customFormat="1">
      <c r="A592" s="111" t="s">
        <v>1472</v>
      </c>
      <c r="B592" s="331" t="s">
        <v>1473</v>
      </c>
      <c r="C592" s="347" t="s">
        <v>1474</v>
      </c>
      <c r="D592" s="352"/>
      <c r="E592" s="352"/>
      <c r="F592" s="333">
        <v>4917</v>
      </c>
      <c r="G592" s="333">
        <v>6350</v>
      </c>
      <c r="H592" s="133">
        <f>+F592-G592</f>
        <v>-1433</v>
      </c>
      <c r="I592" s="138">
        <f>IF(G592&lt;0,IF(H592=0,0,IF(OR(G592=0,F592=0),"N.M.",IF(ABS(H592/G592)&gt;=10,"N.M.",H592/(-G592)))),IF(H592=0,0,IF(OR(G592=0,F592=0),"N.M.",IF(ABS(H592/G592)&gt;=10,"N.M.",H592/G592))))</f>
        <v>-0.22566929133858268</v>
      </c>
      <c r="J592" s="158"/>
      <c r="K592" s="333">
        <v>21051</v>
      </c>
      <c r="L592" s="333">
        <v>19050</v>
      </c>
      <c r="M592" s="133">
        <f>+K592-L592</f>
        <v>2001</v>
      </c>
      <c r="N592" s="138">
        <f>IF(L592&lt;0,IF(M592=0,0,IF(OR(L592=0,K592=0),"N.M.",IF(ABS(M592/L592)&gt;=10,"N.M.",M592/(-L592)))),IF(M592=0,0,IF(OR(L592=0,K592=0),"N.M.",IF(ABS(M592/L592)&gt;=10,"N.M.",M592/L592))))</f>
        <v>0.10503937007874016</v>
      </c>
      <c r="O592" s="302"/>
      <c r="P592" s="350"/>
      <c r="Q592" s="333">
        <v>21051</v>
      </c>
      <c r="R592" s="333">
        <v>19050</v>
      </c>
      <c r="S592" s="133">
        <f>+Q592-R592</f>
        <v>2001</v>
      </c>
      <c r="T592" s="138">
        <f>IF(R592&lt;0,IF(S592=0,0,IF(OR(R592=0,Q592=0),"N.M.",IF(ABS(S592/R592)&gt;=10,"N.M.",S592/(-R592)))),IF(S592=0,0,IF(OR(R592=0,Q592=0),"N.M.",IF(ABS(S592/R592)&gt;=10,"N.M.",S592/R592))))</f>
        <v>0.10503937007874016</v>
      </c>
      <c r="U592" s="350"/>
      <c r="V592" s="333">
        <v>54108.52</v>
      </c>
      <c r="W592" s="333">
        <v>108767.31</v>
      </c>
      <c r="X592" s="133">
        <f>+V592-W592</f>
        <v>-54658.79</v>
      </c>
      <c r="Y592" s="137">
        <f>IF(W592&lt;0,IF(X592=0,0,IF(OR(W592=0,V592=0),"N.M.",IF(ABS(X592/W592)&gt;=10,"N.M.",X592/(-W592)))),IF(X592=0,0,IF(OR(W592=0,V592=0),"N.M.",IF(ABS(X592/W592)&gt;=10,"N.M.",X592/W592))))</f>
        <v>-0.50252957437303547</v>
      </c>
      <c r="AA592" s="139">
        <v>6329</v>
      </c>
      <c r="AB592" s="351"/>
      <c r="AC592" s="333">
        <v>6350</v>
      </c>
      <c r="AD592" s="333">
        <v>6350</v>
      </c>
      <c r="AE592" s="333">
        <v>6350</v>
      </c>
      <c r="AF592" s="333">
        <v>3695</v>
      </c>
      <c r="AG592" s="333">
        <v>6350</v>
      </c>
      <c r="AH592" s="333">
        <v>6346</v>
      </c>
      <c r="AI592" s="333">
        <v>6350</v>
      </c>
      <c r="AJ592" s="333">
        <v>6350</v>
      </c>
      <c r="AK592" s="333">
        <v>-15087.48</v>
      </c>
      <c r="AL592" s="333">
        <v>6350</v>
      </c>
      <c r="AM592" s="333">
        <v>6350</v>
      </c>
      <c r="AN592" s="333">
        <v>6354</v>
      </c>
      <c r="AO592" s="351"/>
      <c r="AP592" s="333">
        <v>11217</v>
      </c>
      <c r="AQ592" s="333">
        <v>4917</v>
      </c>
      <c r="AR592" s="333">
        <v>4917</v>
      </c>
      <c r="AS592" s="333">
        <v>0</v>
      </c>
      <c r="AT592" s="333">
        <v>0</v>
      </c>
      <c r="AU592" s="333">
        <v>0</v>
      </c>
      <c r="AV592" s="333">
        <v>0</v>
      </c>
      <c r="AW592" s="333">
        <v>0</v>
      </c>
      <c r="AX592" s="333">
        <v>0</v>
      </c>
      <c r="AY592" s="333">
        <v>0</v>
      </c>
      <c r="AZ592" s="333">
        <v>0</v>
      </c>
      <c r="BA592" s="333">
        <v>0</v>
      </c>
    </row>
    <row r="593" spans="1:53" s="131" customFormat="1" ht="0.75" customHeight="1" outlineLevel="2">
      <c r="A593" s="111"/>
      <c r="B593" s="331"/>
      <c r="C593" s="347"/>
      <c r="D593" s="352"/>
      <c r="E593" s="352"/>
      <c r="F593" s="333"/>
      <c r="G593" s="333"/>
      <c r="H593" s="133"/>
      <c r="I593" s="138"/>
      <c r="J593" s="158"/>
      <c r="K593" s="333"/>
      <c r="L593" s="333"/>
      <c r="M593" s="133"/>
      <c r="N593" s="138"/>
      <c r="O593" s="302"/>
      <c r="P593" s="350"/>
      <c r="Q593" s="333"/>
      <c r="R593" s="333"/>
      <c r="S593" s="133"/>
      <c r="T593" s="138"/>
      <c r="U593" s="350"/>
      <c r="V593" s="333"/>
      <c r="W593" s="333"/>
      <c r="X593" s="133"/>
      <c r="Y593" s="137"/>
      <c r="AA593" s="139"/>
      <c r="AB593" s="351"/>
      <c r="AC593" s="333"/>
      <c r="AD593" s="333"/>
      <c r="AE593" s="333"/>
      <c r="AF593" s="333"/>
      <c r="AG593" s="333"/>
      <c r="AH593" s="333"/>
      <c r="AI593" s="333"/>
      <c r="AJ593" s="333"/>
      <c r="AK593" s="333"/>
      <c r="AL593" s="333"/>
      <c r="AM593" s="333"/>
      <c r="AN593" s="333"/>
      <c r="AO593" s="351"/>
      <c r="AP593" s="333"/>
      <c r="AQ593" s="333"/>
      <c r="AR593" s="333"/>
      <c r="AS593" s="333"/>
      <c r="AT593" s="333"/>
      <c r="AU593" s="333"/>
      <c r="AV593" s="333"/>
      <c r="AW593" s="333"/>
      <c r="AX593" s="333"/>
      <c r="AY593" s="333"/>
      <c r="AZ593" s="333"/>
      <c r="BA593" s="333"/>
    </row>
    <row r="594" spans="1:53" s="361" customFormat="1" outlineLevel="2">
      <c r="A594" s="354"/>
      <c r="B594" s="355"/>
      <c r="C594" s="386"/>
      <c r="D594" s="357"/>
      <c r="E594" s="357"/>
      <c r="F594" s="358"/>
      <c r="G594" s="358"/>
      <c r="H594" s="359"/>
      <c r="I594" s="140"/>
      <c r="J594" s="141"/>
      <c r="K594" s="358"/>
      <c r="L594" s="358"/>
      <c r="M594" s="359"/>
      <c r="N594" s="140"/>
      <c r="O594" s="360"/>
      <c r="P594" s="142"/>
      <c r="Q594" s="358"/>
      <c r="R594" s="358"/>
      <c r="S594" s="359"/>
      <c r="T594" s="140"/>
      <c r="U594" s="142"/>
      <c r="V594" s="358"/>
      <c r="W594" s="358"/>
      <c r="X594" s="359"/>
      <c r="Y594" s="143"/>
      <c r="AA594" s="144"/>
      <c r="AB594" s="351"/>
      <c r="AC594" s="358"/>
      <c r="AD594" s="358"/>
      <c r="AE594" s="358"/>
      <c r="AF594" s="358"/>
      <c r="AG594" s="358"/>
      <c r="AH594" s="358"/>
      <c r="AI594" s="358"/>
      <c r="AJ594" s="358"/>
      <c r="AK594" s="358"/>
      <c r="AL594" s="358"/>
      <c r="AM594" s="358"/>
      <c r="AN594" s="358"/>
      <c r="AO594" s="351"/>
      <c r="AP594" s="358"/>
      <c r="AQ594" s="358"/>
      <c r="AR594" s="358"/>
      <c r="AS594" s="358"/>
      <c r="AT594" s="358"/>
      <c r="AU594" s="358"/>
      <c r="AV594" s="358"/>
      <c r="AW594" s="358"/>
      <c r="AX594" s="358"/>
      <c r="AY594" s="358"/>
      <c r="AZ594" s="358"/>
      <c r="BA594" s="358"/>
    </row>
    <row r="595" spans="1:53" s="102" customFormat="1" outlineLevel="2">
      <c r="A595" s="102" t="s">
        <v>1475</v>
      </c>
      <c r="B595" s="103" t="s">
        <v>1476</v>
      </c>
      <c r="C595" s="104" t="s">
        <v>1477</v>
      </c>
      <c r="D595" s="298"/>
      <c r="E595" s="299"/>
      <c r="F595" s="105">
        <v>2347.56</v>
      </c>
      <c r="G595" s="105">
        <v>84250.99</v>
      </c>
      <c r="H595" s="106">
        <f t="shared" ref="H595:H601" si="168">+F595-G595</f>
        <v>-81903.430000000008</v>
      </c>
      <c r="I595" s="300">
        <f t="shared" ref="I595:I601" si="169">IF(G595&lt;0,IF(H595=0,0,IF(OR(G595=0,F595=0),"N.M.",IF(ABS(H595/G595)&gt;=10,"N.M.",H595/(-G595)))),IF(H595=0,0,IF(OR(G595=0,F595=0),"N.M.",IF(ABS(H595/G595)&gt;=10,"N.M.",H595/G595))))</f>
        <v>-0.97213611377148212</v>
      </c>
      <c r="J595" s="107"/>
      <c r="K595" s="105">
        <v>4159.01</v>
      </c>
      <c r="L595" s="105">
        <v>75014.69</v>
      </c>
      <c r="M595" s="106">
        <f t="shared" ref="M595:M601" si="170">+K595-L595</f>
        <v>-70855.680000000008</v>
      </c>
      <c r="N595" s="300">
        <f t="shared" ref="N595:N601" si="171">IF(L595&lt;0,IF(M595=0,0,IF(OR(L595=0,K595=0),"N.M.",IF(ABS(M595/L595)&gt;=10,"N.M.",M595/(-L595)))),IF(M595=0,0,IF(OR(L595=0,K595=0),"N.M.",IF(ABS(M595/L595)&gt;=10,"N.M.",M595/L595))))</f>
        <v>-0.94455739269201811</v>
      </c>
      <c r="O595" s="301"/>
      <c r="P595" s="107"/>
      <c r="Q595" s="105">
        <v>4159.01</v>
      </c>
      <c r="R595" s="105">
        <v>75014.69</v>
      </c>
      <c r="S595" s="106">
        <f t="shared" ref="S595:S601" si="172">+Q595-R595</f>
        <v>-70855.680000000008</v>
      </c>
      <c r="T595" s="300">
        <f t="shared" ref="T595:T601" si="173">IF(R595&lt;0,IF(S595=0,0,IF(OR(R595=0,Q595=0),"N.M.",IF(ABS(S595/R595)&gt;=10,"N.M.",S595/(-R595)))),IF(S595=0,0,IF(OR(R595=0,Q595=0),"N.M.",IF(ABS(S595/R595)&gt;=10,"N.M.",S595/R595))))</f>
        <v>-0.94455739269201811</v>
      </c>
      <c r="U595" s="107"/>
      <c r="V595" s="105">
        <v>-1354146.31</v>
      </c>
      <c r="W595" s="105">
        <v>-866854.96</v>
      </c>
      <c r="X595" s="106">
        <f t="shared" ref="X595:X601" si="174">+V595-W595</f>
        <v>-487291.35000000009</v>
      </c>
      <c r="Y595" s="300">
        <f t="shared" ref="Y595:Y601" si="175">IF(W595&lt;0,IF(X595=0,0,IF(OR(W595=0,V595=0),"N.M.",IF(ABS(X595/W595)&gt;=10,"N.M.",X595/(-W595)))),IF(X595=0,0,IF(OR(W595=0,V595=0),"N.M.",IF(ABS(X595/W595)&gt;=10,"N.M.",X595/W595))))</f>
        <v>-0.56213711922465104</v>
      </c>
      <c r="Z595" s="302"/>
      <c r="AA595" s="108">
        <v>-615198.43000000005</v>
      </c>
      <c r="AB595" s="109"/>
      <c r="AC595" s="110">
        <v>0</v>
      </c>
      <c r="AD595" s="110">
        <v>-9236.3000000000011</v>
      </c>
      <c r="AE595" s="110">
        <v>84250.99</v>
      </c>
      <c r="AF595" s="110">
        <v>-62841.41</v>
      </c>
      <c r="AG595" s="110">
        <v>8098.59</v>
      </c>
      <c r="AH595" s="110">
        <v>-6149.1900000000005</v>
      </c>
      <c r="AI595" s="110">
        <v>-49316.18</v>
      </c>
      <c r="AJ595" s="110">
        <v>-20948</v>
      </c>
      <c r="AK595" s="110">
        <v>23899.29</v>
      </c>
      <c r="AL595" s="110">
        <v>-1221333.2</v>
      </c>
      <c r="AM595" s="110">
        <v>547622.07999999996</v>
      </c>
      <c r="AN595" s="110">
        <v>-577337.30000000005</v>
      </c>
      <c r="AO595" s="109"/>
      <c r="AP595" s="110">
        <v>0</v>
      </c>
      <c r="AQ595" s="110">
        <v>1811.45</v>
      </c>
      <c r="AR595" s="110">
        <v>2347.56</v>
      </c>
      <c r="AS595" s="110">
        <v>0</v>
      </c>
      <c r="AT595" s="110">
        <v>0</v>
      </c>
      <c r="AU595" s="110">
        <v>0</v>
      </c>
      <c r="AV595" s="110">
        <v>0</v>
      </c>
      <c r="AW595" s="110">
        <v>0</v>
      </c>
      <c r="AX595" s="110">
        <v>0</v>
      </c>
      <c r="AY595" s="110">
        <v>0</v>
      </c>
      <c r="AZ595" s="110">
        <v>0</v>
      </c>
      <c r="BA595" s="110">
        <v>0</v>
      </c>
    </row>
    <row r="596" spans="1:53" s="361" customFormat="1" outlineLevel="2">
      <c r="A596" s="354" t="s">
        <v>1478</v>
      </c>
      <c r="B596" s="355"/>
      <c r="C596" s="356" t="s">
        <v>1479</v>
      </c>
      <c r="D596" s="357"/>
      <c r="E596" s="357"/>
      <c r="F596" s="358">
        <v>2347.56</v>
      </c>
      <c r="G596" s="358">
        <v>84250.99</v>
      </c>
      <c r="H596" s="359">
        <f t="shared" si="168"/>
        <v>-81903.430000000008</v>
      </c>
      <c r="I596" s="140">
        <f t="shared" si="169"/>
        <v>-0.97213611377148212</v>
      </c>
      <c r="J596" s="141"/>
      <c r="K596" s="358">
        <v>4159.01</v>
      </c>
      <c r="L596" s="358">
        <v>75014.69</v>
      </c>
      <c r="M596" s="359">
        <f t="shared" si="170"/>
        <v>-70855.680000000008</v>
      </c>
      <c r="N596" s="140">
        <f t="shared" si="171"/>
        <v>-0.94455739269201811</v>
      </c>
      <c r="O596" s="360"/>
      <c r="P596" s="142"/>
      <c r="Q596" s="358">
        <v>4159.01</v>
      </c>
      <c r="R596" s="358">
        <v>75014.69</v>
      </c>
      <c r="S596" s="359">
        <f t="shared" si="172"/>
        <v>-70855.680000000008</v>
      </c>
      <c r="T596" s="140">
        <f t="shared" si="173"/>
        <v>-0.94455739269201811</v>
      </c>
      <c r="U596" s="142"/>
      <c r="V596" s="358">
        <v>-1354146.31</v>
      </c>
      <c r="W596" s="358">
        <v>-866854.96</v>
      </c>
      <c r="X596" s="359">
        <f t="shared" si="174"/>
        <v>-487291.35000000009</v>
      </c>
      <c r="Y596" s="143">
        <f t="shared" si="175"/>
        <v>-0.56213711922465104</v>
      </c>
      <c r="AA596" s="144">
        <v>-615198.43000000005</v>
      </c>
      <c r="AB596" s="351"/>
      <c r="AC596" s="358">
        <v>0</v>
      </c>
      <c r="AD596" s="358">
        <v>-9236.3000000000011</v>
      </c>
      <c r="AE596" s="358">
        <v>84250.99</v>
      </c>
      <c r="AF596" s="358">
        <v>-62841.41</v>
      </c>
      <c r="AG596" s="358">
        <v>8098.59</v>
      </c>
      <c r="AH596" s="358">
        <v>-6149.1900000000005</v>
      </c>
      <c r="AI596" s="358">
        <v>-49316.18</v>
      </c>
      <c r="AJ596" s="358">
        <v>-20948</v>
      </c>
      <c r="AK596" s="358">
        <v>23899.29</v>
      </c>
      <c r="AL596" s="358">
        <v>-1221333.2</v>
      </c>
      <c r="AM596" s="358">
        <v>547622.07999999996</v>
      </c>
      <c r="AN596" s="358">
        <v>-577337.30000000005</v>
      </c>
      <c r="AO596" s="351"/>
      <c r="AP596" s="358">
        <v>0</v>
      </c>
      <c r="AQ596" s="358">
        <v>1811.45</v>
      </c>
      <c r="AR596" s="358">
        <v>2347.56</v>
      </c>
      <c r="AS596" s="358">
        <v>0</v>
      </c>
      <c r="AT596" s="358">
        <v>0</v>
      </c>
      <c r="AU596" s="358">
        <v>0</v>
      </c>
      <c r="AV596" s="358">
        <v>0</v>
      </c>
      <c r="AW596" s="358">
        <v>0</v>
      </c>
      <c r="AX596" s="358">
        <v>0</v>
      </c>
      <c r="AY596" s="358">
        <v>0</v>
      </c>
      <c r="AZ596" s="358">
        <v>0</v>
      </c>
      <c r="BA596" s="358">
        <v>0</v>
      </c>
    </row>
    <row r="597" spans="1:53" s="102" customFormat="1" outlineLevel="2">
      <c r="A597" s="102" t="s">
        <v>1272</v>
      </c>
      <c r="B597" s="103" t="s">
        <v>1273</v>
      </c>
      <c r="C597" s="104" t="s">
        <v>1274</v>
      </c>
      <c r="D597" s="298"/>
      <c r="E597" s="299"/>
      <c r="F597" s="105">
        <v>0</v>
      </c>
      <c r="G597" s="105">
        <v>-2.86</v>
      </c>
      <c r="H597" s="106">
        <f t="shared" si="168"/>
        <v>2.86</v>
      </c>
      <c r="I597" s="300" t="str">
        <f t="shared" si="169"/>
        <v>N.M.</v>
      </c>
      <c r="J597" s="107"/>
      <c r="K597" s="105">
        <v>0</v>
      </c>
      <c r="L597" s="105">
        <v>102509.55</v>
      </c>
      <c r="M597" s="106">
        <f t="shared" si="170"/>
        <v>-102509.55</v>
      </c>
      <c r="N597" s="300" t="str">
        <f t="shared" si="171"/>
        <v>N.M.</v>
      </c>
      <c r="O597" s="301"/>
      <c r="P597" s="107"/>
      <c r="Q597" s="105">
        <v>0</v>
      </c>
      <c r="R597" s="105">
        <v>102509.55</v>
      </c>
      <c r="S597" s="106">
        <f t="shared" si="172"/>
        <v>-102509.55</v>
      </c>
      <c r="T597" s="300" t="str">
        <f t="shared" si="173"/>
        <v>N.M.</v>
      </c>
      <c r="U597" s="107"/>
      <c r="V597" s="105">
        <v>-5.97</v>
      </c>
      <c r="W597" s="105">
        <v>1213719.8700000001</v>
      </c>
      <c r="X597" s="106">
        <f t="shared" si="174"/>
        <v>-1213725.8400000001</v>
      </c>
      <c r="Y597" s="300">
        <f t="shared" si="175"/>
        <v>-1.0000049187626796</v>
      </c>
      <c r="Z597" s="302"/>
      <c r="AA597" s="108">
        <v>60161.61</v>
      </c>
      <c r="AB597" s="109"/>
      <c r="AC597" s="110">
        <v>42482.340000000004</v>
      </c>
      <c r="AD597" s="110">
        <v>60030.07</v>
      </c>
      <c r="AE597" s="110">
        <v>-2.86</v>
      </c>
      <c r="AF597" s="110">
        <v>0</v>
      </c>
      <c r="AG597" s="110">
        <v>-0.25</v>
      </c>
      <c r="AH597" s="110">
        <v>-5.72</v>
      </c>
      <c r="AI597" s="110">
        <v>0</v>
      </c>
      <c r="AJ597" s="110">
        <v>0</v>
      </c>
      <c r="AK597" s="110">
        <v>0</v>
      </c>
      <c r="AL597" s="110">
        <v>0</v>
      </c>
      <c r="AM597" s="110">
        <v>0</v>
      </c>
      <c r="AN597" s="110">
        <v>0</v>
      </c>
      <c r="AO597" s="109"/>
      <c r="AP597" s="110">
        <v>0</v>
      </c>
      <c r="AQ597" s="110">
        <v>0</v>
      </c>
      <c r="AR597" s="110">
        <v>0</v>
      </c>
      <c r="AS597" s="110">
        <v>0</v>
      </c>
      <c r="AT597" s="110">
        <v>0</v>
      </c>
      <c r="AU597" s="110">
        <v>0</v>
      </c>
      <c r="AV597" s="110">
        <v>0</v>
      </c>
      <c r="AW597" s="110">
        <v>0</v>
      </c>
      <c r="AX597" s="110">
        <v>0</v>
      </c>
      <c r="AY597" s="110">
        <v>0</v>
      </c>
      <c r="AZ597" s="110">
        <v>0</v>
      </c>
      <c r="BA597" s="110">
        <v>0</v>
      </c>
    </row>
    <row r="598" spans="1:53" s="102" customFormat="1" outlineLevel="2">
      <c r="A598" s="102" t="s">
        <v>1275</v>
      </c>
      <c r="B598" s="103" t="s">
        <v>1276</v>
      </c>
      <c r="C598" s="104" t="s">
        <v>1277</v>
      </c>
      <c r="D598" s="298"/>
      <c r="E598" s="299"/>
      <c r="F598" s="105">
        <v>0</v>
      </c>
      <c r="G598" s="105">
        <v>0</v>
      </c>
      <c r="H598" s="106">
        <f t="shared" si="168"/>
        <v>0</v>
      </c>
      <c r="I598" s="300">
        <f t="shared" si="169"/>
        <v>0</v>
      </c>
      <c r="J598" s="107"/>
      <c r="K598" s="105">
        <v>0</v>
      </c>
      <c r="L598" s="105">
        <v>192670.15</v>
      </c>
      <c r="M598" s="106">
        <f t="shared" si="170"/>
        <v>-192670.15</v>
      </c>
      <c r="N598" s="300" t="str">
        <f t="shared" si="171"/>
        <v>N.M.</v>
      </c>
      <c r="O598" s="301"/>
      <c r="P598" s="107"/>
      <c r="Q598" s="105">
        <v>0</v>
      </c>
      <c r="R598" s="105">
        <v>192670.15</v>
      </c>
      <c r="S598" s="106">
        <f t="shared" si="172"/>
        <v>-192670.15</v>
      </c>
      <c r="T598" s="300" t="str">
        <f t="shared" si="173"/>
        <v>N.M.</v>
      </c>
      <c r="U598" s="107"/>
      <c r="V598" s="105">
        <v>-232191.79</v>
      </c>
      <c r="W598" s="105">
        <v>790296.34000000008</v>
      </c>
      <c r="X598" s="106">
        <f t="shared" si="174"/>
        <v>-1022488.1300000001</v>
      </c>
      <c r="Y598" s="300">
        <f t="shared" si="175"/>
        <v>-1.2938034484633953</v>
      </c>
      <c r="Z598" s="302"/>
      <c r="AA598" s="108">
        <v>318088.77</v>
      </c>
      <c r="AB598" s="109"/>
      <c r="AC598" s="110">
        <v>368396.63</v>
      </c>
      <c r="AD598" s="110">
        <v>-175726.48</v>
      </c>
      <c r="AE598" s="110">
        <v>0</v>
      </c>
      <c r="AF598" s="110">
        <v>1334.73</v>
      </c>
      <c r="AG598" s="110">
        <v>2034.06</v>
      </c>
      <c r="AH598" s="110">
        <v>-235560.58000000002</v>
      </c>
      <c r="AI598" s="110">
        <v>0</v>
      </c>
      <c r="AJ598" s="110">
        <v>0</v>
      </c>
      <c r="AK598" s="110">
        <v>0</v>
      </c>
      <c r="AL598" s="110">
        <v>0</v>
      </c>
      <c r="AM598" s="110">
        <v>0</v>
      </c>
      <c r="AN598" s="110">
        <v>0</v>
      </c>
      <c r="AO598" s="109"/>
      <c r="AP598" s="110">
        <v>0</v>
      </c>
      <c r="AQ598" s="110">
        <v>0</v>
      </c>
      <c r="AR598" s="110">
        <v>0</v>
      </c>
      <c r="AS598" s="110">
        <v>0</v>
      </c>
      <c r="AT598" s="110">
        <v>0</v>
      </c>
      <c r="AU598" s="110">
        <v>0</v>
      </c>
      <c r="AV598" s="110">
        <v>0</v>
      </c>
      <c r="AW598" s="110">
        <v>0</v>
      </c>
      <c r="AX598" s="110">
        <v>0</v>
      </c>
      <c r="AY598" s="110">
        <v>0</v>
      </c>
      <c r="AZ598" s="110">
        <v>0</v>
      </c>
      <c r="BA598" s="110">
        <v>0</v>
      </c>
    </row>
    <row r="599" spans="1:53" s="361" customFormat="1" outlineLevel="2">
      <c r="A599" s="111" t="s">
        <v>1278</v>
      </c>
      <c r="B599" s="355"/>
      <c r="C599" s="362" t="s">
        <v>1279</v>
      </c>
      <c r="D599" s="357"/>
      <c r="E599" s="357"/>
      <c r="F599" s="358">
        <v>0</v>
      </c>
      <c r="G599" s="358">
        <v>-2.86</v>
      </c>
      <c r="H599" s="359">
        <f t="shared" si="168"/>
        <v>2.86</v>
      </c>
      <c r="I599" s="140" t="str">
        <f t="shared" si="169"/>
        <v>N.M.</v>
      </c>
      <c r="J599" s="141"/>
      <c r="K599" s="358">
        <v>0</v>
      </c>
      <c r="L599" s="358">
        <v>295179.7</v>
      </c>
      <c r="M599" s="359">
        <f t="shared" si="170"/>
        <v>-295179.7</v>
      </c>
      <c r="N599" s="140" t="str">
        <f t="shared" si="171"/>
        <v>N.M.</v>
      </c>
      <c r="O599" s="363"/>
      <c r="P599" s="145"/>
      <c r="Q599" s="358">
        <v>0</v>
      </c>
      <c r="R599" s="358">
        <v>295179.7</v>
      </c>
      <c r="S599" s="359">
        <f t="shared" si="172"/>
        <v>-295179.7</v>
      </c>
      <c r="T599" s="140" t="str">
        <f t="shared" si="173"/>
        <v>N.M.</v>
      </c>
      <c r="U599" s="145"/>
      <c r="V599" s="358">
        <v>-232197.76000000001</v>
      </c>
      <c r="W599" s="358">
        <v>2004016.2100000002</v>
      </c>
      <c r="X599" s="359">
        <f t="shared" si="174"/>
        <v>-2236213.9700000002</v>
      </c>
      <c r="Y599" s="143">
        <f t="shared" si="175"/>
        <v>-1.1158662084874054</v>
      </c>
      <c r="AA599" s="144">
        <v>378250.38</v>
      </c>
      <c r="AB599" s="351"/>
      <c r="AC599" s="358">
        <v>410878.97000000003</v>
      </c>
      <c r="AD599" s="358">
        <v>-115696.41</v>
      </c>
      <c r="AE599" s="358">
        <v>-2.86</v>
      </c>
      <c r="AF599" s="358">
        <v>1334.73</v>
      </c>
      <c r="AG599" s="358">
        <v>2033.81</v>
      </c>
      <c r="AH599" s="358">
        <v>-235566.30000000002</v>
      </c>
      <c r="AI599" s="358">
        <v>0</v>
      </c>
      <c r="AJ599" s="358">
        <v>0</v>
      </c>
      <c r="AK599" s="358">
        <v>0</v>
      </c>
      <c r="AL599" s="358">
        <v>0</v>
      </c>
      <c r="AM599" s="358">
        <v>0</v>
      </c>
      <c r="AN599" s="358">
        <v>0</v>
      </c>
      <c r="AO599" s="351"/>
      <c r="AP599" s="358">
        <v>0</v>
      </c>
      <c r="AQ599" s="358">
        <v>0</v>
      </c>
      <c r="AR599" s="358">
        <v>0</v>
      </c>
      <c r="AS599" s="358">
        <v>0</v>
      </c>
      <c r="AT599" s="358">
        <v>0</v>
      </c>
      <c r="AU599" s="358">
        <v>0</v>
      </c>
      <c r="AV599" s="358">
        <v>0</v>
      </c>
      <c r="AW599" s="358">
        <v>0</v>
      </c>
      <c r="AX599" s="358">
        <v>0</v>
      </c>
      <c r="AY599" s="358">
        <v>0</v>
      </c>
      <c r="AZ599" s="358">
        <v>0</v>
      </c>
      <c r="BA599" s="358">
        <v>0</v>
      </c>
    </row>
    <row r="600" spans="1:53" s="361" customFormat="1" outlineLevel="2">
      <c r="A600" s="111"/>
      <c r="B600" s="355"/>
      <c r="C600" s="356" t="s">
        <v>1280</v>
      </c>
      <c r="D600" s="357"/>
      <c r="E600" s="357"/>
      <c r="F600" s="358">
        <f>F599*0.21</f>
        <v>0</v>
      </c>
      <c r="G600" s="358">
        <f>G599*0.21</f>
        <v>-0.60059999999999991</v>
      </c>
      <c r="H600" s="359">
        <f t="shared" si="168"/>
        <v>0.60059999999999991</v>
      </c>
      <c r="I600" s="140" t="str">
        <f t="shared" si="169"/>
        <v>N.M.</v>
      </c>
      <c r="J600" s="141"/>
      <c r="K600" s="358">
        <f>K599*0.21</f>
        <v>0</v>
      </c>
      <c r="L600" s="358">
        <f>L599*0.21</f>
        <v>61987.737000000001</v>
      </c>
      <c r="M600" s="359">
        <f t="shared" si="170"/>
        <v>-61987.737000000001</v>
      </c>
      <c r="N600" s="140" t="str">
        <f t="shared" si="171"/>
        <v>N.M.</v>
      </c>
      <c r="O600" s="363"/>
      <c r="P600" s="145"/>
      <c r="Q600" s="358">
        <f>Q599*0.21</f>
        <v>0</v>
      </c>
      <c r="R600" s="358">
        <f>R599*0.21</f>
        <v>61987.737000000001</v>
      </c>
      <c r="S600" s="359">
        <f t="shared" si="172"/>
        <v>-61987.737000000001</v>
      </c>
      <c r="T600" s="140" t="str">
        <f t="shared" si="173"/>
        <v>N.M.</v>
      </c>
      <c r="U600" s="145"/>
      <c r="V600" s="358">
        <f>V599*0.21</f>
        <v>-48761.529600000002</v>
      </c>
      <c r="W600" s="358">
        <f>W599*0.21</f>
        <v>420843.40410000004</v>
      </c>
      <c r="X600" s="359">
        <f t="shared" si="174"/>
        <v>-469604.93370000005</v>
      </c>
      <c r="Y600" s="143">
        <f t="shared" si="175"/>
        <v>-1.1158662084874054</v>
      </c>
      <c r="AA600" s="358">
        <f>AA599*0.21</f>
        <v>79432.579799999992</v>
      </c>
      <c r="AB600" s="351"/>
      <c r="AC600" s="358">
        <f t="shared" ref="AC600:AN600" si="176">AC599*0.21</f>
        <v>86284.583700000003</v>
      </c>
      <c r="AD600" s="358">
        <f t="shared" si="176"/>
        <v>-24296.2461</v>
      </c>
      <c r="AE600" s="358">
        <f t="shared" si="176"/>
        <v>-0.60059999999999991</v>
      </c>
      <c r="AF600" s="358">
        <f t="shared" si="176"/>
        <v>280.29329999999999</v>
      </c>
      <c r="AG600" s="358">
        <f t="shared" si="176"/>
        <v>427.1001</v>
      </c>
      <c r="AH600" s="358">
        <f t="shared" si="176"/>
        <v>-49468.923000000003</v>
      </c>
      <c r="AI600" s="358">
        <f t="shared" si="176"/>
        <v>0</v>
      </c>
      <c r="AJ600" s="358">
        <f t="shared" si="176"/>
        <v>0</v>
      </c>
      <c r="AK600" s="358">
        <f t="shared" si="176"/>
        <v>0</v>
      </c>
      <c r="AL600" s="358">
        <f t="shared" si="176"/>
        <v>0</v>
      </c>
      <c r="AM600" s="358">
        <f t="shared" si="176"/>
        <v>0</v>
      </c>
      <c r="AN600" s="358">
        <f t="shared" si="176"/>
        <v>0</v>
      </c>
      <c r="AO600" s="351"/>
      <c r="AP600" s="358">
        <f t="shared" ref="AP600:BA600" si="177">AP599*0.21</f>
        <v>0</v>
      </c>
      <c r="AQ600" s="358">
        <f t="shared" si="177"/>
        <v>0</v>
      </c>
      <c r="AR600" s="358">
        <f t="shared" si="177"/>
        <v>0</v>
      </c>
      <c r="AS600" s="358">
        <f t="shared" si="177"/>
        <v>0</v>
      </c>
      <c r="AT600" s="358">
        <f t="shared" si="177"/>
        <v>0</v>
      </c>
      <c r="AU600" s="358">
        <f t="shared" si="177"/>
        <v>0</v>
      </c>
      <c r="AV600" s="358">
        <f t="shared" si="177"/>
        <v>0</v>
      </c>
      <c r="AW600" s="358">
        <f t="shared" si="177"/>
        <v>0</v>
      </c>
      <c r="AX600" s="358">
        <f t="shared" si="177"/>
        <v>0</v>
      </c>
      <c r="AY600" s="358">
        <f t="shared" si="177"/>
        <v>0</v>
      </c>
      <c r="AZ600" s="358">
        <f t="shared" si="177"/>
        <v>0</v>
      </c>
      <c r="BA600" s="358">
        <f t="shared" si="177"/>
        <v>0</v>
      </c>
    </row>
    <row r="601" spans="1:53" s="131" customFormat="1">
      <c r="A601" s="111"/>
      <c r="B601" s="331" t="s">
        <v>1480</v>
      </c>
      <c r="C601" s="347" t="s">
        <v>1481</v>
      </c>
      <c r="D601" s="352"/>
      <c r="E601" s="352"/>
      <c r="F601" s="333">
        <f>F596-F600</f>
        <v>2347.56</v>
      </c>
      <c r="G601" s="333">
        <f>G596-G600</f>
        <v>84251.59060000001</v>
      </c>
      <c r="H601" s="133">
        <f t="shared" si="168"/>
        <v>-81904.030600000013</v>
      </c>
      <c r="I601" s="138">
        <f t="shared" si="169"/>
        <v>-0.9721363124033412</v>
      </c>
      <c r="J601" s="158"/>
      <c r="K601" s="333">
        <f>K596-K600</f>
        <v>4159.01</v>
      </c>
      <c r="L601" s="333">
        <f>L596-L600</f>
        <v>13026.953000000001</v>
      </c>
      <c r="M601" s="133">
        <f t="shared" si="170"/>
        <v>-8867.9430000000011</v>
      </c>
      <c r="N601" s="138">
        <f t="shared" si="171"/>
        <v>-0.68073808203652841</v>
      </c>
      <c r="O601" s="379"/>
      <c r="P601" s="380"/>
      <c r="Q601" s="333">
        <f>Q596-Q600</f>
        <v>4159.01</v>
      </c>
      <c r="R601" s="333">
        <f>R596-R600</f>
        <v>13026.953000000001</v>
      </c>
      <c r="S601" s="133">
        <f t="shared" si="172"/>
        <v>-8867.9430000000011</v>
      </c>
      <c r="T601" s="138">
        <f t="shared" si="173"/>
        <v>-0.68073808203652841</v>
      </c>
      <c r="U601" s="380"/>
      <c r="V601" s="333">
        <f>V596-V600</f>
        <v>-1305384.7804</v>
      </c>
      <c r="W601" s="333">
        <f>W596-W600</f>
        <v>-1287698.3640999999</v>
      </c>
      <c r="X601" s="133">
        <f t="shared" si="174"/>
        <v>-17686.416300000157</v>
      </c>
      <c r="Y601" s="137">
        <f t="shared" si="175"/>
        <v>-1.3734906242861909E-2</v>
      </c>
      <c r="AA601" s="139">
        <f>AA596-AA600</f>
        <v>-694631.0098</v>
      </c>
      <c r="AB601" s="351"/>
      <c r="AC601" s="333">
        <f t="shared" ref="AC601:AN601" si="178">AC596-AC600</f>
        <v>-86284.583700000003</v>
      </c>
      <c r="AD601" s="333">
        <f t="shared" si="178"/>
        <v>15059.946099999999</v>
      </c>
      <c r="AE601" s="333">
        <f t="shared" si="178"/>
        <v>84251.59060000001</v>
      </c>
      <c r="AF601" s="333">
        <f t="shared" si="178"/>
        <v>-63121.703300000001</v>
      </c>
      <c r="AG601" s="333">
        <f t="shared" si="178"/>
        <v>7671.4899000000005</v>
      </c>
      <c r="AH601" s="333">
        <f t="shared" si="178"/>
        <v>43319.733</v>
      </c>
      <c r="AI601" s="333">
        <f t="shared" si="178"/>
        <v>-49316.18</v>
      </c>
      <c r="AJ601" s="333">
        <f t="shared" si="178"/>
        <v>-20948</v>
      </c>
      <c r="AK601" s="333">
        <f t="shared" si="178"/>
        <v>23899.29</v>
      </c>
      <c r="AL601" s="333">
        <f t="shared" si="178"/>
        <v>-1221333.2</v>
      </c>
      <c r="AM601" s="333">
        <f t="shared" si="178"/>
        <v>547622.07999999996</v>
      </c>
      <c r="AN601" s="333">
        <f t="shared" si="178"/>
        <v>-577337.30000000005</v>
      </c>
      <c r="AO601" s="351"/>
      <c r="AP601" s="333">
        <f t="shared" ref="AP601:BA601" si="179">AP596-AP600</f>
        <v>0</v>
      </c>
      <c r="AQ601" s="333">
        <f t="shared" si="179"/>
        <v>1811.45</v>
      </c>
      <c r="AR601" s="333">
        <f t="shared" si="179"/>
        <v>2347.56</v>
      </c>
      <c r="AS601" s="333">
        <f t="shared" si="179"/>
        <v>0</v>
      </c>
      <c r="AT601" s="333">
        <f t="shared" si="179"/>
        <v>0</v>
      </c>
      <c r="AU601" s="333">
        <f t="shared" si="179"/>
        <v>0</v>
      </c>
      <c r="AV601" s="333">
        <f t="shared" si="179"/>
        <v>0</v>
      </c>
      <c r="AW601" s="333">
        <f t="shared" si="179"/>
        <v>0</v>
      </c>
      <c r="AX601" s="333">
        <f t="shared" si="179"/>
        <v>0</v>
      </c>
      <c r="AY601" s="333">
        <f t="shared" si="179"/>
        <v>0</v>
      </c>
      <c r="AZ601" s="333">
        <f t="shared" si="179"/>
        <v>0</v>
      </c>
      <c r="BA601" s="333">
        <f t="shared" si="179"/>
        <v>0</v>
      </c>
    </row>
    <row r="602" spans="1:53" s="131" customFormat="1" ht="0.75" customHeight="1" outlineLevel="2">
      <c r="A602" s="111"/>
      <c r="B602" s="331"/>
      <c r="C602" s="347"/>
      <c r="D602" s="352"/>
      <c r="E602" s="352"/>
      <c r="F602" s="333"/>
      <c r="G602" s="333"/>
      <c r="H602" s="133"/>
      <c r="I602" s="138"/>
      <c r="J602" s="158"/>
      <c r="K602" s="333"/>
      <c r="L602" s="333"/>
      <c r="M602" s="133"/>
      <c r="N602" s="138"/>
      <c r="O602" s="379"/>
      <c r="P602" s="380"/>
      <c r="Q602" s="333"/>
      <c r="R602" s="333"/>
      <c r="S602" s="133"/>
      <c r="T602" s="138"/>
      <c r="U602" s="380"/>
      <c r="V602" s="333"/>
      <c r="W602" s="333"/>
      <c r="X602" s="133"/>
      <c r="Y602" s="137"/>
      <c r="AA602" s="139"/>
      <c r="AB602" s="351"/>
      <c r="AC602" s="333"/>
      <c r="AD602" s="333"/>
      <c r="AE602" s="333"/>
      <c r="AF602" s="333"/>
      <c r="AG602" s="333"/>
      <c r="AH602" s="333"/>
      <c r="AI602" s="333"/>
      <c r="AJ602" s="333"/>
      <c r="AK602" s="333"/>
      <c r="AL602" s="333"/>
      <c r="AM602" s="333"/>
      <c r="AN602" s="333"/>
      <c r="AO602" s="351"/>
      <c r="AP602" s="333"/>
      <c r="AQ602" s="333"/>
      <c r="AR602" s="333"/>
      <c r="AS602" s="333"/>
      <c r="AT602" s="333"/>
      <c r="AU602" s="333"/>
      <c r="AV602" s="333"/>
      <c r="AW602" s="333"/>
      <c r="AX602" s="333"/>
      <c r="AY602" s="333"/>
      <c r="AZ602" s="333"/>
      <c r="BA602" s="333"/>
    </row>
    <row r="603" spans="1:53" s="102" customFormat="1" outlineLevel="2">
      <c r="A603" s="102" t="s">
        <v>1799</v>
      </c>
      <c r="B603" s="103" t="s">
        <v>1800</v>
      </c>
      <c r="C603" s="104" t="s">
        <v>1482</v>
      </c>
      <c r="D603" s="298"/>
      <c r="E603" s="299"/>
      <c r="F603" s="105">
        <v>0</v>
      </c>
      <c r="G603" s="105">
        <v>0</v>
      </c>
      <c r="H603" s="106">
        <f>+F603-G603</f>
        <v>0</v>
      </c>
      <c r="I603" s="300">
        <f>IF(G603&lt;0,IF(H603=0,0,IF(OR(G603=0,F603=0),"N.M.",IF(ABS(H603/G603)&gt;=10,"N.M.",H603/(-G603)))),IF(H603=0,0,IF(OR(G603=0,F603=0),"N.M.",IF(ABS(H603/G603)&gt;=10,"N.M.",H603/G603))))</f>
        <v>0</v>
      </c>
      <c r="J603" s="107"/>
      <c r="K603" s="105">
        <v>0</v>
      </c>
      <c r="L603" s="105">
        <v>0</v>
      </c>
      <c r="M603" s="106">
        <f>+K603-L603</f>
        <v>0</v>
      </c>
      <c r="N603" s="300">
        <f>IF(L603&lt;0,IF(M603=0,0,IF(OR(L603=0,K603=0),"N.M.",IF(ABS(M603/L603)&gt;=10,"N.M.",M603/(-L603)))),IF(M603=0,0,IF(OR(L603=0,K603=0),"N.M.",IF(ABS(M603/L603)&gt;=10,"N.M.",M603/L603))))</f>
        <v>0</v>
      </c>
      <c r="O603" s="301"/>
      <c r="P603" s="107"/>
      <c r="Q603" s="105">
        <v>0</v>
      </c>
      <c r="R603" s="105">
        <v>0</v>
      </c>
      <c r="S603" s="106">
        <f>+Q603-R603</f>
        <v>0</v>
      </c>
      <c r="T603" s="300">
        <f>IF(R603&lt;0,IF(S603=0,0,IF(OR(R603=0,Q603=0),"N.M.",IF(ABS(S603/R603)&gt;=10,"N.M.",S603/(-R603)))),IF(S603=0,0,IF(OR(R603=0,Q603=0),"N.M.",IF(ABS(S603/R603)&gt;=10,"N.M.",S603/R603))))</f>
        <v>0</v>
      </c>
      <c r="U603" s="107"/>
      <c r="V603" s="105">
        <v>0</v>
      </c>
      <c r="W603" s="105">
        <v>-338626.67</v>
      </c>
      <c r="X603" s="106">
        <f>+V603-W603</f>
        <v>338626.67</v>
      </c>
      <c r="Y603" s="300" t="str">
        <f>IF(W603&lt;0,IF(X603=0,0,IF(OR(W603=0,V603=0),"N.M.",IF(ABS(X603/W603)&gt;=10,"N.M.",X603/(-W603)))),IF(X603=0,0,IF(OR(W603=0,V603=0),"N.M.",IF(ABS(X603/W603)&gt;=10,"N.M.",X603/W603))))</f>
        <v>N.M.</v>
      </c>
      <c r="Z603" s="302"/>
      <c r="AA603" s="108">
        <v>-238137.64</v>
      </c>
      <c r="AB603" s="109"/>
      <c r="AC603" s="110">
        <v>0</v>
      </c>
      <c r="AD603" s="110">
        <v>0</v>
      </c>
      <c r="AE603" s="110">
        <v>0</v>
      </c>
      <c r="AF603" s="110">
        <v>0</v>
      </c>
      <c r="AG603" s="110">
        <v>0</v>
      </c>
      <c r="AH603" s="110">
        <v>0</v>
      </c>
      <c r="AI603" s="110">
        <v>0</v>
      </c>
      <c r="AJ603" s="110">
        <v>0</v>
      </c>
      <c r="AK603" s="110">
        <v>0</v>
      </c>
      <c r="AL603" s="110">
        <v>0</v>
      </c>
      <c r="AM603" s="110">
        <v>0</v>
      </c>
      <c r="AN603" s="110">
        <v>0</v>
      </c>
      <c r="AO603" s="109"/>
      <c r="AP603" s="110">
        <v>0</v>
      </c>
      <c r="AQ603" s="110">
        <v>0</v>
      </c>
      <c r="AR603" s="110">
        <v>0</v>
      </c>
      <c r="AS603" s="110">
        <v>0</v>
      </c>
      <c r="AT603" s="110">
        <v>0</v>
      </c>
      <c r="AU603" s="110">
        <v>0</v>
      </c>
      <c r="AV603" s="110">
        <v>0</v>
      </c>
      <c r="AW603" s="110">
        <v>0</v>
      </c>
      <c r="AX603" s="110">
        <v>0</v>
      </c>
      <c r="AY603" s="110">
        <v>0</v>
      </c>
      <c r="AZ603" s="110">
        <v>0</v>
      </c>
      <c r="BA603" s="110">
        <v>0</v>
      </c>
    </row>
    <row r="604" spans="1:53" s="102" customFormat="1" outlineLevel="2">
      <c r="A604" s="102" t="s">
        <v>1801</v>
      </c>
      <c r="B604" s="103" t="s">
        <v>1802</v>
      </c>
      <c r="C604" s="104" t="s">
        <v>1482</v>
      </c>
      <c r="D604" s="298"/>
      <c r="E604" s="299"/>
      <c r="F604" s="105">
        <v>0</v>
      </c>
      <c r="G604" s="105">
        <v>25960.920000000002</v>
      </c>
      <c r="H604" s="106">
        <f>+F604-G604</f>
        <v>-25960.920000000002</v>
      </c>
      <c r="I604" s="300" t="str">
        <f>IF(G604&lt;0,IF(H604=0,0,IF(OR(G604=0,F604=0),"N.M.",IF(ABS(H604/G604)&gt;=10,"N.M.",H604/(-G604)))),IF(H604=0,0,IF(OR(G604=0,F604=0),"N.M.",IF(ABS(H604/G604)&gt;=10,"N.M.",H604/G604))))</f>
        <v>N.M.</v>
      </c>
      <c r="J604" s="107"/>
      <c r="K604" s="105">
        <v>454.61</v>
      </c>
      <c r="L604" s="105">
        <v>23114.86</v>
      </c>
      <c r="M604" s="106">
        <f>+K604-L604</f>
        <v>-22660.25</v>
      </c>
      <c r="N604" s="300">
        <f>IF(L604&lt;0,IF(M604=0,0,IF(OR(L604=0,K604=0),"N.M.",IF(ABS(M604/L604)&gt;=10,"N.M.",M604/(-L604)))),IF(M604=0,0,IF(OR(L604=0,K604=0),"N.M.",IF(ABS(M604/L604)&gt;=10,"N.M.",M604/L604))))</f>
        <v>-0.98033256528484269</v>
      </c>
      <c r="O604" s="301"/>
      <c r="P604" s="107"/>
      <c r="Q604" s="105">
        <v>454.61</v>
      </c>
      <c r="R604" s="105">
        <v>23114.86</v>
      </c>
      <c r="S604" s="106">
        <f>+Q604-R604</f>
        <v>-22660.25</v>
      </c>
      <c r="T604" s="300">
        <f>IF(R604&lt;0,IF(S604=0,0,IF(OR(R604=0,Q604=0),"N.M.",IF(ABS(S604/R604)&gt;=10,"N.M.",S604/(-R604)))),IF(S604=0,0,IF(OR(R604=0,Q604=0),"N.M.",IF(ABS(S604/R604)&gt;=10,"N.M.",S604/R604))))</f>
        <v>-0.98033256528484269</v>
      </c>
      <c r="U604" s="107"/>
      <c r="V604" s="105">
        <v>-310632.2</v>
      </c>
      <c r="W604" s="105">
        <v>23114.86</v>
      </c>
      <c r="X604" s="106">
        <f>+V604-W604</f>
        <v>-333747.06</v>
      </c>
      <c r="Y604" s="300" t="str">
        <f>IF(W604&lt;0,IF(X604=0,0,IF(OR(W604=0,V604=0),"N.M.",IF(ABS(X604/W604)&gt;=10,"N.M.",X604/(-W604)))),IF(X604=0,0,IF(OR(W604=0,V604=0),"N.M.",IF(ABS(X604/W604)&gt;=10,"N.M.",X604/W604))))</f>
        <v>N.M.</v>
      </c>
      <c r="Z604" s="302"/>
      <c r="AA604" s="108">
        <v>0</v>
      </c>
      <c r="AB604" s="109"/>
      <c r="AC604" s="110">
        <v>0</v>
      </c>
      <c r="AD604" s="110">
        <v>-2846.06</v>
      </c>
      <c r="AE604" s="110">
        <v>25960.920000000002</v>
      </c>
      <c r="AF604" s="110">
        <v>-20172.920000000002</v>
      </c>
      <c r="AG604" s="110">
        <v>1957.19</v>
      </c>
      <c r="AH604" s="110">
        <v>-1486.1000000000001</v>
      </c>
      <c r="AI604" s="110">
        <v>-11918.27</v>
      </c>
      <c r="AJ604" s="110">
        <v>-5062.54</v>
      </c>
      <c r="AK604" s="110">
        <v>5775.76</v>
      </c>
      <c r="AL604" s="110">
        <v>-295161.15000000002</v>
      </c>
      <c r="AM604" s="110">
        <v>159875.32</v>
      </c>
      <c r="AN604" s="110">
        <v>-144894.1</v>
      </c>
      <c r="AO604" s="109"/>
      <c r="AP604" s="110">
        <v>0</v>
      </c>
      <c r="AQ604" s="110">
        <v>454.61</v>
      </c>
      <c r="AR604" s="110">
        <v>0</v>
      </c>
      <c r="AS604" s="110">
        <v>0</v>
      </c>
      <c r="AT604" s="110">
        <v>0</v>
      </c>
      <c r="AU604" s="110">
        <v>0</v>
      </c>
      <c r="AV604" s="110">
        <v>0</v>
      </c>
      <c r="AW604" s="110">
        <v>0</v>
      </c>
      <c r="AX604" s="110">
        <v>0</v>
      </c>
      <c r="AY604" s="110">
        <v>0</v>
      </c>
      <c r="AZ604" s="110">
        <v>0</v>
      </c>
      <c r="BA604" s="110">
        <v>0</v>
      </c>
    </row>
    <row r="605" spans="1:53" s="102" customFormat="1" outlineLevel="2">
      <c r="A605" s="102" t="s">
        <v>1803</v>
      </c>
      <c r="B605" s="103" t="s">
        <v>1804</v>
      </c>
      <c r="C605" s="104" t="s">
        <v>1482</v>
      </c>
      <c r="D605" s="298"/>
      <c r="E605" s="299"/>
      <c r="F605" s="105">
        <v>589.16999999999996</v>
      </c>
      <c r="G605" s="105">
        <v>0</v>
      </c>
      <c r="H605" s="106">
        <f>+F605-G605</f>
        <v>589.16999999999996</v>
      </c>
      <c r="I605" s="300" t="str">
        <f>IF(G605&lt;0,IF(H605=0,0,IF(OR(G605=0,F605=0),"N.M.",IF(ABS(H605/G605)&gt;=10,"N.M.",H605/(-G605)))),IF(H605=0,0,IF(OR(G605=0,F605=0),"N.M.",IF(ABS(H605/G605)&gt;=10,"N.M.",H605/G605))))</f>
        <v>N.M.</v>
      </c>
      <c r="J605" s="107"/>
      <c r="K605" s="105">
        <v>589.16999999999996</v>
      </c>
      <c r="L605" s="105">
        <v>0</v>
      </c>
      <c r="M605" s="106">
        <f>+K605-L605</f>
        <v>589.16999999999996</v>
      </c>
      <c r="N605" s="300" t="str">
        <f>IF(L605&lt;0,IF(M605=0,0,IF(OR(L605=0,K605=0),"N.M.",IF(ABS(M605/L605)&gt;=10,"N.M.",M605/(-L605)))),IF(M605=0,0,IF(OR(L605=0,K605=0),"N.M.",IF(ABS(M605/L605)&gt;=10,"N.M.",M605/L605))))</f>
        <v>N.M.</v>
      </c>
      <c r="O605" s="301"/>
      <c r="P605" s="107"/>
      <c r="Q605" s="105">
        <v>589.16999999999996</v>
      </c>
      <c r="R605" s="105">
        <v>0</v>
      </c>
      <c r="S605" s="106">
        <f>+Q605-R605</f>
        <v>589.16999999999996</v>
      </c>
      <c r="T605" s="300" t="str">
        <f>IF(R605&lt;0,IF(S605=0,0,IF(OR(R605=0,Q605=0),"N.M.",IF(ABS(S605/R605)&gt;=10,"N.M.",S605/(-R605)))),IF(S605=0,0,IF(OR(R605=0,Q605=0),"N.M.",IF(ABS(S605/R605)&gt;=10,"N.M.",S605/R605))))</f>
        <v>N.M.</v>
      </c>
      <c r="U605" s="107"/>
      <c r="V605" s="105">
        <v>589.16999999999996</v>
      </c>
      <c r="W605" s="105">
        <v>0</v>
      </c>
      <c r="X605" s="106">
        <f>+V605-W605</f>
        <v>589.16999999999996</v>
      </c>
      <c r="Y605" s="300" t="str">
        <f>IF(W605&lt;0,IF(X605=0,0,IF(OR(W605=0,V605=0),"N.M.",IF(ABS(X605/W605)&gt;=10,"N.M.",X605/(-W605)))),IF(X605=0,0,IF(OR(W605=0,V605=0),"N.M.",IF(ABS(X605/W605)&gt;=10,"N.M.",X605/W605))))</f>
        <v>N.M.</v>
      </c>
      <c r="Z605" s="302"/>
      <c r="AA605" s="108">
        <v>0</v>
      </c>
      <c r="AB605" s="109"/>
      <c r="AC605" s="110">
        <v>0</v>
      </c>
      <c r="AD605" s="110">
        <v>0</v>
      </c>
      <c r="AE605" s="110">
        <v>0</v>
      </c>
      <c r="AF605" s="110">
        <v>0</v>
      </c>
      <c r="AG605" s="110">
        <v>0</v>
      </c>
      <c r="AH605" s="110">
        <v>0</v>
      </c>
      <c r="AI605" s="110">
        <v>0</v>
      </c>
      <c r="AJ605" s="110">
        <v>0</v>
      </c>
      <c r="AK605" s="110">
        <v>0</v>
      </c>
      <c r="AL605" s="110">
        <v>0</v>
      </c>
      <c r="AM605" s="110">
        <v>0</v>
      </c>
      <c r="AN605" s="110">
        <v>0</v>
      </c>
      <c r="AO605" s="109"/>
      <c r="AP605" s="110">
        <v>0</v>
      </c>
      <c r="AQ605" s="110">
        <v>0</v>
      </c>
      <c r="AR605" s="110">
        <v>589.16999999999996</v>
      </c>
      <c r="AS605" s="110">
        <v>0</v>
      </c>
      <c r="AT605" s="110">
        <v>0</v>
      </c>
      <c r="AU605" s="110">
        <v>0</v>
      </c>
      <c r="AV605" s="110">
        <v>0</v>
      </c>
      <c r="AW605" s="110">
        <v>0</v>
      </c>
      <c r="AX605" s="110">
        <v>0</v>
      </c>
      <c r="AY605" s="110">
        <v>0</v>
      </c>
      <c r="AZ605" s="110">
        <v>0</v>
      </c>
      <c r="BA605" s="110">
        <v>0</v>
      </c>
    </row>
    <row r="606" spans="1:53" s="131" customFormat="1">
      <c r="A606" s="111" t="s">
        <v>1483</v>
      </c>
      <c r="B606" s="331" t="s">
        <v>1484</v>
      </c>
      <c r="C606" s="347" t="s">
        <v>1485</v>
      </c>
      <c r="D606" s="352"/>
      <c r="E606" s="352"/>
      <c r="F606" s="333">
        <v>589.16999999999996</v>
      </c>
      <c r="G606" s="333">
        <v>25960.920000000002</v>
      </c>
      <c r="H606" s="133">
        <f>+F606-G606</f>
        <v>-25371.750000000004</v>
      </c>
      <c r="I606" s="138">
        <f>IF(G606&lt;0,IF(H606=0,0,IF(OR(G606=0,F606=0),"N.M.",IF(ABS(H606/G606)&gt;=10,"N.M.",H606/(-G606)))),IF(H606=0,0,IF(OR(G606=0,F606=0),"N.M.",IF(ABS(H606/G606)&gt;=10,"N.M.",H606/G606))))</f>
        <v>-0.97730550381111303</v>
      </c>
      <c r="J606" s="158"/>
      <c r="K606" s="333">
        <v>1043.78</v>
      </c>
      <c r="L606" s="333">
        <v>23114.86</v>
      </c>
      <c r="M606" s="133">
        <f>+K606-L606</f>
        <v>-22071.08</v>
      </c>
      <c r="N606" s="138">
        <f>IF(L606&lt;0,IF(M606=0,0,IF(OR(L606=0,K606=0),"N.M.",IF(ABS(M606/L606)&gt;=10,"N.M.",M606/(-L606)))),IF(M606=0,0,IF(OR(L606=0,K606=0),"N.M.",IF(ABS(M606/L606)&gt;=10,"N.M.",M606/L606))))</f>
        <v>-0.95484376716969088</v>
      </c>
      <c r="O606" s="377"/>
      <c r="P606" s="378"/>
      <c r="Q606" s="333">
        <v>1043.78</v>
      </c>
      <c r="R606" s="333">
        <v>23114.86</v>
      </c>
      <c r="S606" s="133">
        <f>+Q606-R606</f>
        <v>-22071.08</v>
      </c>
      <c r="T606" s="138">
        <f>IF(R606&lt;0,IF(S606=0,0,IF(OR(R606=0,Q606=0),"N.M.",IF(ABS(S606/R606)&gt;=10,"N.M.",S606/(-R606)))),IF(S606=0,0,IF(OR(R606=0,Q606=0),"N.M.",IF(ABS(S606/R606)&gt;=10,"N.M.",S606/R606))))</f>
        <v>-0.95484376716969088</v>
      </c>
      <c r="U606" s="378"/>
      <c r="V606" s="333">
        <v>-310043.03000000003</v>
      </c>
      <c r="W606" s="333">
        <v>-315511.81</v>
      </c>
      <c r="X606" s="133">
        <f>+V606-W606</f>
        <v>5468.7799999999697</v>
      </c>
      <c r="Y606" s="137">
        <f>IF(W606&lt;0,IF(X606=0,0,IF(OR(W606=0,V606=0),"N.M.",IF(ABS(X606/W606)&gt;=10,"N.M.",X606/(-W606)))),IF(X606=0,0,IF(OR(W606=0,V606=0),"N.M.",IF(ABS(X606/W606)&gt;=10,"N.M.",X606/W606))))</f>
        <v>1.7333043729805136E-2</v>
      </c>
      <c r="AA606" s="139">
        <v>-238137.64</v>
      </c>
      <c r="AB606" s="351"/>
      <c r="AC606" s="333">
        <v>0</v>
      </c>
      <c r="AD606" s="333">
        <v>-2846.06</v>
      </c>
      <c r="AE606" s="333">
        <v>25960.920000000002</v>
      </c>
      <c r="AF606" s="333">
        <v>-20172.920000000002</v>
      </c>
      <c r="AG606" s="333">
        <v>1957.19</v>
      </c>
      <c r="AH606" s="333">
        <v>-1486.1000000000001</v>
      </c>
      <c r="AI606" s="333">
        <v>-11918.27</v>
      </c>
      <c r="AJ606" s="333">
        <v>-5062.54</v>
      </c>
      <c r="AK606" s="333">
        <v>5775.76</v>
      </c>
      <c r="AL606" s="333">
        <v>-295161.15000000002</v>
      </c>
      <c r="AM606" s="333">
        <v>159875.32</v>
      </c>
      <c r="AN606" s="333">
        <v>-144894.1</v>
      </c>
      <c r="AO606" s="351"/>
      <c r="AP606" s="333">
        <v>0</v>
      </c>
      <c r="AQ606" s="333">
        <v>454.61</v>
      </c>
      <c r="AR606" s="333">
        <v>589.16999999999996</v>
      </c>
      <c r="AS606" s="333">
        <v>0</v>
      </c>
      <c r="AT606" s="333">
        <v>0</v>
      </c>
      <c r="AU606" s="333">
        <v>0</v>
      </c>
      <c r="AV606" s="333">
        <v>0</v>
      </c>
      <c r="AW606" s="333">
        <v>0</v>
      </c>
      <c r="AX606" s="333">
        <v>0</v>
      </c>
      <c r="AY606" s="333">
        <v>0</v>
      </c>
      <c r="AZ606" s="333">
        <v>0</v>
      </c>
      <c r="BA606" s="333">
        <v>0</v>
      </c>
    </row>
    <row r="607" spans="1:53" s="131" customFormat="1" ht="0.75" customHeight="1" outlineLevel="2">
      <c r="A607" s="111"/>
      <c r="B607" s="331"/>
      <c r="C607" s="347"/>
      <c r="D607" s="352"/>
      <c r="E607" s="352"/>
      <c r="F607" s="333"/>
      <c r="G607" s="333"/>
      <c r="H607" s="133"/>
      <c r="I607" s="138"/>
      <c r="J607" s="158"/>
      <c r="K607" s="333"/>
      <c r="L607" s="333"/>
      <c r="M607" s="133"/>
      <c r="N607" s="138"/>
      <c r="O607" s="377"/>
      <c r="P607" s="378"/>
      <c r="Q607" s="333"/>
      <c r="R607" s="333"/>
      <c r="S607" s="133"/>
      <c r="T607" s="138"/>
      <c r="U607" s="378"/>
      <c r="V607" s="333"/>
      <c r="W607" s="333"/>
      <c r="X607" s="133"/>
      <c r="Y607" s="137"/>
      <c r="AA607" s="139"/>
      <c r="AB607" s="351"/>
      <c r="AC607" s="333"/>
      <c r="AD607" s="333"/>
      <c r="AE607" s="333"/>
      <c r="AF607" s="333"/>
      <c r="AG607" s="333"/>
      <c r="AH607" s="333"/>
      <c r="AI607" s="333"/>
      <c r="AJ607" s="333"/>
      <c r="AK607" s="333"/>
      <c r="AL607" s="333"/>
      <c r="AM607" s="333"/>
      <c r="AN607" s="333"/>
      <c r="AO607" s="351"/>
      <c r="AP607" s="333"/>
      <c r="AQ607" s="333"/>
      <c r="AR607" s="333"/>
      <c r="AS607" s="333"/>
      <c r="AT607" s="333"/>
      <c r="AU607" s="333"/>
      <c r="AV607" s="333"/>
      <c r="AW607" s="333"/>
      <c r="AX607" s="333"/>
      <c r="AY607" s="333"/>
      <c r="AZ607" s="333"/>
      <c r="BA607" s="333"/>
    </row>
    <row r="608" spans="1:53" s="102" customFormat="1" outlineLevel="2">
      <c r="A608" s="102" t="s">
        <v>1486</v>
      </c>
      <c r="B608" s="103" t="s">
        <v>1487</v>
      </c>
      <c r="C608" s="104" t="s">
        <v>1488</v>
      </c>
      <c r="D608" s="298"/>
      <c r="E608" s="299"/>
      <c r="F608" s="105">
        <v>0</v>
      </c>
      <c r="G608" s="105">
        <v>0</v>
      </c>
      <c r="H608" s="106">
        <f>+F608-G608</f>
        <v>0</v>
      </c>
      <c r="I608" s="300">
        <f>IF(G608&lt;0,IF(H608=0,0,IF(OR(G608=0,F608=0),"N.M.",IF(ABS(H608/G608)&gt;=10,"N.M.",H608/(-G608)))),IF(H608=0,0,IF(OR(G608=0,F608=0),"N.M.",IF(ABS(H608/G608)&gt;=10,"N.M.",H608/G608))))</f>
        <v>0</v>
      </c>
      <c r="J608" s="107"/>
      <c r="K608" s="105">
        <v>0</v>
      </c>
      <c r="L608" s="105">
        <v>0</v>
      </c>
      <c r="M608" s="106">
        <f>+K608-L608</f>
        <v>0</v>
      </c>
      <c r="N608" s="300">
        <f>IF(L608&lt;0,IF(M608=0,0,IF(OR(L608=0,K608=0),"N.M.",IF(ABS(M608/L608)&gt;=10,"N.M.",M608/(-L608)))),IF(M608=0,0,IF(OR(L608=0,K608=0),"N.M.",IF(ABS(M608/L608)&gt;=10,"N.M.",M608/L608))))</f>
        <v>0</v>
      </c>
      <c r="O608" s="301"/>
      <c r="P608" s="107"/>
      <c r="Q608" s="105">
        <v>0</v>
      </c>
      <c r="R608" s="105">
        <v>0</v>
      </c>
      <c r="S608" s="106">
        <f>+Q608-R608</f>
        <v>0</v>
      </c>
      <c r="T608" s="300">
        <f>IF(R608&lt;0,IF(S608=0,0,IF(OR(R608=0,Q608=0),"N.M.",IF(ABS(S608/R608)&gt;=10,"N.M.",S608/(-R608)))),IF(S608=0,0,IF(OR(R608=0,Q608=0),"N.M.",IF(ABS(S608/R608)&gt;=10,"N.M.",S608/R608))))</f>
        <v>0</v>
      </c>
      <c r="U608" s="107"/>
      <c r="V608" s="105">
        <v>1376225.47</v>
      </c>
      <c r="W608" s="105">
        <v>638797.23</v>
      </c>
      <c r="X608" s="106">
        <f>+V608-W608</f>
        <v>737428.24</v>
      </c>
      <c r="Y608" s="300">
        <f>IF(W608&lt;0,IF(X608=0,0,IF(OR(W608=0,V608=0),"N.M.",IF(ABS(X608/W608)&gt;=10,"N.M.",X608/(-W608)))),IF(X608=0,0,IF(OR(W608=0,V608=0),"N.M.",IF(ABS(X608/W608)&gt;=10,"N.M.",X608/W608))))</f>
        <v>1.1544011234989231</v>
      </c>
      <c r="Z608" s="302"/>
      <c r="AA608" s="108">
        <v>611686.37</v>
      </c>
      <c r="AB608" s="109"/>
      <c r="AC608" s="110">
        <v>0</v>
      </c>
      <c r="AD608" s="110">
        <v>0</v>
      </c>
      <c r="AE608" s="110">
        <v>0</v>
      </c>
      <c r="AF608" s="110">
        <v>44730.98</v>
      </c>
      <c r="AG608" s="110">
        <v>0</v>
      </c>
      <c r="AH608" s="110">
        <v>0</v>
      </c>
      <c r="AI608" s="110">
        <v>43655.16</v>
      </c>
      <c r="AJ608" s="110">
        <v>15297.9</v>
      </c>
      <c r="AK608" s="110">
        <v>0</v>
      </c>
      <c r="AL608" s="110">
        <v>1265343.3</v>
      </c>
      <c r="AM608" s="110">
        <v>0</v>
      </c>
      <c r="AN608" s="110">
        <v>7198.13</v>
      </c>
      <c r="AO608" s="109"/>
      <c r="AP608" s="110">
        <v>0</v>
      </c>
      <c r="AQ608" s="110">
        <v>0</v>
      </c>
      <c r="AR608" s="110">
        <v>0</v>
      </c>
      <c r="AS608" s="110">
        <v>0</v>
      </c>
      <c r="AT608" s="110">
        <v>0</v>
      </c>
      <c r="AU608" s="110">
        <v>0</v>
      </c>
      <c r="AV608" s="110">
        <v>0</v>
      </c>
      <c r="AW608" s="110">
        <v>0</v>
      </c>
      <c r="AX608" s="110">
        <v>0</v>
      </c>
      <c r="AY608" s="110">
        <v>0</v>
      </c>
      <c r="AZ608" s="110">
        <v>0</v>
      </c>
      <c r="BA608" s="110">
        <v>0</v>
      </c>
    </row>
    <row r="609" spans="1:53" s="131" customFormat="1">
      <c r="A609" s="111" t="s">
        <v>1489</v>
      </c>
      <c r="B609" s="331" t="s">
        <v>1490</v>
      </c>
      <c r="C609" s="347" t="s">
        <v>1491</v>
      </c>
      <c r="D609" s="352"/>
      <c r="E609" s="352"/>
      <c r="F609" s="333">
        <v>0</v>
      </c>
      <c r="G609" s="333">
        <v>0</v>
      </c>
      <c r="H609" s="133">
        <f>+F609-G609</f>
        <v>0</v>
      </c>
      <c r="I609" s="138">
        <f>IF(G609&lt;0,IF(H609=0,0,IF(OR(G609=0,F609=0),"N.M.",IF(ABS(H609/G609)&gt;=10,"N.M.",H609/(-G609)))),IF(H609=0,0,IF(OR(G609=0,F609=0),"N.M.",IF(ABS(H609/G609)&gt;=10,"N.M.",H609/G609))))</f>
        <v>0</v>
      </c>
      <c r="J609" s="158"/>
      <c r="K609" s="333">
        <v>0</v>
      </c>
      <c r="L609" s="333">
        <v>0</v>
      </c>
      <c r="M609" s="133">
        <f>+K609-L609</f>
        <v>0</v>
      </c>
      <c r="N609" s="138">
        <f>IF(L609&lt;0,IF(M609=0,0,IF(OR(L609=0,K609=0),"N.M.",IF(ABS(M609/L609)&gt;=10,"N.M.",M609/(-L609)))),IF(M609=0,0,IF(OR(L609=0,K609=0),"N.M.",IF(ABS(M609/L609)&gt;=10,"N.M.",M609/L609))))</f>
        <v>0</v>
      </c>
      <c r="O609" s="379"/>
      <c r="P609" s="380"/>
      <c r="Q609" s="333">
        <v>0</v>
      </c>
      <c r="R609" s="333">
        <v>0</v>
      </c>
      <c r="S609" s="133">
        <f>+Q609-R609</f>
        <v>0</v>
      </c>
      <c r="T609" s="138">
        <f>IF(R609&lt;0,IF(S609=0,0,IF(OR(R609=0,Q609=0),"N.M.",IF(ABS(S609/R609)&gt;=10,"N.M.",S609/(-R609)))),IF(S609=0,0,IF(OR(R609=0,Q609=0),"N.M.",IF(ABS(S609/R609)&gt;=10,"N.M.",S609/R609))))</f>
        <v>0</v>
      </c>
      <c r="U609" s="380"/>
      <c r="V609" s="333">
        <v>1376225.47</v>
      </c>
      <c r="W609" s="333">
        <v>638797.23</v>
      </c>
      <c r="X609" s="133">
        <f>+V609-W609</f>
        <v>737428.24</v>
      </c>
      <c r="Y609" s="137">
        <f>IF(W609&lt;0,IF(X609=0,0,IF(OR(W609=0,V609=0),"N.M.",IF(ABS(X609/W609)&gt;=10,"N.M.",X609/(-W609)))),IF(X609=0,0,IF(OR(W609=0,V609=0),"N.M.",IF(ABS(X609/W609)&gt;=10,"N.M.",X609/W609))))</f>
        <v>1.1544011234989231</v>
      </c>
      <c r="AA609" s="139">
        <v>611686.37</v>
      </c>
      <c r="AB609" s="351"/>
      <c r="AC609" s="333">
        <v>0</v>
      </c>
      <c r="AD609" s="333">
        <v>0</v>
      </c>
      <c r="AE609" s="333">
        <v>0</v>
      </c>
      <c r="AF609" s="333">
        <v>44730.98</v>
      </c>
      <c r="AG609" s="333">
        <v>0</v>
      </c>
      <c r="AH609" s="333">
        <v>0</v>
      </c>
      <c r="AI609" s="333">
        <v>43655.16</v>
      </c>
      <c r="AJ609" s="333">
        <v>15297.9</v>
      </c>
      <c r="AK609" s="333">
        <v>0</v>
      </c>
      <c r="AL609" s="333">
        <v>1265343.3</v>
      </c>
      <c r="AM609" s="333">
        <v>0</v>
      </c>
      <c r="AN609" s="333">
        <v>7198.13</v>
      </c>
      <c r="AO609" s="351"/>
      <c r="AP609" s="333">
        <v>0</v>
      </c>
      <c r="AQ609" s="333">
        <v>0</v>
      </c>
      <c r="AR609" s="333">
        <v>0</v>
      </c>
      <c r="AS609" s="333">
        <v>0</v>
      </c>
      <c r="AT609" s="333">
        <v>0</v>
      </c>
      <c r="AU609" s="333">
        <v>0</v>
      </c>
      <c r="AV609" s="333">
        <v>0</v>
      </c>
      <c r="AW609" s="333">
        <v>0</v>
      </c>
      <c r="AX609" s="333">
        <v>0</v>
      </c>
      <c r="AY609" s="333">
        <v>0</v>
      </c>
      <c r="AZ609" s="333">
        <v>0</v>
      </c>
      <c r="BA609" s="333">
        <v>0</v>
      </c>
    </row>
    <row r="610" spans="1:53" s="131" customFormat="1" ht="0.75" customHeight="1" outlineLevel="2">
      <c r="A610" s="111"/>
      <c r="B610" s="331"/>
      <c r="C610" s="347"/>
      <c r="D610" s="352"/>
      <c r="E610" s="352"/>
      <c r="F610" s="333"/>
      <c r="G610" s="333"/>
      <c r="H610" s="133"/>
      <c r="I610" s="138"/>
      <c r="J610" s="158"/>
      <c r="K610" s="333"/>
      <c r="L610" s="333"/>
      <c r="M610" s="133"/>
      <c r="N610" s="138"/>
      <c r="O610" s="379"/>
      <c r="P610" s="380"/>
      <c r="Q610" s="333"/>
      <c r="R610" s="333"/>
      <c r="S610" s="133"/>
      <c r="T610" s="138"/>
      <c r="U610" s="380"/>
      <c r="V610" s="333"/>
      <c r="W610" s="333"/>
      <c r="X610" s="133"/>
      <c r="Y610" s="137"/>
      <c r="AA610" s="139"/>
      <c r="AB610" s="351"/>
      <c r="AC610" s="333"/>
      <c r="AD610" s="333"/>
      <c r="AE610" s="333"/>
      <c r="AF610" s="333"/>
      <c r="AG610" s="333"/>
      <c r="AH610" s="333"/>
      <c r="AI610" s="333"/>
      <c r="AJ610" s="333"/>
      <c r="AK610" s="333"/>
      <c r="AL610" s="333"/>
      <c r="AM610" s="333"/>
      <c r="AN610" s="333"/>
      <c r="AO610" s="351"/>
      <c r="AP610" s="333"/>
      <c r="AQ610" s="333"/>
      <c r="AR610" s="333"/>
      <c r="AS610" s="333"/>
      <c r="AT610" s="333"/>
      <c r="AU610" s="333"/>
      <c r="AV610" s="333"/>
      <c r="AW610" s="333"/>
      <c r="AX610" s="333"/>
      <c r="AY610" s="333"/>
      <c r="AZ610" s="333"/>
      <c r="BA610" s="333"/>
    </row>
    <row r="611" spans="1:53" s="102" customFormat="1" outlineLevel="2">
      <c r="A611" s="102" t="s">
        <v>1492</v>
      </c>
      <c r="B611" s="103" t="s">
        <v>1493</v>
      </c>
      <c r="C611" s="104" t="s">
        <v>1494</v>
      </c>
      <c r="D611" s="298"/>
      <c r="E611" s="299"/>
      <c r="F611" s="105">
        <v>23444.22</v>
      </c>
      <c r="G611" s="105">
        <v>23474.47</v>
      </c>
      <c r="H611" s="106">
        <f>+F611-G611</f>
        <v>-30.25</v>
      </c>
      <c r="I611" s="300">
        <f>IF(G611&lt;0,IF(H611=0,0,IF(OR(G611=0,F611=0),"N.M.",IF(ABS(H611/G611)&gt;=10,"N.M.",H611/(-G611)))),IF(H611=0,0,IF(OR(G611=0,F611=0),"N.M.",IF(ABS(H611/G611)&gt;=10,"N.M.",H611/G611))))</f>
        <v>-1.2886339925885441E-3</v>
      </c>
      <c r="J611" s="107"/>
      <c r="K611" s="105">
        <v>47006.01</v>
      </c>
      <c r="L611" s="105">
        <v>46985.42</v>
      </c>
      <c r="M611" s="106">
        <f>+K611-L611</f>
        <v>20.590000000003783</v>
      </c>
      <c r="N611" s="300">
        <f>IF(L611&lt;0,IF(M611=0,0,IF(OR(L611=0,K611=0),"N.M.",IF(ABS(M611/L611)&gt;=10,"N.M.",M611/(-L611)))),IF(M611=0,0,IF(OR(L611=0,K611=0),"N.M.",IF(ABS(M611/L611)&gt;=10,"N.M.",M611/L611))))</f>
        <v>4.3822104814650553E-4</v>
      </c>
      <c r="O611" s="301"/>
      <c r="P611" s="107"/>
      <c r="Q611" s="105">
        <v>47006.01</v>
      </c>
      <c r="R611" s="105">
        <v>46985.42</v>
      </c>
      <c r="S611" s="106">
        <f>+Q611-R611</f>
        <v>20.590000000003783</v>
      </c>
      <c r="T611" s="300">
        <f>IF(R611&lt;0,IF(S611=0,0,IF(OR(R611=0,Q611=0),"N.M.",IF(ABS(S611/R611)&gt;=10,"N.M.",S611/(-R611)))),IF(S611=0,0,IF(OR(R611=0,Q611=0),"N.M.",IF(ABS(S611/R611)&gt;=10,"N.M.",S611/R611))))</f>
        <v>4.3822104814650553E-4</v>
      </c>
      <c r="U611" s="107"/>
      <c r="V611" s="105">
        <v>1798758.39</v>
      </c>
      <c r="W611" s="105">
        <v>1243140.5899999999</v>
      </c>
      <c r="X611" s="106">
        <f>+V611-W611</f>
        <v>555617.80000000005</v>
      </c>
      <c r="Y611" s="300">
        <f>IF(W611&lt;0,IF(X611=0,0,IF(OR(W611=0,V611=0),"N.M.",IF(ABS(X611/W611)&gt;=10,"N.M.",X611/(-W611)))),IF(X611=0,0,IF(OR(W611=0,V611=0),"N.M.",IF(ABS(X611/W611)&gt;=10,"N.M.",X611/W611))))</f>
        <v>0.44694687348274914</v>
      </c>
      <c r="Z611" s="302"/>
      <c r="AA611" s="108">
        <v>1023296.07</v>
      </c>
      <c r="AB611" s="109"/>
      <c r="AC611" s="110">
        <v>0</v>
      </c>
      <c r="AD611" s="110">
        <v>23510.95</v>
      </c>
      <c r="AE611" s="110">
        <v>23474.47</v>
      </c>
      <c r="AF611" s="110">
        <v>10455.969999999999</v>
      </c>
      <c r="AG611" s="110">
        <v>23465.97</v>
      </c>
      <c r="AH611" s="110">
        <v>23502.31</v>
      </c>
      <c r="AI611" s="110">
        <v>10455.960000000001</v>
      </c>
      <c r="AJ611" s="110">
        <v>10455.969999999999</v>
      </c>
      <c r="AK611" s="110">
        <v>23527.73</v>
      </c>
      <c r="AL611" s="110">
        <v>28675.010000000002</v>
      </c>
      <c r="AM611" s="110">
        <v>642151.65</v>
      </c>
      <c r="AN611" s="110">
        <v>979061.81</v>
      </c>
      <c r="AO611" s="109"/>
      <c r="AP611" s="110">
        <v>0</v>
      </c>
      <c r="AQ611" s="110">
        <v>23561.79</v>
      </c>
      <c r="AR611" s="110">
        <v>23444.22</v>
      </c>
      <c r="AS611" s="110">
        <v>0</v>
      </c>
      <c r="AT611" s="110">
        <v>0</v>
      </c>
      <c r="AU611" s="110">
        <v>0</v>
      </c>
      <c r="AV611" s="110">
        <v>0</v>
      </c>
      <c r="AW611" s="110">
        <v>0</v>
      </c>
      <c r="AX611" s="110">
        <v>0</v>
      </c>
      <c r="AY611" s="110">
        <v>0</v>
      </c>
      <c r="AZ611" s="110">
        <v>0</v>
      </c>
      <c r="BA611" s="110">
        <v>0</v>
      </c>
    </row>
    <row r="612" spans="1:53" s="131" customFormat="1">
      <c r="A612" s="111" t="s">
        <v>1495</v>
      </c>
      <c r="B612" s="331" t="s">
        <v>1496</v>
      </c>
      <c r="C612" s="347" t="s">
        <v>1497</v>
      </c>
      <c r="D612" s="352"/>
      <c r="E612" s="352"/>
      <c r="F612" s="333">
        <v>23444.22</v>
      </c>
      <c r="G612" s="333">
        <v>23474.47</v>
      </c>
      <c r="H612" s="133">
        <f>+F612-G612</f>
        <v>-30.25</v>
      </c>
      <c r="I612" s="138">
        <f>IF(G612&lt;0,IF(H612=0,0,IF(OR(G612=0,F612=0),"N.M.",IF(ABS(H612/G612)&gt;=10,"N.M.",H612/(-G612)))),IF(H612=0,0,IF(OR(G612=0,F612=0),"N.M.",IF(ABS(H612/G612)&gt;=10,"N.M.",H612/G612))))</f>
        <v>-1.2886339925885441E-3</v>
      </c>
      <c r="J612" s="158"/>
      <c r="K612" s="333">
        <v>47006.01</v>
      </c>
      <c r="L612" s="333">
        <v>46985.42</v>
      </c>
      <c r="M612" s="133">
        <f>+K612-L612</f>
        <v>20.590000000003783</v>
      </c>
      <c r="N612" s="138">
        <f>IF(L612&lt;0,IF(M612=0,0,IF(OR(L612=0,K612=0),"N.M.",IF(ABS(M612/L612)&gt;=10,"N.M.",M612/(-L612)))),IF(M612=0,0,IF(OR(L612=0,K612=0),"N.M.",IF(ABS(M612/L612)&gt;=10,"N.M.",M612/L612))))</f>
        <v>4.3822104814650553E-4</v>
      </c>
      <c r="O612" s="377"/>
      <c r="P612" s="378"/>
      <c r="Q612" s="333">
        <v>47006.01</v>
      </c>
      <c r="R612" s="333">
        <v>46985.42</v>
      </c>
      <c r="S612" s="133">
        <f>+Q612-R612</f>
        <v>20.590000000003783</v>
      </c>
      <c r="T612" s="138">
        <f>IF(R612&lt;0,IF(S612=0,0,IF(OR(R612=0,Q612=0),"N.M.",IF(ABS(S612/R612)&gt;=10,"N.M.",S612/(-R612)))),IF(S612=0,0,IF(OR(R612=0,Q612=0),"N.M.",IF(ABS(S612/R612)&gt;=10,"N.M.",S612/R612))))</f>
        <v>4.3822104814650553E-4</v>
      </c>
      <c r="U612" s="378"/>
      <c r="V612" s="333">
        <v>1798758.39</v>
      </c>
      <c r="W612" s="333">
        <v>1243140.5899999999</v>
      </c>
      <c r="X612" s="133">
        <f>+V612-W612</f>
        <v>555617.80000000005</v>
      </c>
      <c r="Y612" s="137">
        <f>IF(W612&lt;0,IF(X612=0,0,IF(OR(W612=0,V612=0),"N.M.",IF(ABS(X612/W612)&gt;=10,"N.M.",X612/(-W612)))),IF(X612=0,0,IF(OR(W612=0,V612=0),"N.M.",IF(ABS(X612/W612)&gt;=10,"N.M.",X612/W612))))</f>
        <v>0.44694687348274914</v>
      </c>
      <c r="AA612" s="139">
        <v>1023296.07</v>
      </c>
      <c r="AB612" s="351"/>
      <c r="AC612" s="333">
        <v>0</v>
      </c>
      <c r="AD612" s="333">
        <v>23510.95</v>
      </c>
      <c r="AE612" s="333">
        <v>23474.47</v>
      </c>
      <c r="AF612" s="333">
        <v>10455.969999999999</v>
      </c>
      <c r="AG612" s="333">
        <v>23465.97</v>
      </c>
      <c r="AH612" s="333">
        <v>23502.31</v>
      </c>
      <c r="AI612" s="333">
        <v>10455.960000000001</v>
      </c>
      <c r="AJ612" s="333">
        <v>10455.969999999999</v>
      </c>
      <c r="AK612" s="333">
        <v>23527.73</v>
      </c>
      <c r="AL612" s="333">
        <v>28675.010000000002</v>
      </c>
      <c r="AM612" s="333">
        <v>642151.65</v>
      </c>
      <c r="AN612" s="333">
        <v>979061.81</v>
      </c>
      <c r="AO612" s="351"/>
      <c r="AP612" s="333">
        <v>0</v>
      </c>
      <c r="AQ612" s="333">
        <v>23561.79</v>
      </c>
      <c r="AR612" s="333">
        <v>23444.22</v>
      </c>
      <c r="AS612" s="333">
        <v>0</v>
      </c>
      <c r="AT612" s="333">
        <v>0</v>
      </c>
      <c r="AU612" s="333">
        <v>0</v>
      </c>
      <c r="AV612" s="333">
        <v>0</v>
      </c>
      <c r="AW612" s="333">
        <v>0</v>
      </c>
      <c r="AX612" s="333">
        <v>0</v>
      </c>
      <c r="AY612" s="333">
        <v>0</v>
      </c>
      <c r="AZ612" s="333">
        <v>0</v>
      </c>
      <c r="BA612" s="333">
        <v>0</v>
      </c>
    </row>
    <row r="613" spans="1:53" s="131" customFormat="1" ht="0.75" customHeight="1" outlineLevel="2">
      <c r="A613" s="111"/>
      <c r="B613" s="331"/>
      <c r="C613" s="347"/>
      <c r="D613" s="352"/>
      <c r="E613" s="352"/>
      <c r="F613" s="333"/>
      <c r="G613" s="333"/>
      <c r="H613" s="133"/>
      <c r="I613" s="138"/>
      <c r="J613" s="158"/>
      <c r="K613" s="333"/>
      <c r="L613" s="333"/>
      <c r="M613" s="133"/>
      <c r="N613" s="138"/>
      <c r="O613" s="377"/>
      <c r="P613" s="378"/>
      <c r="Q613" s="333"/>
      <c r="R613" s="333"/>
      <c r="S613" s="133"/>
      <c r="T613" s="138"/>
      <c r="U613" s="378"/>
      <c r="V613" s="333"/>
      <c r="W613" s="333"/>
      <c r="X613" s="133"/>
      <c r="Y613" s="137"/>
      <c r="AA613" s="139"/>
      <c r="AB613" s="351"/>
      <c r="AC613" s="333"/>
      <c r="AD613" s="333"/>
      <c r="AE613" s="333"/>
      <c r="AF613" s="333"/>
      <c r="AG613" s="333"/>
      <c r="AH613" s="333"/>
      <c r="AI613" s="333"/>
      <c r="AJ613" s="333"/>
      <c r="AK613" s="333"/>
      <c r="AL613" s="333"/>
      <c r="AM613" s="333"/>
      <c r="AN613" s="333"/>
      <c r="AO613" s="351"/>
      <c r="AP613" s="333"/>
      <c r="AQ613" s="333"/>
      <c r="AR613" s="333"/>
      <c r="AS613" s="333"/>
      <c r="AT613" s="333"/>
      <c r="AU613" s="333"/>
      <c r="AV613" s="333"/>
      <c r="AW613" s="333"/>
      <c r="AX613" s="333"/>
      <c r="AY613" s="333"/>
      <c r="AZ613" s="333"/>
      <c r="BA613" s="333"/>
    </row>
    <row r="614" spans="1:53" s="131" customFormat="1">
      <c r="A614" s="111" t="s">
        <v>1498</v>
      </c>
      <c r="B614" s="331" t="s">
        <v>1499</v>
      </c>
      <c r="C614" s="347" t="s">
        <v>1500</v>
      </c>
      <c r="D614" s="352"/>
      <c r="E614" s="352"/>
      <c r="F614" s="333">
        <v>0</v>
      </c>
      <c r="G614" s="333">
        <v>0</v>
      </c>
      <c r="H614" s="133">
        <f>+F614-G614</f>
        <v>0</v>
      </c>
      <c r="I614" s="138">
        <f>IF(G614&lt;0,IF(H614=0,0,IF(OR(G614=0,F614=0),"N.M.",IF(ABS(H614/G614)&gt;=10,"N.M.",H614/(-G614)))),IF(H614=0,0,IF(OR(G614=0,F614=0),"N.M.",IF(ABS(H614/G614)&gt;=10,"N.M.",H614/G614))))</f>
        <v>0</v>
      </c>
      <c r="J614" s="158"/>
      <c r="K614" s="333">
        <v>0</v>
      </c>
      <c r="L614" s="333">
        <v>0</v>
      </c>
      <c r="M614" s="133">
        <f>+K614-L614</f>
        <v>0</v>
      </c>
      <c r="N614" s="138">
        <f>IF(L614&lt;0,IF(M614=0,0,IF(OR(L614=0,K614=0),"N.M.",IF(ABS(M614/L614)&gt;=10,"N.M.",M614/(-L614)))),IF(M614=0,0,IF(OR(L614=0,K614=0),"N.M.",IF(ABS(M614/L614)&gt;=10,"N.M.",M614/L614))))</f>
        <v>0</v>
      </c>
      <c r="O614" s="379"/>
      <c r="P614" s="380"/>
      <c r="Q614" s="333">
        <v>0</v>
      </c>
      <c r="R614" s="333">
        <v>0</v>
      </c>
      <c r="S614" s="133">
        <f>+Q614-R614</f>
        <v>0</v>
      </c>
      <c r="T614" s="138">
        <f>IF(R614&lt;0,IF(S614=0,0,IF(OR(R614=0,Q614=0),"N.M.",IF(ABS(S614/R614)&gt;=10,"N.M.",S614/(-R614)))),IF(S614=0,0,IF(OR(R614=0,Q614=0),"N.M.",IF(ABS(S614/R614)&gt;=10,"N.M.",S614/R614))))</f>
        <v>0</v>
      </c>
      <c r="U614" s="380"/>
      <c r="V614" s="333">
        <v>0</v>
      </c>
      <c r="W614" s="333">
        <v>0</v>
      </c>
      <c r="X614" s="133">
        <f>+V614-W614</f>
        <v>0</v>
      </c>
      <c r="Y614" s="137">
        <f>IF(W614&lt;0,IF(X614=0,0,IF(OR(W614=0,V614=0),"N.M.",IF(ABS(X614/W614)&gt;=10,"N.M.",X614/(-W614)))),IF(X614=0,0,IF(OR(W614=0,V614=0),"N.M.",IF(ABS(X614/W614)&gt;=10,"N.M.",X614/W614))))</f>
        <v>0</v>
      </c>
      <c r="AA614" s="139">
        <v>0</v>
      </c>
      <c r="AB614" s="351"/>
      <c r="AC614" s="333">
        <v>0</v>
      </c>
      <c r="AD614" s="333">
        <v>0</v>
      </c>
      <c r="AE614" s="333">
        <v>0</v>
      </c>
      <c r="AF614" s="333">
        <v>0</v>
      </c>
      <c r="AG614" s="333">
        <v>0</v>
      </c>
      <c r="AH614" s="333">
        <v>0</v>
      </c>
      <c r="AI614" s="333">
        <v>0</v>
      </c>
      <c r="AJ614" s="333">
        <v>0</v>
      </c>
      <c r="AK614" s="333">
        <v>0</v>
      </c>
      <c r="AL614" s="333">
        <v>0</v>
      </c>
      <c r="AM614" s="333">
        <v>0</v>
      </c>
      <c r="AN614" s="333">
        <v>0</v>
      </c>
      <c r="AO614" s="351"/>
      <c r="AP614" s="333">
        <v>0</v>
      </c>
      <c r="AQ614" s="333">
        <v>0</v>
      </c>
      <c r="AR614" s="333">
        <v>0</v>
      </c>
      <c r="AS614" s="333">
        <v>0</v>
      </c>
      <c r="AT614" s="333">
        <v>0</v>
      </c>
      <c r="AU614" s="333">
        <v>0</v>
      </c>
      <c r="AV614" s="333">
        <v>0</v>
      </c>
      <c r="AW614" s="333">
        <v>0</v>
      </c>
      <c r="AX614" s="333">
        <v>0</v>
      </c>
      <c r="AY614" s="333">
        <v>0</v>
      </c>
      <c r="AZ614" s="333">
        <v>0</v>
      </c>
      <c r="BA614" s="333">
        <v>0</v>
      </c>
    </row>
    <row r="615" spans="1:53" s="131" customFormat="1" ht="0.75" customHeight="1" outlineLevel="2">
      <c r="A615" s="111"/>
      <c r="B615" s="331"/>
      <c r="C615" s="347"/>
      <c r="D615" s="352"/>
      <c r="E615" s="352"/>
      <c r="F615" s="333"/>
      <c r="G615" s="333"/>
      <c r="H615" s="133"/>
      <c r="I615" s="138"/>
      <c r="J615" s="158"/>
      <c r="K615" s="333"/>
      <c r="L615" s="333"/>
      <c r="M615" s="133"/>
      <c r="N615" s="138"/>
      <c r="O615" s="379"/>
      <c r="P615" s="380"/>
      <c r="Q615" s="333"/>
      <c r="R615" s="333"/>
      <c r="S615" s="133"/>
      <c r="T615" s="138"/>
      <c r="U615" s="380"/>
      <c r="V615" s="333"/>
      <c r="W615" s="333"/>
      <c r="X615" s="133"/>
      <c r="Y615" s="137"/>
      <c r="AA615" s="139"/>
      <c r="AB615" s="351"/>
      <c r="AC615" s="333"/>
      <c r="AD615" s="333"/>
      <c r="AE615" s="333"/>
      <c r="AF615" s="333"/>
      <c r="AG615" s="333"/>
      <c r="AH615" s="333"/>
      <c r="AI615" s="333"/>
      <c r="AJ615" s="333"/>
      <c r="AK615" s="333"/>
      <c r="AL615" s="333"/>
      <c r="AM615" s="333"/>
      <c r="AN615" s="333"/>
      <c r="AO615" s="351"/>
      <c r="AP615" s="333"/>
      <c r="AQ615" s="333"/>
      <c r="AR615" s="333"/>
      <c r="AS615" s="333"/>
      <c r="AT615" s="333"/>
      <c r="AU615" s="333"/>
      <c r="AV615" s="333"/>
      <c r="AW615" s="333"/>
      <c r="AX615" s="333"/>
      <c r="AY615" s="333"/>
      <c r="AZ615" s="333"/>
      <c r="BA615" s="333"/>
    </row>
    <row r="616" spans="1:53" s="131" customFormat="1">
      <c r="A616" s="111" t="s">
        <v>1501</v>
      </c>
      <c r="B616" s="331" t="s">
        <v>1502</v>
      </c>
      <c r="C616" s="365" t="s">
        <v>1503</v>
      </c>
      <c r="D616" s="366"/>
      <c r="E616" s="366"/>
      <c r="F616" s="146">
        <v>0</v>
      </c>
      <c r="G616" s="146">
        <v>0</v>
      </c>
      <c r="H616" s="367">
        <f>+F616-G616</f>
        <v>0</v>
      </c>
      <c r="I616" s="147">
        <f>IF(G616&lt;0,IF(H616=0,0,IF(OR(G616=0,F616=0),"N.M.",IF(ABS(H616/G616)&gt;=10,"N.M.",H616/(-G616)))),IF(H616=0,0,IF(OR(G616=0,F616=0),"N.M.",IF(ABS(H616/G616)&gt;=10,"N.M.",H616/G616))))</f>
        <v>0</v>
      </c>
      <c r="J616" s="368"/>
      <c r="K616" s="146">
        <v>0</v>
      </c>
      <c r="L616" s="146">
        <v>0</v>
      </c>
      <c r="M616" s="367">
        <f>+K616-L616</f>
        <v>0</v>
      </c>
      <c r="N616" s="147">
        <f>IF(L616&lt;0,IF(M616=0,0,IF(OR(L616=0,K616=0),"N.M.",IF(ABS(M616/L616)&gt;=10,"N.M.",M616/(-L616)))),IF(M616=0,0,IF(OR(L616=0,K616=0),"N.M.",IF(ABS(M616/L616)&gt;=10,"N.M.",M616/L616))))</f>
        <v>0</v>
      </c>
      <c r="O616" s="369"/>
      <c r="P616" s="370"/>
      <c r="Q616" s="146">
        <v>0</v>
      </c>
      <c r="R616" s="146">
        <v>0</v>
      </c>
      <c r="S616" s="367">
        <f>+Q616-R616</f>
        <v>0</v>
      </c>
      <c r="T616" s="147">
        <f>IF(R616&lt;0,IF(S616=0,0,IF(OR(R616=0,Q616=0),"N.M.",IF(ABS(S616/R616)&gt;=10,"N.M.",S616/(-R616)))),IF(S616=0,0,IF(OR(R616=0,Q616=0),"N.M.",IF(ABS(S616/R616)&gt;=10,"N.M.",S616/R616))))</f>
        <v>0</v>
      </c>
      <c r="U616" s="370"/>
      <c r="V616" s="146">
        <v>0</v>
      </c>
      <c r="W616" s="146">
        <v>0</v>
      </c>
      <c r="X616" s="367">
        <f>+V616-W616</f>
        <v>0</v>
      </c>
      <c r="Y616" s="148">
        <f>IF(W616&lt;0,IF(X616=0,0,IF(OR(W616=0,V616=0),"N.M.",IF(ABS(X616/W616)&gt;=10,"N.M.",X616/(-W616)))),IF(X616=0,0,IF(OR(W616=0,V616=0),"N.M.",IF(ABS(X616/W616)&gt;=10,"N.M.",X616/W616))))</f>
        <v>0</v>
      </c>
      <c r="Z616" s="371"/>
      <c r="AA616" s="149">
        <v>0</v>
      </c>
      <c r="AB616" s="150"/>
      <c r="AC616" s="146">
        <v>0</v>
      </c>
      <c r="AD616" s="146">
        <v>0</v>
      </c>
      <c r="AE616" s="146">
        <v>0</v>
      </c>
      <c r="AF616" s="146">
        <v>0</v>
      </c>
      <c r="AG616" s="146">
        <v>0</v>
      </c>
      <c r="AH616" s="146">
        <v>0</v>
      </c>
      <c r="AI616" s="146">
        <v>0</v>
      </c>
      <c r="AJ616" s="146">
        <v>0</v>
      </c>
      <c r="AK616" s="146">
        <v>0</v>
      </c>
      <c r="AL616" s="146">
        <v>0</v>
      </c>
      <c r="AM616" s="146">
        <v>0</v>
      </c>
      <c r="AN616" s="146">
        <v>0</v>
      </c>
      <c r="AO616" s="150"/>
      <c r="AP616" s="146">
        <v>0</v>
      </c>
      <c r="AQ616" s="146">
        <v>0</v>
      </c>
      <c r="AR616" s="146">
        <v>0</v>
      </c>
      <c r="AS616" s="146">
        <v>0</v>
      </c>
      <c r="AT616" s="146">
        <v>0</v>
      </c>
      <c r="AU616" s="146">
        <v>0</v>
      </c>
      <c r="AV616" s="146">
        <v>0</v>
      </c>
      <c r="AW616" s="146">
        <v>0</v>
      </c>
      <c r="AX616" s="146">
        <v>0</v>
      </c>
      <c r="AY616" s="146">
        <v>0</v>
      </c>
      <c r="AZ616" s="146">
        <v>0</v>
      </c>
      <c r="BA616" s="146">
        <v>0</v>
      </c>
    </row>
    <row r="617" spans="1:53" s="131" customFormat="1" ht="0.75" customHeight="1" outlineLevel="2">
      <c r="A617" s="111"/>
      <c r="B617" s="331"/>
      <c r="C617" s="347"/>
      <c r="D617" s="352"/>
      <c r="E617" s="352"/>
      <c r="F617" s="333"/>
      <c r="G617" s="333"/>
      <c r="H617" s="133"/>
      <c r="I617" s="138"/>
      <c r="J617" s="158"/>
      <c r="K617" s="333"/>
      <c r="L617" s="333"/>
      <c r="M617" s="133"/>
      <c r="N617" s="138"/>
      <c r="O617" s="377"/>
      <c r="P617" s="378"/>
      <c r="Q617" s="333"/>
      <c r="R617" s="333"/>
      <c r="S617" s="133"/>
      <c r="T617" s="138"/>
      <c r="U617" s="378"/>
      <c r="V617" s="333"/>
      <c r="W617" s="333"/>
      <c r="X617" s="133"/>
      <c r="Y617" s="137"/>
      <c r="AA617" s="139"/>
      <c r="AB617" s="351"/>
      <c r="AC617" s="333"/>
      <c r="AD617" s="333"/>
      <c r="AE617" s="333"/>
      <c r="AF617" s="333"/>
      <c r="AG617" s="333"/>
      <c r="AH617" s="333"/>
      <c r="AI617" s="333"/>
      <c r="AJ617" s="333"/>
      <c r="AK617" s="333"/>
      <c r="AL617" s="333"/>
      <c r="AM617" s="333"/>
      <c r="AN617" s="333"/>
      <c r="AO617" s="351"/>
      <c r="AP617" s="333"/>
      <c r="AQ617" s="333"/>
      <c r="AR617" s="333"/>
      <c r="AS617" s="333"/>
      <c r="AT617" s="333"/>
      <c r="AU617" s="333"/>
      <c r="AV617" s="333"/>
      <c r="AW617" s="333"/>
      <c r="AX617" s="333"/>
      <c r="AY617" s="333"/>
      <c r="AZ617" s="333"/>
      <c r="BA617" s="333"/>
    </row>
    <row r="618" spans="1:53" s="131" customFormat="1">
      <c r="A618" s="111"/>
      <c r="B618" s="331" t="s">
        <v>1504</v>
      </c>
      <c r="C618" s="372" t="s">
        <v>1505</v>
      </c>
      <c r="D618" s="373"/>
      <c r="E618" s="373"/>
      <c r="F618" s="374">
        <f>SUM(F592,F601,F606,F609,-F612,F614,F616)</f>
        <v>-15590.490000000002</v>
      </c>
      <c r="G618" s="374">
        <f>SUM(G592,G601,G606,G609,-G612,G614,G616)</f>
        <v>93088.040600000008</v>
      </c>
      <c r="H618" s="375">
        <f>+F618-G618</f>
        <v>-108678.53060000001</v>
      </c>
      <c r="I618" s="151">
        <f>IF(G618&lt;0,IF(H618=0,0,IF(OR(G618=0,F618=0),"N.M.",IF(ABS(H618/G618)&gt;=10,"N.M.",H618/(-G618)))),IF(H618=0,0,IF(OR(G618=0,F618=0),"N.M.",IF(ABS(H618/G618)&gt;=10,"N.M.",H618/G618))))</f>
        <v>-1.1674811275380954</v>
      </c>
      <c r="J618" s="158"/>
      <c r="K618" s="374">
        <f>SUM(K592,K601,K606,K609,-K612,K614,K616)</f>
        <v>-20752.22</v>
      </c>
      <c r="L618" s="374">
        <f>SUM(L592,L601,L606,L609,-L612,L614,L616)</f>
        <v>8206.3930000000037</v>
      </c>
      <c r="M618" s="375">
        <f>+K618-L618</f>
        <v>-28958.613000000005</v>
      </c>
      <c r="N618" s="151">
        <f>IF(L618&lt;0,IF(M618=0,0,IF(OR(L618=0,K618=0),"N.M.",IF(ABS(M618/L618)&gt;=10,"N.M.",M618/(-L618)))),IF(M618=0,0,IF(OR(L618=0,K618=0),"N.M.",IF(ABS(M618/L618)&gt;=10,"N.M.",M618/L618))))</f>
        <v>-3.5287870078851928</v>
      </c>
      <c r="O618" s="321"/>
      <c r="P618" s="364"/>
      <c r="Q618" s="374">
        <f>SUM(Q592,Q601,Q606,Q609,-Q612,Q614,Q616)</f>
        <v>-20752.22</v>
      </c>
      <c r="R618" s="374">
        <f>SUM(R592,R601,R606,R609,-R612,R614,R616)</f>
        <v>8206.3930000000037</v>
      </c>
      <c r="S618" s="375">
        <f>+Q618-R618</f>
        <v>-28958.613000000005</v>
      </c>
      <c r="T618" s="151">
        <f>IF(R618&lt;0,IF(S618=0,0,IF(OR(R618=0,Q618=0),"N.M.",IF(ABS(S618/R618)&gt;=10,"N.M.",S618/(-R618)))),IF(S618=0,0,IF(OR(R618=0,Q618=0),"N.M.",IF(ABS(S618/R618)&gt;=10,"N.M.",S618/R618))))</f>
        <v>-3.5287870078851928</v>
      </c>
      <c r="U618" s="364"/>
      <c r="V618" s="374">
        <f>SUM(V592,V601,V606,V609,-V612,V614,V616)</f>
        <v>-1983852.2104</v>
      </c>
      <c r="W618" s="374">
        <f>SUM(W592,W601,W606,W609,-W612,W614,W616)</f>
        <v>-2098786.2240999998</v>
      </c>
      <c r="X618" s="375">
        <f>+V618-W618</f>
        <v>114934.01369999978</v>
      </c>
      <c r="Y618" s="152">
        <f>IF(W618&lt;0,IF(X618=0,0,IF(OR(W618=0,V618=0),"N.M.",IF(ABS(X618/W618)&gt;=10,"N.M.",X618/(-W618)))),IF(X618=0,0,IF(OR(W618=0,V618=0),"N.M.",IF(ABS(X618/W618)&gt;=10,"N.M.",X618/W618))))</f>
        <v>5.4762134599623508E-2</v>
      </c>
      <c r="AA618" s="153">
        <f>SUM(AA592,AA601,AA606,AA609,-AA612,AA614,AA616)</f>
        <v>-1338049.3498</v>
      </c>
      <c r="AB618" s="351"/>
      <c r="AC618" s="374">
        <f t="shared" ref="AC618:AN618" si="180">SUM(AC592,AC601,AC606,AC609,-AC612,AC614,AC616)</f>
        <v>-79934.583700000003</v>
      </c>
      <c r="AD618" s="374">
        <f t="shared" si="180"/>
        <v>-4947.063900000001</v>
      </c>
      <c r="AE618" s="374">
        <f t="shared" si="180"/>
        <v>93088.040600000008</v>
      </c>
      <c r="AF618" s="374">
        <f t="shared" si="180"/>
        <v>-45324.613300000005</v>
      </c>
      <c r="AG618" s="374">
        <f t="shared" si="180"/>
        <v>-7487.2901000000002</v>
      </c>
      <c r="AH618" s="374">
        <f t="shared" si="180"/>
        <v>24677.323</v>
      </c>
      <c r="AI618" s="374">
        <f t="shared" si="180"/>
        <v>-21685.249999999993</v>
      </c>
      <c r="AJ618" s="374">
        <f t="shared" si="180"/>
        <v>-14818.61</v>
      </c>
      <c r="AK618" s="374">
        <f t="shared" si="180"/>
        <v>-8940.159999999998</v>
      </c>
      <c r="AL618" s="374">
        <f t="shared" si="180"/>
        <v>-273476.06000000006</v>
      </c>
      <c r="AM618" s="374">
        <f t="shared" si="180"/>
        <v>71695.749999999884</v>
      </c>
      <c r="AN618" s="374">
        <f t="shared" si="180"/>
        <v>-1687741.08</v>
      </c>
      <c r="AO618" s="351"/>
      <c r="AP618" s="374">
        <f t="shared" ref="AP618:BA618" si="181">SUM(AP592,AP601,AP606,AP609,-AP612,AP614,AP616)</f>
        <v>11217</v>
      </c>
      <c r="AQ618" s="374">
        <f t="shared" si="181"/>
        <v>-16378.730000000001</v>
      </c>
      <c r="AR618" s="374">
        <f t="shared" si="181"/>
        <v>-15590.490000000002</v>
      </c>
      <c r="AS618" s="374">
        <f t="shared" si="181"/>
        <v>0</v>
      </c>
      <c r="AT618" s="374">
        <f t="shared" si="181"/>
        <v>0</v>
      </c>
      <c r="AU618" s="374">
        <f t="shared" si="181"/>
        <v>0</v>
      </c>
      <c r="AV618" s="374">
        <f t="shared" si="181"/>
        <v>0</v>
      </c>
      <c r="AW618" s="374">
        <f t="shared" si="181"/>
        <v>0</v>
      </c>
      <c r="AX618" s="374">
        <f t="shared" si="181"/>
        <v>0</v>
      </c>
      <c r="AY618" s="374">
        <f t="shared" si="181"/>
        <v>0</v>
      </c>
      <c r="AZ618" s="374">
        <f t="shared" si="181"/>
        <v>0</v>
      </c>
      <c r="BA618" s="374">
        <f t="shared" si="181"/>
        <v>0</v>
      </c>
    </row>
    <row r="619" spans="1:53" s="131" customFormat="1">
      <c r="A619" s="111"/>
      <c r="B619" s="331" t="s">
        <v>1506</v>
      </c>
      <c r="C619" s="376" t="s">
        <v>1507</v>
      </c>
      <c r="D619" s="373"/>
      <c r="E619" s="373"/>
      <c r="F619" s="374">
        <f>+F556-F586-F618</f>
        <v>25754.545999999984</v>
      </c>
      <c r="G619" s="374">
        <f>+G556-G586-G618</f>
        <v>-167505.88060000003</v>
      </c>
      <c r="H619" s="375">
        <f>+F619-G619</f>
        <v>193260.42660000001</v>
      </c>
      <c r="I619" s="151">
        <f>IF(G619&lt;0,IF(H619=0,0,IF(OR(G619=0,F619=0),"N.M.",IF(ABS(H619/G619)&gt;=10,"N.M.",H619/(-G619)))),IF(H619=0,0,IF(OR(G619=0,F619=0),"N.M.",IF(ABS(H619/G619)&gt;=10,"N.M.",H619/G619))))</f>
        <v>1.1537530856095806</v>
      </c>
      <c r="J619" s="158"/>
      <c r="K619" s="374">
        <f>+K556-K586-K618</f>
        <v>58897.405999999988</v>
      </c>
      <c r="L619" s="374">
        <f>+L556-L586-L618</f>
        <v>37217.927000000062</v>
      </c>
      <c r="M619" s="375">
        <f>+K619-L619</f>
        <v>21679.478999999927</v>
      </c>
      <c r="N619" s="151">
        <f>IF(L619&lt;0,IF(M619=0,0,IF(OR(L619=0,K619=0),"N.M.",IF(ABS(M619/L619)&gt;=10,"N.M.",M619/(-L619)))),IF(M619=0,0,IF(OR(L619=0,K619=0),"N.M.",IF(ABS(M619/L619)&gt;=10,"N.M.",M619/L619))))</f>
        <v>0.5825009813147275</v>
      </c>
      <c r="O619" s="321"/>
      <c r="P619" s="364"/>
      <c r="Q619" s="374">
        <f>+Q556-Q586-Q618</f>
        <v>58897.405999999988</v>
      </c>
      <c r="R619" s="374">
        <f>+R556-R586-R618</f>
        <v>37217.927000000062</v>
      </c>
      <c r="S619" s="375">
        <f>+Q619-R619</f>
        <v>21679.478999999927</v>
      </c>
      <c r="T619" s="151">
        <f>IF(R619&lt;0,IF(S619=0,0,IF(OR(R619=0,Q619=0),"N.M.",IF(ABS(S619/R619)&gt;=10,"N.M.",S619/(-R619)))),IF(S619=0,0,IF(OR(R619=0,Q619=0),"N.M.",IF(ABS(S619/R619)&gt;=10,"N.M.",S619/R619))))</f>
        <v>0.5825009813147275</v>
      </c>
      <c r="U619" s="364"/>
      <c r="V619" s="374">
        <f>+V556-V586-V618</f>
        <v>-488156.39359999937</v>
      </c>
      <c r="W619" s="374">
        <f>+W556-W586-W618</f>
        <v>1280953.2940999991</v>
      </c>
      <c r="X619" s="375">
        <f>+V619-W619</f>
        <v>-1769109.6876999985</v>
      </c>
      <c r="Y619" s="152">
        <f>IF(W619&lt;0,IF(X619=0,0,IF(OR(W619=0,V619=0),"N.M.",IF(ABS(X619/W619)&gt;=10,"N.M.",X619/(-W619)))),IF(X619=0,0,IF(OR(W619=0,V619=0),"N.M.",IF(ABS(X619/W619)&gt;=10,"N.M.",X619/W619))))</f>
        <v>-1.3810883627439197</v>
      </c>
      <c r="AA619" s="153">
        <f>+AA556-AA586-AA618</f>
        <v>570529.61979999987</v>
      </c>
      <c r="AB619" s="351"/>
      <c r="AC619" s="374">
        <f t="shared" ref="AC619:AN619" si="182">+AC556-AC586-AC618</f>
        <v>-370246.47630000015</v>
      </c>
      <c r="AD619" s="374">
        <f t="shared" si="182"/>
        <v>574970.28390000004</v>
      </c>
      <c r="AE619" s="374">
        <f t="shared" si="182"/>
        <v>-167505.88060000003</v>
      </c>
      <c r="AF619" s="374">
        <f t="shared" si="182"/>
        <v>-30819.016699999986</v>
      </c>
      <c r="AG619" s="374">
        <f t="shared" si="182"/>
        <v>-124070.75990000002</v>
      </c>
      <c r="AH619" s="374">
        <f t="shared" si="182"/>
        <v>117373.67700000003</v>
      </c>
      <c r="AI619" s="374">
        <f t="shared" si="182"/>
        <v>-41340.270000000011</v>
      </c>
      <c r="AJ619" s="374">
        <f t="shared" si="182"/>
        <v>52638.539999999994</v>
      </c>
      <c r="AK619" s="374">
        <f t="shared" si="182"/>
        <v>150473.23000000001</v>
      </c>
      <c r="AL619" s="374">
        <f t="shared" si="182"/>
        <v>363403.0400000001</v>
      </c>
      <c r="AM619" s="374">
        <f t="shared" si="182"/>
        <v>25393.380000000121</v>
      </c>
      <c r="AN619" s="374">
        <f t="shared" si="182"/>
        <v>-1060105.6200000001</v>
      </c>
      <c r="AO619" s="351"/>
      <c r="AP619" s="374">
        <f t="shared" ref="AP619:BA619" si="183">+AP556-AP586-AP618</f>
        <v>25796.840000000026</v>
      </c>
      <c r="AQ619" s="374">
        <f t="shared" si="183"/>
        <v>7346.0200000000095</v>
      </c>
      <c r="AR619" s="374">
        <f t="shared" si="183"/>
        <v>25754.545999999984</v>
      </c>
      <c r="AS619" s="374">
        <f t="shared" si="183"/>
        <v>663941.78</v>
      </c>
      <c r="AT619" s="374">
        <f t="shared" si="183"/>
        <v>0</v>
      </c>
      <c r="AU619" s="374">
        <f t="shared" si="183"/>
        <v>0</v>
      </c>
      <c r="AV619" s="374">
        <f t="shared" si="183"/>
        <v>0</v>
      </c>
      <c r="AW619" s="374">
        <f t="shared" si="183"/>
        <v>0</v>
      </c>
      <c r="AX619" s="374">
        <f t="shared" si="183"/>
        <v>0</v>
      </c>
      <c r="AY619" s="374">
        <f t="shared" si="183"/>
        <v>0</v>
      </c>
      <c r="AZ619" s="374">
        <f t="shared" si="183"/>
        <v>0</v>
      </c>
      <c r="BA619" s="374">
        <f t="shared" si="183"/>
        <v>0</v>
      </c>
    </row>
    <row r="620" spans="1:53">
      <c r="B620" s="331" t="s">
        <v>1508</v>
      </c>
      <c r="C620" s="337" t="s">
        <v>1509</v>
      </c>
      <c r="D620" s="338"/>
      <c r="E620" s="338"/>
      <c r="F620" s="334"/>
      <c r="G620" s="334"/>
      <c r="H620" s="334"/>
      <c r="I620" s="334"/>
      <c r="J620" s="135"/>
      <c r="K620" s="339"/>
      <c r="L620" s="339"/>
      <c r="M620" s="339"/>
      <c r="N620" s="340"/>
      <c r="O620" s="334"/>
      <c r="P620" s="135"/>
      <c r="Q620" s="334"/>
      <c r="R620" s="334"/>
      <c r="S620" s="334"/>
      <c r="T620" s="334"/>
      <c r="U620" s="135"/>
      <c r="V620" s="334"/>
      <c r="W620" s="334"/>
      <c r="X620" s="334"/>
      <c r="Y620" s="334"/>
      <c r="Z620" s="334"/>
      <c r="AA620" s="136"/>
      <c r="AB620" s="341"/>
      <c r="AC620" s="339"/>
      <c r="AD620" s="339"/>
      <c r="AE620" s="339"/>
      <c r="AF620" s="339"/>
      <c r="AG620" s="339"/>
      <c r="AH620" s="339"/>
      <c r="AI620" s="339"/>
      <c r="AJ620" s="339"/>
      <c r="AK620" s="339"/>
      <c r="AL620" s="339"/>
      <c r="AM620" s="339"/>
      <c r="AN620" s="339"/>
      <c r="AO620" s="341"/>
      <c r="AP620" s="339"/>
      <c r="AQ620" s="339"/>
      <c r="AR620" s="339"/>
      <c r="AS620" s="339"/>
      <c r="AT620" s="339"/>
      <c r="AU620" s="339"/>
      <c r="AV620" s="339"/>
      <c r="AW620" s="339"/>
      <c r="AX620" s="339"/>
      <c r="AY620" s="339"/>
      <c r="AZ620" s="339"/>
      <c r="BA620" s="339"/>
    </row>
    <row r="621" spans="1:53" s="131" customFormat="1" ht="0.75" customHeight="1" outlineLevel="2">
      <c r="A621" s="111"/>
      <c r="B621" s="331"/>
      <c r="C621" s="387"/>
      <c r="D621" s="382"/>
      <c r="E621" s="382"/>
      <c r="F621" s="383"/>
      <c r="G621" s="383"/>
      <c r="H621" s="383"/>
      <c r="I621" s="384"/>
      <c r="J621" s="158"/>
      <c r="K621" s="383"/>
      <c r="L621" s="383"/>
      <c r="M621" s="383"/>
      <c r="N621" s="384"/>
      <c r="O621" s="385"/>
      <c r="P621" s="154"/>
      <c r="Q621" s="383"/>
      <c r="R621" s="383"/>
      <c r="S621" s="383"/>
      <c r="T621" s="384"/>
      <c r="U621" s="154"/>
      <c r="V621" s="383"/>
      <c r="W621" s="383"/>
      <c r="X621" s="383"/>
      <c r="Y621" s="155"/>
      <c r="AA621" s="156"/>
      <c r="AB621" s="351"/>
      <c r="AC621" s="383"/>
      <c r="AD621" s="383"/>
      <c r="AE621" s="383"/>
      <c r="AF621" s="383"/>
      <c r="AG621" s="383"/>
      <c r="AH621" s="383"/>
      <c r="AI621" s="383"/>
      <c r="AJ621" s="383"/>
      <c r="AK621" s="383"/>
      <c r="AL621" s="383"/>
      <c r="AM621" s="383"/>
      <c r="AN621" s="383"/>
      <c r="AO621" s="351"/>
      <c r="AP621" s="383"/>
      <c r="AQ621" s="383"/>
      <c r="AR621" s="383"/>
      <c r="AS621" s="383"/>
      <c r="AT621" s="383"/>
      <c r="AU621" s="383"/>
      <c r="AV621" s="383"/>
      <c r="AW621" s="383"/>
      <c r="AX621" s="383"/>
      <c r="AY621" s="383"/>
      <c r="AZ621" s="383"/>
      <c r="BA621" s="383"/>
    </row>
    <row r="622" spans="1:53" s="102" customFormat="1" outlineLevel="2">
      <c r="A622" s="102" t="s">
        <v>1510</v>
      </c>
      <c r="B622" s="103" t="s">
        <v>1511</v>
      </c>
      <c r="C622" s="104" t="s">
        <v>1512</v>
      </c>
      <c r="D622" s="298"/>
      <c r="E622" s="299"/>
      <c r="F622" s="105">
        <v>127291.67</v>
      </c>
      <c r="G622" s="105">
        <v>127291.67</v>
      </c>
      <c r="H622" s="106">
        <f>+F622-G622</f>
        <v>0</v>
      </c>
      <c r="I622" s="300">
        <f>IF(G622&lt;0,IF(H622=0,0,IF(OR(G622=0,F622=0),"N.M.",IF(ABS(H622/G622)&gt;=10,"N.M.",H622/(-G622)))),IF(H622=0,0,IF(OR(G622=0,F622=0),"N.M.",IF(ABS(H622/G622)&gt;=10,"N.M.",H622/G622))))</f>
        <v>0</v>
      </c>
      <c r="J622" s="107"/>
      <c r="K622" s="105">
        <v>381875.01</v>
      </c>
      <c r="L622" s="105">
        <v>381875.01</v>
      </c>
      <c r="M622" s="106">
        <f>+K622-L622</f>
        <v>0</v>
      </c>
      <c r="N622" s="300">
        <f>IF(L622&lt;0,IF(M622=0,0,IF(OR(L622=0,K622=0),"N.M.",IF(ABS(M622/L622)&gt;=10,"N.M.",M622/(-L622)))),IF(M622=0,0,IF(OR(L622=0,K622=0),"N.M.",IF(ABS(M622/L622)&gt;=10,"N.M.",M622/L622))))</f>
        <v>0</v>
      </c>
      <c r="O622" s="301"/>
      <c r="P622" s="107"/>
      <c r="Q622" s="105">
        <v>381875.01</v>
      </c>
      <c r="R622" s="105">
        <v>381875.01</v>
      </c>
      <c r="S622" s="106">
        <f>+Q622-R622</f>
        <v>0</v>
      </c>
      <c r="T622" s="300">
        <f>IF(R622&lt;0,IF(S622=0,0,IF(OR(R622=0,Q622=0),"N.M.",IF(ABS(S622/R622)&gt;=10,"N.M.",S622/(-R622)))),IF(S622=0,0,IF(OR(R622=0,Q622=0),"N.M.",IF(ABS(S622/R622)&gt;=10,"N.M.",S622/R622))))</f>
        <v>0</v>
      </c>
      <c r="U622" s="107"/>
      <c r="V622" s="105">
        <v>1527500</v>
      </c>
      <c r="W622" s="105">
        <v>1527500</v>
      </c>
      <c r="X622" s="106">
        <f>+V622-W622</f>
        <v>0</v>
      </c>
      <c r="Y622" s="300">
        <f>IF(W622&lt;0,IF(X622=0,0,IF(OR(W622=0,V622=0),"N.M.",IF(ABS(X622/W622)&gt;=10,"N.M.",X622/(-W622)))),IF(X622=0,0,IF(OR(W622=0,V622=0),"N.M.",IF(ABS(X622/W622)&gt;=10,"N.M.",X622/W622))))</f>
        <v>0</v>
      </c>
      <c r="Z622" s="302"/>
      <c r="AA622" s="108">
        <v>127291.66</v>
      </c>
      <c r="AB622" s="109"/>
      <c r="AC622" s="110">
        <v>127291.67</v>
      </c>
      <c r="AD622" s="110">
        <v>127291.67</v>
      </c>
      <c r="AE622" s="110">
        <v>127291.67</v>
      </c>
      <c r="AF622" s="110">
        <v>127291.66</v>
      </c>
      <c r="AG622" s="110">
        <v>127291.67</v>
      </c>
      <c r="AH622" s="110">
        <v>127291.67</v>
      </c>
      <c r="AI622" s="110">
        <v>127291.66</v>
      </c>
      <c r="AJ622" s="110">
        <v>127291.67</v>
      </c>
      <c r="AK622" s="110">
        <v>127291.67</v>
      </c>
      <c r="AL622" s="110">
        <v>127291.66</v>
      </c>
      <c r="AM622" s="110">
        <v>127291.67</v>
      </c>
      <c r="AN622" s="110">
        <v>127291.66</v>
      </c>
      <c r="AO622" s="109"/>
      <c r="AP622" s="110">
        <v>127291.67</v>
      </c>
      <c r="AQ622" s="110">
        <v>127291.67</v>
      </c>
      <c r="AR622" s="110">
        <v>127291.67</v>
      </c>
      <c r="AS622" s="110">
        <v>0</v>
      </c>
      <c r="AT622" s="110">
        <v>0</v>
      </c>
      <c r="AU622" s="110">
        <v>0</v>
      </c>
      <c r="AV622" s="110">
        <v>0</v>
      </c>
      <c r="AW622" s="110">
        <v>0</v>
      </c>
      <c r="AX622" s="110">
        <v>0</v>
      </c>
      <c r="AY622" s="110">
        <v>0</v>
      </c>
      <c r="AZ622" s="110">
        <v>0</v>
      </c>
      <c r="BA622" s="110">
        <v>0</v>
      </c>
    </row>
    <row r="623" spans="1:53" s="102" customFormat="1" outlineLevel="2">
      <c r="A623" s="102" t="s">
        <v>1513</v>
      </c>
      <c r="B623" s="103" t="s">
        <v>1514</v>
      </c>
      <c r="C623" s="104" t="s">
        <v>1515</v>
      </c>
      <c r="D623" s="298"/>
      <c r="E623" s="299"/>
      <c r="F623" s="105">
        <v>2084841.94</v>
      </c>
      <c r="G623" s="105">
        <v>375480.91000000003</v>
      </c>
      <c r="H623" s="106">
        <f>+F623-G623</f>
        <v>1709361.0299999998</v>
      </c>
      <c r="I623" s="300">
        <f>IF(G623&lt;0,IF(H623=0,0,IF(OR(G623=0,F623=0),"N.M.",IF(ABS(H623/G623)&gt;=10,"N.M.",H623/(-G623)))),IF(H623=0,0,IF(OR(G623=0,F623=0),"N.M.",IF(ABS(H623/G623)&gt;=10,"N.M.",H623/G623))))</f>
        <v>4.5524578866073364</v>
      </c>
      <c r="J623" s="107"/>
      <c r="K623" s="105">
        <v>5960024.9299999997</v>
      </c>
      <c r="L623" s="105">
        <v>988223.97</v>
      </c>
      <c r="M623" s="106">
        <f>+K623-L623</f>
        <v>4971800.96</v>
      </c>
      <c r="N623" s="300">
        <f>IF(L623&lt;0,IF(M623=0,0,IF(OR(L623=0,K623=0),"N.M.",IF(ABS(M623/L623)&gt;=10,"N.M.",M623/(-L623)))),IF(M623=0,0,IF(OR(L623=0,K623=0),"N.M.",IF(ABS(M623/L623)&gt;=10,"N.M.",M623/L623))))</f>
        <v>5.0310467170716375</v>
      </c>
      <c r="O623" s="301"/>
      <c r="P623" s="107"/>
      <c r="Q623" s="105">
        <v>5960024.9299999997</v>
      </c>
      <c r="R623" s="105">
        <v>988223.97</v>
      </c>
      <c r="S623" s="106">
        <f>+Q623-R623</f>
        <v>4971800.96</v>
      </c>
      <c r="T623" s="300">
        <f>IF(R623&lt;0,IF(S623=0,0,IF(OR(R623=0,Q623=0),"N.M.",IF(ABS(S623/R623)&gt;=10,"N.M.",S623/(-R623)))),IF(S623=0,0,IF(OR(R623=0,Q623=0),"N.M.",IF(ABS(S623/R623)&gt;=10,"N.M.",S623/R623))))</f>
        <v>5.0310467170716375</v>
      </c>
      <c r="U623" s="107"/>
      <c r="V623" s="105">
        <v>15849206.609999999</v>
      </c>
      <c r="W623" s="105">
        <v>3403918.42</v>
      </c>
      <c r="X623" s="106">
        <f>+V623-W623</f>
        <v>12445288.189999999</v>
      </c>
      <c r="Y623" s="300">
        <f>IF(W623&lt;0,IF(X623=0,0,IF(OR(W623=0,V623=0),"N.M.",IF(ABS(X623/W623)&gt;=10,"N.M.",X623/(-W623)))),IF(X623=0,0,IF(OR(W623=0,V623=0),"N.M.",IF(ABS(X623/W623)&gt;=10,"N.M.",X623/W623))))</f>
        <v>3.6561652350058376</v>
      </c>
      <c r="Z623" s="302"/>
      <c r="AA623" s="108">
        <v>302638.89</v>
      </c>
      <c r="AB623" s="109"/>
      <c r="AC623" s="110">
        <v>311305.56</v>
      </c>
      <c r="AD623" s="110">
        <v>301437.5</v>
      </c>
      <c r="AE623" s="110">
        <v>375480.91000000003</v>
      </c>
      <c r="AF623" s="110">
        <v>412918.75</v>
      </c>
      <c r="AG623" s="110">
        <v>546118.81000000006</v>
      </c>
      <c r="AH623" s="110">
        <v>617057.92000000004</v>
      </c>
      <c r="AI623" s="110">
        <v>823976.29</v>
      </c>
      <c r="AJ623" s="110">
        <v>1216082.3999999999</v>
      </c>
      <c r="AK623" s="110">
        <v>1286775.0900000001</v>
      </c>
      <c r="AL623" s="110">
        <v>1464593.19</v>
      </c>
      <c r="AM623" s="110">
        <v>1646483.54</v>
      </c>
      <c r="AN623" s="110">
        <v>1875175.69</v>
      </c>
      <c r="AO623" s="109"/>
      <c r="AP623" s="110">
        <v>2008478.18</v>
      </c>
      <c r="AQ623" s="110">
        <v>1866704.81</v>
      </c>
      <c r="AR623" s="110">
        <v>2084841.94</v>
      </c>
      <c r="AS623" s="110">
        <v>0</v>
      </c>
      <c r="AT623" s="110">
        <v>0</v>
      </c>
      <c r="AU623" s="110">
        <v>0</v>
      </c>
      <c r="AV623" s="110">
        <v>0</v>
      </c>
      <c r="AW623" s="110">
        <v>0</v>
      </c>
      <c r="AX623" s="110">
        <v>0</v>
      </c>
      <c r="AY623" s="110">
        <v>0</v>
      </c>
      <c r="AZ623" s="110">
        <v>0</v>
      </c>
      <c r="BA623" s="110">
        <v>0</v>
      </c>
    </row>
    <row r="624" spans="1:53" s="102" customFormat="1" outlineLevel="2">
      <c r="A624" s="102" t="s">
        <v>1516</v>
      </c>
      <c r="B624" s="103" t="s">
        <v>1517</v>
      </c>
      <c r="C624" s="104" t="s">
        <v>1518</v>
      </c>
      <c r="D624" s="298"/>
      <c r="E624" s="299"/>
      <c r="F624" s="105">
        <v>2609895.8200000003</v>
      </c>
      <c r="G624" s="105">
        <v>2664071.64</v>
      </c>
      <c r="H624" s="106">
        <f>+F624-G624</f>
        <v>-54175.819999999832</v>
      </c>
      <c r="I624" s="300">
        <f>IF(G624&lt;0,IF(H624=0,0,IF(OR(G624=0,F624=0),"N.M.",IF(ABS(H624/G624)&gt;=10,"N.M.",H624/(-G624)))),IF(H624=0,0,IF(OR(G624=0,F624=0),"N.M.",IF(ABS(H624/G624)&gt;=10,"N.M.",H624/G624))))</f>
        <v>-2.0335721902733753E-2</v>
      </c>
      <c r="J624" s="107"/>
      <c r="K624" s="105">
        <v>7829687.5</v>
      </c>
      <c r="L624" s="105">
        <v>7992214.96</v>
      </c>
      <c r="M624" s="106">
        <f>+K624-L624</f>
        <v>-162527.45999999996</v>
      </c>
      <c r="N624" s="300">
        <f>IF(L624&lt;0,IF(M624=0,0,IF(OR(L624=0,K624=0),"N.M.",IF(ABS(M624/L624)&gt;=10,"N.M.",M624/(-L624)))),IF(M624=0,0,IF(OR(L624=0,K624=0),"N.M.",IF(ABS(M624/L624)&gt;=10,"N.M.",M624/L624))))</f>
        <v>-2.033572180095616E-2</v>
      </c>
      <c r="O624" s="301"/>
      <c r="P624" s="107"/>
      <c r="Q624" s="105">
        <v>7829687.5</v>
      </c>
      <c r="R624" s="105">
        <v>7992214.96</v>
      </c>
      <c r="S624" s="106">
        <f>+Q624-R624</f>
        <v>-162527.45999999996</v>
      </c>
      <c r="T624" s="300">
        <f>IF(R624&lt;0,IF(S624=0,0,IF(OR(R624=0,Q624=0),"N.M.",IF(ABS(S624/R624)&gt;=10,"N.M.",S624/(-R624)))),IF(S624=0,0,IF(OR(R624=0,Q624=0),"N.M.",IF(ABS(S624/R624)&gt;=10,"N.M.",S624/R624))))</f>
        <v>-2.033572180095616E-2</v>
      </c>
      <c r="U624" s="107"/>
      <c r="V624" s="105">
        <v>31643804.93</v>
      </c>
      <c r="W624" s="105">
        <v>31941482.620000001</v>
      </c>
      <c r="X624" s="106">
        <f>+V624-W624</f>
        <v>-297677.69000000134</v>
      </c>
      <c r="Y624" s="300">
        <f>IF(W624&lt;0,IF(X624=0,0,IF(OR(W624=0,V624=0),"N.M.",IF(ABS(X624/W624)&gt;=10,"N.M.",X624/(-W624)))),IF(X624=0,0,IF(OR(W624=0,V624=0),"N.M.",IF(ABS(X624/W624)&gt;=10,"N.M.",X624/W624))))</f>
        <v>-9.3194700302863184E-3</v>
      </c>
      <c r="Z624" s="302"/>
      <c r="AA624" s="108">
        <v>2664071.63</v>
      </c>
      <c r="AB624" s="109"/>
      <c r="AC624" s="110">
        <v>2664071.66</v>
      </c>
      <c r="AD624" s="110">
        <v>2664071.66</v>
      </c>
      <c r="AE624" s="110">
        <v>2664071.64</v>
      </c>
      <c r="AF624" s="110">
        <v>2664071.67</v>
      </c>
      <c r="AG624" s="110">
        <v>2664071.63</v>
      </c>
      <c r="AH624" s="110">
        <v>2664071.66</v>
      </c>
      <c r="AI624" s="110">
        <v>2664071.64</v>
      </c>
      <c r="AJ624" s="110">
        <v>2664071.66</v>
      </c>
      <c r="AK624" s="110">
        <v>2664071.69</v>
      </c>
      <c r="AL624" s="110">
        <v>2609895.83</v>
      </c>
      <c r="AM624" s="110">
        <v>2609895.84</v>
      </c>
      <c r="AN624" s="110">
        <v>2609895.81</v>
      </c>
      <c r="AO624" s="109"/>
      <c r="AP624" s="110">
        <v>2609895.84</v>
      </c>
      <c r="AQ624" s="110">
        <v>2609895.84</v>
      </c>
      <c r="AR624" s="110">
        <v>2609895.8200000003</v>
      </c>
      <c r="AS624" s="110">
        <v>0</v>
      </c>
      <c r="AT624" s="110">
        <v>0</v>
      </c>
      <c r="AU624" s="110">
        <v>0</v>
      </c>
      <c r="AV624" s="110">
        <v>0</v>
      </c>
      <c r="AW624" s="110">
        <v>0</v>
      </c>
      <c r="AX624" s="110">
        <v>0</v>
      </c>
      <c r="AY624" s="110">
        <v>0</v>
      </c>
      <c r="AZ624" s="110">
        <v>0</v>
      </c>
      <c r="BA624" s="110">
        <v>0</v>
      </c>
    </row>
    <row r="625" spans="1:53" s="131" customFormat="1">
      <c r="A625" s="111" t="s">
        <v>1519</v>
      </c>
      <c r="B625" s="331" t="s">
        <v>1520</v>
      </c>
      <c r="C625" s="348" t="s">
        <v>1521</v>
      </c>
      <c r="D625" s="352"/>
      <c r="E625" s="352"/>
      <c r="F625" s="333">
        <v>4822029.43</v>
      </c>
      <c r="G625" s="333">
        <v>3166844.22</v>
      </c>
      <c r="H625" s="133">
        <f>+F625-G625</f>
        <v>1655185.2099999995</v>
      </c>
      <c r="I625" s="138">
        <f>IF(G625&lt;0,IF(H625=0,0,IF(OR(G625=0,F625=0),"N.M.",IF(ABS(H625/G625)&gt;=10,"N.M.",H625/(-G625)))),IF(H625=0,0,IF(OR(G625=0,F625=0),"N.M.",IF(ABS(H625/G625)&gt;=10,"N.M.",H625/G625))))</f>
        <v>0.52266076100200454</v>
      </c>
      <c r="J625" s="158"/>
      <c r="K625" s="333">
        <v>14171587.439999999</v>
      </c>
      <c r="L625" s="333">
        <v>9362313.9399999995</v>
      </c>
      <c r="M625" s="133">
        <f>+K625-L625</f>
        <v>4809273.5</v>
      </c>
      <c r="N625" s="138">
        <f>IF(L625&lt;0,IF(M625=0,0,IF(OR(L625=0,K625=0),"N.M.",IF(ABS(M625/L625)&gt;=10,"N.M.",M625/(-L625)))),IF(M625=0,0,IF(OR(L625=0,K625=0),"N.M.",IF(ABS(M625/L625)&gt;=10,"N.M.",M625/L625))))</f>
        <v>0.51368428049102577</v>
      </c>
      <c r="O625" s="377"/>
      <c r="P625" s="378"/>
      <c r="Q625" s="333">
        <v>14171587.439999999</v>
      </c>
      <c r="R625" s="333">
        <v>9362313.9399999995</v>
      </c>
      <c r="S625" s="133">
        <f>+Q625-R625</f>
        <v>4809273.5</v>
      </c>
      <c r="T625" s="138">
        <f>IF(R625&lt;0,IF(S625=0,0,IF(OR(R625=0,Q625=0),"N.M.",IF(ABS(S625/R625)&gt;=10,"N.M.",S625/(-R625)))),IF(S625=0,0,IF(OR(R625=0,Q625=0),"N.M.",IF(ABS(S625/R625)&gt;=10,"N.M.",S625/R625))))</f>
        <v>0.51368428049102577</v>
      </c>
      <c r="U625" s="378"/>
      <c r="V625" s="333">
        <v>49020511.539999999</v>
      </c>
      <c r="W625" s="333">
        <v>36872901.039999999</v>
      </c>
      <c r="X625" s="133">
        <f>+V625-W625</f>
        <v>12147610.5</v>
      </c>
      <c r="Y625" s="137">
        <f>IF(W625&lt;0,IF(X625=0,0,IF(OR(W625=0,V625=0),"N.M.",IF(ABS(X625/W625)&gt;=10,"N.M.",X625/(-W625)))),IF(X625=0,0,IF(OR(W625=0,V625=0),"N.M.",IF(ABS(X625/W625)&gt;=10,"N.M.",X625/W625))))</f>
        <v>0.32944547777301769</v>
      </c>
      <c r="AA625" s="139">
        <v>3094002.1799999997</v>
      </c>
      <c r="AB625" s="351"/>
      <c r="AC625" s="333">
        <v>3102668.89</v>
      </c>
      <c r="AD625" s="333">
        <v>3092800.83</v>
      </c>
      <c r="AE625" s="333">
        <v>3166844.22</v>
      </c>
      <c r="AF625" s="333">
        <v>3204282.08</v>
      </c>
      <c r="AG625" s="333">
        <v>3337482.11</v>
      </c>
      <c r="AH625" s="333">
        <v>3408421.25</v>
      </c>
      <c r="AI625" s="333">
        <v>3615339.5900000003</v>
      </c>
      <c r="AJ625" s="333">
        <v>4007445.73</v>
      </c>
      <c r="AK625" s="333">
        <v>4078138.45</v>
      </c>
      <c r="AL625" s="333">
        <v>4201780.68</v>
      </c>
      <c r="AM625" s="333">
        <v>4383671.05</v>
      </c>
      <c r="AN625" s="333">
        <v>4612363.16</v>
      </c>
      <c r="AO625" s="351"/>
      <c r="AP625" s="333">
        <v>4745665.6899999995</v>
      </c>
      <c r="AQ625" s="333">
        <v>4603892.32</v>
      </c>
      <c r="AR625" s="333">
        <v>4822029.43</v>
      </c>
      <c r="AS625" s="333">
        <v>0</v>
      </c>
      <c r="AT625" s="333">
        <v>0</v>
      </c>
      <c r="AU625" s="333">
        <v>0</v>
      </c>
      <c r="AV625" s="333">
        <v>0</v>
      </c>
      <c r="AW625" s="333">
        <v>0</v>
      </c>
      <c r="AX625" s="333">
        <v>0</v>
      </c>
      <c r="AY625" s="333">
        <v>0</v>
      </c>
      <c r="AZ625" s="333">
        <v>0</v>
      </c>
      <c r="BA625" s="333">
        <v>0</v>
      </c>
    </row>
    <row r="626" spans="1:53" s="131" customFormat="1" ht="0.75" customHeight="1" outlineLevel="2">
      <c r="A626" s="111"/>
      <c r="B626" s="331"/>
      <c r="C626" s="348"/>
      <c r="D626" s="352"/>
      <c r="E626" s="352"/>
      <c r="F626" s="333"/>
      <c r="G626" s="333"/>
      <c r="H626" s="133"/>
      <c r="I626" s="138"/>
      <c r="J626" s="158"/>
      <c r="K626" s="333"/>
      <c r="L626" s="333"/>
      <c r="M626" s="133"/>
      <c r="N626" s="138"/>
      <c r="O626" s="377"/>
      <c r="P626" s="378"/>
      <c r="Q626" s="333"/>
      <c r="R626" s="333"/>
      <c r="S626" s="133"/>
      <c r="T626" s="138"/>
      <c r="U626" s="378"/>
      <c r="V626" s="333"/>
      <c r="W626" s="333"/>
      <c r="X626" s="133"/>
      <c r="Y626" s="137"/>
      <c r="AA626" s="139"/>
      <c r="AB626" s="351"/>
      <c r="AC626" s="333"/>
      <c r="AD626" s="333"/>
      <c r="AE626" s="333"/>
      <c r="AF626" s="333"/>
      <c r="AG626" s="333"/>
      <c r="AH626" s="333"/>
      <c r="AI626" s="333"/>
      <c r="AJ626" s="333"/>
      <c r="AK626" s="333"/>
      <c r="AL626" s="333"/>
      <c r="AM626" s="333"/>
      <c r="AN626" s="333"/>
      <c r="AO626" s="351"/>
      <c r="AP626" s="333"/>
      <c r="AQ626" s="333"/>
      <c r="AR626" s="333"/>
      <c r="AS626" s="333"/>
      <c r="AT626" s="333"/>
      <c r="AU626" s="333"/>
      <c r="AV626" s="333"/>
      <c r="AW626" s="333"/>
      <c r="AX626" s="333"/>
      <c r="AY626" s="333"/>
      <c r="AZ626" s="333"/>
      <c r="BA626" s="333"/>
    </row>
    <row r="627" spans="1:53" s="102" customFormat="1" outlineLevel="2">
      <c r="A627" s="102" t="s">
        <v>1522</v>
      </c>
      <c r="B627" s="103" t="s">
        <v>1523</v>
      </c>
      <c r="C627" s="104" t="s">
        <v>1524</v>
      </c>
      <c r="D627" s="298"/>
      <c r="E627" s="299"/>
      <c r="F627" s="105">
        <v>6117.9400000000005</v>
      </c>
      <c r="G627" s="105">
        <v>6117.95</v>
      </c>
      <c r="H627" s="106">
        <f>+F627-G627</f>
        <v>-9.999999999308784E-3</v>
      </c>
      <c r="I627" s="300">
        <f>IF(G627&lt;0,IF(H627=0,0,IF(OR(G627=0,F627=0),"N.M.",IF(ABS(H627/G627)&gt;=10,"N.M.",H627/(-G627)))),IF(H627=0,0,IF(OR(G627=0,F627=0),"N.M.",IF(ABS(H627/G627)&gt;=10,"N.M.",H627/G627))))</f>
        <v>-1.6345344436140839E-6</v>
      </c>
      <c r="J627" s="107"/>
      <c r="K627" s="105">
        <v>18353.82</v>
      </c>
      <c r="L627" s="105">
        <v>18353.850000000002</v>
      </c>
      <c r="M627" s="106">
        <f>+K627-L627</f>
        <v>-3.0000000002473826E-2</v>
      </c>
      <c r="N627" s="300">
        <f>IF(L627&lt;0,IF(M627=0,0,IF(OR(L627=0,K627=0),"N.M.",IF(ABS(M627/L627)&gt;=10,"N.M.",M627/(-L627)))),IF(M627=0,0,IF(OR(L627=0,K627=0),"N.M.",IF(ABS(M627/L627)&gt;=10,"N.M.",M627/L627))))</f>
        <v>-1.6345344438618504E-6</v>
      </c>
      <c r="O627" s="301"/>
      <c r="P627" s="107"/>
      <c r="Q627" s="105">
        <v>18353.82</v>
      </c>
      <c r="R627" s="105">
        <v>18353.850000000002</v>
      </c>
      <c r="S627" s="106">
        <f>+Q627-R627</f>
        <v>-3.0000000002473826E-2</v>
      </c>
      <c r="T627" s="300">
        <f>IF(R627&lt;0,IF(S627=0,0,IF(OR(R627=0,Q627=0),"N.M.",IF(ABS(S627/R627)&gt;=10,"N.M.",S627/(-R627)))),IF(S627=0,0,IF(OR(R627=0,Q627=0),"N.M.",IF(ABS(S627/R627)&gt;=10,"N.M.",S627/R627))))</f>
        <v>-1.6345344438618504E-6</v>
      </c>
      <c r="U627" s="107"/>
      <c r="V627" s="105">
        <v>73415.37</v>
      </c>
      <c r="W627" s="105">
        <v>79533.34</v>
      </c>
      <c r="X627" s="106">
        <f>+V627-W627</f>
        <v>-6117.9700000000012</v>
      </c>
      <c r="Y627" s="300">
        <f>IF(W627&lt;0,IF(X627=0,0,IF(OR(W627=0,V627=0),"N.M.",IF(ABS(X627/W627)&gt;=10,"N.M.",X627/(-W627)))),IF(X627=0,0,IF(OR(W627=0,V627=0),"N.M.",IF(ABS(X627/W627)&gt;=10,"N.M.",X627/W627))))</f>
        <v>-7.6923338061748711E-2</v>
      </c>
      <c r="Z627" s="302"/>
      <c r="AA627" s="108">
        <v>6117.95</v>
      </c>
      <c r="AB627" s="109"/>
      <c r="AC627" s="110">
        <v>6117.95</v>
      </c>
      <c r="AD627" s="110">
        <v>6117.95</v>
      </c>
      <c r="AE627" s="110">
        <v>6117.95</v>
      </c>
      <c r="AF627" s="110">
        <v>6117.95</v>
      </c>
      <c r="AG627" s="110">
        <v>6117.96</v>
      </c>
      <c r="AH627" s="110">
        <v>6117.95</v>
      </c>
      <c r="AI627" s="110">
        <v>6117.95</v>
      </c>
      <c r="AJ627" s="110">
        <v>6117.95</v>
      </c>
      <c r="AK627" s="110">
        <v>6117.95</v>
      </c>
      <c r="AL627" s="110">
        <v>6117.95</v>
      </c>
      <c r="AM627" s="110">
        <v>6117.9400000000005</v>
      </c>
      <c r="AN627" s="110">
        <v>6117.95</v>
      </c>
      <c r="AO627" s="109"/>
      <c r="AP627" s="110">
        <v>6117.9400000000005</v>
      </c>
      <c r="AQ627" s="110">
        <v>6117.9400000000005</v>
      </c>
      <c r="AR627" s="110">
        <v>6117.9400000000005</v>
      </c>
      <c r="AS627" s="110">
        <v>0</v>
      </c>
      <c r="AT627" s="110">
        <v>0</v>
      </c>
      <c r="AU627" s="110">
        <v>0</v>
      </c>
      <c r="AV627" s="110">
        <v>0</v>
      </c>
      <c r="AW627" s="110">
        <v>0</v>
      </c>
      <c r="AX627" s="110">
        <v>0</v>
      </c>
      <c r="AY627" s="110">
        <v>0</v>
      </c>
      <c r="AZ627" s="110">
        <v>0</v>
      </c>
      <c r="BA627" s="110">
        <v>0</v>
      </c>
    </row>
    <row r="628" spans="1:53" s="102" customFormat="1" outlineLevel="2">
      <c r="A628" s="102" t="s">
        <v>1525</v>
      </c>
      <c r="B628" s="103" t="s">
        <v>1526</v>
      </c>
      <c r="C628" s="104" t="s">
        <v>1527</v>
      </c>
      <c r="D628" s="298"/>
      <c r="E628" s="299"/>
      <c r="F628" s="105">
        <v>7376.46</v>
      </c>
      <c r="G628" s="105">
        <v>17147.12</v>
      </c>
      <c r="H628" s="106">
        <f>+F628-G628</f>
        <v>-9770.66</v>
      </c>
      <c r="I628" s="300">
        <f>IF(G628&lt;0,IF(H628=0,0,IF(OR(G628=0,F628=0),"N.M.",IF(ABS(H628/G628)&gt;=10,"N.M.",H628/(-G628)))),IF(H628=0,0,IF(OR(G628=0,F628=0),"N.M.",IF(ABS(H628/G628)&gt;=10,"N.M.",H628/G628))))</f>
        <v>-0.56981347304970165</v>
      </c>
      <c r="J628" s="107"/>
      <c r="K628" s="105">
        <v>22129.360000000001</v>
      </c>
      <c r="L628" s="105">
        <v>44581.71</v>
      </c>
      <c r="M628" s="106">
        <f>+K628-L628</f>
        <v>-22452.35</v>
      </c>
      <c r="N628" s="300">
        <f>IF(L628&lt;0,IF(M628=0,0,IF(OR(L628=0,K628=0),"N.M.",IF(ABS(M628/L628)&gt;=10,"N.M.",M628/(-L628)))),IF(M628=0,0,IF(OR(L628=0,K628=0),"N.M.",IF(ABS(M628/L628)&gt;=10,"N.M.",M628/L628))))</f>
        <v>-0.50362244965480241</v>
      </c>
      <c r="O628" s="301"/>
      <c r="P628" s="107"/>
      <c r="Q628" s="105">
        <v>22129.360000000001</v>
      </c>
      <c r="R628" s="105">
        <v>44581.71</v>
      </c>
      <c r="S628" s="106">
        <f>+Q628-R628</f>
        <v>-22452.35</v>
      </c>
      <c r="T628" s="300">
        <f>IF(R628&lt;0,IF(S628=0,0,IF(OR(R628=0,Q628=0),"N.M.",IF(ABS(S628/R628)&gt;=10,"N.M.",S628/(-R628)))),IF(S628=0,0,IF(OR(R628=0,Q628=0),"N.M.",IF(ABS(S628/R628)&gt;=10,"N.M.",S628/R628))))</f>
        <v>-0.50362244965480241</v>
      </c>
      <c r="U628" s="107"/>
      <c r="V628" s="105">
        <v>151227.29999999999</v>
      </c>
      <c r="W628" s="105">
        <v>164812.64000000001</v>
      </c>
      <c r="X628" s="106">
        <f>+V628-W628</f>
        <v>-13585.340000000026</v>
      </c>
      <c r="Y628" s="300">
        <f>IF(W628&lt;0,IF(X628=0,0,IF(OR(W628=0,V628=0),"N.M.",IF(ABS(X628/W628)&gt;=10,"N.M.",X628/(-W628)))),IF(X628=0,0,IF(OR(W628=0,V628=0),"N.M.",IF(ABS(X628/W628)&gt;=10,"N.M.",X628/W628))))</f>
        <v>-8.2428993310221979E-2</v>
      </c>
      <c r="Z628" s="302"/>
      <c r="AA628" s="108">
        <v>13717.29</v>
      </c>
      <c r="AB628" s="109"/>
      <c r="AC628" s="110">
        <v>13717.300000000001</v>
      </c>
      <c r="AD628" s="110">
        <v>13717.29</v>
      </c>
      <c r="AE628" s="110">
        <v>17147.12</v>
      </c>
      <c r="AF628" s="110">
        <v>17472.099999999999</v>
      </c>
      <c r="AG628" s="110">
        <v>17472.099999999999</v>
      </c>
      <c r="AH628" s="110">
        <v>17472.09</v>
      </c>
      <c r="AI628" s="110">
        <v>17472.099999999999</v>
      </c>
      <c r="AJ628" s="110">
        <v>20249.13</v>
      </c>
      <c r="AK628" s="110">
        <v>17331.07</v>
      </c>
      <c r="AL628" s="110">
        <v>6876.45</v>
      </c>
      <c r="AM628" s="110">
        <v>7376.45</v>
      </c>
      <c r="AN628" s="110">
        <v>7376.45</v>
      </c>
      <c r="AO628" s="109"/>
      <c r="AP628" s="110">
        <v>7376.45</v>
      </c>
      <c r="AQ628" s="110">
        <v>7376.45</v>
      </c>
      <c r="AR628" s="110">
        <v>7376.46</v>
      </c>
      <c r="AS628" s="110">
        <v>0</v>
      </c>
      <c r="AT628" s="110">
        <v>0</v>
      </c>
      <c r="AU628" s="110">
        <v>0</v>
      </c>
      <c r="AV628" s="110">
        <v>0</v>
      </c>
      <c r="AW628" s="110">
        <v>0</v>
      </c>
      <c r="AX628" s="110">
        <v>0</v>
      </c>
      <c r="AY628" s="110">
        <v>0</v>
      </c>
      <c r="AZ628" s="110">
        <v>0</v>
      </c>
      <c r="BA628" s="110">
        <v>0</v>
      </c>
    </row>
    <row r="629" spans="1:53" s="102" customFormat="1" outlineLevel="2">
      <c r="A629" s="102" t="s">
        <v>1528</v>
      </c>
      <c r="B629" s="103" t="s">
        <v>1529</v>
      </c>
      <c r="C629" s="104" t="s">
        <v>1530</v>
      </c>
      <c r="D629" s="298"/>
      <c r="E629" s="299"/>
      <c r="F629" s="105">
        <v>18890.580000000002</v>
      </c>
      <c r="G629" s="105">
        <v>18890.580000000002</v>
      </c>
      <c r="H629" s="106">
        <f>+F629-G629</f>
        <v>0</v>
      </c>
      <c r="I629" s="300">
        <f>IF(G629&lt;0,IF(H629=0,0,IF(OR(G629=0,F629=0),"N.M.",IF(ABS(H629/G629)&gt;=10,"N.M.",H629/(-G629)))),IF(H629=0,0,IF(OR(G629=0,F629=0),"N.M.",IF(ABS(H629/G629)&gt;=10,"N.M.",H629/G629))))</f>
        <v>0</v>
      </c>
      <c r="J629" s="107"/>
      <c r="K629" s="105">
        <v>56671.73</v>
      </c>
      <c r="L629" s="105">
        <v>56641.65</v>
      </c>
      <c r="M629" s="106">
        <f>+K629-L629</f>
        <v>30.080000000001746</v>
      </c>
      <c r="N629" s="300">
        <f>IF(L629&lt;0,IF(M629=0,0,IF(OR(L629=0,K629=0),"N.M.",IF(ABS(M629/L629)&gt;=10,"N.M.",M629/(-L629)))),IF(M629=0,0,IF(OR(L629=0,K629=0),"N.M.",IF(ABS(M629/L629)&gt;=10,"N.M.",M629/L629))))</f>
        <v>5.3105797588879819E-4</v>
      </c>
      <c r="O629" s="301"/>
      <c r="P629" s="107"/>
      <c r="Q629" s="105">
        <v>56671.73</v>
      </c>
      <c r="R629" s="105">
        <v>56641.65</v>
      </c>
      <c r="S629" s="106">
        <f>+Q629-R629</f>
        <v>30.080000000001746</v>
      </c>
      <c r="T629" s="300">
        <f>IF(R629&lt;0,IF(S629=0,0,IF(OR(R629=0,Q629=0),"N.M.",IF(ABS(S629/R629)&gt;=10,"N.M.",S629/(-R629)))),IF(S629=0,0,IF(OR(R629=0,Q629=0),"N.M.",IF(ABS(S629/R629)&gt;=10,"N.M.",S629/R629))))</f>
        <v>5.3105797588879819E-4</v>
      </c>
      <c r="U629" s="107"/>
      <c r="V629" s="105">
        <v>226686.94</v>
      </c>
      <c r="W629" s="105">
        <v>229542.33</v>
      </c>
      <c r="X629" s="106">
        <f>+V629-W629</f>
        <v>-2855.3899999999849</v>
      </c>
      <c r="Y629" s="300">
        <f>IF(W629&lt;0,IF(X629=0,0,IF(OR(W629=0,V629=0),"N.M.",IF(ABS(X629/W629)&gt;=10,"N.M.",X629/(-W629)))),IF(X629=0,0,IF(OR(W629=0,V629=0),"N.M.",IF(ABS(X629/W629)&gt;=10,"N.M.",X629/W629))))</f>
        <v>-1.243949209716563E-2</v>
      </c>
      <c r="Z629" s="302"/>
      <c r="AA629" s="108">
        <v>18875.53</v>
      </c>
      <c r="AB629" s="109"/>
      <c r="AC629" s="110">
        <v>18875.54</v>
      </c>
      <c r="AD629" s="110">
        <v>18875.53</v>
      </c>
      <c r="AE629" s="110">
        <v>18890.580000000002</v>
      </c>
      <c r="AF629" s="110">
        <v>18890.580000000002</v>
      </c>
      <c r="AG629" s="110">
        <v>18890.580000000002</v>
      </c>
      <c r="AH629" s="110">
        <v>18890.580000000002</v>
      </c>
      <c r="AI629" s="110">
        <v>18890.580000000002</v>
      </c>
      <c r="AJ629" s="110">
        <v>18890.580000000002</v>
      </c>
      <c r="AK629" s="110">
        <v>18890.580000000002</v>
      </c>
      <c r="AL629" s="110">
        <v>18890.580000000002</v>
      </c>
      <c r="AM629" s="110">
        <v>18890.580000000002</v>
      </c>
      <c r="AN629" s="110">
        <v>18890.57</v>
      </c>
      <c r="AO629" s="109"/>
      <c r="AP629" s="110">
        <v>18890.580000000002</v>
      </c>
      <c r="AQ629" s="110">
        <v>18890.57</v>
      </c>
      <c r="AR629" s="110">
        <v>18890.580000000002</v>
      </c>
      <c r="AS629" s="110">
        <v>0</v>
      </c>
      <c r="AT629" s="110">
        <v>0</v>
      </c>
      <c r="AU629" s="110">
        <v>0</v>
      </c>
      <c r="AV629" s="110">
        <v>0</v>
      </c>
      <c r="AW629" s="110">
        <v>0</v>
      </c>
      <c r="AX629" s="110">
        <v>0</v>
      </c>
      <c r="AY629" s="110">
        <v>0</v>
      </c>
      <c r="AZ629" s="110">
        <v>0</v>
      </c>
      <c r="BA629" s="110">
        <v>0</v>
      </c>
    </row>
    <row r="630" spans="1:53" s="131" customFormat="1">
      <c r="A630" s="111" t="s">
        <v>1531</v>
      </c>
      <c r="B630" s="331" t="s">
        <v>1532</v>
      </c>
      <c r="C630" s="348" t="s">
        <v>1533</v>
      </c>
      <c r="D630" s="352"/>
      <c r="E630" s="352"/>
      <c r="F630" s="333">
        <v>32384.980000000003</v>
      </c>
      <c r="G630" s="333">
        <v>42155.65</v>
      </c>
      <c r="H630" s="133">
        <f>+F630-G630</f>
        <v>-9770.6699999999983</v>
      </c>
      <c r="I630" s="138">
        <f>IF(G630&lt;0,IF(H630=0,0,IF(OR(G630=0,F630=0),"N.M.",IF(ABS(H630/G630)&gt;=10,"N.M.",H630/(-G630)))),IF(H630=0,0,IF(OR(G630=0,F630=0),"N.M.",IF(ABS(H630/G630)&gt;=10,"N.M.",H630/G630))))</f>
        <v>-0.23177604899936302</v>
      </c>
      <c r="J630" s="158"/>
      <c r="K630" s="333">
        <v>97154.91</v>
      </c>
      <c r="L630" s="333">
        <v>119577.20999999999</v>
      </c>
      <c r="M630" s="133">
        <f>+K630-L630</f>
        <v>-22422.299999999988</v>
      </c>
      <c r="N630" s="138">
        <f>IF(L630&lt;0,IF(M630=0,0,IF(OR(L630=0,K630=0),"N.M.",IF(ABS(M630/L630)&gt;=10,"N.M.",M630/(-L630)))),IF(M630=0,0,IF(OR(L630=0,K630=0),"N.M.",IF(ABS(M630/L630)&gt;=10,"N.M.",M630/L630))))</f>
        <v>-0.18751315572591123</v>
      </c>
      <c r="O630" s="379"/>
      <c r="P630" s="380"/>
      <c r="Q630" s="333">
        <v>97154.91</v>
      </c>
      <c r="R630" s="333">
        <v>119577.20999999999</v>
      </c>
      <c r="S630" s="133">
        <f>+Q630-R630</f>
        <v>-22422.299999999988</v>
      </c>
      <c r="T630" s="138">
        <f>IF(R630&lt;0,IF(S630=0,0,IF(OR(R630=0,Q630=0),"N.M.",IF(ABS(S630/R630)&gt;=10,"N.M.",S630/(-R630)))),IF(S630=0,0,IF(OR(R630=0,Q630=0),"N.M.",IF(ABS(S630/R630)&gt;=10,"N.M.",S630/R630))))</f>
        <v>-0.18751315572591123</v>
      </c>
      <c r="U630" s="380"/>
      <c r="V630" s="333">
        <v>451329.60999999993</v>
      </c>
      <c r="W630" s="333">
        <v>473888.31</v>
      </c>
      <c r="X630" s="133">
        <f>+V630-W630</f>
        <v>-22558.70000000007</v>
      </c>
      <c r="Y630" s="137">
        <f>IF(W630&lt;0,IF(X630=0,0,IF(OR(W630=0,V630=0),"N.M.",IF(ABS(X630/W630)&gt;=10,"N.M.",X630/(-W630)))),IF(X630=0,0,IF(OR(W630=0,V630=0),"N.M.",IF(ABS(X630/W630)&gt;=10,"N.M.",X630/W630))))</f>
        <v>-4.7603411023158751E-2</v>
      </c>
      <c r="AA630" s="139">
        <v>38710.770000000004</v>
      </c>
      <c r="AB630" s="351"/>
      <c r="AC630" s="333">
        <v>38710.79</v>
      </c>
      <c r="AD630" s="333">
        <v>38710.770000000004</v>
      </c>
      <c r="AE630" s="333">
        <v>42155.65</v>
      </c>
      <c r="AF630" s="333">
        <v>42480.630000000005</v>
      </c>
      <c r="AG630" s="333">
        <v>42480.639999999999</v>
      </c>
      <c r="AH630" s="333">
        <v>42480.62</v>
      </c>
      <c r="AI630" s="333">
        <v>42480.630000000005</v>
      </c>
      <c r="AJ630" s="333">
        <v>45257.66</v>
      </c>
      <c r="AK630" s="333">
        <v>42339.600000000006</v>
      </c>
      <c r="AL630" s="333">
        <v>31884.980000000003</v>
      </c>
      <c r="AM630" s="333">
        <v>32384.97</v>
      </c>
      <c r="AN630" s="333">
        <v>32384.97</v>
      </c>
      <c r="AO630" s="351"/>
      <c r="AP630" s="333">
        <v>32384.97</v>
      </c>
      <c r="AQ630" s="333">
        <v>32384.959999999999</v>
      </c>
      <c r="AR630" s="333">
        <v>32384.980000000003</v>
      </c>
      <c r="AS630" s="333">
        <v>0</v>
      </c>
      <c r="AT630" s="333">
        <v>0</v>
      </c>
      <c r="AU630" s="333">
        <v>0</v>
      </c>
      <c r="AV630" s="333">
        <v>0</v>
      </c>
      <c r="AW630" s="333">
        <v>0</v>
      </c>
      <c r="AX630" s="333">
        <v>0</v>
      </c>
      <c r="AY630" s="333">
        <v>0</v>
      </c>
      <c r="AZ630" s="333">
        <v>0</v>
      </c>
      <c r="BA630" s="333">
        <v>0</v>
      </c>
    </row>
    <row r="631" spans="1:53" s="131" customFormat="1" ht="0.75" customHeight="1" outlineLevel="2">
      <c r="A631" s="111"/>
      <c r="B631" s="331"/>
      <c r="C631" s="348"/>
      <c r="D631" s="352"/>
      <c r="E631" s="352"/>
      <c r="F631" s="333"/>
      <c r="G631" s="333"/>
      <c r="H631" s="133"/>
      <c r="I631" s="138"/>
      <c r="J631" s="158"/>
      <c r="K631" s="333"/>
      <c r="L631" s="333"/>
      <c r="M631" s="133"/>
      <c r="N631" s="138"/>
      <c r="O631" s="379"/>
      <c r="P631" s="380"/>
      <c r="Q631" s="333"/>
      <c r="R631" s="333"/>
      <c r="S631" s="133"/>
      <c r="T631" s="138"/>
      <c r="U631" s="380"/>
      <c r="V631" s="333"/>
      <c r="W631" s="333"/>
      <c r="X631" s="133"/>
      <c r="Y631" s="137"/>
      <c r="AA631" s="139"/>
      <c r="AB631" s="351"/>
      <c r="AC631" s="333"/>
      <c r="AD631" s="333"/>
      <c r="AE631" s="333"/>
      <c r="AF631" s="333"/>
      <c r="AG631" s="333"/>
      <c r="AH631" s="333"/>
      <c r="AI631" s="333"/>
      <c r="AJ631" s="333"/>
      <c r="AK631" s="333"/>
      <c r="AL631" s="333"/>
      <c r="AM631" s="333"/>
      <c r="AN631" s="333"/>
      <c r="AO631" s="351"/>
      <c r="AP631" s="333"/>
      <c r="AQ631" s="333"/>
      <c r="AR631" s="333"/>
      <c r="AS631" s="333"/>
      <c r="AT631" s="333"/>
      <c r="AU631" s="333"/>
      <c r="AV631" s="333"/>
      <c r="AW631" s="333"/>
      <c r="AX631" s="333"/>
      <c r="AY631" s="333"/>
      <c r="AZ631" s="333"/>
      <c r="BA631" s="333"/>
    </row>
    <row r="632" spans="1:53" s="102" customFormat="1" outlineLevel="2">
      <c r="A632" s="102" t="s">
        <v>1534</v>
      </c>
      <c r="B632" s="103" t="s">
        <v>1535</v>
      </c>
      <c r="C632" s="104" t="s">
        <v>1536</v>
      </c>
      <c r="D632" s="298"/>
      <c r="E632" s="299"/>
      <c r="F632" s="105">
        <v>2804.23</v>
      </c>
      <c r="G632" s="105">
        <v>2804.23</v>
      </c>
      <c r="H632" s="106">
        <f>+F632-G632</f>
        <v>0</v>
      </c>
      <c r="I632" s="300">
        <f>IF(G632&lt;0,IF(H632=0,0,IF(OR(G632=0,F632=0),"N.M.",IF(ABS(H632/G632)&gt;=10,"N.M.",H632/(-G632)))),IF(H632=0,0,IF(OR(G632=0,F632=0),"N.M.",IF(ABS(H632/G632)&gt;=10,"N.M.",H632/G632))))</f>
        <v>0</v>
      </c>
      <c r="J632" s="107"/>
      <c r="K632" s="105">
        <v>8412.69</v>
      </c>
      <c r="L632" s="105">
        <v>8412.69</v>
      </c>
      <c r="M632" s="106">
        <f>+K632-L632</f>
        <v>0</v>
      </c>
      <c r="N632" s="300">
        <f>IF(L632&lt;0,IF(M632=0,0,IF(OR(L632=0,K632=0),"N.M.",IF(ABS(M632/L632)&gt;=10,"N.M.",M632/(-L632)))),IF(M632=0,0,IF(OR(L632=0,K632=0),"N.M.",IF(ABS(M632/L632)&gt;=10,"N.M.",M632/L632))))</f>
        <v>0</v>
      </c>
      <c r="O632" s="301"/>
      <c r="P632" s="107"/>
      <c r="Q632" s="105">
        <v>8412.69</v>
      </c>
      <c r="R632" s="105">
        <v>8412.69</v>
      </c>
      <c r="S632" s="106">
        <f>+Q632-R632</f>
        <v>0</v>
      </c>
      <c r="T632" s="300">
        <f>IF(R632&lt;0,IF(S632=0,0,IF(OR(R632=0,Q632=0),"N.M.",IF(ABS(S632/R632)&gt;=10,"N.M.",S632/(-R632)))),IF(S632=0,0,IF(OR(R632=0,Q632=0),"N.M.",IF(ABS(S632/R632)&gt;=10,"N.M.",S632/R632))))</f>
        <v>0</v>
      </c>
      <c r="U632" s="107"/>
      <c r="V632" s="105">
        <v>33650.76</v>
      </c>
      <c r="W632" s="105">
        <v>33650.76</v>
      </c>
      <c r="X632" s="106">
        <f>+V632-W632</f>
        <v>0</v>
      </c>
      <c r="Y632" s="300">
        <f>IF(W632&lt;0,IF(X632=0,0,IF(OR(W632=0,V632=0),"N.M.",IF(ABS(X632/W632)&gt;=10,"N.M.",X632/(-W632)))),IF(X632=0,0,IF(OR(W632=0,V632=0),"N.M.",IF(ABS(X632/W632)&gt;=10,"N.M.",X632/W632))))</f>
        <v>0</v>
      </c>
      <c r="Z632" s="302"/>
      <c r="AA632" s="108">
        <v>2804.23</v>
      </c>
      <c r="AB632" s="109"/>
      <c r="AC632" s="110">
        <v>2804.23</v>
      </c>
      <c r="AD632" s="110">
        <v>2804.23</v>
      </c>
      <c r="AE632" s="110">
        <v>2804.23</v>
      </c>
      <c r="AF632" s="110">
        <v>2804.23</v>
      </c>
      <c r="AG632" s="110">
        <v>2804.23</v>
      </c>
      <c r="AH632" s="110">
        <v>2804.23</v>
      </c>
      <c r="AI632" s="110">
        <v>2804.23</v>
      </c>
      <c r="AJ632" s="110">
        <v>2804.23</v>
      </c>
      <c r="AK632" s="110">
        <v>2804.23</v>
      </c>
      <c r="AL632" s="110">
        <v>2804.23</v>
      </c>
      <c r="AM632" s="110">
        <v>2804.23</v>
      </c>
      <c r="AN632" s="110">
        <v>2804.23</v>
      </c>
      <c r="AO632" s="109"/>
      <c r="AP632" s="110">
        <v>2804.23</v>
      </c>
      <c r="AQ632" s="110">
        <v>2804.23</v>
      </c>
      <c r="AR632" s="110">
        <v>2804.23</v>
      </c>
      <c r="AS632" s="110">
        <v>0</v>
      </c>
      <c r="AT632" s="110">
        <v>0</v>
      </c>
      <c r="AU632" s="110">
        <v>0</v>
      </c>
      <c r="AV632" s="110">
        <v>0</v>
      </c>
      <c r="AW632" s="110">
        <v>0</v>
      </c>
      <c r="AX632" s="110">
        <v>0</v>
      </c>
      <c r="AY632" s="110">
        <v>0</v>
      </c>
      <c r="AZ632" s="110">
        <v>0</v>
      </c>
      <c r="BA632" s="110">
        <v>0</v>
      </c>
    </row>
    <row r="633" spans="1:53" s="131" customFormat="1">
      <c r="A633" s="111" t="s">
        <v>1537</v>
      </c>
      <c r="B633" s="331" t="s">
        <v>1538</v>
      </c>
      <c r="C633" s="348" t="s">
        <v>1539</v>
      </c>
      <c r="D633" s="352"/>
      <c r="E633" s="352"/>
      <c r="F633" s="333">
        <v>2804.23</v>
      </c>
      <c r="G633" s="333">
        <v>2804.23</v>
      </c>
      <c r="H633" s="133">
        <f>+F633-G633</f>
        <v>0</v>
      </c>
      <c r="I633" s="138">
        <f>IF(G633&lt;0,IF(H633=0,0,IF(OR(G633=0,F633=0),"N.M.",IF(ABS(H633/G633)&gt;=10,"N.M.",H633/(-G633)))),IF(H633=0,0,IF(OR(G633=0,F633=0),"N.M.",IF(ABS(H633/G633)&gt;=10,"N.M.",H633/G633))))</f>
        <v>0</v>
      </c>
      <c r="J633" s="158"/>
      <c r="K633" s="333">
        <v>8412.69</v>
      </c>
      <c r="L633" s="333">
        <v>8412.69</v>
      </c>
      <c r="M633" s="133">
        <f>+K633-L633</f>
        <v>0</v>
      </c>
      <c r="N633" s="138">
        <f>IF(L633&lt;0,IF(M633=0,0,IF(OR(L633=0,K633=0),"N.M.",IF(ABS(M633/L633)&gt;=10,"N.M.",M633/(-L633)))),IF(M633=0,0,IF(OR(L633=0,K633=0),"N.M.",IF(ABS(M633/L633)&gt;=10,"N.M.",M633/L633))))</f>
        <v>0</v>
      </c>
      <c r="O633" s="302"/>
      <c r="P633" s="350"/>
      <c r="Q633" s="333">
        <v>8412.69</v>
      </c>
      <c r="R633" s="333">
        <v>8412.69</v>
      </c>
      <c r="S633" s="133">
        <f>+Q633-R633</f>
        <v>0</v>
      </c>
      <c r="T633" s="138">
        <f>IF(R633&lt;0,IF(S633=0,0,IF(OR(R633=0,Q633=0),"N.M.",IF(ABS(S633/R633)&gt;=10,"N.M.",S633/(-R633)))),IF(S633=0,0,IF(OR(R633=0,Q633=0),"N.M.",IF(ABS(S633/R633)&gt;=10,"N.M.",S633/R633))))</f>
        <v>0</v>
      </c>
      <c r="U633" s="350"/>
      <c r="V633" s="333">
        <v>33650.76</v>
      </c>
      <c r="W633" s="333">
        <v>33650.76</v>
      </c>
      <c r="X633" s="133">
        <f>+V633-W633</f>
        <v>0</v>
      </c>
      <c r="Y633" s="137">
        <f>IF(W633&lt;0,IF(X633=0,0,IF(OR(W633=0,V633=0),"N.M.",IF(ABS(X633/W633)&gt;=10,"N.M.",X633/(-W633)))),IF(X633=0,0,IF(OR(W633=0,V633=0),"N.M.",IF(ABS(X633/W633)&gt;=10,"N.M.",X633/W633))))</f>
        <v>0</v>
      </c>
      <c r="AA633" s="139">
        <v>2804.23</v>
      </c>
      <c r="AB633" s="351"/>
      <c r="AC633" s="333">
        <v>2804.23</v>
      </c>
      <c r="AD633" s="333">
        <v>2804.23</v>
      </c>
      <c r="AE633" s="333">
        <v>2804.23</v>
      </c>
      <c r="AF633" s="333">
        <v>2804.23</v>
      </c>
      <c r="AG633" s="333">
        <v>2804.23</v>
      </c>
      <c r="AH633" s="333">
        <v>2804.23</v>
      </c>
      <c r="AI633" s="333">
        <v>2804.23</v>
      </c>
      <c r="AJ633" s="333">
        <v>2804.23</v>
      </c>
      <c r="AK633" s="333">
        <v>2804.23</v>
      </c>
      <c r="AL633" s="333">
        <v>2804.23</v>
      </c>
      <c r="AM633" s="333">
        <v>2804.23</v>
      </c>
      <c r="AN633" s="333">
        <v>2804.23</v>
      </c>
      <c r="AO633" s="351"/>
      <c r="AP633" s="333">
        <v>2804.23</v>
      </c>
      <c r="AQ633" s="333">
        <v>2804.23</v>
      </c>
      <c r="AR633" s="333">
        <v>2804.23</v>
      </c>
      <c r="AS633" s="333">
        <v>0</v>
      </c>
      <c r="AT633" s="333">
        <v>0</v>
      </c>
      <c r="AU633" s="333">
        <v>0</v>
      </c>
      <c r="AV633" s="333">
        <v>0</v>
      </c>
      <c r="AW633" s="333">
        <v>0</v>
      </c>
      <c r="AX633" s="333">
        <v>0</v>
      </c>
      <c r="AY633" s="333">
        <v>0</v>
      </c>
      <c r="AZ633" s="333">
        <v>0</v>
      </c>
      <c r="BA633" s="333">
        <v>0</v>
      </c>
    </row>
    <row r="634" spans="1:53" s="131" customFormat="1" ht="0.75" customHeight="1" outlineLevel="2">
      <c r="A634" s="111"/>
      <c r="B634" s="331"/>
      <c r="C634" s="348"/>
      <c r="D634" s="352"/>
      <c r="E634" s="352"/>
      <c r="F634" s="333"/>
      <c r="G634" s="333"/>
      <c r="H634" s="133"/>
      <c r="I634" s="138"/>
      <c r="J634" s="158"/>
      <c r="K634" s="333"/>
      <c r="L634" s="333"/>
      <c r="M634" s="133"/>
      <c r="N634" s="138"/>
      <c r="O634" s="302"/>
      <c r="P634" s="350"/>
      <c r="Q634" s="333"/>
      <c r="R634" s="333"/>
      <c r="S634" s="133"/>
      <c r="T634" s="138"/>
      <c r="U634" s="350"/>
      <c r="V634" s="333"/>
      <c r="W634" s="333"/>
      <c r="X634" s="133"/>
      <c r="Y634" s="137"/>
      <c r="AA634" s="139"/>
      <c r="AB634" s="351"/>
      <c r="AC634" s="333"/>
      <c r="AD634" s="333"/>
      <c r="AE634" s="333"/>
      <c r="AF634" s="333"/>
      <c r="AG634" s="333"/>
      <c r="AH634" s="333"/>
      <c r="AI634" s="333"/>
      <c r="AJ634" s="333"/>
      <c r="AK634" s="333"/>
      <c r="AL634" s="333"/>
      <c r="AM634" s="333"/>
      <c r="AN634" s="333"/>
      <c r="AO634" s="351"/>
      <c r="AP634" s="333"/>
      <c r="AQ634" s="333"/>
      <c r="AR634" s="333"/>
      <c r="AS634" s="333"/>
      <c r="AT634" s="333"/>
      <c r="AU634" s="333"/>
      <c r="AV634" s="333"/>
      <c r="AW634" s="333"/>
      <c r="AX634" s="333"/>
      <c r="AY634" s="333"/>
      <c r="AZ634" s="333"/>
      <c r="BA634" s="333"/>
    </row>
    <row r="635" spans="1:53" s="131" customFormat="1">
      <c r="A635" s="111" t="s">
        <v>1540</v>
      </c>
      <c r="B635" s="331" t="s">
        <v>1541</v>
      </c>
      <c r="C635" s="348" t="s">
        <v>1542</v>
      </c>
      <c r="D635" s="352"/>
      <c r="E635" s="352"/>
      <c r="F635" s="333">
        <v>0</v>
      </c>
      <c r="G635" s="333">
        <v>0</v>
      </c>
      <c r="H635" s="133">
        <f>+F635-G635</f>
        <v>0</v>
      </c>
      <c r="I635" s="138">
        <f>IF(G635&lt;0,IF(H635=0,0,IF(OR(G635=0,F635=0),"N.M.",IF(ABS(H635/G635)&gt;=10,"N.M.",H635/(-G635)))),IF(H635=0,0,IF(OR(G635=0,F635=0),"N.M.",IF(ABS(H635/G635)&gt;=10,"N.M.",H635/G635))))</f>
        <v>0</v>
      </c>
      <c r="J635" s="158"/>
      <c r="K635" s="333">
        <v>0</v>
      </c>
      <c r="L635" s="333">
        <v>0</v>
      </c>
      <c r="M635" s="133">
        <f>+K635-L635</f>
        <v>0</v>
      </c>
      <c r="N635" s="138">
        <f>IF(L635&lt;0,IF(M635=0,0,IF(OR(L635=0,K635=0),"N.M.",IF(ABS(M635/L635)&gt;=10,"N.M.",M635/(-L635)))),IF(M635=0,0,IF(OR(L635=0,K635=0),"N.M.",IF(ABS(M635/L635)&gt;=10,"N.M.",M635/L635))))</f>
        <v>0</v>
      </c>
      <c r="O635" s="302"/>
      <c r="P635" s="350"/>
      <c r="Q635" s="333">
        <v>0</v>
      </c>
      <c r="R635" s="333">
        <v>0</v>
      </c>
      <c r="S635" s="133">
        <f>+Q635-R635</f>
        <v>0</v>
      </c>
      <c r="T635" s="138">
        <f>IF(R635&lt;0,IF(S635=0,0,IF(OR(R635=0,Q635=0),"N.M.",IF(ABS(S635/R635)&gt;=10,"N.M.",S635/(-R635)))),IF(S635=0,0,IF(OR(R635=0,Q635=0),"N.M.",IF(ABS(S635/R635)&gt;=10,"N.M.",S635/R635))))</f>
        <v>0</v>
      </c>
      <c r="U635" s="350"/>
      <c r="V635" s="333">
        <v>0</v>
      </c>
      <c r="W635" s="333">
        <v>0</v>
      </c>
      <c r="X635" s="133">
        <f>+V635-W635</f>
        <v>0</v>
      </c>
      <c r="Y635" s="137">
        <f>IF(W635&lt;0,IF(X635=0,0,IF(OR(W635=0,V635=0),"N.M.",IF(ABS(X635/W635)&gt;=10,"N.M.",X635/(-W635)))),IF(X635=0,0,IF(OR(W635=0,V635=0),"N.M.",IF(ABS(X635/W635)&gt;=10,"N.M.",X635/W635))))</f>
        <v>0</v>
      </c>
      <c r="AA635" s="139">
        <v>0</v>
      </c>
      <c r="AB635" s="351"/>
      <c r="AC635" s="333">
        <v>0</v>
      </c>
      <c r="AD635" s="333">
        <v>0</v>
      </c>
      <c r="AE635" s="333">
        <v>0</v>
      </c>
      <c r="AF635" s="333">
        <v>0</v>
      </c>
      <c r="AG635" s="333">
        <v>0</v>
      </c>
      <c r="AH635" s="333">
        <v>0</v>
      </c>
      <c r="AI635" s="333">
        <v>0</v>
      </c>
      <c r="AJ635" s="333">
        <v>0</v>
      </c>
      <c r="AK635" s="333">
        <v>0</v>
      </c>
      <c r="AL635" s="333">
        <v>0</v>
      </c>
      <c r="AM635" s="333">
        <v>0</v>
      </c>
      <c r="AN635" s="333">
        <v>0</v>
      </c>
      <c r="AO635" s="351"/>
      <c r="AP635" s="333">
        <v>0</v>
      </c>
      <c r="AQ635" s="333">
        <v>0</v>
      </c>
      <c r="AR635" s="333">
        <v>0</v>
      </c>
      <c r="AS635" s="333">
        <v>0</v>
      </c>
      <c r="AT635" s="333">
        <v>0</v>
      </c>
      <c r="AU635" s="333">
        <v>0</v>
      </c>
      <c r="AV635" s="333">
        <v>0</v>
      </c>
      <c r="AW635" s="333">
        <v>0</v>
      </c>
      <c r="AX635" s="333">
        <v>0</v>
      </c>
      <c r="AY635" s="333">
        <v>0</v>
      </c>
      <c r="AZ635" s="333">
        <v>0</v>
      </c>
      <c r="BA635" s="333">
        <v>0</v>
      </c>
    </row>
    <row r="636" spans="1:53" s="131" customFormat="1" ht="0.75" customHeight="1" outlineLevel="2">
      <c r="A636" s="111"/>
      <c r="B636" s="331"/>
      <c r="C636" s="348"/>
      <c r="D636" s="352"/>
      <c r="E636" s="352"/>
      <c r="F636" s="333"/>
      <c r="G636" s="333"/>
      <c r="H636" s="133"/>
      <c r="I636" s="138"/>
      <c r="J636" s="158"/>
      <c r="K636" s="333"/>
      <c r="L636" s="333"/>
      <c r="M636" s="133"/>
      <c r="N636" s="138"/>
      <c r="O636" s="302"/>
      <c r="P636" s="350"/>
      <c r="Q636" s="333"/>
      <c r="R636" s="333"/>
      <c r="S636" s="133"/>
      <c r="T636" s="138"/>
      <c r="U636" s="350"/>
      <c r="V636" s="333"/>
      <c r="W636" s="333"/>
      <c r="X636" s="133"/>
      <c r="Y636" s="137"/>
      <c r="AA636" s="139"/>
      <c r="AB636" s="351"/>
      <c r="AC636" s="333"/>
      <c r="AD636" s="333"/>
      <c r="AE636" s="333"/>
      <c r="AF636" s="333"/>
      <c r="AG636" s="333"/>
      <c r="AH636" s="333"/>
      <c r="AI636" s="333"/>
      <c r="AJ636" s="333"/>
      <c r="AK636" s="333"/>
      <c r="AL636" s="333"/>
      <c r="AM636" s="333"/>
      <c r="AN636" s="333"/>
      <c r="AO636" s="351"/>
      <c r="AP636" s="333"/>
      <c r="AQ636" s="333"/>
      <c r="AR636" s="333"/>
      <c r="AS636" s="333"/>
      <c r="AT636" s="333"/>
      <c r="AU636" s="333"/>
      <c r="AV636" s="333"/>
      <c r="AW636" s="333"/>
      <c r="AX636" s="333"/>
      <c r="AY636" s="333"/>
      <c r="AZ636" s="333"/>
      <c r="BA636" s="333"/>
    </row>
    <row r="637" spans="1:53" s="131" customFormat="1">
      <c r="A637" s="111" t="s">
        <v>1543</v>
      </c>
      <c r="B637" s="331" t="s">
        <v>1544</v>
      </c>
      <c r="C637" s="348" t="s">
        <v>1545</v>
      </c>
      <c r="D637" s="352"/>
      <c r="E637" s="352"/>
      <c r="F637" s="333">
        <v>0</v>
      </c>
      <c r="G637" s="333">
        <v>0</v>
      </c>
      <c r="H637" s="133">
        <f>+F637-G637</f>
        <v>0</v>
      </c>
      <c r="I637" s="138">
        <f>IF(G637&lt;0,IF(H637=0,0,IF(OR(G637=0,F637=0),"N.M.",IF(ABS(H637/G637)&gt;=10,"N.M.",H637/(-G637)))),IF(H637=0,0,IF(OR(G637=0,F637=0),"N.M.",IF(ABS(H637/G637)&gt;=10,"N.M.",H637/G637))))</f>
        <v>0</v>
      </c>
      <c r="J637" s="158"/>
      <c r="K637" s="333">
        <v>0</v>
      </c>
      <c r="L637" s="333">
        <v>0</v>
      </c>
      <c r="M637" s="133">
        <f>+K637-L637</f>
        <v>0</v>
      </c>
      <c r="N637" s="138">
        <f>IF(L637&lt;0,IF(M637=0,0,IF(OR(L637=0,K637=0),"N.M.",IF(ABS(M637/L637)&gt;=10,"N.M.",M637/(-L637)))),IF(M637=0,0,IF(OR(L637=0,K637=0),"N.M.",IF(ABS(M637/L637)&gt;=10,"N.M.",M637/L637))))</f>
        <v>0</v>
      </c>
      <c r="O637" s="302"/>
      <c r="P637" s="350"/>
      <c r="Q637" s="333">
        <v>0</v>
      </c>
      <c r="R637" s="333">
        <v>0</v>
      </c>
      <c r="S637" s="133">
        <f>+Q637-R637</f>
        <v>0</v>
      </c>
      <c r="T637" s="138">
        <f>IF(R637&lt;0,IF(S637=0,0,IF(OR(R637=0,Q637=0),"N.M.",IF(ABS(S637/R637)&gt;=10,"N.M.",S637/(-R637)))),IF(S637=0,0,IF(OR(R637=0,Q637=0),"N.M.",IF(ABS(S637/R637)&gt;=10,"N.M.",S637/R637))))</f>
        <v>0</v>
      </c>
      <c r="U637" s="350"/>
      <c r="V637" s="333">
        <v>0</v>
      </c>
      <c r="W637" s="333">
        <v>0</v>
      </c>
      <c r="X637" s="133">
        <f>+V637-W637</f>
        <v>0</v>
      </c>
      <c r="Y637" s="137">
        <f>IF(W637&lt;0,IF(X637=0,0,IF(OR(W637=0,V637=0),"N.M.",IF(ABS(X637/W637)&gt;=10,"N.M.",X637/(-W637)))),IF(X637=0,0,IF(OR(W637=0,V637=0),"N.M.",IF(ABS(X637/W637)&gt;=10,"N.M.",X637/W637))))</f>
        <v>0</v>
      </c>
      <c r="AA637" s="139">
        <v>0</v>
      </c>
      <c r="AB637" s="351"/>
      <c r="AC637" s="333">
        <v>0</v>
      </c>
      <c r="AD637" s="333">
        <v>0</v>
      </c>
      <c r="AE637" s="333">
        <v>0</v>
      </c>
      <c r="AF637" s="333">
        <v>0</v>
      </c>
      <c r="AG637" s="333">
        <v>0</v>
      </c>
      <c r="AH637" s="333">
        <v>0</v>
      </c>
      <c r="AI637" s="333">
        <v>0</v>
      </c>
      <c r="AJ637" s="333">
        <v>0</v>
      </c>
      <c r="AK637" s="333">
        <v>0</v>
      </c>
      <c r="AL637" s="333">
        <v>0</v>
      </c>
      <c r="AM637" s="333">
        <v>0</v>
      </c>
      <c r="AN637" s="333">
        <v>0</v>
      </c>
      <c r="AO637" s="351"/>
      <c r="AP637" s="333">
        <v>0</v>
      </c>
      <c r="AQ637" s="333">
        <v>0</v>
      </c>
      <c r="AR637" s="333">
        <v>0</v>
      </c>
      <c r="AS637" s="333">
        <v>0</v>
      </c>
      <c r="AT637" s="333">
        <v>0</v>
      </c>
      <c r="AU637" s="333">
        <v>0</v>
      </c>
      <c r="AV637" s="333">
        <v>0</v>
      </c>
      <c r="AW637" s="333">
        <v>0</v>
      </c>
      <c r="AX637" s="333">
        <v>0</v>
      </c>
      <c r="AY637" s="333">
        <v>0</v>
      </c>
      <c r="AZ637" s="333">
        <v>0</v>
      </c>
      <c r="BA637" s="333">
        <v>0</v>
      </c>
    </row>
    <row r="638" spans="1:53" s="131" customFormat="1" ht="0.75" customHeight="1" outlineLevel="2">
      <c r="A638" s="111"/>
      <c r="B638" s="331"/>
      <c r="C638" s="348"/>
      <c r="D638" s="352"/>
      <c r="E638" s="352"/>
      <c r="F638" s="333"/>
      <c r="G638" s="333"/>
      <c r="H638" s="133"/>
      <c r="I638" s="138"/>
      <c r="J638" s="158"/>
      <c r="K638" s="333"/>
      <c r="L638" s="333"/>
      <c r="M638" s="133"/>
      <c r="N638" s="138"/>
      <c r="O638" s="302"/>
      <c r="P638" s="350"/>
      <c r="Q638" s="333"/>
      <c r="R638" s="333"/>
      <c r="S638" s="133"/>
      <c r="T638" s="138"/>
      <c r="U638" s="350"/>
      <c r="V638" s="333"/>
      <c r="W638" s="333"/>
      <c r="X638" s="133"/>
      <c r="Y638" s="137"/>
      <c r="AA638" s="139"/>
      <c r="AB638" s="351"/>
      <c r="AC638" s="333"/>
      <c r="AD638" s="333"/>
      <c r="AE638" s="333"/>
      <c r="AF638" s="333"/>
      <c r="AG638" s="333"/>
      <c r="AH638" s="333"/>
      <c r="AI638" s="333"/>
      <c r="AJ638" s="333"/>
      <c r="AK638" s="333"/>
      <c r="AL638" s="333"/>
      <c r="AM638" s="333"/>
      <c r="AN638" s="333"/>
      <c r="AO638" s="351"/>
      <c r="AP638" s="333"/>
      <c r="AQ638" s="333"/>
      <c r="AR638" s="333"/>
      <c r="AS638" s="333"/>
      <c r="AT638" s="333"/>
      <c r="AU638" s="333"/>
      <c r="AV638" s="333"/>
      <c r="AW638" s="333"/>
      <c r="AX638" s="333"/>
      <c r="AY638" s="333"/>
      <c r="AZ638" s="333"/>
      <c r="BA638" s="333"/>
    </row>
    <row r="639" spans="1:53" s="102" customFormat="1" outlineLevel="2">
      <c r="A639" s="102" t="s">
        <v>1546</v>
      </c>
      <c r="B639" s="103" t="s">
        <v>1547</v>
      </c>
      <c r="C639" s="104" t="s">
        <v>1548</v>
      </c>
      <c r="D639" s="298"/>
      <c r="E639" s="299"/>
      <c r="F639" s="105">
        <v>501187.27</v>
      </c>
      <c r="G639" s="105">
        <v>62323.26</v>
      </c>
      <c r="H639" s="106">
        <f>+F639-G639</f>
        <v>438864.01</v>
      </c>
      <c r="I639" s="300">
        <f>IF(G639&lt;0,IF(H639=0,0,IF(OR(G639=0,F639=0),"N.M.",IF(ABS(H639/G639)&gt;=10,"N.M.",H639/(-G639)))),IF(H639=0,0,IF(OR(G639=0,F639=0),"N.M.",IF(ABS(H639/G639)&gt;=10,"N.M.",H639/G639))))</f>
        <v>7.0417370657439937</v>
      </c>
      <c r="J639" s="107"/>
      <c r="K639" s="105">
        <v>1452662.37</v>
      </c>
      <c r="L639" s="105">
        <v>101173.12</v>
      </c>
      <c r="M639" s="106">
        <f>+K639-L639</f>
        <v>1351489.25</v>
      </c>
      <c r="N639" s="300" t="str">
        <f>IF(L639&lt;0,IF(M639=0,0,IF(OR(L639=0,K639=0),"N.M.",IF(ABS(M639/L639)&gt;=10,"N.M.",M639/(-L639)))),IF(M639=0,0,IF(OR(L639=0,K639=0),"N.M.",IF(ABS(M639/L639)&gt;=10,"N.M.",M639/L639))))</f>
        <v>N.M.</v>
      </c>
      <c r="O639" s="301"/>
      <c r="P639" s="107"/>
      <c r="Q639" s="105">
        <v>1452662.37</v>
      </c>
      <c r="R639" s="105">
        <v>101173.12</v>
      </c>
      <c r="S639" s="106">
        <f>+Q639-R639</f>
        <v>1351489.25</v>
      </c>
      <c r="T639" s="300" t="str">
        <f>IF(R639&lt;0,IF(S639=0,0,IF(OR(R639=0,Q639=0),"N.M.",IF(ABS(S639/R639)&gt;=10,"N.M.",S639/(-R639)))),IF(S639=0,0,IF(OR(R639=0,Q639=0),"N.M.",IF(ABS(S639/R639)&gt;=10,"N.M.",S639/R639))))</f>
        <v>N.M.</v>
      </c>
      <c r="U639" s="107"/>
      <c r="V639" s="105">
        <v>3336421.59</v>
      </c>
      <c r="W639" s="105">
        <v>219474.75</v>
      </c>
      <c r="X639" s="106">
        <f>+V639-W639</f>
        <v>3116946.84</v>
      </c>
      <c r="Y639" s="300" t="str">
        <f>IF(W639&lt;0,IF(X639=0,0,IF(OR(W639=0,V639=0),"N.M.",IF(ABS(X639/W639)&gt;=10,"N.M.",X639/(-W639)))),IF(X639=0,0,IF(OR(W639=0,V639=0),"N.M.",IF(ABS(X639/W639)&gt;=10,"N.M.",X639/W639))))</f>
        <v>N.M.</v>
      </c>
      <c r="Z639" s="302"/>
      <c r="AA639" s="108">
        <v>14746.03</v>
      </c>
      <c r="AB639" s="109"/>
      <c r="AC639" s="110">
        <v>15442.54</v>
      </c>
      <c r="AD639" s="110">
        <v>23407.32</v>
      </c>
      <c r="AE639" s="110">
        <v>62323.26</v>
      </c>
      <c r="AF639" s="110">
        <v>89210.91</v>
      </c>
      <c r="AG639" s="110">
        <v>125833.58</v>
      </c>
      <c r="AH639" s="110">
        <v>163392.09</v>
      </c>
      <c r="AI639" s="110">
        <v>214979.7</v>
      </c>
      <c r="AJ639" s="110">
        <v>196676.93</v>
      </c>
      <c r="AK639" s="110">
        <v>116744.74</v>
      </c>
      <c r="AL639" s="110">
        <v>222936.09</v>
      </c>
      <c r="AM639" s="110">
        <v>335366.14</v>
      </c>
      <c r="AN639" s="110">
        <v>418619.04000000004</v>
      </c>
      <c r="AO639" s="109"/>
      <c r="AP639" s="110">
        <v>511381.45</v>
      </c>
      <c r="AQ639" s="110">
        <v>440093.65</v>
      </c>
      <c r="AR639" s="110">
        <v>501187.27</v>
      </c>
      <c r="AS639" s="110">
        <v>786578.08000000007</v>
      </c>
      <c r="AT639" s="110">
        <v>0</v>
      </c>
      <c r="AU639" s="110">
        <v>0</v>
      </c>
      <c r="AV639" s="110">
        <v>0</v>
      </c>
      <c r="AW639" s="110">
        <v>0</v>
      </c>
      <c r="AX639" s="110">
        <v>0</v>
      </c>
      <c r="AY639" s="110">
        <v>0</v>
      </c>
      <c r="AZ639" s="110">
        <v>0</v>
      </c>
      <c r="BA639" s="110">
        <v>0</v>
      </c>
    </row>
    <row r="640" spans="1:53" s="131" customFormat="1">
      <c r="A640" s="111" t="s">
        <v>1549</v>
      </c>
      <c r="B640" s="331" t="s">
        <v>1550</v>
      </c>
      <c r="C640" s="348" t="s">
        <v>1551</v>
      </c>
      <c r="D640" s="352"/>
      <c r="E640" s="352"/>
      <c r="F640" s="333">
        <v>501187.27</v>
      </c>
      <c r="G640" s="333">
        <v>62323.26</v>
      </c>
      <c r="H640" s="133">
        <f>+F640-G640</f>
        <v>438864.01</v>
      </c>
      <c r="I640" s="138">
        <f>IF(G640&lt;0,IF(H640=0,0,IF(OR(G640=0,F640=0),"N.M.",IF(ABS(H640/G640)&gt;=10,"N.M.",H640/(-G640)))),IF(H640=0,0,IF(OR(G640=0,F640=0),"N.M.",IF(ABS(H640/G640)&gt;=10,"N.M.",H640/G640))))</f>
        <v>7.0417370657439937</v>
      </c>
      <c r="J640" s="158"/>
      <c r="K640" s="333">
        <v>1452662.37</v>
      </c>
      <c r="L640" s="333">
        <v>101173.12</v>
      </c>
      <c r="M640" s="133">
        <f>+K640-L640</f>
        <v>1351489.25</v>
      </c>
      <c r="N640" s="138" t="str">
        <f>IF(L640&lt;0,IF(M640=0,0,IF(OR(L640=0,K640=0),"N.M.",IF(ABS(M640/L640)&gt;=10,"N.M.",M640/(-L640)))),IF(M640=0,0,IF(OR(L640=0,K640=0),"N.M.",IF(ABS(M640/L640)&gt;=10,"N.M.",M640/L640))))</f>
        <v>N.M.</v>
      </c>
      <c r="O640" s="302"/>
      <c r="P640" s="350"/>
      <c r="Q640" s="333">
        <v>1452662.37</v>
      </c>
      <c r="R640" s="333">
        <v>101173.12</v>
      </c>
      <c r="S640" s="133">
        <f>+Q640-R640</f>
        <v>1351489.25</v>
      </c>
      <c r="T640" s="138" t="str">
        <f>IF(R640&lt;0,IF(S640=0,0,IF(OR(R640=0,Q640=0),"N.M.",IF(ABS(S640/R640)&gt;=10,"N.M.",S640/(-R640)))),IF(S640=0,0,IF(OR(R640=0,Q640=0),"N.M.",IF(ABS(S640/R640)&gt;=10,"N.M.",S640/R640))))</f>
        <v>N.M.</v>
      </c>
      <c r="U640" s="350"/>
      <c r="V640" s="333">
        <v>3336421.59</v>
      </c>
      <c r="W640" s="333">
        <v>219474.75</v>
      </c>
      <c r="X640" s="133">
        <f>+V640-W640</f>
        <v>3116946.84</v>
      </c>
      <c r="Y640" s="137" t="str">
        <f>IF(W640&lt;0,IF(X640=0,0,IF(OR(W640=0,V640=0),"N.M.",IF(ABS(X640/W640)&gt;=10,"N.M.",X640/(-W640)))),IF(X640=0,0,IF(OR(W640=0,V640=0),"N.M.",IF(ABS(X640/W640)&gt;=10,"N.M.",X640/W640))))</f>
        <v>N.M.</v>
      </c>
      <c r="AA640" s="139">
        <v>14746.03</v>
      </c>
      <c r="AB640" s="351"/>
      <c r="AC640" s="333">
        <v>15442.54</v>
      </c>
      <c r="AD640" s="333">
        <v>23407.32</v>
      </c>
      <c r="AE640" s="333">
        <v>62323.26</v>
      </c>
      <c r="AF640" s="333">
        <v>89210.91</v>
      </c>
      <c r="AG640" s="333">
        <v>125833.58</v>
      </c>
      <c r="AH640" s="333">
        <v>163392.09</v>
      </c>
      <c r="AI640" s="333">
        <v>214979.7</v>
      </c>
      <c r="AJ640" s="333">
        <v>196676.93</v>
      </c>
      <c r="AK640" s="333">
        <v>116744.74</v>
      </c>
      <c r="AL640" s="333">
        <v>222936.09</v>
      </c>
      <c r="AM640" s="333">
        <v>335366.14</v>
      </c>
      <c r="AN640" s="333">
        <v>418619.04000000004</v>
      </c>
      <c r="AO640" s="351"/>
      <c r="AP640" s="333">
        <v>511381.45</v>
      </c>
      <c r="AQ640" s="333">
        <v>440093.65</v>
      </c>
      <c r="AR640" s="333">
        <v>501187.27</v>
      </c>
      <c r="AS640" s="333">
        <v>786578.08000000007</v>
      </c>
      <c r="AT640" s="333">
        <v>0</v>
      </c>
      <c r="AU640" s="333">
        <v>0</v>
      </c>
      <c r="AV640" s="333">
        <v>0</v>
      </c>
      <c r="AW640" s="333">
        <v>0</v>
      </c>
      <c r="AX640" s="333">
        <v>0</v>
      </c>
      <c r="AY640" s="333">
        <v>0</v>
      </c>
      <c r="AZ640" s="333">
        <v>0</v>
      </c>
      <c r="BA640" s="333">
        <v>0</v>
      </c>
    </row>
    <row r="641" spans="1:53" s="131" customFormat="1" ht="0.75" customHeight="1" outlineLevel="2">
      <c r="A641" s="111"/>
      <c r="B641" s="331"/>
      <c r="C641" s="348"/>
      <c r="D641" s="352"/>
      <c r="E641" s="352"/>
      <c r="F641" s="333"/>
      <c r="G641" s="333"/>
      <c r="H641" s="133"/>
      <c r="I641" s="138"/>
      <c r="J641" s="158"/>
      <c r="K641" s="333"/>
      <c r="L641" s="333"/>
      <c r="M641" s="133"/>
      <c r="N641" s="138"/>
      <c r="O641" s="302"/>
      <c r="P641" s="350"/>
      <c r="Q641" s="333"/>
      <c r="R641" s="333"/>
      <c r="S641" s="133"/>
      <c r="T641" s="138"/>
      <c r="U641" s="350"/>
      <c r="V641" s="333"/>
      <c r="W641" s="333"/>
      <c r="X641" s="133"/>
      <c r="Y641" s="137"/>
      <c r="AA641" s="139"/>
      <c r="AB641" s="351"/>
      <c r="AC641" s="333"/>
      <c r="AD641" s="333"/>
      <c r="AE641" s="333"/>
      <c r="AF641" s="333"/>
      <c r="AG641" s="333"/>
      <c r="AH641" s="333"/>
      <c r="AI641" s="333"/>
      <c r="AJ641" s="333"/>
      <c r="AK641" s="333"/>
      <c r="AL641" s="333"/>
      <c r="AM641" s="333"/>
      <c r="AN641" s="333"/>
      <c r="AO641" s="351"/>
      <c r="AP641" s="333"/>
      <c r="AQ641" s="333"/>
      <c r="AR641" s="333"/>
      <c r="AS641" s="333"/>
      <c r="AT641" s="333"/>
      <c r="AU641" s="333"/>
      <c r="AV641" s="333"/>
      <c r="AW641" s="333"/>
      <c r="AX641" s="333"/>
      <c r="AY641" s="333"/>
      <c r="AZ641" s="333"/>
      <c r="BA641" s="333"/>
    </row>
    <row r="642" spans="1:53" s="102" customFormat="1" outlineLevel="2">
      <c r="A642" s="102" t="s">
        <v>1552</v>
      </c>
      <c r="B642" s="103" t="s">
        <v>1553</v>
      </c>
      <c r="C642" s="104" t="s">
        <v>1554</v>
      </c>
      <c r="D642" s="298"/>
      <c r="E642" s="299"/>
      <c r="F642" s="105">
        <v>63335.82</v>
      </c>
      <c r="G642" s="105">
        <v>-119138.12</v>
      </c>
      <c r="H642" s="106">
        <f>+F642-G642</f>
        <v>182473.94</v>
      </c>
      <c r="I642" s="300">
        <f>IF(G642&lt;0,IF(H642=0,0,IF(OR(G642=0,F642=0),"N.M.",IF(ABS(H642/G642)&gt;=10,"N.M.",H642/(-G642)))),IF(H642=0,0,IF(OR(G642=0,F642=0),"N.M.",IF(ABS(H642/G642)&gt;=10,"N.M.",H642/G642))))</f>
        <v>1.5316167486947083</v>
      </c>
      <c r="J642" s="107"/>
      <c r="K642" s="105">
        <v>187857.76</v>
      </c>
      <c r="L642" s="105">
        <v>-346891.84</v>
      </c>
      <c r="M642" s="106">
        <f>+K642-L642</f>
        <v>534749.60000000009</v>
      </c>
      <c r="N642" s="300">
        <f>IF(L642&lt;0,IF(M642=0,0,IF(OR(L642=0,K642=0),"N.M.",IF(ABS(M642/L642)&gt;=10,"N.M.",M642/(-L642)))),IF(M642=0,0,IF(OR(L642=0,K642=0),"N.M.",IF(ABS(M642/L642)&gt;=10,"N.M.",M642/L642))))</f>
        <v>1.5415456299000867</v>
      </c>
      <c r="O642" s="301"/>
      <c r="P642" s="107"/>
      <c r="Q642" s="105">
        <v>187857.76</v>
      </c>
      <c r="R642" s="105">
        <v>-346891.84</v>
      </c>
      <c r="S642" s="106">
        <f>+Q642-R642</f>
        <v>534749.60000000009</v>
      </c>
      <c r="T642" s="300">
        <f>IF(R642&lt;0,IF(S642=0,0,IF(OR(R642=0,Q642=0),"N.M.",IF(ABS(S642/R642)&gt;=10,"N.M.",S642/(-R642)))),IF(S642=0,0,IF(OR(R642=0,Q642=0),"N.M.",IF(ABS(S642/R642)&gt;=10,"N.M.",S642/R642))))</f>
        <v>1.5415456299000867</v>
      </c>
      <c r="U642" s="107"/>
      <c r="V642" s="105">
        <v>2246.0800000000163</v>
      </c>
      <c r="W642" s="105">
        <v>-1345356.402</v>
      </c>
      <c r="X642" s="106">
        <f>+V642-W642</f>
        <v>1347602.4820000001</v>
      </c>
      <c r="Y642" s="300">
        <f>IF(W642&lt;0,IF(X642=0,0,IF(OR(W642=0,V642=0),"N.M.",IF(ABS(X642/W642)&gt;=10,"N.M.",X642/(-W642)))),IF(X642=0,0,IF(OR(W642=0,V642=0),"N.M.",IF(ABS(X642/W642)&gt;=10,"N.M.",X642/W642))))</f>
        <v>1.0016695055649649</v>
      </c>
      <c r="Z642" s="302"/>
      <c r="AA642" s="108">
        <v>-116823.41</v>
      </c>
      <c r="AB642" s="109"/>
      <c r="AC642" s="110">
        <v>-118342.28</v>
      </c>
      <c r="AD642" s="110">
        <v>-109411.44</v>
      </c>
      <c r="AE642" s="110">
        <v>-119138.12</v>
      </c>
      <c r="AF642" s="110">
        <v>-119379.42</v>
      </c>
      <c r="AG642" s="110">
        <v>677306.38</v>
      </c>
      <c r="AH642" s="110">
        <v>-119619.59</v>
      </c>
      <c r="AI642" s="110">
        <v>-104907.28</v>
      </c>
      <c r="AJ642" s="110">
        <v>-118978.92</v>
      </c>
      <c r="AK642" s="110">
        <v>-119270.04000000001</v>
      </c>
      <c r="AL642" s="110">
        <v>-115423.35</v>
      </c>
      <c r="AM642" s="110">
        <v>-115547.65000000001</v>
      </c>
      <c r="AN642" s="110">
        <v>-49791.81</v>
      </c>
      <c r="AO642" s="109"/>
      <c r="AP642" s="110">
        <v>62313.840000000004</v>
      </c>
      <c r="AQ642" s="110">
        <v>62208.1</v>
      </c>
      <c r="AR642" s="110">
        <v>63335.82</v>
      </c>
      <c r="AS642" s="110">
        <v>0</v>
      </c>
      <c r="AT642" s="110">
        <v>0</v>
      </c>
      <c r="AU642" s="110">
        <v>0</v>
      </c>
      <c r="AV642" s="110">
        <v>0</v>
      </c>
      <c r="AW642" s="110">
        <v>0</v>
      </c>
      <c r="AX642" s="110">
        <v>0</v>
      </c>
      <c r="AY642" s="110">
        <v>0</v>
      </c>
      <c r="AZ642" s="110">
        <v>0</v>
      </c>
      <c r="BA642" s="110">
        <v>0</v>
      </c>
    </row>
    <row r="643" spans="1:53" s="102" customFormat="1" outlineLevel="2">
      <c r="A643" s="102" t="s">
        <v>1555</v>
      </c>
      <c r="B643" s="103" t="s">
        <v>1556</v>
      </c>
      <c r="C643" s="104" t="s">
        <v>1557</v>
      </c>
      <c r="D643" s="298"/>
      <c r="E643" s="299"/>
      <c r="F643" s="105">
        <v>144940.51999999999</v>
      </c>
      <c r="G643" s="105">
        <v>4552.25</v>
      </c>
      <c r="H643" s="106">
        <f>+F643-G643</f>
        <v>140388.26999999999</v>
      </c>
      <c r="I643" s="300" t="str">
        <f>IF(G643&lt;0,IF(H643=0,0,IF(OR(G643=0,F643=0),"N.M.",IF(ABS(H643/G643)&gt;=10,"N.M.",H643/(-G643)))),IF(H643=0,0,IF(OR(G643=0,F643=0),"N.M.",IF(ABS(H643/G643)&gt;=10,"N.M.",H643/G643))))</f>
        <v>N.M.</v>
      </c>
      <c r="J643" s="107"/>
      <c r="K643" s="105">
        <v>419244.3</v>
      </c>
      <c r="L643" s="105">
        <v>9743.8700000000008</v>
      </c>
      <c r="M643" s="106">
        <f>+K643-L643</f>
        <v>409500.43</v>
      </c>
      <c r="N643" s="300" t="str">
        <f>IF(L643&lt;0,IF(M643=0,0,IF(OR(L643=0,K643=0),"N.M.",IF(ABS(M643/L643)&gt;=10,"N.M.",M643/(-L643)))),IF(M643=0,0,IF(OR(L643=0,K643=0),"N.M.",IF(ABS(M643/L643)&gt;=10,"N.M.",M643/L643))))</f>
        <v>N.M.</v>
      </c>
      <c r="O643" s="301"/>
      <c r="P643" s="107"/>
      <c r="Q643" s="105">
        <v>419244.3</v>
      </c>
      <c r="R643" s="105">
        <v>9743.8700000000008</v>
      </c>
      <c r="S643" s="106">
        <f>+Q643-R643</f>
        <v>409500.43</v>
      </c>
      <c r="T643" s="300" t="str">
        <f>IF(R643&lt;0,IF(S643=0,0,IF(OR(R643=0,Q643=0),"N.M.",IF(ABS(S643/R643)&gt;=10,"N.M.",S643/(-R643)))),IF(S643=0,0,IF(OR(R643=0,Q643=0),"N.M.",IF(ABS(S643/R643)&gt;=10,"N.M.",S643/R643))))</f>
        <v>N.M.</v>
      </c>
      <c r="U643" s="107"/>
      <c r="V643" s="105">
        <v>452405.24</v>
      </c>
      <c r="W643" s="105">
        <v>38054.9</v>
      </c>
      <c r="X643" s="106">
        <f>+V643-W643</f>
        <v>414350.33999999997</v>
      </c>
      <c r="Y643" s="300" t="str">
        <f>IF(W643&lt;0,IF(X643=0,0,IF(OR(W643=0,V643=0),"N.M.",IF(ABS(X643/W643)&gt;=10,"N.M.",X643/(-W643)))),IF(X643=0,0,IF(OR(W643=0,V643=0),"N.M.",IF(ABS(X643/W643)&gt;=10,"N.M.",X643/W643))))</f>
        <v>N.M.</v>
      </c>
      <c r="Z643" s="302"/>
      <c r="AA643" s="108">
        <v>4070.69</v>
      </c>
      <c r="AB643" s="109"/>
      <c r="AC643" s="110">
        <v>2532.6</v>
      </c>
      <c r="AD643" s="110">
        <v>2659.02</v>
      </c>
      <c r="AE643" s="110">
        <v>4552.25</v>
      </c>
      <c r="AF643" s="110">
        <v>2930.98</v>
      </c>
      <c r="AG643" s="110">
        <v>3162.44</v>
      </c>
      <c r="AH643" s="110">
        <v>4876.46</v>
      </c>
      <c r="AI643" s="110">
        <v>3461.7000000000003</v>
      </c>
      <c r="AJ643" s="110">
        <v>3464.4500000000003</v>
      </c>
      <c r="AK643" s="110">
        <v>4483.13</v>
      </c>
      <c r="AL643" s="110">
        <v>3494.11</v>
      </c>
      <c r="AM643" s="110">
        <v>3346.38</v>
      </c>
      <c r="AN643" s="110">
        <v>3941.29</v>
      </c>
      <c r="AO643" s="109"/>
      <c r="AP643" s="110">
        <v>144324.89000000001</v>
      </c>
      <c r="AQ643" s="110">
        <v>129978.89</v>
      </c>
      <c r="AR643" s="110">
        <v>144940.51999999999</v>
      </c>
      <c r="AS643" s="110">
        <v>0</v>
      </c>
      <c r="AT643" s="110">
        <v>0</v>
      </c>
      <c r="AU643" s="110">
        <v>0</v>
      </c>
      <c r="AV643" s="110">
        <v>0</v>
      </c>
      <c r="AW643" s="110">
        <v>0</v>
      </c>
      <c r="AX643" s="110">
        <v>0</v>
      </c>
      <c r="AY643" s="110">
        <v>0</v>
      </c>
      <c r="AZ643" s="110">
        <v>0</v>
      </c>
      <c r="BA643" s="110">
        <v>0</v>
      </c>
    </row>
    <row r="644" spans="1:53" s="102" customFormat="1" outlineLevel="2">
      <c r="A644" s="102" t="s">
        <v>1558</v>
      </c>
      <c r="B644" s="103" t="s">
        <v>1559</v>
      </c>
      <c r="C644" s="104" t="s">
        <v>1560</v>
      </c>
      <c r="D644" s="298"/>
      <c r="E644" s="299"/>
      <c r="F644" s="105">
        <v>32079.97</v>
      </c>
      <c r="G644" s="105">
        <v>36473.879999999997</v>
      </c>
      <c r="H644" s="106">
        <f>+F644-G644</f>
        <v>-4393.9099999999962</v>
      </c>
      <c r="I644" s="300">
        <f>IF(G644&lt;0,IF(H644=0,0,IF(OR(G644=0,F644=0),"N.M.",IF(ABS(H644/G644)&gt;=10,"N.M.",H644/(-G644)))),IF(H644=0,0,IF(OR(G644=0,F644=0),"N.M.",IF(ABS(H644/G644)&gt;=10,"N.M.",H644/G644))))</f>
        <v>-0.12046730427363353</v>
      </c>
      <c r="J644" s="107"/>
      <c r="K644" s="105">
        <v>69665.790000000008</v>
      </c>
      <c r="L644" s="105">
        <v>102418.84</v>
      </c>
      <c r="M644" s="106">
        <f>+K644-L644</f>
        <v>-32753.049999999988</v>
      </c>
      <c r="N644" s="300">
        <f>IF(L644&lt;0,IF(M644=0,0,IF(OR(L644=0,K644=0),"N.M.",IF(ABS(M644/L644)&gt;=10,"N.M.",M644/(-L644)))),IF(M644=0,0,IF(OR(L644=0,K644=0),"N.M.",IF(ABS(M644/L644)&gt;=10,"N.M.",M644/L644))))</f>
        <v>-0.31979516659239637</v>
      </c>
      <c r="O644" s="301"/>
      <c r="P644" s="107"/>
      <c r="Q644" s="105">
        <v>69665.790000000008</v>
      </c>
      <c r="R644" s="105">
        <v>102418.84</v>
      </c>
      <c r="S644" s="106">
        <f>+Q644-R644</f>
        <v>-32753.049999999988</v>
      </c>
      <c r="T644" s="300">
        <f>IF(R644&lt;0,IF(S644=0,0,IF(OR(R644=0,Q644=0),"N.M.",IF(ABS(S644/R644)&gt;=10,"N.M.",S644/(-R644)))),IF(S644=0,0,IF(OR(R644=0,Q644=0),"N.M.",IF(ABS(S644/R644)&gt;=10,"N.M.",S644/R644))))</f>
        <v>-0.31979516659239637</v>
      </c>
      <c r="U644" s="107"/>
      <c r="V644" s="105">
        <v>458407.72</v>
      </c>
      <c r="W644" s="105">
        <v>468520.88</v>
      </c>
      <c r="X644" s="106">
        <f>+V644-W644</f>
        <v>-10113.160000000033</v>
      </c>
      <c r="Y644" s="300">
        <f>IF(W644&lt;0,IF(X644=0,0,IF(OR(W644=0,V644=0),"N.M.",IF(ABS(X644/W644)&gt;=10,"N.M.",X644/(-W644)))),IF(X644=0,0,IF(OR(W644=0,V644=0),"N.M.",IF(ABS(X644/W644)&gt;=10,"N.M.",X644/W644))))</f>
        <v>-2.1585291993816865E-2</v>
      </c>
      <c r="Z644" s="302"/>
      <c r="AA644" s="108">
        <v>30145.13</v>
      </c>
      <c r="AB644" s="109"/>
      <c r="AC644" s="110">
        <v>30458.9</v>
      </c>
      <c r="AD644" s="110">
        <v>35486.06</v>
      </c>
      <c r="AE644" s="110">
        <v>36473.879999999997</v>
      </c>
      <c r="AF644" s="110">
        <v>35425.14</v>
      </c>
      <c r="AG644" s="110">
        <v>37036.53</v>
      </c>
      <c r="AH644" s="110">
        <v>61358.340000000004</v>
      </c>
      <c r="AI644" s="110">
        <v>37236.71</v>
      </c>
      <c r="AJ644" s="110">
        <v>43943.4</v>
      </c>
      <c r="AK644" s="110">
        <v>39709.770000000004</v>
      </c>
      <c r="AL644" s="110">
        <v>41520.33</v>
      </c>
      <c r="AM644" s="110">
        <v>48931.32</v>
      </c>
      <c r="AN644" s="110">
        <v>43580.39</v>
      </c>
      <c r="AO644" s="109"/>
      <c r="AP644" s="110">
        <v>35376.020000000004</v>
      </c>
      <c r="AQ644" s="110">
        <v>2209.8000000000002</v>
      </c>
      <c r="AR644" s="110">
        <v>32079.97</v>
      </c>
      <c r="AS644" s="110">
        <v>0</v>
      </c>
      <c r="AT644" s="110">
        <v>0</v>
      </c>
      <c r="AU644" s="110">
        <v>0</v>
      </c>
      <c r="AV644" s="110">
        <v>0</v>
      </c>
      <c r="AW644" s="110">
        <v>0</v>
      </c>
      <c r="AX644" s="110">
        <v>0</v>
      </c>
      <c r="AY644" s="110">
        <v>0</v>
      </c>
      <c r="AZ644" s="110">
        <v>0</v>
      </c>
      <c r="BA644" s="110">
        <v>0</v>
      </c>
    </row>
    <row r="645" spans="1:53" s="131" customFormat="1">
      <c r="A645" s="111" t="s">
        <v>1561</v>
      </c>
      <c r="B645" s="331" t="s">
        <v>1562</v>
      </c>
      <c r="C645" s="348" t="s">
        <v>1563</v>
      </c>
      <c r="D645" s="352"/>
      <c r="E645" s="352"/>
      <c r="F645" s="333">
        <v>240356.31</v>
      </c>
      <c r="G645" s="333">
        <v>-78111.989999999991</v>
      </c>
      <c r="H645" s="133">
        <f>+F645-G645</f>
        <v>318468.3</v>
      </c>
      <c r="I645" s="138">
        <f>IF(G645&lt;0,IF(H645=0,0,IF(OR(G645=0,F645=0),"N.M.",IF(ABS(H645/G645)&gt;=10,"N.M.",H645/(-G645)))),IF(H645=0,0,IF(OR(G645=0,F645=0),"N.M.",IF(ABS(H645/G645)&gt;=10,"N.M.",H645/G645))))</f>
        <v>4.0770731868436592</v>
      </c>
      <c r="J645" s="158"/>
      <c r="K645" s="333">
        <v>676767.85000000009</v>
      </c>
      <c r="L645" s="333">
        <v>-234729.13000000003</v>
      </c>
      <c r="M645" s="133">
        <f>+K645-L645</f>
        <v>911496.9800000001</v>
      </c>
      <c r="N645" s="138">
        <f>IF(L645&lt;0,IF(M645=0,0,IF(OR(L645=0,K645=0),"N.M.",IF(ABS(M645/L645)&gt;=10,"N.M.",M645/(-L645)))),IF(M645=0,0,IF(OR(L645=0,K645=0),"N.M.",IF(ABS(M645/L645)&gt;=10,"N.M.",M645/L645))))</f>
        <v>3.8831864626260915</v>
      </c>
      <c r="O645" s="302"/>
      <c r="P645" s="350"/>
      <c r="Q645" s="333">
        <v>676767.85000000009</v>
      </c>
      <c r="R645" s="333">
        <v>-234729.13000000003</v>
      </c>
      <c r="S645" s="133">
        <f>+Q645-R645</f>
        <v>911496.9800000001</v>
      </c>
      <c r="T645" s="138">
        <f>IF(R645&lt;0,IF(S645=0,0,IF(OR(R645=0,Q645=0),"N.M.",IF(ABS(S645/R645)&gt;=10,"N.M.",S645/(-R645)))),IF(S645=0,0,IF(OR(R645=0,Q645=0),"N.M.",IF(ABS(S645/R645)&gt;=10,"N.M.",S645/R645))))</f>
        <v>3.8831864626260915</v>
      </c>
      <c r="U645" s="350"/>
      <c r="V645" s="333">
        <v>913059.04</v>
      </c>
      <c r="W645" s="333">
        <v>-838780.62200000021</v>
      </c>
      <c r="X645" s="133">
        <f>+V645-W645</f>
        <v>1751839.6620000002</v>
      </c>
      <c r="Y645" s="137">
        <f>IF(W645&lt;0,IF(X645=0,0,IF(OR(W645=0,V645=0),"N.M.",IF(ABS(X645/W645)&gt;=10,"N.M.",X645/(-W645)))),IF(X645=0,0,IF(OR(W645=0,V645=0),"N.M.",IF(ABS(X645/W645)&gt;=10,"N.M.",X645/W645))))</f>
        <v>2.0885552384637704</v>
      </c>
      <c r="AA645" s="139">
        <v>-82607.59</v>
      </c>
      <c r="AB645" s="351"/>
      <c r="AC645" s="333">
        <v>-85350.78</v>
      </c>
      <c r="AD645" s="333">
        <v>-71266.36</v>
      </c>
      <c r="AE645" s="333">
        <v>-78111.989999999991</v>
      </c>
      <c r="AF645" s="333">
        <v>-81023.3</v>
      </c>
      <c r="AG645" s="333">
        <v>717505.35</v>
      </c>
      <c r="AH645" s="333">
        <v>-53384.789999999986</v>
      </c>
      <c r="AI645" s="333">
        <v>-64208.87</v>
      </c>
      <c r="AJ645" s="333">
        <v>-71571.070000000007</v>
      </c>
      <c r="AK645" s="333">
        <v>-75077.14</v>
      </c>
      <c r="AL645" s="333">
        <v>-70408.91</v>
      </c>
      <c r="AM645" s="333">
        <v>-63269.950000000004</v>
      </c>
      <c r="AN645" s="333">
        <v>-2270.1299999999974</v>
      </c>
      <c r="AO645" s="351"/>
      <c r="AP645" s="333">
        <v>242014.75</v>
      </c>
      <c r="AQ645" s="333">
        <v>194396.78999999998</v>
      </c>
      <c r="AR645" s="333">
        <v>240356.31</v>
      </c>
      <c r="AS645" s="333">
        <v>0</v>
      </c>
      <c r="AT645" s="333">
        <v>0</v>
      </c>
      <c r="AU645" s="333">
        <v>0</v>
      </c>
      <c r="AV645" s="333">
        <v>0</v>
      </c>
      <c r="AW645" s="333">
        <v>0</v>
      </c>
      <c r="AX645" s="333">
        <v>0</v>
      </c>
      <c r="AY645" s="333">
        <v>0</v>
      </c>
      <c r="AZ645" s="333">
        <v>0</v>
      </c>
      <c r="BA645" s="333">
        <v>0</v>
      </c>
    </row>
    <row r="646" spans="1:53" s="131" customFormat="1" ht="0.75" customHeight="1" outlineLevel="2">
      <c r="A646" s="111"/>
      <c r="B646" s="331"/>
      <c r="C646" s="348"/>
      <c r="D646" s="352"/>
      <c r="E646" s="352"/>
      <c r="F646" s="333"/>
      <c r="G646" s="333"/>
      <c r="H646" s="133"/>
      <c r="I646" s="138"/>
      <c r="J646" s="158"/>
      <c r="K646" s="333"/>
      <c r="L646" s="333"/>
      <c r="M646" s="133"/>
      <c r="N646" s="138"/>
      <c r="O646" s="302"/>
      <c r="P646" s="350"/>
      <c r="Q646" s="333"/>
      <c r="R646" s="333"/>
      <c r="S646" s="133"/>
      <c r="T646" s="138"/>
      <c r="U646" s="350"/>
      <c r="V646" s="333"/>
      <c r="W646" s="333"/>
      <c r="X646" s="133"/>
      <c r="Y646" s="137"/>
      <c r="AA646" s="139"/>
      <c r="AB646" s="351"/>
      <c r="AC646" s="333"/>
      <c r="AD646" s="333"/>
      <c r="AE646" s="333"/>
      <c r="AF646" s="333"/>
      <c r="AG646" s="333"/>
      <c r="AH646" s="333"/>
      <c r="AI646" s="333"/>
      <c r="AJ646" s="333"/>
      <c r="AK646" s="333"/>
      <c r="AL646" s="333"/>
      <c r="AM646" s="333"/>
      <c r="AN646" s="333"/>
      <c r="AO646" s="351"/>
      <c r="AP646" s="333"/>
      <c r="AQ646" s="333"/>
      <c r="AR646" s="333"/>
      <c r="AS646" s="333"/>
      <c r="AT646" s="333"/>
      <c r="AU646" s="333"/>
      <c r="AV646" s="333"/>
      <c r="AW646" s="333"/>
      <c r="AX646" s="333"/>
      <c r="AY646" s="333"/>
      <c r="AZ646" s="333"/>
      <c r="BA646" s="333"/>
    </row>
    <row r="647" spans="1:53" s="102" customFormat="1" outlineLevel="2">
      <c r="A647" s="102" t="s">
        <v>1564</v>
      </c>
      <c r="B647" s="103" t="s">
        <v>1565</v>
      </c>
      <c r="C647" s="104" t="s">
        <v>1566</v>
      </c>
      <c r="D647" s="298"/>
      <c r="E647" s="299"/>
      <c r="F647" s="105">
        <v>422995.21</v>
      </c>
      <c r="G647" s="105">
        <v>64657.24</v>
      </c>
      <c r="H647" s="106">
        <f>+F647-G647</f>
        <v>358337.97000000003</v>
      </c>
      <c r="I647" s="300">
        <f>IF(G647&lt;0,IF(H647=0,0,IF(OR(G647=0,F647=0),"N.M.",IF(ABS(H647/G647)&gt;=10,"N.M.",H647/(-G647)))),IF(H647=0,0,IF(OR(G647=0,F647=0),"N.M.",IF(ABS(H647/G647)&gt;=10,"N.M.",H647/G647))))</f>
        <v>5.5421167064972154</v>
      </c>
      <c r="J647" s="107"/>
      <c r="K647" s="105">
        <v>1232054.22</v>
      </c>
      <c r="L647" s="105">
        <v>213238.35</v>
      </c>
      <c r="M647" s="106">
        <f>+K647-L647</f>
        <v>1018815.87</v>
      </c>
      <c r="N647" s="300">
        <f>IF(L647&lt;0,IF(M647=0,0,IF(OR(L647=0,K647=0),"N.M.",IF(ABS(M647/L647)&gt;=10,"N.M.",M647/(-L647)))),IF(M647=0,0,IF(OR(L647=0,K647=0),"N.M.",IF(ABS(M647/L647)&gt;=10,"N.M.",M647/L647))))</f>
        <v>4.7778266432843806</v>
      </c>
      <c r="O647" s="301"/>
      <c r="P647" s="107"/>
      <c r="Q647" s="105">
        <v>1232054.22</v>
      </c>
      <c r="R647" s="105">
        <v>213238.35</v>
      </c>
      <c r="S647" s="106">
        <f>+Q647-R647</f>
        <v>1018815.87</v>
      </c>
      <c r="T647" s="300">
        <f>IF(R647&lt;0,IF(S647=0,0,IF(OR(R647=0,Q647=0),"N.M.",IF(ABS(S647/R647)&gt;=10,"N.M.",S647/(-R647)))),IF(S647=0,0,IF(OR(R647=0,Q647=0),"N.M.",IF(ABS(S647/R647)&gt;=10,"N.M.",S647/R647))))</f>
        <v>4.7778266432843806</v>
      </c>
      <c r="U647" s="107"/>
      <c r="V647" s="105">
        <v>2654036.7199999997</v>
      </c>
      <c r="W647" s="105">
        <v>1000268.67</v>
      </c>
      <c r="X647" s="106">
        <f>+V647-W647</f>
        <v>1653768.0499999998</v>
      </c>
      <c r="Y647" s="300">
        <f>IF(W647&lt;0,IF(X647=0,0,IF(OR(W647=0,V647=0),"N.M.",IF(ABS(X647/W647)&gt;=10,"N.M.",X647/(-W647)))),IF(X647=0,0,IF(OR(W647=0,V647=0),"N.M.",IF(ABS(X647/W647)&gt;=10,"N.M.",X647/W647))))</f>
        <v>1.6533238514808224</v>
      </c>
      <c r="Z647" s="302"/>
      <c r="AA647" s="108">
        <v>102986.08</v>
      </c>
      <c r="AB647" s="109"/>
      <c r="AC647" s="110">
        <v>73314.67</v>
      </c>
      <c r="AD647" s="110">
        <v>75266.44</v>
      </c>
      <c r="AE647" s="110">
        <v>64657.24</v>
      </c>
      <c r="AF647" s="110">
        <v>47962.05</v>
      </c>
      <c r="AG647" s="110">
        <v>76884.97</v>
      </c>
      <c r="AH647" s="110">
        <v>95087.28</v>
      </c>
      <c r="AI647" s="110">
        <v>125291.81</v>
      </c>
      <c r="AJ647" s="110">
        <v>164700.33000000002</v>
      </c>
      <c r="AK647" s="110">
        <v>156683.17000000001</v>
      </c>
      <c r="AL647" s="110">
        <v>190828.4</v>
      </c>
      <c r="AM647" s="110">
        <v>241994.67</v>
      </c>
      <c r="AN647" s="110">
        <v>322549.82</v>
      </c>
      <c r="AO647" s="109"/>
      <c r="AP647" s="110">
        <v>369026.10000000003</v>
      </c>
      <c r="AQ647" s="110">
        <v>440032.91000000003</v>
      </c>
      <c r="AR647" s="110">
        <v>422995.21</v>
      </c>
      <c r="AS647" s="110">
        <v>0</v>
      </c>
      <c r="AT647" s="110">
        <v>0</v>
      </c>
      <c r="AU647" s="110">
        <v>0</v>
      </c>
      <c r="AV647" s="110">
        <v>0</v>
      </c>
      <c r="AW647" s="110">
        <v>0</v>
      </c>
      <c r="AX647" s="110">
        <v>0</v>
      </c>
      <c r="AY647" s="110">
        <v>0</v>
      </c>
      <c r="AZ647" s="110">
        <v>0</v>
      </c>
      <c r="BA647" s="110">
        <v>0</v>
      </c>
    </row>
    <row r="648" spans="1:53" s="131" customFormat="1">
      <c r="A648" s="111" t="s">
        <v>1567</v>
      </c>
      <c r="B648" s="331" t="s">
        <v>1568</v>
      </c>
      <c r="C648" s="365" t="s">
        <v>1569</v>
      </c>
      <c r="D648" s="366"/>
      <c r="E648" s="366"/>
      <c r="F648" s="146">
        <v>422995.21</v>
      </c>
      <c r="G648" s="146">
        <v>64657.24</v>
      </c>
      <c r="H648" s="367">
        <f>+F648-G648</f>
        <v>358337.97000000003</v>
      </c>
      <c r="I648" s="147">
        <f>IF(G648&lt;0,IF(H648=0,0,IF(OR(G648=0,F648=0),"N.M.",IF(ABS(H648/G648)&gt;=10,"N.M.",H648/(-G648)))),IF(H648=0,0,IF(OR(G648=0,F648=0),"N.M.",IF(ABS(H648/G648)&gt;=10,"N.M.",H648/G648))))</f>
        <v>5.5421167064972154</v>
      </c>
      <c r="J648" s="368"/>
      <c r="K648" s="146">
        <v>1232054.22</v>
      </c>
      <c r="L648" s="146">
        <v>213238.35</v>
      </c>
      <c r="M648" s="367">
        <f>+K648-L648</f>
        <v>1018815.87</v>
      </c>
      <c r="N648" s="147">
        <f>IF(L648&lt;0,IF(M648=0,0,IF(OR(L648=0,K648=0),"N.M.",IF(ABS(M648/L648)&gt;=10,"N.M.",M648/(-L648)))),IF(M648=0,0,IF(OR(L648=0,K648=0),"N.M.",IF(ABS(M648/L648)&gt;=10,"N.M.",M648/L648))))</f>
        <v>4.7778266432843806</v>
      </c>
      <c r="O648" s="369"/>
      <c r="P648" s="370"/>
      <c r="Q648" s="146">
        <v>1232054.22</v>
      </c>
      <c r="R648" s="146">
        <v>213238.35</v>
      </c>
      <c r="S648" s="367">
        <f>+Q648-R648</f>
        <v>1018815.87</v>
      </c>
      <c r="T648" s="147">
        <f>IF(R648&lt;0,IF(S648=0,0,IF(OR(R648=0,Q648=0),"N.M.",IF(ABS(S648/R648)&gt;=10,"N.M.",S648/(-R648)))),IF(S648=0,0,IF(OR(R648=0,Q648=0),"N.M.",IF(ABS(S648/R648)&gt;=10,"N.M.",S648/R648))))</f>
        <v>4.7778266432843806</v>
      </c>
      <c r="U648" s="370"/>
      <c r="V648" s="146">
        <v>2654036.7199999997</v>
      </c>
      <c r="W648" s="146">
        <v>1000268.67</v>
      </c>
      <c r="X648" s="367">
        <f>+V648-W648</f>
        <v>1653768.0499999998</v>
      </c>
      <c r="Y648" s="148">
        <f>IF(W648&lt;0,IF(X648=0,0,IF(OR(W648=0,V648=0),"N.M.",IF(ABS(X648/W648)&gt;=10,"N.M.",X648/(-W648)))),IF(X648=0,0,IF(OR(W648=0,V648=0),"N.M.",IF(ABS(X648/W648)&gt;=10,"N.M.",X648/W648))))</f>
        <v>1.6533238514808224</v>
      </c>
      <c r="Z648" s="371"/>
      <c r="AA648" s="149">
        <v>102986.08</v>
      </c>
      <c r="AB648" s="150"/>
      <c r="AC648" s="146">
        <v>73314.67</v>
      </c>
      <c r="AD648" s="146">
        <v>75266.44</v>
      </c>
      <c r="AE648" s="146">
        <v>64657.24</v>
      </c>
      <c r="AF648" s="146">
        <v>47962.05</v>
      </c>
      <c r="AG648" s="146">
        <v>76884.97</v>
      </c>
      <c r="AH648" s="146">
        <v>95087.28</v>
      </c>
      <c r="AI648" s="146">
        <v>125291.81</v>
      </c>
      <c r="AJ648" s="146">
        <v>164700.33000000002</v>
      </c>
      <c r="AK648" s="146">
        <v>156683.17000000001</v>
      </c>
      <c r="AL648" s="146">
        <v>190828.4</v>
      </c>
      <c r="AM648" s="146">
        <v>241994.67</v>
      </c>
      <c r="AN648" s="146">
        <v>322549.82</v>
      </c>
      <c r="AO648" s="150"/>
      <c r="AP648" s="146">
        <v>369026.10000000003</v>
      </c>
      <c r="AQ648" s="146">
        <v>440032.91000000003</v>
      </c>
      <c r="AR648" s="146">
        <v>422995.21</v>
      </c>
      <c r="AS648" s="146">
        <v>0</v>
      </c>
      <c r="AT648" s="146">
        <v>0</v>
      </c>
      <c r="AU648" s="146">
        <v>0</v>
      </c>
      <c r="AV648" s="146">
        <v>0</v>
      </c>
      <c r="AW648" s="146">
        <v>0</v>
      </c>
      <c r="AX648" s="146">
        <v>0</v>
      </c>
      <c r="AY648" s="146">
        <v>0</v>
      </c>
      <c r="AZ648" s="146">
        <v>0</v>
      </c>
      <c r="BA648" s="146">
        <v>0</v>
      </c>
    </row>
    <row r="649" spans="1:53" s="131" customFormat="1" ht="0.75" customHeight="1" outlineLevel="2">
      <c r="A649" s="111"/>
      <c r="B649" s="331"/>
      <c r="C649" s="348"/>
      <c r="D649" s="352"/>
      <c r="E649" s="352"/>
      <c r="F649" s="333"/>
      <c r="G649" s="333"/>
      <c r="H649" s="133"/>
      <c r="I649" s="138"/>
      <c r="J649" s="158"/>
      <c r="K649" s="333"/>
      <c r="L649" s="333"/>
      <c r="M649" s="133"/>
      <c r="N649" s="138"/>
      <c r="O649" s="302"/>
      <c r="P649" s="350"/>
      <c r="Q649" s="333"/>
      <c r="R649" s="333"/>
      <c r="S649" s="133"/>
      <c r="T649" s="138"/>
      <c r="U649" s="350"/>
      <c r="V649" s="333"/>
      <c r="W649" s="333"/>
      <c r="X649" s="133"/>
      <c r="Y649" s="137"/>
      <c r="AA649" s="139"/>
      <c r="AB649" s="351"/>
      <c r="AC649" s="333"/>
      <c r="AD649" s="333"/>
      <c r="AE649" s="333"/>
      <c r="AF649" s="333"/>
      <c r="AG649" s="333"/>
      <c r="AH649" s="333"/>
      <c r="AI649" s="333"/>
      <c r="AJ649" s="333"/>
      <c r="AK649" s="333"/>
      <c r="AL649" s="333"/>
      <c r="AM649" s="333"/>
      <c r="AN649" s="333"/>
      <c r="AO649" s="351"/>
      <c r="AP649" s="333"/>
      <c r="AQ649" s="333"/>
      <c r="AR649" s="333"/>
      <c r="AS649" s="333"/>
      <c r="AT649" s="333"/>
      <c r="AU649" s="333"/>
      <c r="AV649" s="333"/>
      <c r="AW649" s="333"/>
      <c r="AX649" s="333"/>
      <c r="AY649" s="333"/>
      <c r="AZ649" s="333"/>
      <c r="BA649" s="333"/>
    </row>
    <row r="650" spans="1:53" s="131" customFormat="1">
      <c r="A650" s="111"/>
      <c r="B650" s="331" t="s">
        <v>1570</v>
      </c>
      <c r="C650" s="372" t="s">
        <v>1571</v>
      </c>
      <c r="D650" s="352"/>
      <c r="E650" s="352"/>
      <c r="F650" s="333">
        <f>SUM(F625,F630,F633,-F635,-F637,F640,F645,-F648)</f>
        <v>5175767.01</v>
      </c>
      <c r="G650" s="333">
        <f>SUM(G625,G630,G633,-G635,-G637,G640,G645,-G648)</f>
        <v>3131358.13</v>
      </c>
      <c r="H650" s="133">
        <f>+F650-G650</f>
        <v>2044408.88</v>
      </c>
      <c r="I650" s="138">
        <f>IF(G650&lt;0,IF(H650=0,0,IF(OR(G650=0,F650=0),"N.M.",IF(ABS(H650/G650)&gt;=10,"N.M.",H650/(-G650)))),IF(H650=0,0,IF(OR(G650=0,F650=0),"N.M.",IF(ABS(H650/G650)&gt;=10,"N.M.",H650/G650))))</f>
        <v>0.65288248584967823</v>
      </c>
      <c r="J650" s="158"/>
      <c r="K650" s="333">
        <f>SUM(K625,K630,K633,-K635,-K637,K640,K645,-K648)</f>
        <v>15174531.039999999</v>
      </c>
      <c r="L650" s="333">
        <f>SUM(L625,L630,L633,-L635,-L637,L640,L645,-L648)</f>
        <v>9143509.4799999986</v>
      </c>
      <c r="M650" s="133">
        <f>+K650-L650</f>
        <v>6031021.5600000005</v>
      </c>
      <c r="N650" s="138">
        <f>IF(L650&lt;0,IF(M650=0,0,IF(OR(L650=0,K650=0),"N.M.",IF(ABS(M650/L650)&gt;=10,"N.M.",M650/(-L650)))),IF(M650=0,0,IF(OR(L650=0,K650=0),"N.M.",IF(ABS(M650/L650)&gt;=10,"N.M.",M650/L650))))</f>
        <v>0.65959592136825795</v>
      </c>
      <c r="O650" s="302"/>
      <c r="P650" s="350"/>
      <c r="Q650" s="333">
        <f>SUM(Q625,Q630,Q633,-Q635,-Q637,Q640,Q645,-Q648)</f>
        <v>15174531.039999999</v>
      </c>
      <c r="R650" s="333">
        <f>SUM(R625,R630,R633,-R635,-R637,R640,R645,-R648)</f>
        <v>9143509.4799999986</v>
      </c>
      <c r="S650" s="133">
        <f>+Q650-R650</f>
        <v>6031021.5600000005</v>
      </c>
      <c r="T650" s="138">
        <f>IF(R650&lt;0,IF(S650=0,0,IF(OR(R650=0,Q650=0),"N.M.",IF(ABS(S650/R650)&gt;=10,"N.M.",S650/(-R650)))),IF(S650=0,0,IF(OR(R650=0,Q650=0),"N.M.",IF(ABS(S650/R650)&gt;=10,"N.M.",S650/R650))))</f>
        <v>0.65959592136825795</v>
      </c>
      <c r="U650" s="350"/>
      <c r="V650" s="333">
        <f>SUM(V625,V630,V633,-V635,-V637,V640,V645,-V648)</f>
        <v>51100935.82</v>
      </c>
      <c r="W650" s="333">
        <f>SUM(W625,W630,W633,-W635,-W637,W640,W645,-W648)</f>
        <v>35760865.567999996</v>
      </c>
      <c r="X650" s="133">
        <f>+V650-W650</f>
        <v>15340070.252000004</v>
      </c>
      <c r="Y650" s="137">
        <f>IF(W650&lt;0,IF(X650=0,0,IF(OR(W650=0,V650=0),"N.M.",IF(ABS(X650/W650)&gt;=10,"N.M.",X650/(-W650)))),IF(X650=0,0,IF(OR(W650=0,V650=0),"N.M.",IF(ABS(X650/W650)&gt;=10,"N.M.",X650/W650))))</f>
        <v>0.42896249876364306</v>
      </c>
      <c r="AA650" s="139">
        <f>SUM(AA625,AA630,AA633,-AA635,-AA637,AA640,AA645,-AA648)</f>
        <v>2964669.5399999996</v>
      </c>
      <c r="AB650" s="351"/>
      <c r="AC650" s="333">
        <f t="shared" ref="AC650:AN650" si="184">SUM(AC625,AC630,AC633,-AC635,-AC637,AC640,AC645,-AC648)</f>
        <v>3000961.0000000005</v>
      </c>
      <c r="AD650" s="333">
        <f t="shared" si="184"/>
        <v>3011190.35</v>
      </c>
      <c r="AE650" s="333">
        <f t="shared" si="184"/>
        <v>3131358.13</v>
      </c>
      <c r="AF650" s="333">
        <f t="shared" si="184"/>
        <v>3209792.5000000005</v>
      </c>
      <c r="AG650" s="333">
        <f t="shared" si="184"/>
        <v>4149220.94</v>
      </c>
      <c r="AH650" s="333">
        <f t="shared" si="184"/>
        <v>3468626.12</v>
      </c>
      <c r="AI650" s="333">
        <f t="shared" si="184"/>
        <v>3686103.47</v>
      </c>
      <c r="AJ650" s="333">
        <f t="shared" si="184"/>
        <v>4015913.15</v>
      </c>
      <c r="AK650" s="333">
        <f t="shared" si="184"/>
        <v>4008266.7100000004</v>
      </c>
      <c r="AL650" s="333">
        <f t="shared" si="184"/>
        <v>4198168.67</v>
      </c>
      <c r="AM650" s="333">
        <f t="shared" si="184"/>
        <v>4448961.7699999996</v>
      </c>
      <c r="AN650" s="333">
        <f t="shared" si="184"/>
        <v>4741351.45</v>
      </c>
      <c r="AO650" s="351"/>
      <c r="AP650" s="333">
        <f t="shared" ref="AP650:BA650" si="185">SUM(AP625,AP630,AP633,-AP635,-AP637,AP640,AP645,-AP648)</f>
        <v>5165224.99</v>
      </c>
      <c r="AQ650" s="333">
        <f t="shared" si="185"/>
        <v>4833539.040000001</v>
      </c>
      <c r="AR650" s="333">
        <f t="shared" si="185"/>
        <v>5175767.01</v>
      </c>
      <c r="AS650" s="333">
        <f t="shared" si="185"/>
        <v>786578.08000000007</v>
      </c>
      <c r="AT650" s="333">
        <f t="shared" si="185"/>
        <v>0</v>
      </c>
      <c r="AU650" s="333">
        <f t="shared" si="185"/>
        <v>0</v>
      </c>
      <c r="AV650" s="333">
        <f t="shared" si="185"/>
        <v>0</v>
      </c>
      <c r="AW650" s="333">
        <f t="shared" si="185"/>
        <v>0</v>
      </c>
      <c r="AX650" s="333">
        <f t="shared" si="185"/>
        <v>0</v>
      </c>
      <c r="AY650" s="333">
        <f t="shared" si="185"/>
        <v>0</v>
      </c>
      <c r="AZ650" s="333">
        <f t="shared" si="185"/>
        <v>0</v>
      </c>
      <c r="BA650" s="333">
        <f t="shared" si="185"/>
        <v>0</v>
      </c>
    </row>
    <row r="651" spans="1:53" s="131" customFormat="1">
      <c r="A651" s="111"/>
      <c r="B651" s="331" t="s">
        <v>1572</v>
      </c>
      <c r="C651" s="376" t="s">
        <v>1573</v>
      </c>
      <c r="D651" s="352"/>
      <c r="E651" s="352"/>
      <c r="F651" s="333">
        <f>+F518+F619-F650</f>
        <v>-9419717.0429999959</v>
      </c>
      <c r="G651" s="333">
        <f>+G518+G619-G650</f>
        <v>7038561.0050000111</v>
      </c>
      <c r="H651" s="133">
        <f>+F651-G651</f>
        <v>-16458278.048000008</v>
      </c>
      <c r="I651" s="138">
        <f>IF(G651&lt;0,IF(H651=0,0,IF(OR(G651=0,F651=0),"N.M.",IF(ABS(H651/G651)&gt;=10,"N.M.",H651/(-G651)))),IF(H651=0,0,IF(OR(G651=0,F651=0),"N.M.",IF(ABS(H651/G651)&gt;=10,"N.M.",H651/G651))))</f>
        <v>-2.3383015415094754</v>
      </c>
      <c r="J651" s="158"/>
      <c r="K651" s="333">
        <f>+K518+K619-K650</f>
        <v>-7731629.5609999252</v>
      </c>
      <c r="L651" s="333">
        <f>+L518+L619-L650</f>
        <v>25920791.054999985</v>
      </c>
      <c r="M651" s="133">
        <f>+K651-L651</f>
        <v>-33652420.615999907</v>
      </c>
      <c r="N651" s="138">
        <f>IF(L651&lt;0,IF(M651=0,0,IF(OR(L651=0,K651=0),"N.M.",IF(ABS(M651/L651)&gt;=10,"N.M.",M651/(-L651)))),IF(M651=0,0,IF(OR(L651=0,K651=0),"N.M.",IF(ABS(M651/L651)&gt;=10,"N.M.",M651/L651))))</f>
        <v>-1.2982790742996453</v>
      </c>
      <c r="O651" s="302"/>
      <c r="P651" s="350"/>
      <c r="Q651" s="333">
        <f>+Q518+Q619-Q650</f>
        <v>-7731629.5609999252</v>
      </c>
      <c r="R651" s="333">
        <f>+R518+R619-R650</f>
        <v>25920791.054999985</v>
      </c>
      <c r="S651" s="133">
        <f>+Q651-R651</f>
        <v>-33652420.615999907</v>
      </c>
      <c r="T651" s="138">
        <f>IF(R651&lt;0,IF(S651=0,0,IF(OR(R651=0,Q651=0),"N.M.",IF(ABS(S651/R651)&gt;=10,"N.M.",S651/(-R651)))),IF(S651=0,0,IF(OR(R651=0,Q651=0),"N.M.",IF(ABS(S651/R651)&gt;=10,"N.M.",S651/R651))))</f>
        <v>-1.2982790742996453</v>
      </c>
      <c r="U651" s="350"/>
      <c r="V651" s="333">
        <f>+V518+V619-V650</f>
        <v>13899756.095000304</v>
      </c>
      <c r="W651" s="333">
        <f>+W518+W619-W650</f>
        <v>62219635.541999854</v>
      </c>
      <c r="X651" s="133">
        <f>+V651-W651</f>
        <v>-48319879.44699955</v>
      </c>
      <c r="Y651" s="137">
        <f>IF(W651&lt;0,IF(X651=0,0,IF(OR(W651=0,V651=0),"N.M.",IF(ABS(X651/W651)&gt;=10,"N.M.",X651/(-W651)))),IF(X651=0,0,IF(OR(W651=0,V651=0),"N.M.",IF(ABS(X651/W651)&gt;=10,"N.M.",X651/W651))))</f>
        <v>-0.7766017757269309</v>
      </c>
      <c r="AA651" s="139">
        <f>+AA518+AA619-AA650</f>
        <v>-4260362.7850000132</v>
      </c>
      <c r="AB651" s="351"/>
      <c r="AC651" s="333">
        <f t="shared" ref="AC651:AN651" si="186">+AC518+AC619-AC650</f>
        <v>17487756.010000005</v>
      </c>
      <c r="AD651" s="333">
        <f t="shared" si="186"/>
        <v>1394474.0399999931</v>
      </c>
      <c r="AE651" s="333">
        <f t="shared" si="186"/>
        <v>7038561.0050000111</v>
      </c>
      <c r="AF651" s="333">
        <f t="shared" si="186"/>
        <v>-675556.32900000457</v>
      </c>
      <c r="AG651" s="333">
        <f t="shared" si="186"/>
        <v>-4680984.2590000024</v>
      </c>
      <c r="AH651" s="333">
        <f t="shared" si="186"/>
        <v>18523577.218000021</v>
      </c>
      <c r="AI651" s="333">
        <f t="shared" si="186"/>
        <v>-14953950.358000031</v>
      </c>
      <c r="AJ651" s="333">
        <f t="shared" si="186"/>
        <v>2769394.9770000125</v>
      </c>
      <c r="AK651" s="333">
        <f t="shared" si="186"/>
        <v>23780869.649999995</v>
      </c>
      <c r="AL651" s="333">
        <f t="shared" si="186"/>
        <v>-256405.54699998815</v>
      </c>
      <c r="AM651" s="333">
        <f t="shared" si="186"/>
        <v>6762896.5500000138</v>
      </c>
      <c r="AN651" s="333">
        <f t="shared" si="186"/>
        <v>-9638456.2460000291</v>
      </c>
      <c r="AO651" s="351"/>
      <c r="AP651" s="333">
        <f t="shared" ref="AP651:BA651" si="187">+AP518+AP619-AP650</f>
        <v>2397166.6659999993</v>
      </c>
      <c r="AQ651" s="333">
        <f t="shared" si="187"/>
        <v>-709079.18399999803</v>
      </c>
      <c r="AR651" s="333">
        <f t="shared" si="187"/>
        <v>-9419717.0429999959</v>
      </c>
      <c r="AS651" s="333">
        <f t="shared" si="187"/>
        <v>-4228236.6210000245</v>
      </c>
      <c r="AT651" s="333">
        <f t="shared" si="187"/>
        <v>-1127433</v>
      </c>
      <c r="AU651" s="333">
        <f t="shared" si="187"/>
        <v>0</v>
      </c>
      <c r="AV651" s="333">
        <f t="shared" si="187"/>
        <v>0</v>
      </c>
      <c r="AW651" s="333">
        <f t="shared" si="187"/>
        <v>0</v>
      </c>
      <c r="AX651" s="333">
        <f t="shared" si="187"/>
        <v>0</v>
      </c>
      <c r="AY651" s="333">
        <f t="shared" si="187"/>
        <v>0</v>
      </c>
      <c r="AZ651" s="333">
        <f t="shared" si="187"/>
        <v>0</v>
      </c>
      <c r="BA651" s="333">
        <f t="shared" si="187"/>
        <v>0</v>
      </c>
    </row>
    <row r="652" spans="1:53">
      <c r="B652" s="331" t="s">
        <v>1574</v>
      </c>
      <c r="C652" s="337" t="s">
        <v>1575</v>
      </c>
      <c r="D652" s="338"/>
      <c r="E652" s="338"/>
      <c r="F652" s="334"/>
      <c r="G652" s="334"/>
      <c r="H652" s="334"/>
      <c r="I652" s="334"/>
      <c r="J652" s="135"/>
      <c r="K652" s="339"/>
      <c r="L652" s="339"/>
      <c r="M652" s="339"/>
      <c r="N652" s="340"/>
      <c r="O652" s="334"/>
      <c r="P652" s="135"/>
      <c r="Q652" s="334"/>
      <c r="R652" s="334"/>
      <c r="S652" s="334"/>
      <c r="T652" s="334"/>
      <c r="U652" s="135"/>
      <c r="V652" s="334"/>
      <c r="W652" s="334"/>
      <c r="X652" s="334"/>
      <c r="Y652" s="334"/>
      <c r="Z652" s="334"/>
      <c r="AA652" s="136"/>
      <c r="AB652" s="341"/>
      <c r="AC652" s="339"/>
      <c r="AD652" s="339"/>
      <c r="AE652" s="339"/>
      <c r="AF652" s="339"/>
      <c r="AG652" s="339"/>
      <c r="AH652" s="339"/>
      <c r="AI652" s="339"/>
      <c r="AJ652" s="339"/>
      <c r="AK652" s="339"/>
      <c r="AL652" s="339"/>
      <c r="AM652" s="339"/>
      <c r="AN652" s="339"/>
      <c r="AO652" s="341"/>
      <c r="AP652" s="339"/>
      <c r="AQ652" s="339"/>
      <c r="AR652" s="339"/>
      <c r="AS652" s="339"/>
      <c r="AT652" s="339"/>
      <c r="AU652" s="339"/>
      <c r="AV652" s="339"/>
      <c r="AW652" s="339"/>
      <c r="AX652" s="339"/>
      <c r="AY652" s="339"/>
      <c r="AZ652" s="339"/>
      <c r="BA652" s="339"/>
    </row>
    <row r="653" spans="1:53" s="131" customFormat="1" ht="0.75" customHeight="1" outlineLevel="2">
      <c r="A653" s="111"/>
      <c r="B653" s="331"/>
      <c r="C653" s="347"/>
      <c r="D653" s="352"/>
      <c r="E653" s="352"/>
      <c r="F653" s="333"/>
      <c r="G653" s="333"/>
      <c r="H653" s="133"/>
      <c r="I653" s="138"/>
      <c r="J653" s="158"/>
      <c r="K653" s="333"/>
      <c r="L653" s="333"/>
      <c r="M653" s="133"/>
      <c r="N653" s="138"/>
      <c r="O653" s="377"/>
      <c r="P653" s="378"/>
      <c r="Q653" s="333"/>
      <c r="R653" s="333"/>
      <c r="S653" s="133"/>
      <c r="T653" s="138"/>
      <c r="U653" s="378"/>
      <c r="V653" s="333"/>
      <c r="W653" s="333"/>
      <c r="X653" s="133"/>
      <c r="Y653" s="137"/>
      <c r="AA653" s="139"/>
      <c r="AB653" s="351"/>
      <c r="AC653" s="333"/>
      <c r="AD653" s="333"/>
      <c r="AE653" s="333"/>
      <c r="AF653" s="333"/>
      <c r="AG653" s="333"/>
      <c r="AH653" s="333"/>
      <c r="AI653" s="333"/>
      <c r="AJ653" s="333"/>
      <c r="AK653" s="333"/>
      <c r="AL653" s="333"/>
      <c r="AM653" s="333"/>
      <c r="AN653" s="333"/>
      <c r="AO653" s="351"/>
      <c r="AP653" s="333"/>
      <c r="AQ653" s="333"/>
      <c r="AR653" s="333"/>
      <c r="AS653" s="333"/>
      <c r="AT653" s="333"/>
      <c r="AU653" s="333"/>
      <c r="AV653" s="333"/>
      <c r="AW653" s="333"/>
      <c r="AX653" s="333"/>
      <c r="AY653" s="333"/>
      <c r="AZ653" s="333"/>
      <c r="BA653" s="333"/>
    </row>
    <row r="654" spans="1:53" s="131" customFormat="1">
      <c r="A654" s="111" t="s">
        <v>1576</v>
      </c>
      <c r="B654" s="111" t="s">
        <v>1577</v>
      </c>
      <c r="C654" s="347" t="s">
        <v>1578</v>
      </c>
      <c r="D654" s="352"/>
      <c r="E654" s="352"/>
      <c r="F654" s="333">
        <v>0</v>
      </c>
      <c r="G654" s="333">
        <v>0</v>
      </c>
      <c r="H654" s="133">
        <f>+F654-G654</f>
        <v>0</v>
      </c>
      <c r="I654" s="138">
        <f>IF(G654&lt;0,IF(H654=0,0,IF(OR(G654=0,F654=0),"N.M.",IF(ABS(H654/G654)&gt;=10,"N.M.",H654/(-G654)))),IF(H654=0,0,IF(OR(G654=0,F654=0),"N.M.",IF(ABS(H654/G654)&gt;=10,"N.M.",H654/G654))))</f>
        <v>0</v>
      </c>
      <c r="J654" s="158"/>
      <c r="K654" s="333">
        <v>0</v>
      </c>
      <c r="L654" s="333">
        <v>0</v>
      </c>
      <c r="M654" s="133">
        <f>+K654-L654</f>
        <v>0</v>
      </c>
      <c r="N654" s="138">
        <f>IF(L654&lt;0,IF(M654=0,0,IF(OR(L654=0,K654=0),"N.M.",IF(ABS(M654/L654)&gt;=10,"N.M.",M654/(-L654)))),IF(M654=0,0,IF(OR(L654=0,K654=0),"N.M.",IF(ABS(M654/L654)&gt;=10,"N.M.",M654/L654))))</f>
        <v>0</v>
      </c>
      <c r="O654" s="377"/>
      <c r="P654" s="378"/>
      <c r="Q654" s="333">
        <v>0</v>
      </c>
      <c r="R654" s="333">
        <v>0</v>
      </c>
      <c r="S654" s="133">
        <f>+Q654-R654</f>
        <v>0</v>
      </c>
      <c r="T654" s="138">
        <f>IF(R654&lt;0,IF(S654=0,0,IF(OR(R654=0,Q654=0),"N.M.",IF(ABS(S654/R654)&gt;=10,"N.M.",S654/(-R654)))),IF(S654=0,0,IF(OR(R654=0,Q654=0),"N.M.",IF(ABS(S654/R654)&gt;=10,"N.M.",S654/R654))))</f>
        <v>0</v>
      </c>
      <c r="U654" s="378"/>
      <c r="V654" s="333">
        <v>0</v>
      </c>
      <c r="W654" s="333">
        <v>0</v>
      </c>
      <c r="X654" s="133">
        <f>+V654-W654</f>
        <v>0</v>
      </c>
      <c r="Y654" s="137">
        <f>IF(W654&lt;0,IF(X654=0,0,IF(OR(W654=0,V654=0),"N.M.",IF(ABS(X654/W654)&gt;=10,"N.M.",X654/(-W654)))),IF(X654=0,0,IF(OR(W654=0,V654=0),"N.M.",IF(ABS(X654/W654)&gt;=10,"N.M.",X654/W654))))</f>
        <v>0</v>
      </c>
      <c r="AA654" s="139">
        <v>0</v>
      </c>
      <c r="AB654" s="351"/>
      <c r="AC654" s="333">
        <v>0</v>
      </c>
      <c r="AD654" s="333">
        <v>0</v>
      </c>
      <c r="AE654" s="333">
        <v>0</v>
      </c>
      <c r="AF654" s="333">
        <v>0</v>
      </c>
      <c r="AG654" s="333">
        <v>0</v>
      </c>
      <c r="AH654" s="333">
        <v>0</v>
      </c>
      <c r="AI654" s="333">
        <v>0</v>
      </c>
      <c r="AJ654" s="333">
        <v>0</v>
      </c>
      <c r="AK654" s="333">
        <v>0</v>
      </c>
      <c r="AL654" s="333">
        <v>0</v>
      </c>
      <c r="AM654" s="333">
        <v>0</v>
      </c>
      <c r="AN654" s="333">
        <v>0</v>
      </c>
      <c r="AO654" s="351"/>
      <c r="AP654" s="333">
        <v>0</v>
      </c>
      <c r="AQ654" s="333">
        <v>0</v>
      </c>
      <c r="AR654" s="333">
        <v>0</v>
      </c>
      <c r="AS654" s="333">
        <v>0</v>
      </c>
      <c r="AT654" s="333">
        <v>0</v>
      </c>
      <c r="AU654" s="333">
        <v>0</v>
      </c>
      <c r="AV654" s="333">
        <v>0</v>
      </c>
      <c r="AW654" s="333">
        <v>0</v>
      </c>
      <c r="AX654" s="333">
        <v>0</v>
      </c>
      <c r="AY654" s="333">
        <v>0</v>
      </c>
      <c r="AZ654" s="333">
        <v>0</v>
      </c>
      <c r="BA654" s="333">
        <v>0</v>
      </c>
    </row>
    <row r="655" spans="1:53" s="131" customFormat="1" ht="0.75" customHeight="1" outlineLevel="2">
      <c r="A655" s="111"/>
      <c r="B655" s="331"/>
      <c r="C655" s="347"/>
      <c r="D655" s="352"/>
      <c r="E655" s="352"/>
      <c r="F655" s="333"/>
      <c r="G655" s="333"/>
      <c r="H655" s="133"/>
      <c r="I655" s="138"/>
      <c r="J655" s="158"/>
      <c r="K655" s="333"/>
      <c r="L655" s="333"/>
      <c r="M655" s="133"/>
      <c r="N655" s="138"/>
      <c r="O655" s="377"/>
      <c r="P655" s="378"/>
      <c r="Q655" s="333"/>
      <c r="R655" s="333"/>
      <c r="S655" s="133"/>
      <c r="T655" s="138"/>
      <c r="U655" s="378"/>
      <c r="V655" s="333"/>
      <c r="W655" s="333"/>
      <c r="X655" s="133"/>
      <c r="Y655" s="137"/>
      <c r="AA655" s="139"/>
      <c r="AB655" s="351"/>
      <c r="AC655" s="333"/>
      <c r="AD655" s="333"/>
      <c r="AE655" s="333"/>
      <c r="AF655" s="333"/>
      <c r="AG655" s="333"/>
      <c r="AH655" s="333"/>
      <c r="AI655" s="333"/>
      <c r="AJ655" s="333"/>
      <c r="AK655" s="333"/>
      <c r="AL655" s="333"/>
      <c r="AM655" s="333"/>
      <c r="AN655" s="333"/>
      <c r="AO655" s="351"/>
      <c r="AP655" s="333"/>
      <c r="AQ655" s="333"/>
      <c r="AR655" s="333"/>
      <c r="AS655" s="333"/>
      <c r="AT655" s="333"/>
      <c r="AU655" s="333"/>
      <c r="AV655" s="333"/>
      <c r="AW655" s="333"/>
      <c r="AX655" s="333"/>
      <c r="AY655" s="333"/>
      <c r="AZ655" s="333"/>
      <c r="BA655" s="333"/>
    </row>
    <row r="656" spans="1:53" s="371" customFormat="1">
      <c r="A656" s="388" t="s">
        <v>1579</v>
      </c>
      <c r="B656" s="331" t="s">
        <v>1580</v>
      </c>
      <c r="C656" s="365" t="s">
        <v>1581</v>
      </c>
      <c r="D656" s="366"/>
      <c r="E656" s="366"/>
      <c r="F656" s="146">
        <v>0</v>
      </c>
      <c r="G656" s="146">
        <v>0</v>
      </c>
      <c r="H656" s="367">
        <f>+F656-G656</f>
        <v>0</v>
      </c>
      <c r="I656" s="147">
        <f>IF(G656&lt;0,IF(H656=0,0,IF(OR(G656=0,F656=0),"N.M.",IF(ABS(H656/G656)&gt;=10,"N.M.",H656/(-G656)))),IF(H656=0,0,IF(OR(G656=0,F656=0),"N.M.",IF(ABS(H656/G656)&gt;=10,"N.M.",H656/G656))))</f>
        <v>0</v>
      </c>
      <c r="J656" s="368"/>
      <c r="K656" s="146">
        <v>0</v>
      </c>
      <c r="L656" s="146">
        <v>0</v>
      </c>
      <c r="M656" s="367">
        <f>+K656-L656</f>
        <v>0</v>
      </c>
      <c r="N656" s="147">
        <f>IF(L656&lt;0,IF(M656=0,0,IF(OR(L656=0,K656=0),"N.M.",IF(ABS(M656/L656)&gt;=10,"N.M.",M656/(-L656)))),IF(M656=0,0,IF(OR(L656=0,K656=0),"N.M.",IF(ABS(M656/L656)&gt;=10,"N.M.",M656/L656))))</f>
        <v>0</v>
      </c>
      <c r="O656" s="389"/>
      <c r="P656" s="390"/>
      <c r="Q656" s="146">
        <v>0</v>
      </c>
      <c r="R656" s="146">
        <v>0</v>
      </c>
      <c r="S656" s="367">
        <f>+Q656-R656</f>
        <v>0</v>
      </c>
      <c r="T656" s="147">
        <f>IF(R656&lt;0,IF(S656=0,0,IF(OR(R656=0,Q656=0),"N.M.",IF(ABS(S656/R656)&gt;=10,"N.M.",S656/(-R656)))),IF(S656=0,0,IF(OR(R656=0,Q656=0),"N.M.",IF(ABS(S656/R656)&gt;=10,"N.M.",S656/R656))))</f>
        <v>0</v>
      </c>
      <c r="U656" s="390"/>
      <c r="V656" s="146">
        <v>0</v>
      </c>
      <c r="W656" s="146">
        <v>0</v>
      </c>
      <c r="X656" s="367">
        <f>+V656-W656</f>
        <v>0</v>
      </c>
      <c r="Y656" s="148">
        <f>IF(W656&lt;0,IF(X656=0,0,IF(OR(W656=0,V656=0),"N.M.",IF(ABS(X656/W656)&gt;=10,"N.M.",X656/(-W656)))),IF(X656=0,0,IF(OR(W656=0,V656=0),"N.M.",IF(ABS(X656/W656)&gt;=10,"N.M.",X656/W656))))</f>
        <v>0</v>
      </c>
      <c r="AA656" s="149">
        <v>0</v>
      </c>
      <c r="AB656" s="150"/>
      <c r="AC656" s="146">
        <v>0</v>
      </c>
      <c r="AD656" s="146">
        <v>0</v>
      </c>
      <c r="AE656" s="146">
        <v>0</v>
      </c>
      <c r="AF656" s="146">
        <v>0</v>
      </c>
      <c r="AG656" s="146">
        <v>0</v>
      </c>
      <c r="AH656" s="146">
        <v>0</v>
      </c>
      <c r="AI656" s="146">
        <v>0</v>
      </c>
      <c r="AJ656" s="146">
        <v>0</v>
      </c>
      <c r="AK656" s="146">
        <v>0</v>
      </c>
      <c r="AL656" s="146">
        <v>0</v>
      </c>
      <c r="AM656" s="146">
        <v>0</v>
      </c>
      <c r="AN656" s="146">
        <v>0</v>
      </c>
      <c r="AO656" s="150"/>
      <c r="AP656" s="146">
        <v>0</v>
      </c>
      <c r="AQ656" s="146">
        <v>0</v>
      </c>
      <c r="AR656" s="146">
        <v>0</v>
      </c>
      <c r="AS656" s="146">
        <v>0</v>
      </c>
      <c r="AT656" s="146">
        <v>0</v>
      </c>
      <c r="AU656" s="146">
        <v>0</v>
      </c>
      <c r="AV656" s="146">
        <v>0</v>
      </c>
      <c r="AW656" s="146">
        <v>0</v>
      </c>
      <c r="AX656" s="146">
        <v>0</v>
      </c>
      <c r="AY656" s="146">
        <v>0</v>
      </c>
      <c r="AZ656" s="146">
        <v>0</v>
      </c>
      <c r="BA656" s="146">
        <v>0</v>
      </c>
    </row>
    <row r="657" spans="1:53" s="131" customFormat="1" ht="0.75" customHeight="1" outlineLevel="2">
      <c r="A657" s="111"/>
      <c r="B657" s="331"/>
      <c r="C657" s="347"/>
      <c r="D657" s="352"/>
      <c r="E657" s="352"/>
      <c r="F657" s="333"/>
      <c r="G657" s="333"/>
      <c r="H657" s="133"/>
      <c r="I657" s="138"/>
      <c r="J657" s="158"/>
      <c r="K657" s="333"/>
      <c r="L657" s="333"/>
      <c r="M657" s="133"/>
      <c r="N657" s="138"/>
      <c r="O657" s="377"/>
      <c r="P657" s="378"/>
      <c r="Q657" s="333"/>
      <c r="R657" s="333"/>
      <c r="S657" s="133"/>
      <c r="T657" s="138"/>
      <c r="U657" s="378"/>
      <c r="V657" s="333"/>
      <c r="W657" s="333"/>
      <c r="X657" s="133"/>
      <c r="Y657" s="137"/>
      <c r="AA657" s="139"/>
      <c r="AB657" s="351"/>
      <c r="AC657" s="333"/>
      <c r="AD657" s="333"/>
      <c r="AE657" s="333"/>
      <c r="AF657" s="333"/>
      <c r="AG657" s="333"/>
      <c r="AH657" s="333"/>
      <c r="AI657" s="333"/>
      <c r="AJ657" s="333"/>
      <c r="AK657" s="333"/>
      <c r="AL657" s="333"/>
      <c r="AM657" s="333"/>
      <c r="AN657" s="333"/>
      <c r="AO657" s="351"/>
      <c r="AP657" s="333"/>
      <c r="AQ657" s="333"/>
      <c r="AR657" s="333"/>
      <c r="AS657" s="333"/>
      <c r="AT657" s="333"/>
      <c r="AU657" s="333"/>
      <c r="AV657" s="333"/>
      <c r="AW657" s="333"/>
      <c r="AX657" s="333"/>
      <c r="AY657" s="333"/>
      <c r="AZ657" s="333"/>
      <c r="BA657" s="333"/>
    </row>
    <row r="658" spans="1:53" s="131" customFormat="1">
      <c r="A658" s="111"/>
      <c r="B658" s="331" t="s">
        <v>1582</v>
      </c>
      <c r="C658" s="372" t="s">
        <v>1583</v>
      </c>
      <c r="D658" s="373"/>
      <c r="E658" s="373"/>
      <c r="F658" s="374">
        <f>+F654-F656</f>
        <v>0</v>
      </c>
      <c r="G658" s="374">
        <f>+G654-G656</f>
        <v>0</v>
      </c>
      <c r="H658" s="375">
        <f>+F658-G658</f>
        <v>0</v>
      </c>
      <c r="I658" s="151">
        <f>IF(G658&lt;0,IF(H658=0,0,IF(OR(G658=0,F658=0),"N.M.",IF(ABS(H658/G658)&gt;=10,"N.M.",H658/(-G658)))),IF(H658=0,0,IF(OR(G658=0,F658=0),"N.M.",IF(ABS(H658/G658)&gt;=10,"N.M.",H658/G658))))</f>
        <v>0</v>
      </c>
      <c r="J658" s="158"/>
      <c r="K658" s="374">
        <f>+K654-K656</f>
        <v>0</v>
      </c>
      <c r="L658" s="374">
        <f>+L654-L656</f>
        <v>0</v>
      </c>
      <c r="M658" s="375">
        <f>+K658-L658</f>
        <v>0</v>
      </c>
      <c r="N658" s="151">
        <f>IF(L658&lt;0,IF(M658=0,0,IF(OR(L658=0,K658=0),"N.M.",IF(ABS(M658/L658)&gt;=10,"N.M.",M658/(-L658)))),IF(M658=0,0,IF(OR(L658=0,K658=0),"N.M.",IF(ABS(M658/L658)&gt;=10,"N.M.",M658/L658))))</f>
        <v>0</v>
      </c>
      <c r="O658" s="321"/>
      <c r="P658" s="364"/>
      <c r="Q658" s="374">
        <f>+Q654-Q656</f>
        <v>0</v>
      </c>
      <c r="R658" s="374">
        <f>+R654-R656</f>
        <v>0</v>
      </c>
      <c r="S658" s="375">
        <f>+Q658-R658</f>
        <v>0</v>
      </c>
      <c r="T658" s="151">
        <f>IF(R658&lt;0,IF(S658=0,0,IF(OR(R658=0,Q658=0),"N.M.",IF(ABS(S658/R658)&gt;=10,"N.M.",S658/(-R658)))),IF(S658=0,0,IF(OR(R658=0,Q658=0),"N.M.",IF(ABS(S658/R658)&gt;=10,"N.M.",S658/R658))))</f>
        <v>0</v>
      </c>
      <c r="U658" s="364"/>
      <c r="V658" s="374">
        <f>+V654-V656</f>
        <v>0</v>
      </c>
      <c r="W658" s="374">
        <f>+W654-W656</f>
        <v>0</v>
      </c>
      <c r="X658" s="375">
        <f>+V658-W658</f>
        <v>0</v>
      </c>
      <c r="Y658" s="152">
        <f>IF(W658&lt;0,IF(X658=0,0,IF(OR(W658=0,V658=0),"N.M.",IF(ABS(X658/W658)&gt;=10,"N.M.",X658/(-W658)))),IF(X658=0,0,IF(OR(W658=0,V658=0),"N.M.",IF(ABS(X658/W658)&gt;=10,"N.M.",X658/W658))))</f>
        <v>0</v>
      </c>
      <c r="AA658" s="153">
        <f>+AA654-AA656</f>
        <v>0</v>
      </c>
      <c r="AB658" s="351"/>
      <c r="AC658" s="374">
        <f t="shared" ref="AC658:AN658" si="188">+AC654-AC656</f>
        <v>0</v>
      </c>
      <c r="AD658" s="374">
        <f t="shared" si="188"/>
        <v>0</v>
      </c>
      <c r="AE658" s="374">
        <f t="shared" si="188"/>
        <v>0</v>
      </c>
      <c r="AF658" s="374">
        <f t="shared" si="188"/>
        <v>0</v>
      </c>
      <c r="AG658" s="374">
        <f t="shared" si="188"/>
        <v>0</v>
      </c>
      <c r="AH658" s="374">
        <f t="shared" si="188"/>
        <v>0</v>
      </c>
      <c r="AI658" s="374">
        <f t="shared" si="188"/>
        <v>0</v>
      </c>
      <c r="AJ658" s="374">
        <f t="shared" si="188"/>
        <v>0</v>
      </c>
      <c r="AK658" s="374">
        <f t="shared" si="188"/>
        <v>0</v>
      </c>
      <c r="AL658" s="374">
        <f t="shared" si="188"/>
        <v>0</v>
      </c>
      <c r="AM658" s="374">
        <f t="shared" si="188"/>
        <v>0</v>
      </c>
      <c r="AN658" s="374">
        <f t="shared" si="188"/>
        <v>0</v>
      </c>
      <c r="AO658" s="351"/>
      <c r="AP658" s="374">
        <f t="shared" ref="AP658:BA658" si="189">+AP654-AP656</f>
        <v>0</v>
      </c>
      <c r="AQ658" s="374">
        <f t="shared" si="189"/>
        <v>0</v>
      </c>
      <c r="AR658" s="374">
        <f t="shared" si="189"/>
        <v>0</v>
      </c>
      <c r="AS658" s="374">
        <f t="shared" si="189"/>
        <v>0</v>
      </c>
      <c r="AT658" s="374">
        <f t="shared" si="189"/>
        <v>0</v>
      </c>
      <c r="AU658" s="374">
        <f t="shared" si="189"/>
        <v>0</v>
      </c>
      <c r="AV658" s="374">
        <f t="shared" si="189"/>
        <v>0</v>
      </c>
      <c r="AW658" s="374">
        <f t="shared" si="189"/>
        <v>0</v>
      </c>
      <c r="AX658" s="374">
        <f t="shared" si="189"/>
        <v>0</v>
      </c>
      <c r="AY658" s="374">
        <f t="shared" si="189"/>
        <v>0</v>
      </c>
      <c r="AZ658" s="374">
        <f t="shared" si="189"/>
        <v>0</v>
      </c>
      <c r="BA658" s="374">
        <f t="shared" si="189"/>
        <v>0</v>
      </c>
    </row>
    <row r="659" spans="1:53" s="131" customFormat="1" ht="0.75" customHeight="1" outlineLevel="2">
      <c r="A659" s="111"/>
      <c r="B659" s="331"/>
      <c r="C659" s="348"/>
      <c r="D659" s="352"/>
      <c r="E659" s="352"/>
      <c r="F659" s="333"/>
      <c r="G659" s="333"/>
      <c r="H659" s="133"/>
      <c r="I659" s="138"/>
      <c r="J659" s="158"/>
      <c r="K659" s="333"/>
      <c r="L659" s="333"/>
      <c r="M659" s="133"/>
      <c r="N659" s="138"/>
      <c r="O659" s="377"/>
      <c r="P659" s="378"/>
      <c r="Q659" s="333"/>
      <c r="R659" s="333"/>
      <c r="S659" s="133"/>
      <c r="T659" s="138"/>
      <c r="U659" s="378"/>
      <c r="V659" s="333"/>
      <c r="W659" s="333"/>
      <c r="X659" s="133"/>
      <c r="Y659" s="137"/>
      <c r="AA659" s="139"/>
      <c r="AB659" s="351"/>
      <c r="AC659" s="333"/>
      <c r="AD659" s="333"/>
      <c r="AE659" s="333"/>
      <c r="AF659" s="333"/>
      <c r="AG659" s="333"/>
      <c r="AH659" s="333"/>
      <c r="AI659" s="333"/>
      <c r="AJ659" s="333"/>
      <c r="AK659" s="333"/>
      <c r="AL659" s="333"/>
      <c r="AM659" s="333"/>
      <c r="AN659" s="333"/>
      <c r="AO659" s="351"/>
      <c r="AP659" s="333"/>
      <c r="AQ659" s="333"/>
      <c r="AR659" s="333"/>
      <c r="AS659" s="333"/>
      <c r="AT659" s="333"/>
      <c r="AU659" s="333"/>
      <c r="AV659" s="333"/>
      <c r="AW659" s="333"/>
      <c r="AX659" s="333"/>
      <c r="AY659" s="333"/>
      <c r="AZ659" s="333"/>
      <c r="BA659" s="333"/>
    </row>
    <row r="660" spans="1:53" s="131" customFormat="1">
      <c r="A660" s="111" t="s">
        <v>1584</v>
      </c>
      <c r="B660" s="331" t="s">
        <v>1585</v>
      </c>
      <c r="C660" s="391" t="s">
        <v>1586</v>
      </c>
      <c r="D660" s="366"/>
      <c r="E660" s="366"/>
      <c r="F660" s="146">
        <v>0</v>
      </c>
      <c r="G660" s="146">
        <v>0</v>
      </c>
      <c r="H660" s="367">
        <f>+F660-G660</f>
        <v>0</v>
      </c>
      <c r="I660" s="147">
        <f>IF(G660&lt;0,IF(H660=0,0,IF(OR(G660=0,F660=0),"N.M.",IF(ABS(H660/G660)&gt;=10,"N.M.",H660/(-G660)))),IF(H660=0,0,IF(OR(G660=0,F660=0),"N.M.",IF(ABS(H660/G660)&gt;=10,"N.M.",H660/G660))))</f>
        <v>0</v>
      </c>
      <c r="J660" s="368"/>
      <c r="K660" s="146">
        <v>0</v>
      </c>
      <c r="L660" s="146">
        <v>0</v>
      </c>
      <c r="M660" s="367">
        <f>+K660-L660</f>
        <v>0</v>
      </c>
      <c r="N660" s="147">
        <f>IF(L660&lt;0,IF(M660=0,0,IF(OR(L660=0,K660=0),"N.M.",IF(ABS(M660/L660)&gt;=10,"N.M.",M660/(-L660)))),IF(M660=0,0,IF(OR(L660=0,K660=0),"N.M.",IF(ABS(M660/L660)&gt;=10,"N.M.",M660/L660))))</f>
        <v>0</v>
      </c>
      <c r="O660" s="389"/>
      <c r="P660" s="390"/>
      <c r="Q660" s="146">
        <v>0</v>
      </c>
      <c r="R660" s="146">
        <v>0</v>
      </c>
      <c r="S660" s="367">
        <f>+Q660-R660</f>
        <v>0</v>
      </c>
      <c r="T660" s="147">
        <f>IF(R660&lt;0,IF(S660=0,0,IF(OR(R660=0,Q660=0),"N.M.",IF(ABS(S660/R660)&gt;=10,"N.M.",S660/(-R660)))),IF(S660=0,0,IF(OR(R660=0,Q660=0),"N.M.",IF(ABS(S660/R660)&gt;=10,"N.M.",S660/R660))))</f>
        <v>0</v>
      </c>
      <c r="U660" s="390"/>
      <c r="V660" s="146">
        <v>0</v>
      </c>
      <c r="W660" s="146">
        <v>0</v>
      </c>
      <c r="X660" s="367">
        <f>+V660-W660</f>
        <v>0</v>
      </c>
      <c r="Y660" s="148">
        <f>IF(W660&lt;0,IF(X660=0,0,IF(OR(W660=0,V660=0),"N.M.",IF(ABS(X660/W660)&gt;=10,"N.M.",X660/(-W660)))),IF(X660=0,0,IF(OR(W660=0,V660=0),"N.M.",IF(ABS(X660/W660)&gt;=10,"N.M.",X660/W660))))</f>
        <v>0</v>
      </c>
      <c r="Z660" s="371"/>
      <c r="AA660" s="149">
        <v>0</v>
      </c>
      <c r="AB660" s="150"/>
      <c r="AC660" s="146">
        <v>0</v>
      </c>
      <c r="AD660" s="146">
        <v>0</v>
      </c>
      <c r="AE660" s="146">
        <v>0</v>
      </c>
      <c r="AF660" s="146">
        <v>0</v>
      </c>
      <c r="AG660" s="146">
        <v>0</v>
      </c>
      <c r="AH660" s="146">
        <v>0</v>
      </c>
      <c r="AI660" s="146">
        <v>0</v>
      </c>
      <c r="AJ660" s="146">
        <v>0</v>
      </c>
      <c r="AK660" s="146">
        <v>0</v>
      </c>
      <c r="AL660" s="146">
        <v>0</v>
      </c>
      <c r="AM660" s="146">
        <v>0</v>
      </c>
      <c r="AN660" s="146">
        <v>0</v>
      </c>
      <c r="AO660" s="150"/>
      <c r="AP660" s="146">
        <v>0</v>
      </c>
      <c r="AQ660" s="146">
        <v>0</v>
      </c>
      <c r="AR660" s="146">
        <v>0</v>
      </c>
      <c r="AS660" s="146">
        <v>0</v>
      </c>
      <c r="AT660" s="146">
        <v>0</v>
      </c>
      <c r="AU660" s="146">
        <v>0</v>
      </c>
      <c r="AV660" s="146">
        <v>0</v>
      </c>
      <c r="AW660" s="146">
        <v>0</v>
      </c>
      <c r="AX660" s="146">
        <v>0</v>
      </c>
      <c r="AY660" s="146">
        <v>0</v>
      </c>
      <c r="AZ660" s="146">
        <v>0</v>
      </c>
      <c r="BA660" s="146">
        <v>0</v>
      </c>
    </row>
    <row r="661" spans="1:53" s="131" customFormat="1" ht="0.75" customHeight="1" outlineLevel="2">
      <c r="A661" s="111"/>
      <c r="B661" s="331"/>
      <c r="C661" s="392"/>
      <c r="D661" s="352"/>
      <c r="E661" s="352"/>
      <c r="F661" s="333"/>
      <c r="G661" s="333"/>
      <c r="H661" s="133"/>
      <c r="I661" s="138"/>
      <c r="J661" s="158"/>
      <c r="K661" s="333"/>
      <c r="L661" s="333"/>
      <c r="M661" s="133"/>
      <c r="N661" s="138"/>
      <c r="O661" s="377"/>
      <c r="P661" s="378"/>
      <c r="Q661" s="333"/>
      <c r="R661" s="333"/>
      <c r="S661" s="133"/>
      <c r="T661" s="138"/>
      <c r="U661" s="378"/>
      <c r="V661" s="333"/>
      <c r="W661" s="333"/>
      <c r="X661" s="133"/>
      <c r="Y661" s="137"/>
      <c r="AA661" s="139"/>
      <c r="AB661" s="351"/>
      <c r="AC661" s="333"/>
      <c r="AD661" s="333"/>
      <c r="AE661" s="333"/>
      <c r="AF661" s="333"/>
      <c r="AG661" s="333"/>
      <c r="AH661" s="333"/>
      <c r="AI661" s="333"/>
      <c r="AJ661" s="333"/>
      <c r="AK661" s="333"/>
      <c r="AL661" s="333"/>
      <c r="AM661" s="333"/>
      <c r="AN661" s="333"/>
      <c r="AO661" s="351"/>
      <c r="AP661" s="333"/>
      <c r="AQ661" s="333"/>
      <c r="AR661" s="333"/>
      <c r="AS661" s="333"/>
      <c r="AT661" s="333"/>
      <c r="AU661" s="333"/>
      <c r="AV661" s="333"/>
      <c r="AW661" s="333"/>
      <c r="AX661" s="333"/>
      <c r="AY661" s="333"/>
      <c r="AZ661" s="333"/>
      <c r="BA661" s="333"/>
    </row>
    <row r="662" spans="1:53" s="131" customFormat="1">
      <c r="A662" s="111"/>
      <c r="B662" s="331" t="s">
        <v>1587</v>
      </c>
      <c r="C662" s="376" t="s">
        <v>1588</v>
      </c>
      <c r="D662" s="373"/>
      <c r="E662" s="373"/>
      <c r="F662" s="374">
        <f>+F658-F660</f>
        <v>0</v>
      </c>
      <c r="G662" s="374">
        <f>+G658-G660</f>
        <v>0</v>
      </c>
      <c r="H662" s="375">
        <f>+F662-G662</f>
        <v>0</v>
      </c>
      <c r="I662" s="151">
        <f>IF(G662&lt;0,IF(H662=0,0,IF(OR(G662=0,F662=0),"N.M.",IF(ABS(H662/G662)&gt;=10,"N.M.",H662/(-G662)))),IF(H662=0,0,IF(OR(G662=0,F662=0),"N.M.",IF(ABS(H662/G662)&gt;=10,"N.M.",H662/G662))))</f>
        <v>0</v>
      </c>
      <c r="J662" s="158"/>
      <c r="K662" s="374">
        <f>+K658-K660</f>
        <v>0</v>
      </c>
      <c r="L662" s="374">
        <f>+L658-L660</f>
        <v>0</v>
      </c>
      <c r="M662" s="375">
        <f>+K662-L662</f>
        <v>0</v>
      </c>
      <c r="N662" s="151">
        <f>IF(L662&lt;0,IF(M662=0,0,IF(OR(L662=0,K662=0),"N.M.",IF(ABS(M662/L662)&gt;=10,"N.M.",M662/(-L662)))),IF(M662=0,0,IF(OR(L662=0,K662=0),"N.M.",IF(ABS(M662/L662)&gt;=10,"N.M.",M662/L662))))</f>
        <v>0</v>
      </c>
      <c r="O662" s="321"/>
      <c r="P662" s="364"/>
      <c r="Q662" s="374">
        <f>+Q658-Q660</f>
        <v>0</v>
      </c>
      <c r="R662" s="374">
        <f>+R658-R660</f>
        <v>0</v>
      </c>
      <c r="S662" s="375">
        <f>+Q662-R662</f>
        <v>0</v>
      </c>
      <c r="T662" s="151">
        <f>IF(R662&lt;0,IF(S662=0,0,IF(OR(R662=0,Q662=0),"N.M.",IF(ABS(S662/R662)&gt;=10,"N.M.",S662/(-R662)))),IF(S662=0,0,IF(OR(R662=0,Q662=0),"N.M.",IF(ABS(S662/R662)&gt;=10,"N.M.",S662/R662))))</f>
        <v>0</v>
      </c>
      <c r="U662" s="364"/>
      <c r="V662" s="374">
        <f>+V658-V660</f>
        <v>0</v>
      </c>
      <c r="W662" s="374">
        <f>+W658-W660</f>
        <v>0</v>
      </c>
      <c r="X662" s="375">
        <f>+V662-W662</f>
        <v>0</v>
      </c>
      <c r="Y662" s="152">
        <f>IF(W662&lt;0,IF(X662=0,0,IF(OR(W662=0,V662=0),"N.M.",IF(ABS(X662/W662)&gt;=10,"N.M.",X662/(-W662)))),IF(X662=0,0,IF(OR(W662=0,V662=0),"N.M.",IF(ABS(X662/W662)&gt;=10,"N.M.",X662/W662))))</f>
        <v>0</v>
      </c>
      <c r="AA662" s="153">
        <f>+AA658-AA660</f>
        <v>0</v>
      </c>
      <c r="AB662" s="351"/>
      <c r="AC662" s="374">
        <f t="shared" ref="AC662:AN662" si="190">+AC658-AC660</f>
        <v>0</v>
      </c>
      <c r="AD662" s="374">
        <f t="shared" si="190"/>
        <v>0</v>
      </c>
      <c r="AE662" s="374">
        <f t="shared" si="190"/>
        <v>0</v>
      </c>
      <c r="AF662" s="374">
        <f t="shared" si="190"/>
        <v>0</v>
      </c>
      <c r="AG662" s="374">
        <f t="shared" si="190"/>
        <v>0</v>
      </c>
      <c r="AH662" s="374">
        <f t="shared" si="190"/>
        <v>0</v>
      </c>
      <c r="AI662" s="374">
        <f t="shared" si="190"/>
        <v>0</v>
      </c>
      <c r="AJ662" s="374">
        <f t="shared" si="190"/>
        <v>0</v>
      </c>
      <c r="AK662" s="374">
        <f t="shared" si="190"/>
        <v>0</v>
      </c>
      <c r="AL662" s="374">
        <f t="shared" si="190"/>
        <v>0</v>
      </c>
      <c r="AM662" s="374">
        <f t="shared" si="190"/>
        <v>0</v>
      </c>
      <c r="AN662" s="374">
        <f t="shared" si="190"/>
        <v>0</v>
      </c>
      <c r="AO662" s="351"/>
      <c r="AP662" s="374">
        <f t="shared" ref="AP662:BA662" si="191">+AP658-AP660</f>
        <v>0</v>
      </c>
      <c r="AQ662" s="374">
        <f t="shared" si="191"/>
        <v>0</v>
      </c>
      <c r="AR662" s="374">
        <f t="shared" si="191"/>
        <v>0</v>
      </c>
      <c r="AS662" s="374">
        <f t="shared" si="191"/>
        <v>0</v>
      </c>
      <c r="AT662" s="374">
        <f t="shared" si="191"/>
        <v>0</v>
      </c>
      <c r="AU662" s="374">
        <f t="shared" si="191"/>
        <v>0</v>
      </c>
      <c r="AV662" s="374">
        <f t="shared" si="191"/>
        <v>0</v>
      </c>
      <c r="AW662" s="374">
        <f t="shared" si="191"/>
        <v>0</v>
      </c>
      <c r="AX662" s="374">
        <f t="shared" si="191"/>
        <v>0</v>
      </c>
      <c r="AY662" s="374">
        <f t="shared" si="191"/>
        <v>0</v>
      </c>
      <c r="AZ662" s="374">
        <f t="shared" si="191"/>
        <v>0</v>
      </c>
      <c r="BA662" s="374">
        <f t="shared" si="191"/>
        <v>0</v>
      </c>
    </row>
    <row r="663" spans="1:53" s="131" customFormat="1">
      <c r="A663" s="111"/>
      <c r="B663" s="331" t="s">
        <v>1589</v>
      </c>
      <c r="C663" s="393" t="s">
        <v>1590</v>
      </c>
      <c r="D663" s="373"/>
      <c r="E663" s="373"/>
      <c r="F663" s="374">
        <f>+F651+F662</f>
        <v>-9419717.0429999959</v>
      </c>
      <c r="G663" s="374">
        <f>+G651+G662</f>
        <v>7038561.0050000111</v>
      </c>
      <c r="H663" s="375">
        <f>+F663-G663</f>
        <v>-16458278.048000008</v>
      </c>
      <c r="I663" s="151">
        <f>IF(G663&lt;0,IF(H663=0,0,IF(OR(G663=0,F663=0),"N.M.",IF(ABS(H663/G663)&gt;=10,"N.M.",H663/(-G663)))),IF(H663=0,0,IF(OR(G663=0,F663=0),"N.M.",IF(ABS(H663/G663)&gt;=10,"N.M.",H663/G663))))</f>
        <v>-2.3383015415094754</v>
      </c>
      <c r="J663" s="158"/>
      <c r="K663" s="374">
        <f>+K651+K662</f>
        <v>-7731629.5609999252</v>
      </c>
      <c r="L663" s="374">
        <f>+L651+L662</f>
        <v>25920791.054999985</v>
      </c>
      <c r="M663" s="375">
        <f>+K663-L663</f>
        <v>-33652420.615999907</v>
      </c>
      <c r="N663" s="151">
        <f>IF(L663&lt;0,IF(M663=0,0,IF(OR(L663=0,K663=0),"N.M.",IF(ABS(M663/L663)&gt;=10,"N.M.",M663/(-L663)))),IF(M663=0,0,IF(OR(L663=0,K663=0),"N.M.",IF(ABS(M663/L663)&gt;=10,"N.M.",M663/L663))))</f>
        <v>-1.2982790742996453</v>
      </c>
      <c r="O663" s="321"/>
      <c r="P663" s="364"/>
      <c r="Q663" s="374">
        <f>+Q651+Q662</f>
        <v>-7731629.5609999252</v>
      </c>
      <c r="R663" s="374">
        <f>+R651+R662</f>
        <v>25920791.054999985</v>
      </c>
      <c r="S663" s="375">
        <f>+Q663-R663</f>
        <v>-33652420.615999907</v>
      </c>
      <c r="T663" s="151">
        <f>IF(R663&lt;0,IF(S663=0,0,IF(OR(R663=0,Q663=0),"N.M.",IF(ABS(S663/R663)&gt;=10,"N.M.",S663/(-R663)))),IF(S663=0,0,IF(OR(R663=0,Q663=0),"N.M.",IF(ABS(S663/R663)&gt;=10,"N.M.",S663/R663))))</f>
        <v>-1.2982790742996453</v>
      </c>
      <c r="U663" s="364"/>
      <c r="V663" s="374">
        <f>+V651+V662</f>
        <v>13899756.095000304</v>
      </c>
      <c r="W663" s="374">
        <f>+W651+W662</f>
        <v>62219635.541999854</v>
      </c>
      <c r="X663" s="375">
        <f>+V663-W663</f>
        <v>-48319879.44699955</v>
      </c>
      <c r="Y663" s="152">
        <f>IF(W663&lt;0,IF(X663=0,0,IF(OR(W663=0,V663=0),"N.M.",IF(ABS(X663/W663)&gt;=10,"N.M.",X663/(-W663)))),IF(X663=0,0,IF(OR(W663=0,V663=0),"N.M.",IF(ABS(X663/W663)&gt;=10,"N.M.",X663/W663))))</f>
        <v>-0.7766017757269309</v>
      </c>
      <c r="AA663" s="153">
        <f>+AA651+AA662</f>
        <v>-4260362.7850000132</v>
      </c>
      <c r="AB663" s="351"/>
      <c r="AC663" s="374">
        <f t="shared" ref="AC663:AN663" si="192">+AC651+AC662</f>
        <v>17487756.010000005</v>
      </c>
      <c r="AD663" s="374">
        <f t="shared" si="192"/>
        <v>1394474.0399999931</v>
      </c>
      <c r="AE663" s="374">
        <f t="shared" si="192"/>
        <v>7038561.0050000111</v>
      </c>
      <c r="AF663" s="374">
        <f t="shared" si="192"/>
        <v>-675556.32900000457</v>
      </c>
      <c r="AG663" s="374">
        <f t="shared" si="192"/>
        <v>-4680984.2590000024</v>
      </c>
      <c r="AH663" s="374">
        <f t="shared" si="192"/>
        <v>18523577.218000021</v>
      </c>
      <c r="AI663" s="374">
        <f t="shared" si="192"/>
        <v>-14953950.358000031</v>
      </c>
      <c r="AJ663" s="374">
        <f t="shared" si="192"/>
        <v>2769394.9770000125</v>
      </c>
      <c r="AK663" s="374">
        <f t="shared" si="192"/>
        <v>23780869.649999995</v>
      </c>
      <c r="AL663" s="374">
        <f t="shared" si="192"/>
        <v>-256405.54699998815</v>
      </c>
      <c r="AM663" s="374">
        <f t="shared" si="192"/>
        <v>6762896.5500000138</v>
      </c>
      <c r="AN663" s="374">
        <f t="shared" si="192"/>
        <v>-9638456.2460000291</v>
      </c>
      <c r="AO663" s="351"/>
      <c r="AP663" s="374">
        <f t="shared" ref="AP663:BA663" si="193">+AP651+AP662</f>
        <v>2397166.6659999993</v>
      </c>
      <c r="AQ663" s="374">
        <f t="shared" si="193"/>
        <v>-709079.18399999803</v>
      </c>
      <c r="AR663" s="374">
        <f t="shared" si="193"/>
        <v>-9419717.0429999959</v>
      </c>
      <c r="AS663" s="374">
        <f t="shared" si="193"/>
        <v>-4228236.6210000245</v>
      </c>
      <c r="AT663" s="374">
        <f t="shared" si="193"/>
        <v>-1127433</v>
      </c>
      <c r="AU663" s="374">
        <f t="shared" si="193"/>
        <v>0</v>
      </c>
      <c r="AV663" s="374">
        <f t="shared" si="193"/>
        <v>0</v>
      </c>
      <c r="AW663" s="374">
        <f t="shared" si="193"/>
        <v>0</v>
      </c>
      <c r="AX663" s="374">
        <f t="shared" si="193"/>
        <v>0</v>
      </c>
      <c r="AY663" s="374">
        <f t="shared" si="193"/>
        <v>0</v>
      </c>
      <c r="AZ663" s="374">
        <f t="shared" si="193"/>
        <v>0</v>
      </c>
      <c r="BA663" s="374">
        <f t="shared" si="193"/>
        <v>0</v>
      </c>
    </row>
    <row r="664" spans="1:53">
      <c r="D664" s="352"/>
      <c r="E664" s="352"/>
      <c r="F664" s="394"/>
      <c r="G664" s="394"/>
      <c r="H664" s="375"/>
      <c r="I664" s="151"/>
      <c r="J664" s="157"/>
      <c r="K664" s="394"/>
      <c r="L664" s="394"/>
      <c r="M664" s="375"/>
      <c r="N664" s="151"/>
      <c r="O664" s="377"/>
      <c r="P664" s="378"/>
      <c r="Q664" s="394"/>
      <c r="R664" s="394"/>
      <c r="S664" s="375"/>
      <c r="T664" s="151"/>
      <c r="U664" s="378"/>
      <c r="V664" s="394"/>
      <c r="W664" s="394"/>
      <c r="X664" s="375"/>
      <c r="Y664" s="152"/>
      <c r="Z664" s="111"/>
      <c r="AA664" s="395"/>
      <c r="AB664" s="346"/>
      <c r="AC664" s="394"/>
      <c r="AD664" s="394"/>
      <c r="AE664" s="394"/>
      <c r="AF664" s="394"/>
      <c r="AG664" s="394"/>
      <c r="AH664" s="394"/>
      <c r="AI664" s="394"/>
      <c r="AJ664" s="394"/>
      <c r="AK664" s="394"/>
      <c r="AL664" s="394"/>
      <c r="AM664" s="394"/>
      <c r="AN664" s="394"/>
      <c r="AO664" s="346"/>
      <c r="AP664" s="394"/>
      <c r="AQ664" s="394"/>
      <c r="AR664" s="394"/>
      <c r="AS664" s="394"/>
      <c r="AT664" s="394"/>
      <c r="AU664" s="394"/>
      <c r="AV664" s="394"/>
      <c r="AW664" s="394"/>
      <c r="AX664" s="394"/>
      <c r="AY664" s="394"/>
      <c r="AZ664" s="394"/>
      <c r="BA664" s="394"/>
    </row>
    <row r="665" spans="1:53">
      <c r="A665" s="111" t="s">
        <v>106</v>
      </c>
      <c r="D665" s="352"/>
      <c r="E665" s="352"/>
      <c r="F665" s="394"/>
      <c r="G665" s="394"/>
      <c r="H665" s="375"/>
      <c r="I665" s="151"/>
      <c r="J665" s="157"/>
      <c r="K665" s="394"/>
      <c r="L665" s="394"/>
      <c r="M665" s="375"/>
      <c r="N665" s="151"/>
      <c r="O665" s="377"/>
      <c r="P665" s="378"/>
      <c r="Q665" s="394"/>
      <c r="R665" s="394"/>
      <c r="S665" s="375"/>
      <c r="T665" s="151"/>
      <c r="U665" s="378"/>
      <c r="V665" s="394"/>
      <c r="W665" s="394"/>
      <c r="X665" s="375"/>
      <c r="Y665" s="152"/>
      <c r="Z665" s="111"/>
      <c r="AA665" s="395"/>
      <c r="AB665" s="346"/>
      <c r="AC665" s="394"/>
      <c r="AD665" s="394"/>
      <c r="AE665" s="394"/>
      <c r="AF665" s="394"/>
      <c r="AG665" s="394"/>
      <c r="AH665" s="394"/>
      <c r="AI665" s="394"/>
      <c r="AJ665" s="394"/>
      <c r="AK665" s="394"/>
      <c r="AL665" s="394"/>
      <c r="AM665" s="394"/>
      <c r="AN665" s="394"/>
      <c r="AO665" s="346"/>
      <c r="AP665" s="394"/>
      <c r="AQ665" s="394"/>
      <c r="AR665" s="394"/>
      <c r="AS665" s="394"/>
      <c r="AT665" s="394"/>
      <c r="AU665" s="394"/>
      <c r="AV665" s="394"/>
      <c r="AW665" s="394"/>
      <c r="AX665" s="394"/>
      <c r="AY665" s="394"/>
      <c r="AZ665" s="394"/>
      <c r="BA665" s="394"/>
    </row>
    <row r="666" spans="1:53" s="131" customFormat="1" outlineLevel="1">
      <c r="A666" s="131" t="s">
        <v>1591</v>
      </c>
      <c r="C666" s="131" t="s">
        <v>1592</v>
      </c>
      <c r="D666" s="373"/>
      <c r="E666" s="373"/>
      <c r="F666" s="394">
        <v>9419717.0429999996</v>
      </c>
      <c r="G666" s="394">
        <v>-7038561.0049999971</v>
      </c>
      <c r="H666" s="375"/>
      <c r="I666" s="151"/>
      <c r="J666" s="158"/>
      <c r="K666" s="394">
        <v>7731629.5609999625</v>
      </c>
      <c r="L666" s="394">
        <v>-25920791.054999966</v>
      </c>
      <c r="M666" s="375"/>
      <c r="N666" s="151"/>
      <c r="O666" s="377"/>
      <c r="P666" s="378"/>
      <c r="Q666" s="394">
        <v>7731629.5609999625</v>
      </c>
      <c r="R666" s="394">
        <v>-25920791.054999966</v>
      </c>
      <c r="S666" s="375"/>
      <c r="T666" s="151"/>
      <c r="U666" s="378"/>
      <c r="V666" s="394">
        <v>-13899756.095000129</v>
      </c>
      <c r="W666" s="394">
        <v>-62219635.542000063</v>
      </c>
      <c r="X666" s="375"/>
      <c r="Y666" s="152"/>
      <c r="AA666" s="395">
        <v>4260362.7849999899</v>
      </c>
      <c r="AB666" s="351"/>
      <c r="AC666" s="394">
        <v>-17487756.010000028</v>
      </c>
      <c r="AD666" s="394">
        <v>-1394474.0400000012</v>
      </c>
      <c r="AE666" s="394">
        <v>-7038561.0049999971</v>
      </c>
      <c r="AF666" s="394">
        <v>675556.32899998839</v>
      </c>
      <c r="AG666" s="394">
        <v>4680984.2589999884</v>
      </c>
      <c r="AH666" s="394">
        <v>-18523577.217999995</v>
      </c>
      <c r="AI666" s="394">
        <v>14953950.35799998</v>
      </c>
      <c r="AJ666" s="394">
        <v>-2769394.9769999939</v>
      </c>
      <c r="AK666" s="394">
        <v>-23780869.649999995</v>
      </c>
      <c r="AL666" s="394">
        <v>256405.54699998788</v>
      </c>
      <c r="AM666" s="394">
        <v>-6762896.5499999961</v>
      </c>
      <c r="AN666" s="394">
        <v>9638456.2460000329</v>
      </c>
      <c r="AO666" s="351"/>
      <c r="AP666" s="394">
        <v>-2397166.6659999765</v>
      </c>
      <c r="AQ666" s="394">
        <v>709079.18399998534</v>
      </c>
      <c r="AR666" s="394">
        <v>9419717.0429999996</v>
      </c>
      <c r="AS666" s="394">
        <v>4228236.6210000198</v>
      </c>
      <c r="AT666" s="394">
        <v>1127433</v>
      </c>
      <c r="AU666" s="394">
        <v>0</v>
      </c>
      <c r="AV666" s="394">
        <v>0</v>
      </c>
      <c r="AW666" s="394">
        <v>0</v>
      </c>
      <c r="AX666" s="394">
        <v>0</v>
      </c>
      <c r="AY666" s="394">
        <v>0</v>
      </c>
      <c r="AZ666" s="394">
        <v>0</v>
      </c>
      <c r="BA666" s="394">
        <v>0</v>
      </c>
    </row>
    <row r="667" spans="1:53">
      <c r="C667" s="111" t="s">
        <v>1593</v>
      </c>
      <c r="D667" s="352"/>
      <c r="E667" s="352"/>
      <c r="F667" s="396">
        <f>+F663+F666</f>
        <v>0</v>
      </c>
      <c r="G667" s="396">
        <f>+G663+G666</f>
        <v>1.3969838619232178E-8</v>
      </c>
      <c r="H667" s="375"/>
      <c r="I667" s="151"/>
      <c r="J667" s="157"/>
      <c r="K667" s="396">
        <f>+K663+K666</f>
        <v>3.7252902984619141E-8</v>
      </c>
      <c r="L667" s="396">
        <f>+L663+L666</f>
        <v>0</v>
      </c>
      <c r="M667" s="375"/>
      <c r="N667" s="151"/>
      <c r="O667" s="377"/>
      <c r="P667" s="378"/>
      <c r="Q667" s="396">
        <f>+Q663+Q666</f>
        <v>3.7252902984619141E-8</v>
      </c>
      <c r="R667" s="396">
        <f>+R663+R666</f>
        <v>0</v>
      </c>
      <c r="S667" s="375"/>
      <c r="T667" s="151"/>
      <c r="U667" s="378"/>
      <c r="V667" s="396">
        <f>+V663+V666</f>
        <v>1.7508864402770996E-7</v>
      </c>
      <c r="W667" s="396">
        <f>+W663+W666</f>
        <v>-2.0861625671386719E-7</v>
      </c>
      <c r="X667" s="375"/>
      <c r="Y667" s="152"/>
      <c r="Z667" s="111"/>
      <c r="AA667" s="397">
        <f>+AA663+AA666</f>
        <v>-2.3283064365386963E-8</v>
      </c>
      <c r="AB667" s="346"/>
      <c r="AC667" s="396">
        <f t="shared" ref="AC667:AN667" si="194">+AC663+AC666</f>
        <v>0</v>
      </c>
      <c r="AD667" s="396">
        <f t="shared" si="194"/>
        <v>-8.149072527885437E-9</v>
      </c>
      <c r="AE667" s="396">
        <f t="shared" si="194"/>
        <v>1.3969838619232178E-8</v>
      </c>
      <c r="AF667" s="396">
        <f t="shared" si="194"/>
        <v>-1.6181729733943939E-8</v>
      </c>
      <c r="AG667" s="396">
        <f t="shared" si="194"/>
        <v>-1.3969838619232178E-8</v>
      </c>
      <c r="AH667" s="396">
        <f t="shared" si="194"/>
        <v>0</v>
      </c>
      <c r="AI667" s="396">
        <f t="shared" si="194"/>
        <v>-5.029141902923584E-8</v>
      </c>
      <c r="AJ667" s="396">
        <f t="shared" si="194"/>
        <v>1.862645149230957E-8</v>
      </c>
      <c r="AK667" s="396">
        <f t="shared" si="194"/>
        <v>0</v>
      </c>
      <c r="AL667" s="396">
        <f t="shared" si="194"/>
        <v>-2.6193447411060333E-10</v>
      </c>
      <c r="AM667" s="396">
        <f t="shared" si="194"/>
        <v>1.7695128917694092E-8</v>
      </c>
      <c r="AN667" s="396">
        <f t="shared" si="194"/>
        <v>0</v>
      </c>
      <c r="AO667" s="346"/>
      <c r="AP667" s="396">
        <f t="shared" ref="AP667:BA667" si="195">+AP663+AP666</f>
        <v>2.2817403078079224E-8</v>
      </c>
      <c r="AQ667" s="396">
        <f t="shared" si="195"/>
        <v>-1.2689270079135895E-8</v>
      </c>
      <c r="AR667" s="396">
        <f t="shared" si="195"/>
        <v>0</v>
      </c>
      <c r="AS667" s="396">
        <f t="shared" si="195"/>
        <v>0</v>
      </c>
      <c r="AT667" s="396">
        <f t="shared" si="195"/>
        <v>0</v>
      </c>
      <c r="AU667" s="396">
        <f t="shared" si="195"/>
        <v>0</v>
      </c>
      <c r="AV667" s="396">
        <f t="shared" si="195"/>
        <v>0</v>
      </c>
      <c r="AW667" s="396">
        <f t="shared" si="195"/>
        <v>0</v>
      </c>
      <c r="AX667" s="396">
        <f t="shared" si="195"/>
        <v>0</v>
      </c>
      <c r="AY667" s="396">
        <f t="shared" si="195"/>
        <v>0</v>
      </c>
      <c r="AZ667" s="396">
        <f t="shared" si="195"/>
        <v>0</v>
      </c>
      <c r="BA667" s="396">
        <f t="shared" si="195"/>
        <v>0</v>
      </c>
    </row>
    <row r="668" spans="1:53">
      <c r="E668" s="394"/>
      <c r="F668" s="159"/>
      <c r="G668" s="159"/>
      <c r="H668" s="159"/>
      <c r="I668" s="394"/>
      <c r="J668" s="398"/>
      <c r="K668" s="159"/>
      <c r="L668" s="159"/>
      <c r="M668" s="159"/>
      <c r="N668" s="394"/>
      <c r="O668" s="399"/>
      <c r="P668" s="398"/>
      <c r="Q668" s="159"/>
      <c r="R668" s="159"/>
      <c r="S668" s="159"/>
      <c r="T668" s="394"/>
      <c r="U668" s="398"/>
      <c r="V668" s="159"/>
      <c r="W668" s="159"/>
      <c r="X668" s="159"/>
      <c r="Y668" s="394"/>
      <c r="Z668" s="394"/>
    </row>
    <row r="669" spans="1:53">
      <c r="D669" s="400"/>
      <c r="E669" s="133"/>
      <c r="F669" s="161"/>
      <c r="G669" s="161"/>
      <c r="H669" s="162"/>
      <c r="K669" s="161"/>
      <c r="L669" s="161"/>
      <c r="M669" s="162"/>
      <c r="Q669" s="161"/>
      <c r="R669" s="161"/>
      <c r="S669" s="162"/>
      <c r="V669" s="161"/>
      <c r="W669" s="161"/>
      <c r="X669" s="162"/>
      <c r="AA669" s="163"/>
      <c r="AB669" s="109"/>
      <c r="AC669" s="162"/>
      <c r="AD669" s="162"/>
      <c r="AE669" s="162"/>
      <c r="AF669" s="162"/>
      <c r="AG669" s="162"/>
      <c r="AH669" s="162"/>
      <c r="AI669" s="162"/>
      <c r="AJ669" s="162"/>
      <c r="AK669" s="162"/>
      <c r="AL669" s="162"/>
      <c r="AM669" s="162"/>
      <c r="AN669" s="162"/>
      <c r="AO669" s="109"/>
      <c r="AP669" s="162"/>
      <c r="AQ669" s="162"/>
      <c r="AR669" s="162"/>
      <c r="AS669" s="162"/>
      <c r="AT669" s="162"/>
      <c r="AU669" s="162"/>
      <c r="AV669" s="162"/>
      <c r="AW669" s="162"/>
      <c r="AX669" s="162"/>
      <c r="AY669" s="162"/>
      <c r="AZ669" s="162"/>
      <c r="BA669" s="162"/>
    </row>
    <row r="670" spans="1:53" customFormat="1" ht="15">
      <c r="A670" s="111"/>
      <c r="B670" s="402"/>
      <c r="C670" s="403"/>
      <c r="D670" s="111"/>
      <c r="E670" s="133"/>
      <c r="F670" s="161"/>
      <c r="G670" s="161"/>
      <c r="H670" s="162"/>
      <c r="I670" s="401"/>
      <c r="J670" s="168"/>
      <c r="K670" s="161"/>
      <c r="L670" s="161"/>
      <c r="M670" s="162"/>
      <c r="N670" s="401"/>
      <c r="O670" s="314"/>
      <c r="P670" s="168"/>
      <c r="Q670" s="161"/>
      <c r="R670" s="161"/>
      <c r="S670" s="162"/>
      <c r="T670" s="401"/>
      <c r="U670" s="168"/>
      <c r="V670" s="161"/>
      <c r="W670" s="161"/>
      <c r="X670" s="162"/>
      <c r="Y670" s="401"/>
      <c r="Z670" s="302"/>
      <c r="AA670" s="164"/>
      <c r="AB670" s="109"/>
      <c r="AC670" s="165"/>
      <c r="AD670" s="165"/>
      <c r="AE670" s="165"/>
      <c r="AF670" s="165"/>
      <c r="AG670" s="165"/>
      <c r="AH670" s="165"/>
      <c r="AI670" s="165"/>
      <c r="AJ670" s="165"/>
      <c r="AK670" s="165"/>
      <c r="AL670" s="165"/>
      <c r="AM670" s="165"/>
      <c r="AN670" s="165"/>
      <c r="AO670" s="109"/>
      <c r="AP670" s="165"/>
      <c r="AQ670" s="165"/>
      <c r="AR670" s="165"/>
      <c r="AS670" s="165"/>
      <c r="AT670" s="165"/>
      <c r="AU670" s="165"/>
      <c r="AV670" s="165"/>
      <c r="AW670" s="165"/>
      <c r="AX670" s="165"/>
      <c r="AY670" s="165"/>
      <c r="AZ670" s="165"/>
      <c r="BA670" s="165"/>
    </row>
    <row r="671" spans="1:53">
      <c r="C671" s="166"/>
      <c r="D671" s="133"/>
      <c r="E671" s="133"/>
      <c r="F671" s="162"/>
      <c r="G671" s="167"/>
      <c r="H671" s="162"/>
      <c r="I671" s="111"/>
      <c r="K671" s="169"/>
      <c r="L671" s="162"/>
      <c r="M671" s="162"/>
      <c r="N671" s="404"/>
      <c r="O671" s="321"/>
      <c r="Q671" s="169"/>
      <c r="R671" s="162"/>
      <c r="S671" s="162"/>
      <c r="T671" s="405"/>
      <c r="V671" s="169"/>
      <c r="W671" s="162"/>
      <c r="X671" s="162"/>
      <c r="Y671" s="111"/>
      <c r="Z671" s="111"/>
      <c r="AA671" s="170"/>
      <c r="AB671" s="109"/>
      <c r="AC671" s="161"/>
      <c r="AD671" s="161"/>
      <c r="AE671" s="161"/>
      <c r="AF671" s="161"/>
      <c r="AG671" s="161"/>
      <c r="AH671" s="161"/>
      <c r="AI671" s="161"/>
      <c r="AJ671" s="161"/>
      <c r="AK671" s="161"/>
      <c r="AL671" s="161"/>
      <c r="AM671" s="161"/>
      <c r="AN671" s="161"/>
      <c r="AO671" s="109"/>
      <c r="AP671" s="161"/>
      <c r="AQ671" s="161"/>
      <c r="AR671" s="161"/>
      <c r="AS671" s="161"/>
      <c r="AT671" s="161"/>
      <c r="AU671" s="161"/>
      <c r="AV671" s="161"/>
      <c r="AW671" s="161"/>
      <c r="AX671" s="161"/>
      <c r="AY671" s="161"/>
      <c r="AZ671" s="161"/>
      <c r="BA671" s="161"/>
    </row>
    <row r="672" spans="1:53" customFormat="1" ht="15">
      <c r="A672" s="111"/>
      <c r="B672" s="402"/>
      <c r="C672" s="111"/>
      <c r="D672" s="111"/>
      <c r="E672" s="379"/>
      <c r="F672" s="171"/>
      <c r="G672" s="171"/>
      <c r="H672" s="171"/>
      <c r="I672" s="401"/>
      <c r="J672" s="168"/>
      <c r="K672" s="113"/>
      <c r="L672" s="113"/>
      <c r="M672" s="113"/>
      <c r="N672" s="401"/>
      <c r="O672" s="314"/>
      <c r="P672" s="168"/>
      <c r="Q672" s="113"/>
      <c r="R672" s="113"/>
      <c r="S672" s="113"/>
      <c r="T672" s="401"/>
      <c r="U672" s="168"/>
      <c r="V672" s="113"/>
      <c r="W672" s="113"/>
      <c r="X672" s="113"/>
      <c r="Y672" s="401"/>
      <c r="Z672" s="302"/>
      <c r="AA672" s="406"/>
      <c r="AB672" s="407"/>
      <c r="AC672" s="407"/>
      <c r="AD672" s="407"/>
      <c r="AE672" s="407"/>
      <c r="AF672" s="407"/>
      <c r="AG672" s="407"/>
      <c r="AH672" s="407"/>
      <c r="AI672" s="407"/>
      <c r="AJ672" s="407"/>
      <c r="AK672" s="407"/>
      <c r="AL672" s="407"/>
      <c r="AM672" s="407"/>
      <c r="AN672" s="407"/>
      <c r="AO672" s="407"/>
      <c r="AP672" s="407"/>
      <c r="AQ672" s="407"/>
      <c r="AR672" s="407"/>
      <c r="AS672" s="407"/>
      <c r="AT672" s="407"/>
      <c r="AU672" s="407"/>
      <c r="AV672" s="407"/>
      <c r="AW672" s="407"/>
      <c r="AX672" s="407"/>
      <c r="AY672" s="407"/>
      <c r="AZ672" s="407"/>
      <c r="BA672" s="407"/>
    </row>
    <row r="673" spans="1:53" s="412" customFormat="1" ht="12.75" customHeight="1" outlineLevel="1">
      <c r="A673" s="408"/>
      <c r="B673" s="409" t="s">
        <v>1594</v>
      </c>
      <c r="C673" s="410" t="s">
        <v>1805</v>
      </c>
      <c r="D673" s="172"/>
      <c r="E673" s="172"/>
      <c r="F673" s="173"/>
      <c r="G673" s="173"/>
      <c r="H673" s="171"/>
      <c r="I673" s="401"/>
      <c r="J673" s="168"/>
      <c r="K673" s="113"/>
      <c r="L673" s="113"/>
      <c r="M673" s="113"/>
      <c r="N673" s="401"/>
      <c r="O673" s="314"/>
      <c r="P673" s="168"/>
      <c r="Q673" s="113"/>
      <c r="R673" s="113"/>
      <c r="S673" s="113"/>
      <c r="T673" s="401"/>
      <c r="U673" s="168"/>
      <c r="V673" s="113"/>
      <c r="W673" s="113"/>
      <c r="X673" s="113"/>
      <c r="Y673" s="401"/>
      <c r="Z673" s="302"/>
      <c r="AA673" s="174"/>
      <c r="AB673" s="134"/>
      <c r="AC673" s="411"/>
      <c r="AD673" s="411"/>
      <c r="AE673" s="411"/>
      <c r="AF673" s="411"/>
      <c r="AG673" s="411"/>
      <c r="AH673" s="411"/>
      <c r="AI673" s="411"/>
      <c r="AJ673" s="411"/>
      <c r="AK673" s="411"/>
      <c r="AL673" s="411"/>
      <c r="AM673" s="411"/>
      <c r="AN673" s="411"/>
      <c r="AO673" s="134"/>
      <c r="AP673" s="411"/>
      <c r="AQ673" s="411"/>
      <c r="AR673" s="411"/>
      <c r="AS673" s="411"/>
      <c r="AT673" s="411"/>
      <c r="AU673" s="411"/>
      <c r="AV673" s="411"/>
      <c r="AW673" s="411"/>
      <c r="AX673" s="411"/>
      <c r="AY673" s="411"/>
      <c r="AZ673" s="411"/>
      <c r="BA673" s="411"/>
    </row>
    <row r="674" spans="1:53" s="412" customFormat="1" ht="12.75" customHeight="1" outlineLevel="1">
      <c r="A674" s="408"/>
      <c r="B674" s="412" t="s">
        <v>1595</v>
      </c>
      <c r="C674" s="413">
        <v>1E-3</v>
      </c>
      <c r="D674" s="172"/>
      <c r="E674" s="172"/>
      <c r="F674" s="173"/>
      <c r="G674" s="173"/>
      <c r="H674" s="171"/>
      <c r="I674" s="401"/>
      <c r="J674" s="168"/>
      <c r="K674" s="113"/>
      <c r="L674" s="113"/>
      <c r="M674" s="113"/>
      <c r="N674" s="401"/>
      <c r="O674" s="314"/>
      <c r="P674" s="168"/>
      <c r="Q674" s="113"/>
      <c r="R674" s="113"/>
      <c r="S674" s="113"/>
      <c r="T674" s="401"/>
      <c r="U674" s="168"/>
      <c r="V674" s="113"/>
      <c r="W674" s="113"/>
      <c r="X674" s="113"/>
      <c r="Y674" s="401"/>
      <c r="Z674" s="302"/>
      <c r="AA674" s="174"/>
      <c r="AB674" s="134"/>
      <c r="AC674" s="411"/>
      <c r="AD674" s="411"/>
      <c r="AE674" s="411"/>
      <c r="AF674" s="411"/>
      <c r="AG674" s="411"/>
      <c r="AH674" s="411"/>
      <c r="AI674" s="411"/>
      <c r="AJ674" s="411"/>
      <c r="AK674" s="411"/>
      <c r="AL674" s="411"/>
      <c r="AM674" s="411"/>
      <c r="AN674" s="411"/>
      <c r="AO674" s="134"/>
      <c r="AP674" s="411"/>
      <c r="AQ674" s="411"/>
      <c r="AR674" s="411"/>
      <c r="AS674" s="411"/>
      <c r="AT674" s="411"/>
      <c r="AU674" s="411"/>
      <c r="AV674" s="411"/>
      <c r="AW674" s="411"/>
      <c r="AX674" s="411"/>
      <c r="AY674" s="411"/>
      <c r="AZ674" s="411"/>
      <c r="BA674" s="411"/>
    </row>
    <row r="675" spans="1:53" s="412" customFormat="1" ht="12.75" customHeight="1" outlineLevel="1">
      <c r="A675" s="408"/>
      <c r="B675" s="412" t="s">
        <v>1596</v>
      </c>
      <c r="C675" s="413" t="s">
        <v>1597</v>
      </c>
      <c r="D675" s="172"/>
      <c r="E675" s="172"/>
      <c r="F675" s="173"/>
      <c r="G675" s="173"/>
      <c r="H675" s="171"/>
      <c r="I675" s="401"/>
      <c r="J675" s="168"/>
      <c r="K675" s="113"/>
      <c r="L675" s="113"/>
      <c r="M675" s="113"/>
      <c r="N675" s="401"/>
      <c r="O675" s="314"/>
      <c r="P675" s="168"/>
      <c r="Q675" s="113"/>
      <c r="R675" s="113"/>
      <c r="S675" s="113"/>
      <c r="T675" s="401"/>
      <c r="U675" s="168"/>
      <c r="V675" s="113"/>
      <c r="W675" s="113"/>
      <c r="X675" s="113"/>
      <c r="Y675" s="401"/>
      <c r="Z675" s="302"/>
      <c r="AA675" s="174"/>
      <c r="AB675" s="134"/>
      <c r="AC675" s="411"/>
      <c r="AD675" s="411"/>
      <c r="AE675" s="411"/>
      <c r="AF675" s="411"/>
      <c r="AG675" s="411"/>
      <c r="AH675" s="411"/>
      <c r="AI675" s="411"/>
      <c r="AJ675" s="411"/>
      <c r="AK675" s="411"/>
      <c r="AL675" s="411"/>
      <c r="AM675" s="411"/>
      <c r="AN675" s="411"/>
      <c r="AO675" s="134"/>
      <c r="AP675" s="411"/>
      <c r="AQ675" s="411"/>
      <c r="AR675" s="411"/>
      <c r="AS675" s="411"/>
      <c r="AT675" s="411"/>
      <c r="AU675" s="411"/>
      <c r="AV675" s="411"/>
      <c r="AW675" s="411"/>
      <c r="AX675" s="411"/>
      <c r="AY675" s="411"/>
      <c r="AZ675" s="411"/>
      <c r="BA675" s="411"/>
    </row>
    <row r="676" spans="1:53" s="412" customFormat="1" ht="12.75" customHeight="1" outlineLevel="1">
      <c r="A676" s="408"/>
      <c r="B676" s="412" t="s">
        <v>1596</v>
      </c>
      <c r="C676" s="413" t="s">
        <v>1598</v>
      </c>
      <c r="D676" s="172"/>
      <c r="E676" s="172"/>
      <c r="F676" s="173"/>
      <c r="G676" s="173"/>
      <c r="H676" s="171"/>
      <c r="I676" s="401"/>
      <c r="J676" s="168"/>
      <c r="K676" s="113"/>
      <c r="L676" s="113"/>
      <c r="M676" s="113"/>
      <c r="N676" s="401"/>
      <c r="O676" s="314"/>
      <c r="P676" s="168"/>
      <c r="Q676" s="113"/>
      <c r="R676" s="113"/>
      <c r="S676" s="113"/>
      <c r="T676" s="401"/>
      <c r="U676" s="168"/>
      <c r="V676" s="113"/>
      <c r="W676" s="113"/>
      <c r="X676" s="113"/>
      <c r="Y676" s="401"/>
      <c r="Z676" s="302"/>
      <c r="AA676" s="174"/>
      <c r="AB676" s="134"/>
      <c r="AC676" s="411"/>
      <c r="AD676" s="411"/>
      <c r="AE676" s="411"/>
      <c r="AF676" s="411"/>
      <c r="AG676" s="411"/>
      <c r="AH676" s="411"/>
      <c r="AI676" s="411"/>
      <c r="AJ676" s="411"/>
      <c r="AK676" s="411"/>
      <c r="AL676" s="411"/>
      <c r="AM676" s="411"/>
      <c r="AN676" s="411"/>
      <c r="AO676" s="134"/>
      <c r="AP676" s="411"/>
      <c r="AQ676" s="411"/>
      <c r="AR676" s="411"/>
      <c r="AS676" s="411"/>
      <c r="AT676" s="411"/>
      <c r="AU676" s="411"/>
      <c r="AV676" s="411"/>
      <c r="AW676" s="411"/>
      <c r="AX676" s="411"/>
      <c r="AY676" s="411"/>
      <c r="AZ676" s="411"/>
      <c r="BA676" s="411"/>
    </row>
    <row r="677" spans="1:53" s="412" customFormat="1" ht="12.75" customHeight="1" outlineLevel="1">
      <c r="A677" s="408"/>
      <c r="B677" s="412" t="s">
        <v>1599</v>
      </c>
      <c r="C677" s="413"/>
      <c r="D677" s="172"/>
      <c r="E677" s="172"/>
      <c r="F677" s="173"/>
      <c r="G677" s="173"/>
      <c r="H677" s="171"/>
      <c r="I677" s="401"/>
      <c r="J677" s="168"/>
      <c r="K677" s="113"/>
      <c r="L677" s="113"/>
      <c r="M677" s="113"/>
      <c r="N677" s="401"/>
      <c r="O677" s="314"/>
      <c r="P677" s="168"/>
      <c r="Q677" s="113"/>
      <c r="R677" s="113"/>
      <c r="S677" s="113"/>
      <c r="T677" s="401"/>
      <c r="U677" s="168"/>
      <c r="V677" s="113"/>
      <c r="W677" s="113"/>
      <c r="X677" s="113"/>
      <c r="Y677" s="401"/>
      <c r="Z677" s="302"/>
      <c r="AA677" s="174"/>
      <c r="AB677" s="134"/>
      <c r="AC677" s="411"/>
      <c r="AD677" s="411"/>
      <c r="AE677" s="411"/>
      <c r="AF677" s="411"/>
      <c r="AG677" s="411"/>
      <c r="AH677" s="411"/>
      <c r="AI677" s="411"/>
      <c r="AJ677" s="411"/>
      <c r="AK677" s="411"/>
      <c r="AL677" s="411"/>
      <c r="AM677" s="411"/>
      <c r="AN677" s="411"/>
      <c r="AO677" s="134"/>
      <c r="AP677" s="411"/>
      <c r="AQ677" s="411"/>
      <c r="AR677" s="411"/>
      <c r="AS677" s="411"/>
      <c r="AT677" s="411"/>
      <c r="AU677" s="411"/>
      <c r="AV677" s="411"/>
      <c r="AW677" s="411"/>
      <c r="AX677" s="411"/>
      <c r="AY677" s="411"/>
      <c r="AZ677" s="411"/>
      <c r="BA677" s="411"/>
    </row>
    <row r="678" spans="1:53" s="412" customFormat="1" ht="12.75" customHeight="1" outlineLevel="1">
      <c r="A678" s="408"/>
      <c r="B678" s="412" t="s">
        <v>1599</v>
      </c>
      <c r="C678" s="413"/>
      <c r="D678" s="172"/>
      <c r="E678" s="172"/>
      <c r="F678" s="173"/>
      <c r="G678" s="173"/>
      <c r="H678" s="171"/>
      <c r="I678" s="401"/>
      <c r="J678" s="168"/>
      <c r="K678" s="113"/>
      <c r="L678" s="113"/>
      <c r="M678" s="113"/>
      <c r="N678" s="401"/>
      <c r="O678" s="314"/>
      <c r="P678" s="168"/>
      <c r="Q678" s="113"/>
      <c r="R678" s="113"/>
      <c r="S678" s="113"/>
      <c r="T678" s="401"/>
      <c r="U678" s="168"/>
      <c r="V678" s="113"/>
      <c r="W678" s="113"/>
      <c r="X678" s="113"/>
      <c r="Y678" s="401"/>
      <c r="Z678" s="302"/>
      <c r="AA678" s="174"/>
      <c r="AB678" s="134"/>
      <c r="AC678" s="411"/>
      <c r="AD678" s="411"/>
      <c r="AE678" s="411"/>
      <c r="AF678" s="411"/>
      <c r="AG678" s="411"/>
      <c r="AH678" s="411"/>
      <c r="AI678" s="411"/>
      <c r="AJ678" s="411"/>
      <c r="AK678" s="411"/>
      <c r="AL678" s="411"/>
      <c r="AM678" s="411"/>
      <c r="AN678" s="411"/>
      <c r="AO678" s="134"/>
      <c r="AP678" s="411"/>
      <c r="AQ678" s="411"/>
      <c r="AR678" s="411"/>
      <c r="AS678" s="411"/>
      <c r="AT678" s="411"/>
      <c r="AU678" s="411"/>
      <c r="AV678" s="411"/>
      <c r="AW678" s="411"/>
      <c r="AX678" s="411"/>
      <c r="AY678" s="411"/>
      <c r="AZ678" s="411"/>
      <c r="BA678" s="411"/>
    </row>
    <row r="679" spans="1:53" s="412" customFormat="1" ht="12.75" customHeight="1" outlineLevel="1">
      <c r="A679" s="408"/>
      <c r="B679" s="412" t="s">
        <v>1600</v>
      </c>
      <c r="C679" s="413">
        <f>SUM(C677:C678)</f>
        <v>0</v>
      </c>
      <c r="D679" s="172"/>
      <c r="E679" s="172"/>
      <c r="F679" s="113"/>
      <c r="G679" s="113"/>
      <c r="H679" s="113"/>
      <c r="I679" s="401"/>
      <c r="J679" s="168"/>
      <c r="K679" s="113"/>
      <c r="L679" s="113"/>
      <c r="M679" s="113"/>
      <c r="N679" s="401"/>
      <c r="O679" s="314"/>
      <c r="P679" s="168"/>
      <c r="Q679" s="113"/>
      <c r="R679" s="113"/>
      <c r="S679" s="113"/>
      <c r="T679" s="401"/>
      <c r="U679" s="168"/>
      <c r="V679" s="113"/>
      <c r="W679" s="113"/>
      <c r="X679" s="113"/>
      <c r="Y679" s="401"/>
      <c r="Z679" s="302"/>
      <c r="AA679" s="174"/>
      <c r="AB679" s="134"/>
      <c r="AC679" s="411"/>
      <c r="AD679" s="411"/>
      <c r="AE679" s="411"/>
      <c r="AF679" s="411"/>
      <c r="AG679" s="411"/>
      <c r="AH679" s="411"/>
      <c r="AI679" s="411"/>
      <c r="AJ679" s="411"/>
      <c r="AK679" s="411"/>
      <c r="AL679" s="411"/>
      <c r="AM679" s="411"/>
      <c r="AN679" s="411"/>
      <c r="AO679" s="134"/>
      <c r="AP679" s="411"/>
      <c r="AQ679" s="411"/>
      <c r="AR679" s="411"/>
      <c r="AS679" s="411"/>
      <c r="AT679" s="411"/>
      <c r="AU679" s="411"/>
      <c r="AV679" s="411"/>
      <c r="AW679" s="411"/>
      <c r="AX679" s="411"/>
      <c r="AY679" s="411"/>
      <c r="AZ679" s="411"/>
      <c r="BA679" s="411"/>
    </row>
    <row r="680" spans="1:53" s="412" customFormat="1" ht="12.75" customHeight="1" outlineLevel="1">
      <c r="A680" s="408"/>
      <c r="B680" s="414" t="s">
        <v>1601</v>
      </c>
      <c r="C680" s="415" t="s">
        <v>1602</v>
      </c>
      <c r="D680" s="172"/>
      <c r="E680" s="172"/>
      <c r="F680" s="113"/>
      <c r="G680" s="113"/>
      <c r="H680" s="113"/>
      <c r="I680" s="401"/>
      <c r="J680" s="168"/>
      <c r="K680" s="113"/>
      <c r="L680" s="113"/>
      <c r="M680" s="113"/>
      <c r="N680" s="401"/>
      <c r="O680" s="314"/>
      <c r="P680" s="168"/>
      <c r="Q680" s="113"/>
      <c r="R680" s="113"/>
      <c r="S680" s="113"/>
      <c r="T680" s="401"/>
      <c r="U680" s="168"/>
      <c r="V680" s="113"/>
      <c r="W680" s="113"/>
      <c r="X680" s="113"/>
      <c r="Y680" s="401"/>
      <c r="Z680" s="302"/>
      <c r="AA680" s="174"/>
      <c r="AB680" s="134"/>
      <c r="AC680" s="411"/>
      <c r="AD680" s="411"/>
      <c r="AE680" s="411"/>
      <c r="AF680" s="411"/>
      <c r="AG680" s="411"/>
      <c r="AH680" s="411"/>
      <c r="AI680" s="411"/>
      <c r="AJ680" s="411"/>
      <c r="AK680" s="411"/>
      <c r="AL680" s="411"/>
      <c r="AM680" s="411"/>
      <c r="AN680" s="411"/>
      <c r="AO680" s="134"/>
      <c r="AP680" s="411"/>
      <c r="AQ680" s="411"/>
      <c r="AR680" s="411"/>
      <c r="AS680" s="411"/>
      <c r="AT680" s="411"/>
      <c r="AU680" s="411"/>
      <c r="AV680" s="411"/>
      <c r="AW680" s="411"/>
      <c r="AX680" s="411"/>
      <c r="AY680" s="411"/>
      <c r="AZ680" s="411"/>
      <c r="BA680" s="411"/>
    </row>
    <row r="681" spans="1:53" s="412" customFormat="1" ht="12.75" customHeight="1" outlineLevel="1">
      <c r="A681" s="408"/>
      <c r="B681" s="414" t="s">
        <v>1603</v>
      </c>
      <c r="C681" s="415" t="s">
        <v>1604</v>
      </c>
      <c r="D681" s="172"/>
      <c r="E681" s="172"/>
      <c r="F681" s="113"/>
      <c r="G681" s="113"/>
      <c r="H681" s="113"/>
      <c r="I681" s="401"/>
      <c r="J681" s="168"/>
      <c r="K681" s="113"/>
      <c r="L681" s="113"/>
      <c r="M681" s="113"/>
      <c r="N681" s="401"/>
      <c r="O681" s="314"/>
      <c r="P681" s="168"/>
      <c r="Q681" s="113"/>
      <c r="R681" s="113"/>
      <c r="S681" s="113"/>
      <c r="T681" s="401"/>
      <c r="U681" s="168"/>
      <c r="V681" s="113"/>
      <c r="W681" s="113"/>
      <c r="X681" s="113"/>
      <c r="Y681" s="401"/>
      <c r="Z681" s="302"/>
      <c r="AA681" s="174"/>
      <c r="AB681" s="134"/>
      <c r="AC681" s="411"/>
      <c r="AD681" s="411"/>
      <c r="AE681" s="411"/>
      <c r="AF681" s="411"/>
      <c r="AG681" s="411"/>
      <c r="AH681" s="411"/>
      <c r="AI681" s="411"/>
      <c r="AJ681" s="411"/>
      <c r="AK681" s="411"/>
      <c r="AL681" s="411"/>
      <c r="AM681" s="411"/>
      <c r="AN681" s="411"/>
      <c r="AO681" s="134"/>
      <c r="AP681" s="411"/>
      <c r="AQ681" s="411"/>
      <c r="AR681" s="411"/>
      <c r="AS681" s="411"/>
      <c r="AT681" s="411"/>
      <c r="AU681" s="411"/>
      <c r="AV681" s="411"/>
      <c r="AW681" s="411"/>
      <c r="AX681" s="411"/>
      <c r="AY681" s="411"/>
      <c r="AZ681" s="411"/>
      <c r="BA681" s="411"/>
    </row>
    <row r="682" spans="1:53" s="412" customFormat="1" ht="12.75" customHeight="1" outlineLevel="1">
      <c r="A682" s="408"/>
      <c r="B682" s="414" t="s">
        <v>1605</v>
      </c>
      <c r="C682" s="415" t="s">
        <v>1604</v>
      </c>
      <c r="D682" s="172"/>
      <c r="E682" s="172"/>
      <c r="F682" s="113"/>
      <c r="G682" s="113"/>
      <c r="H682" s="113"/>
      <c r="I682" s="401"/>
      <c r="J682" s="168"/>
      <c r="K682" s="113"/>
      <c r="L682" s="113"/>
      <c r="M682" s="113"/>
      <c r="N682" s="401"/>
      <c r="O682" s="314"/>
      <c r="P682" s="168"/>
      <c r="Q682" s="113"/>
      <c r="R682" s="113"/>
      <c r="S682" s="113"/>
      <c r="T682" s="401"/>
      <c r="U682" s="168"/>
      <c r="V682" s="113"/>
      <c r="W682" s="113"/>
      <c r="X682" s="113"/>
      <c r="Y682" s="401"/>
      <c r="Z682" s="302"/>
      <c r="AA682" s="174"/>
      <c r="AB682" s="134"/>
      <c r="AC682" s="411"/>
      <c r="AD682" s="411"/>
      <c r="AE682" s="411"/>
      <c r="AF682" s="411"/>
      <c r="AG682" s="411"/>
      <c r="AH682" s="411"/>
      <c r="AI682" s="411"/>
      <c r="AJ682" s="411"/>
      <c r="AK682" s="411"/>
      <c r="AL682" s="411"/>
      <c r="AM682" s="411"/>
      <c r="AN682" s="411"/>
      <c r="AO682" s="134"/>
      <c r="AP682" s="411"/>
      <c r="AQ682" s="411"/>
      <c r="AR682" s="411"/>
      <c r="AS682" s="411"/>
      <c r="AT682" s="411"/>
      <c r="AU682" s="411"/>
      <c r="AV682" s="411"/>
      <c r="AW682" s="411"/>
      <c r="AX682" s="411"/>
      <c r="AY682" s="411"/>
      <c r="AZ682" s="411"/>
      <c r="BA682" s="411"/>
    </row>
    <row r="683" spans="1:53" s="412" customFormat="1" ht="12.75" customHeight="1" outlineLevel="1">
      <c r="A683" s="408"/>
      <c r="B683" s="416" t="s">
        <v>1606</v>
      </c>
      <c r="C683" s="415" t="s">
        <v>1607</v>
      </c>
      <c r="D683" s="172"/>
      <c r="E683" s="172"/>
      <c r="F683" s="113"/>
      <c r="G683" s="113"/>
      <c r="H683" s="113"/>
      <c r="I683" s="401"/>
      <c r="J683" s="168"/>
      <c r="K683" s="113"/>
      <c r="L683" s="113"/>
      <c r="M683" s="113"/>
      <c r="N683" s="401"/>
      <c r="O683" s="314"/>
      <c r="P683" s="168"/>
      <c r="Q683" s="113"/>
      <c r="R683" s="113"/>
      <c r="S683" s="113"/>
      <c r="T683" s="401"/>
      <c r="U683" s="168"/>
      <c r="V683" s="113"/>
      <c r="W683" s="113"/>
      <c r="X683" s="113"/>
      <c r="Y683" s="401"/>
      <c r="Z683" s="302"/>
      <c r="AA683" s="174"/>
      <c r="AB683" s="134"/>
      <c r="AC683" s="411"/>
      <c r="AD683" s="411"/>
      <c r="AE683" s="411"/>
      <c r="AF683" s="411"/>
      <c r="AG683" s="411"/>
      <c r="AH683" s="411"/>
      <c r="AI683" s="411"/>
      <c r="AJ683" s="411"/>
      <c r="AK683" s="411"/>
      <c r="AL683" s="411"/>
      <c r="AM683" s="411"/>
      <c r="AN683" s="411"/>
      <c r="AO683" s="134"/>
      <c r="AP683" s="411"/>
      <c r="AQ683" s="411"/>
      <c r="AR683" s="411"/>
      <c r="AS683" s="411"/>
      <c r="AT683" s="411"/>
      <c r="AU683" s="411"/>
      <c r="AV683" s="411"/>
      <c r="AW683" s="411"/>
      <c r="AX683" s="411"/>
      <c r="AY683" s="411"/>
      <c r="AZ683" s="411"/>
      <c r="BA683" s="411"/>
    </row>
    <row r="684" spans="1:53" s="412" customFormat="1" ht="12.75" customHeight="1" outlineLevel="1">
      <c r="A684" s="408"/>
      <c r="B684" s="416" t="s">
        <v>1608</v>
      </c>
      <c r="C684" s="415" t="s">
        <v>1609</v>
      </c>
      <c r="D684" s="172"/>
      <c r="E684" s="172"/>
      <c r="F684" s="113"/>
      <c r="G684" s="113"/>
      <c r="H684" s="113"/>
      <c r="I684" s="401"/>
      <c r="J684" s="168"/>
      <c r="K684" s="113"/>
      <c r="L684" s="113"/>
      <c r="M684" s="113"/>
      <c r="N684" s="401"/>
      <c r="O684" s="314"/>
      <c r="P684" s="168"/>
      <c r="Q684" s="113"/>
      <c r="R684" s="113"/>
      <c r="S684" s="113"/>
      <c r="T684" s="401"/>
      <c r="U684" s="168"/>
      <c r="V684" s="113"/>
      <c r="W684" s="113"/>
      <c r="X684" s="113"/>
      <c r="Y684" s="401"/>
      <c r="Z684" s="302"/>
      <c r="AA684" s="174"/>
      <c r="AB684" s="134"/>
      <c r="AC684" s="411"/>
      <c r="AD684" s="411"/>
      <c r="AE684" s="411"/>
      <c r="AF684" s="411"/>
      <c r="AG684" s="411"/>
      <c r="AH684" s="411"/>
      <c r="AI684" s="411"/>
      <c r="AJ684" s="411"/>
      <c r="AK684" s="411"/>
      <c r="AL684" s="411"/>
      <c r="AM684" s="411"/>
      <c r="AN684" s="411"/>
      <c r="AO684" s="134"/>
      <c r="AP684" s="411"/>
      <c r="AQ684" s="411"/>
      <c r="AR684" s="411"/>
      <c r="AS684" s="411"/>
      <c r="AT684" s="411"/>
      <c r="AU684" s="411"/>
      <c r="AV684" s="411"/>
      <c r="AW684" s="411"/>
      <c r="AX684" s="411"/>
      <c r="AY684" s="411"/>
      <c r="AZ684" s="411"/>
      <c r="BA684" s="411"/>
    </row>
    <row r="685" spans="1:53" s="412" customFormat="1" ht="12.75" customHeight="1" outlineLevel="1">
      <c r="A685" s="408"/>
      <c r="B685" s="416" t="s">
        <v>1610</v>
      </c>
      <c r="C685" s="415" t="s">
        <v>1611</v>
      </c>
      <c r="D685" s="172"/>
      <c r="E685" s="172"/>
      <c r="F685" s="113"/>
      <c r="G685" s="113"/>
      <c r="H685" s="113"/>
      <c r="I685" s="401"/>
      <c r="J685" s="168"/>
      <c r="K685" s="113"/>
      <c r="L685" s="113"/>
      <c r="M685" s="113"/>
      <c r="N685" s="401"/>
      <c r="O685" s="314"/>
      <c r="P685" s="168"/>
      <c r="Q685" s="113"/>
      <c r="R685" s="113"/>
      <c r="S685" s="113"/>
      <c r="T685" s="401"/>
      <c r="U685" s="168"/>
      <c r="V685" s="113"/>
      <c r="W685" s="113"/>
      <c r="X685" s="113"/>
      <c r="Y685" s="401"/>
      <c r="Z685" s="302"/>
      <c r="AA685" s="174"/>
      <c r="AB685" s="134"/>
      <c r="AC685" s="411"/>
      <c r="AD685" s="411"/>
      <c r="AE685" s="411"/>
      <c r="AF685" s="411"/>
      <c r="AG685" s="411"/>
      <c r="AH685" s="411"/>
      <c r="AI685" s="411"/>
      <c r="AJ685" s="411"/>
      <c r="AK685" s="411"/>
      <c r="AL685" s="411"/>
      <c r="AM685" s="411"/>
      <c r="AN685" s="411"/>
      <c r="AO685" s="134"/>
      <c r="AP685" s="411"/>
      <c r="AQ685" s="411"/>
      <c r="AR685" s="411"/>
      <c r="AS685" s="411"/>
      <c r="AT685" s="411"/>
      <c r="AU685" s="411"/>
      <c r="AV685" s="411"/>
      <c r="AW685" s="411"/>
      <c r="AX685" s="411"/>
      <c r="AY685" s="411"/>
      <c r="AZ685" s="411"/>
      <c r="BA685" s="411"/>
    </row>
    <row r="686" spans="1:53" s="412" customFormat="1" ht="12.75" customHeight="1" outlineLevel="1">
      <c r="A686" s="408"/>
      <c r="B686" s="416" t="s">
        <v>1612</v>
      </c>
      <c r="C686" s="415" t="s">
        <v>148</v>
      </c>
      <c r="D686" s="172"/>
      <c r="E686" s="172"/>
      <c r="F686" s="113"/>
      <c r="G686" s="113"/>
      <c r="H686" s="113"/>
      <c r="I686" s="401"/>
      <c r="J686" s="168"/>
      <c r="K686" s="113"/>
      <c r="L686" s="113"/>
      <c r="M686" s="113"/>
      <c r="N686" s="401"/>
      <c r="O686" s="314"/>
      <c r="P686" s="168"/>
      <c r="Q686" s="113"/>
      <c r="R686" s="113"/>
      <c r="S686" s="113"/>
      <c r="T686" s="401"/>
      <c r="U686" s="168"/>
      <c r="V686" s="113"/>
      <c r="W686" s="113"/>
      <c r="X686" s="113"/>
      <c r="Y686" s="401"/>
      <c r="Z686" s="302"/>
      <c r="AA686" s="174"/>
      <c r="AB686" s="134"/>
      <c r="AC686" s="411"/>
      <c r="AD686" s="411"/>
      <c r="AE686" s="411"/>
      <c r="AF686" s="411"/>
      <c r="AG686" s="411"/>
      <c r="AH686" s="411"/>
      <c r="AI686" s="411"/>
      <c r="AJ686" s="411"/>
      <c r="AK686" s="411"/>
      <c r="AL686" s="411"/>
      <c r="AM686" s="411"/>
      <c r="AN686" s="411"/>
      <c r="AO686" s="134"/>
      <c r="AP686" s="411"/>
      <c r="AQ686" s="411"/>
      <c r="AR686" s="411"/>
      <c r="AS686" s="411"/>
      <c r="AT686" s="411"/>
      <c r="AU686" s="411"/>
      <c r="AV686" s="411"/>
      <c r="AW686" s="411"/>
      <c r="AX686" s="411"/>
      <c r="AY686" s="411"/>
      <c r="AZ686" s="411"/>
      <c r="BA686" s="411"/>
    </row>
    <row r="687" spans="1:53" s="412" customFormat="1" ht="12.75" customHeight="1" outlineLevel="1">
      <c r="A687" s="408"/>
      <c r="B687" s="416" t="s">
        <v>1613</v>
      </c>
      <c r="C687" s="415" t="s">
        <v>1614</v>
      </c>
      <c r="D687" s="172"/>
      <c r="E687" s="172"/>
      <c r="F687" s="113"/>
      <c r="G687" s="113"/>
      <c r="H687" s="113"/>
      <c r="I687" s="401"/>
      <c r="J687" s="168"/>
      <c r="K687" s="113"/>
      <c r="L687" s="113"/>
      <c r="M687" s="113"/>
      <c r="N687" s="401"/>
      <c r="O687" s="314"/>
      <c r="P687" s="168"/>
      <c r="Q687" s="113"/>
      <c r="R687" s="113"/>
      <c r="S687" s="113"/>
      <c r="T687" s="401"/>
      <c r="U687" s="168"/>
      <c r="V687" s="113"/>
      <c r="W687" s="113"/>
      <c r="X687" s="113"/>
      <c r="Y687" s="401"/>
      <c r="Z687" s="302"/>
      <c r="AA687" s="174"/>
      <c r="AB687" s="134"/>
      <c r="AC687" s="411"/>
      <c r="AD687" s="411"/>
      <c r="AE687" s="411"/>
      <c r="AF687" s="411"/>
      <c r="AG687" s="411"/>
      <c r="AH687" s="411"/>
      <c r="AI687" s="411"/>
      <c r="AJ687" s="411"/>
      <c r="AK687" s="411"/>
      <c r="AL687" s="411"/>
      <c r="AM687" s="411"/>
      <c r="AN687" s="411"/>
      <c r="AO687" s="134"/>
      <c r="AP687" s="411"/>
      <c r="AQ687" s="411"/>
      <c r="AR687" s="411"/>
      <c r="AS687" s="411"/>
      <c r="AT687" s="411"/>
      <c r="AU687" s="411"/>
      <c r="AV687" s="411"/>
      <c r="AW687" s="411"/>
      <c r="AX687" s="411"/>
      <c r="AY687" s="411"/>
      <c r="AZ687" s="411"/>
      <c r="BA687" s="411"/>
    </row>
    <row r="688" spans="1:53" s="412" customFormat="1" ht="12.75" customHeight="1" outlineLevel="1">
      <c r="A688" s="408"/>
      <c r="B688" s="416" t="s">
        <v>1615</v>
      </c>
      <c r="C688" s="415" t="s">
        <v>147</v>
      </c>
      <c r="D688" s="172"/>
      <c r="E688" s="172"/>
      <c r="F688" s="113"/>
      <c r="G688" s="113"/>
      <c r="H688" s="113"/>
      <c r="I688" s="401"/>
      <c r="J688" s="168"/>
      <c r="K688" s="113"/>
      <c r="L688" s="113"/>
      <c r="M688" s="113"/>
      <c r="N688" s="401"/>
      <c r="O688" s="314"/>
      <c r="P688" s="168"/>
      <c r="Q688" s="113"/>
      <c r="R688" s="113"/>
      <c r="S688" s="113"/>
      <c r="T688" s="401"/>
      <c r="U688" s="168"/>
      <c r="V688" s="113"/>
      <c r="W688" s="113"/>
      <c r="X688" s="113"/>
      <c r="Y688" s="401"/>
      <c r="Z688" s="302"/>
      <c r="AA688" s="174"/>
      <c r="AB688" s="134"/>
      <c r="AC688" s="411"/>
      <c r="AD688" s="411"/>
      <c r="AE688" s="411"/>
      <c r="AF688" s="411"/>
      <c r="AG688" s="411"/>
      <c r="AH688" s="411"/>
      <c r="AI688" s="411"/>
      <c r="AJ688" s="411"/>
      <c r="AK688" s="411"/>
      <c r="AL688" s="411"/>
      <c r="AM688" s="411"/>
      <c r="AN688" s="411"/>
      <c r="AO688" s="134"/>
      <c r="AP688" s="411"/>
      <c r="AQ688" s="411"/>
      <c r="AR688" s="411"/>
      <c r="AS688" s="411"/>
      <c r="AT688" s="411"/>
      <c r="AU688" s="411"/>
      <c r="AV688" s="411"/>
      <c r="AW688" s="411"/>
      <c r="AX688" s="411"/>
      <c r="AY688" s="411"/>
      <c r="AZ688" s="411"/>
      <c r="BA688" s="411"/>
    </row>
    <row r="689" spans="1:53" s="412" customFormat="1" ht="12.75" customHeight="1" outlineLevel="1">
      <c r="A689" s="408"/>
      <c r="B689" s="416" t="s">
        <v>1616</v>
      </c>
      <c r="C689" s="415" t="s">
        <v>154</v>
      </c>
      <c r="D689" s="172"/>
      <c r="E689" s="172"/>
      <c r="F689" s="113"/>
      <c r="G689" s="113"/>
      <c r="H689" s="113"/>
      <c r="I689" s="401"/>
      <c r="J689" s="168"/>
      <c r="K689" s="113"/>
      <c r="L689" s="113"/>
      <c r="M689" s="113"/>
      <c r="N689" s="401"/>
      <c r="O689" s="314"/>
      <c r="P689" s="168"/>
      <c r="Q689" s="113"/>
      <c r="R689" s="113"/>
      <c r="S689" s="113"/>
      <c r="T689" s="401"/>
      <c r="U689" s="168"/>
      <c r="V689" s="113"/>
      <c r="W689" s="113"/>
      <c r="X689" s="113"/>
      <c r="Y689" s="401"/>
      <c r="Z689" s="302"/>
      <c r="AA689" s="174"/>
      <c r="AB689" s="134"/>
      <c r="AC689" s="411"/>
      <c r="AD689" s="411"/>
      <c r="AE689" s="411"/>
      <c r="AF689" s="411"/>
      <c r="AG689" s="411"/>
      <c r="AH689" s="411"/>
      <c r="AI689" s="411"/>
      <c r="AJ689" s="411"/>
      <c r="AK689" s="411"/>
      <c r="AL689" s="411"/>
      <c r="AM689" s="411"/>
      <c r="AN689" s="411"/>
      <c r="AO689" s="134"/>
      <c r="AP689" s="411"/>
      <c r="AQ689" s="411"/>
      <c r="AR689" s="411"/>
      <c r="AS689" s="411"/>
      <c r="AT689" s="411"/>
      <c r="AU689" s="411"/>
      <c r="AV689" s="411"/>
      <c r="AW689" s="411"/>
      <c r="AX689" s="411"/>
      <c r="AY689" s="411"/>
      <c r="AZ689" s="411"/>
      <c r="BA689" s="411"/>
    </row>
    <row r="690" spans="1:53" s="412" customFormat="1" ht="12.75" customHeight="1" outlineLevel="1">
      <c r="B690" s="416" t="s">
        <v>1617</v>
      </c>
      <c r="C690" s="415" t="s">
        <v>1618</v>
      </c>
      <c r="D690" s="172"/>
      <c r="E690" s="172"/>
      <c r="F690" s="113"/>
      <c r="G690" s="113"/>
      <c r="H690" s="113"/>
      <c r="I690" s="401"/>
      <c r="J690" s="168"/>
      <c r="K690" s="113"/>
      <c r="L690" s="113"/>
      <c r="M690" s="113"/>
      <c r="N690" s="401"/>
      <c r="O690" s="314"/>
      <c r="P690" s="168"/>
      <c r="Q690" s="113"/>
      <c r="R690" s="113"/>
      <c r="S690" s="113"/>
      <c r="T690" s="401"/>
      <c r="U690" s="168"/>
      <c r="V690" s="113"/>
      <c r="W690" s="113"/>
      <c r="X690" s="113"/>
      <c r="Y690" s="401"/>
      <c r="Z690" s="302"/>
      <c r="AA690" s="174"/>
      <c r="AB690" s="134"/>
      <c r="AC690" s="411"/>
      <c r="AD690" s="411"/>
      <c r="AE690" s="411"/>
      <c r="AF690" s="411"/>
      <c r="AG690" s="411"/>
      <c r="AH690" s="411"/>
      <c r="AI690" s="411"/>
      <c r="AJ690" s="411"/>
      <c r="AK690" s="411"/>
      <c r="AL690" s="411"/>
      <c r="AM690" s="411"/>
      <c r="AN690" s="411"/>
      <c r="AO690" s="134"/>
      <c r="AP690" s="411"/>
      <c r="AQ690" s="411"/>
      <c r="AR690" s="411"/>
      <c r="AS690" s="411"/>
      <c r="AT690" s="411"/>
      <c r="AU690" s="411"/>
      <c r="AV690" s="411"/>
      <c r="AW690" s="411"/>
      <c r="AX690" s="411"/>
      <c r="AY690" s="411"/>
      <c r="AZ690" s="411"/>
      <c r="BA690" s="411"/>
    </row>
    <row r="691" spans="1:53" s="412" customFormat="1" ht="12.75" customHeight="1" outlineLevel="1">
      <c r="A691" s="111"/>
      <c r="B691" s="417" t="s">
        <v>1619</v>
      </c>
      <c r="C691" s="418" t="str">
        <f>UPPER(TEXT(NvsElapsedTime,"hh:mm:ss"))</f>
        <v>00:00:10</v>
      </c>
      <c r="D691" s="172"/>
      <c r="E691" s="172"/>
      <c r="F691" s="113"/>
      <c r="G691" s="113"/>
      <c r="H691" s="113"/>
      <c r="I691" s="401"/>
      <c r="J691" s="168"/>
      <c r="K691" s="113"/>
      <c r="L691" s="113"/>
      <c r="M691" s="113"/>
      <c r="N691" s="401"/>
      <c r="O691" s="314"/>
      <c r="P691" s="168"/>
      <c r="Q691" s="113"/>
      <c r="R691" s="113"/>
      <c r="S691" s="113"/>
      <c r="T691" s="401"/>
      <c r="U691" s="168"/>
      <c r="V691" s="113"/>
      <c r="W691" s="113"/>
      <c r="X691" s="113"/>
      <c r="Y691" s="401"/>
      <c r="Z691" s="302"/>
      <c r="AA691" s="174"/>
      <c r="AB691" s="134"/>
      <c r="AC691" s="411"/>
      <c r="AD691" s="411"/>
      <c r="AE691" s="411"/>
      <c r="AF691" s="411"/>
      <c r="AG691" s="411"/>
      <c r="AH691" s="411"/>
      <c r="AI691" s="411"/>
      <c r="AJ691" s="411"/>
      <c r="AK691" s="411"/>
      <c r="AL691" s="411"/>
      <c r="AM691" s="411"/>
      <c r="AN691" s="411"/>
      <c r="AO691" s="134"/>
      <c r="AP691" s="411"/>
      <c r="AQ691" s="411"/>
      <c r="AR691" s="411"/>
      <c r="AS691" s="411"/>
      <c r="AT691" s="411"/>
      <c r="AU691" s="411"/>
      <c r="AV691" s="411"/>
      <c r="AW691" s="411"/>
      <c r="AX691" s="411"/>
      <c r="AY691" s="411"/>
      <c r="AZ691" s="411"/>
      <c r="BA691" s="411"/>
    </row>
    <row r="692" spans="1:53" s="412" customFormat="1" ht="12.75" customHeight="1" outlineLevel="1">
      <c r="A692" s="111"/>
      <c r="B692" s="417" t="s">
        <v>1620</v>
      </c>
      <c r="C692" s="418" t="str">
        <f>NvsTree.GL_FERC_ACCT</f>
        <v>YSNYN</v>
      </c>
      <c r="D692" s="172"/>
      <c r="E692" s="172"/>
      <c r="F692" s="113"/>
      <c r="G692" s="113"/>
      <c r="H692" s="113"/>
      <c r="I692" s="401"/>
      <c r="J692" s="168"/>
      <c r="K692" s="113"/>
      <c r="L692" s="113"/>
      <c r="M692" s="113"/>
      <c r="N692" s="401"/>
      <c r="O692" s="314"/>
      <c r="P692" s="168"/>
      <c r="Q692" s="113"/>
      <c r="R692" s="113"/>
      <c r="S692" s="113"/>
      <c r="T692" s="401"/>
      <c r="U692" s="168"/>
      <c r="V692" s="113"/>
      <c r="W692" s="113"/>
      <c r="X692" s="113"/>
      <c r="Y692" s="401"/>
      <c r="Z692" s="302"/>
      <c r="AA692" s="174"/>
      <c r="AB692" s="134"/>
      <c r="AC692" s="411"/>
      <c r="AD692" s="411"/>
      <c r="AE692" s="411"/>
      <c r="AF692" s="411"/>
      <c r="AG692" s="411"/>
      <c r="AH692" s="411"/>
      <c r="AI692" s="411"/>
      <c r="AJ692" s="411"/>
      <c r="AK692" s="411"/>
      <c r="AL692" s="411"/>
      <c r="AM692" s="411"/>
      <c r="AN692" s="411"/>
      <c r="AO692" s="134"/>
      <c r="AP692" s="411"/>
      <c r="AQ692" s="411"/>
      <c r="AR692" s="411"/>
      <c r="AS692" s="411"/>
      <c r="AT692" s="411"/>
      <c r="AU692" s="411"/>
      <c r="AV692" s="411"/>
      <c r="AW692" s="411"/>
      <c r="AX692" s="411"/>
      <c r="AY692" s="411"/>
      <c r="AZ692" s="411"/>
      <c r="BA692" s="411"/>
    </row>
    <row r="693" spans="1:53" s="412" customFormat="1" ht="12.75" customHeight="1" outlineLevel="1">
      <c r="A693" s="111"/>
      <c r="B693" s="417" t="s">
        <v>1621</v>
      </c>
      <c r="C693" s="418" t="str">
        <f>NvsTree.GL_PRPT_CONS</f>
        <v>NNNNN</v>
      </c>
      <c r="D693" s="172"/>
      <c r="E693" s="172"/>
      <c r="F693" s="113"/>
      <c r="G693" s="113"/>
      <c r="H693" s="113"/>
      <c r="I693" s="401"/>
      <c r="J693" s="168"/>
      <c r="K693" s="113"/>
      <c r="L693" s="113"/>
      <c r="M693" s="113"/>
      <c r="N693" s="401"/>
      <c r="O693" s="314"/>
      <c r="P693" s="168"/>
      <c r="Q693" s="113"/>
      <c r="R693" s="113"/>
      <c r="S693" s="113"/>
      <c r="T693" s="401"/>
      <c r="U693" s="168"/>
      <c r="V693" s="113"/>
      <c r="W693" s="113"/>
      <c r="X693" s="113"/>
      <c r="Y693" s="401"/>
      <c r="Z693" s="302"/>
      <c r="AA693" s="174"/>
      <c r="AB693" s="134"/>
      <c r="AC693" s="411"/>
      <c r="AD693" s="411"/>
      <c r="AE693" s="411"/>
      <c r="AF693" s="411"/>
      <c r="AG693" s="411"/>
      <c r="AH693" s="411"/>
      <c r="AI693" s="411"/>
      <c r="AJ693" s="411"/>
      <c r="AK693" s="411"/>
      <c r="AL693" s="411"/>
      <c r="AM693" s="411"/>
      <c r="AN693" s="411"/>
      <c r="AO693" s="134"/>
      <c r="AP693" s="411"/>
      <c r="AQ693" s="411"/>
      <c r="AR693" s="411"/>
      <c r="AS693" s="411"/>
      <c r="AT693" s="411"/>
      <c r="AU693" s="411"/>
      <c r="AV693" s="411"/>
      <c r="AW693" s="411"/>
      <c r="AX693" s="411"/>
      <c r="AY693" s="411"/>
      <c r="AZ693" s="411"/>
      <c r="BA693" s="411"/>
    </row>
    <row r="694" spans="1:53" s="412" customFormat="1">
      <c r="A694" s="111"/>
      <c r="B694" s="419" t="s">
        <v>1622</v>
      </c>
      <c r="C694" s="420"/>
      <c r="D694" s="172"/>
      <c r="E694" s="172"/>
      <c r="F694" s="113"/>
      <c r="G694" s="113"/>
      <c r="H694" s="113"/>
      <c r="I694" s="401"/>
      <c r="J694" s="168"/>
      <c r="K694" s="113"/>
      <c r="L694" s="113"/>
      <c r="M694" s="113"/>
      <c r="N694" s="401"/>
      <c r="O694" s="314"/>
      <c r="P694" s="168"/>
      <c r="Q694" s="113"/>
      <c r="R694" s="113"/>
      <c r="S694" s="113"/>
      <c r="T694" s="401"/>
      <c r="U694" s="168"/>
      <c r="V694" s="113"/>
      <c r="W694" s="113"/>
      <c r="X694" s="113"/>
      <c r="Y694" s="401"/>
      <c r="Z694" s="302"/>
      <c r="AA694" s="174"/>
      <c r="AB694" s="134"/>
      <c r="AC694" s="411"/>
      <c r="AD694" s="411"/>
      <c r="AE694" s="411"/>
      <c r="AF694" s="411"/>
      <c r="AG694" s="411"/>
      <c r="AH694" s="411"/>
      <c r="AI694" s="411"/>
      <c r="AJ694" s="411"/>
      <c r="AK694" s="411"/>
      <c r="AL694" s="411"/>
      <c r="AM694" s="411"/>
      <c r="AN694" s="411"/>
      <c r="AO694" s="134"/>
      <c r="AP694" s="411"/>
      <c r="AQ694" s="411"/>
      <c r="AR694" s="411"/>
      <c r="AS694" s="411"/>
      <c r="AT694" s="411"/>
      <c r="AU694" s="411"/>
      <c r="AV694" s="411"/>
      <c r="AW694" s="411"/>
      <c r="AX694" s="411"/>
      <c r="AY694" s="411"/>
      <c r="AZ694" s="411"/>
      <c r="BA694" s="411"/>
    </row>
  </sheetData>
  <conditionalFormatting sqref="C4">
    <cfRule type="cellIs" dxfId="0" priority="1" stopIfTrue="1" operator="equal">
      <formula>"REPORT HAS ERRORS"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dXNlclNlbGVjdGVkIj48ZWxlbWVudCB1aWQ9IjUwYzMxODI0LTA3ODAtNDkxMC04N2QxLWVhYWZmZDE4MmQ0MiIgdmFsdWU9IiIgeG1sbnM9Imh0dHA6Ly93d3cuYm9sZG9uamFtZXMuY29tLzIwMDgvMDEvc2llL2ludGVybmFsL2xhYmVsIiAvPjxlbGVtZW50IHVpZD0iNzRmYjJhNjYtYTZhMC00NjcyLWI2YWQtNDg4ZTVhNDgyNWQ1IiB2YWx1ZT0iIiB4bWxucz0iaHR0cDovL3d3dy5ib2xkb25qYW1lcy5jb20vMjAwOC8wMS9zaWUvaW50ZXJuYWwvbGFiZWwiIC8+PGVsZW1lbnQgdWlkPSJkMTRmNWMzNi1mNDRhLTQzMTUtYjQzOC0wMDVjZmU4ZjA2OWYiIHZhbHVlPSIiIHhtbG5zPSJodHRwOi8vd3d3LmJvbGRvbmphbWVzLmNvbS8yMDA4LzAxL3NpZS9pbnRlcm5hbC9sYWJlbCIgLz48L3Npc2w+PFVzZXJOYW1lPkNPUlBcczI5MDc5MjwvVXNlck5hbWU+PERhdGVUaW1lPjEyLzgvMjAyMiA0OjA2OjMxIFBNPC9EYXRlVGltZT48TGFiZWxTdHJpbmc+QUVQIEludGVybmFsPC9MYWJlbFN0cmluZz48L2l0ZW0+PC9sYWJlbEhpc3Rvcnk+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  <element uid="74fb2a66-a6a0-4672-b6ad-488e5a4825d5" value=""/>
  <element uid="d14f5c36-f44a-4315-b438-005cfe8f069f" value=""/>
</sisl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136CE24ED5F449BD16740FFC7FAF6F" ma:contentTypeVersion="31" ma:contentTypeDescription="Create a new document." ma:contentTypeScope="" ma:versionID="b6179feaad23018a41f76eaef5b4f43d">
  <xsd:schema xmlns:xsd="http://www.w3.org/2001/XMLSchema" xmlns:xs="http://www.w3.org/2001/XMLSchema" xmlns:p="http://schemas.microsoft.com/office/2006/metadata/properties" xmlns:ns1="http://schemas.microsoft.com/sharepoint/v3" xmlns:ns2="a1040523-5304-4b09-b6d4-64a124c994e2" xmlns:ns3="5b640fb8-5a34-41c1-9307-1b790ff29a8b" xmlns:ns4="51831b8d-857f-44dd-949b-652450d1a5df" targetNamespace="http://schemas.microsoft.com/office/2006/metadata/properties" ma:root="true" ma:fieldsID="b176c6d2b07027ee7343df1467fc3652" ns1:_="" ns2:_="" ns3:_="" ns4:_="">
    <xsd:import namespace="http://schemas.microsoft.com/sharepoint/v3"/>
    <xsd:import namespace="a1040523-5304-4b09-b6d4-64a124c994e2"/>
    <xsd:import namespace="5b640fb8-5a34-41c1-9307-1b790ff29a8b"/>
    <xsd:import namespace="51831b8d-857f-44dd-949b-652450d1a5df"/>
    <xsd:element name="properties">
      <xsd:complexType>
        <xsd:sequence>
          <xsd:element name="documentManagement">
            <xsd:complexType>
              <xsd:all>
                <xsd:element ref="ns2:Operating_x0020_Company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lcf76f155ced4ddcb4097134ff3c332f" minOccurs="0"/>
                <xsd:element ref="ns4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ObjectDetectorVersion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040523-5304-4b09-b6d4-64a124c994e2" elementFormDefault="qualified">
    <xsd:import namespace="http://schemas.microsoft.com/office/2006/documentManagement/types"/>
    <xsd:import namespace="http://schemas.microsoft.com/office/infopath/2007/PartnerControls"/>
    <xsd:element name="Operating_x0020_Company" ma:index="8" ma:displayName="Operating Company" ma:default="AEP Ohio" ma:format="Dropdown" ma:internalName="Operating_x0020_Company" ma:readOnly="false">
      <xsd:simpleType>
        <xsd:restriction base="dms:Choice">
          <xsd:enumeration value="AEP Ohio"/>
          <xsd:enumeration value="AEP Texas"/>
          <xsd:enumeration value="Appalachian Power - Tennessee"/>
          <xsd:enumeration value="Appalachian Power - Virginia"/>
          <xsd:enumeration value="Appalachian Power - West Virginia"/>
          <xsd:enumeration value="FERC"/>
          <xsd:enumeration value="Indiana &amp; Michigan Power - Indiana"/>
          <xsd:enumeration value="Indiana &amp; Michigan Power - Michigan"/>
          <xsd:enumeration value="Kentucky Power"/>
          <xsd:enumeration value="PSO"/>
          <xsd:enumeration value="SWEPCO - Arkansas"/>
          <xsd:enumeration value="SWEPCO - Louisiana"/>
          <xsd:enumeration value="SWEPCO - TEXAS"/>
          <xsd:enumeration value="SWEPCO - Peine"/>
          <xsd:enumeration value="ET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40fb8-5a34-41c1-9307-1b790ff29a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efa54f2-5b03-49c6-9483-51c08a973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31b8d-857f-44dd-949b-652450d1a5d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b4476ce-ac5c-42b1-bccc-28ba47756ae8}" ma:internalName="TaxCatchAll" ma:showField="CatchAllData" ma:web="51831b8d-857f-44dd-949b-652450d1a5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erating_x0020_Company xmlns="a1040523-5304-4b09-b6d4-64a124c994e2">AEP Ohio</Operating_x0020_Company>
    <lcf76f155ced4ddcb4097134ff3c332f xmlns="5b640fb8-5a34-41c1-9307-1b790ff29a8b">
      <Terms xmlns="http://schemas.microsoft.com/office/infopath/2007/PartnerControls"/>
    </lcf76f155ced4ddcb4097134ff3c332f>
    <_Flow_SignoffStatus xmlns="5b640fb8-5a34-41c1-9307-1b790ff29a8b" xsi:nil="true"/>
    <TaxCatchAll xmlns="51831b8d-857f-44dd-949b-652450d1a5df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5D1D52C-27F9-44F2-BECE-CF74B6B6AAC5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0F2FDF83-7757-49FA-869B-AB81C3CAF44B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71B2B1CF-44E7-4B99-AEAF-4A60B3841625}"/>
</file>

<file path=customXml/itemProps4.xml><?xml version="1.0" encoding="utf-8"?>
<ds:datastoreItem xmlns:ds="http://schemas.openxmlformats.org/officeDocument/2006/customXml" ds:itemID="{894914D9-9B1E-4DF5-9F42-132837EFEC7D}"/>
</file>

<file path=customXml/itemProps5.xml><?xml version="1.0" encoding="utf-8"?>
<ds:datastoreItem xmlns:ds="http://schemas.openxmlformats.org/officeDocument/2006/customXml" ds:itemID="{C1065CF8-EEC4-4F09-ADA3-BB029EB875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LMS-1 Monthly ES BRR</vt:lpstr>
      <vt:lpstr>W03 ML FGD Expense</vt:lpstr>
      <vt:lpstr>W05 ES Revenue Adj</vt:lpstr>
      <vt:lpstr>ML-Non FGD</vt:lpstr>
      <vt:lpstr>ML-FGD</vt:lpstr>
      <vt:lpstr>RP</vt:lpstr>
      <vt:lpstr>Allocation Factors</vt:lpstr>
      <vt:lpstr>Property Tax</vt:lpstr>
      <vt:lpstr>IS</vt:lpstr>
      <vt:lpstr>3.20</vt:lpstr>
      <vt:lpstr>'W03 ML FGD Expense'!Print_Area</vt:lpstr>
    </vt:vector>
  </TitlesOfParts>
  <Company>American Electric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s290792</dc:creator>
  <cp:lastModifiedBy>s290792</cp:lastModifiedBy>
  <cp:lastPrinted>2020-06-08T19:08:22Z</cp:lastPrinted>
  <dcterms:created xsi:type="dcterms:W3CDTF">2020-01-31T18:51:21Z</dcterms:created>
  <dcterms:modified xsi:type="dcterms:W3CDTF">2023-07-07T16:06:07Z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86f84277-8883-4320-b387-a91716f4baa2</vt:lpwstr>
  </property>
  <property fmtid="{D5CDD505-2E9C-101B-9397-08002B2CF9AE}" pid="3" name="bjSaver">
    <vt:lpwstr>Yzo6iu4RCOp5VcJWjy40zzIEO7NbA0wx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5" name="bjDocumentLabelXML-0">
    <vt:lpwstr>ames.com/2008/01/sie/internal/label"&gt;&lt;element uid="50c31824-0780-4910-87d1-eaaffd182d42" value="" /&gt;&lt;element uid="74fb2a66-a6a0-4672-b6ad-488e5a4825d5" value="" /&gt;&lt;element uid="d14f5c36-f44a-4315-b438-005cfe8f069f" value="" /&gt;&lt;/sisl&gt;</vt:lpwstr>
  </property>
  <property fmtid="{D5CDD505-2E9C-101B-9397-08002B2CF9AE}" pid="6" name="bjDocumentSecurityLabel">
    <vt:lpwstr>AEP Internal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ClsUserRVM">
    <vt:lpwstr>[]</vt:lpwstr>
  </property>
  <property fmtid="{D5CDD505-2E9C-101B-9397-08002B2CF9AE}" pid="11" name="bjLabelHistoryID">
    <vt:lpwstr>{15D1D52C-27F9-44F2-BECE-CF74B6B6AAC5}</vt:lpwstr>
  </property>
  <property fmtid="{D5CDD505-2E9C-101B-9397-08002B2CF9AE}" pid="12" name="ContentTypeId">
    <vt:lpwstr>0x01010001136CE24ED5F449BD16740FFC7FAF6F</vt:lpwstr>
  </property>
</Properties>
</file>