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worksheets/sheet11.xml" ContentType="application/vnd.openxmlformats-officedocument.spreadsheetml.worksheet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Z:\pricing\Rate Cases\KPCo\2023 Base Case\Rate Design\Workpapers\"/>
    </mc:Choice>
  </mc:AlternateContent>
  <xr:revisionPtr revIDLastSave="0" documentId="8_{B724357C-9B92-4F77-B0CD-DB7DE1700EE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AC" sheetId="5" r:id="rId1"/>
    <sheet name="System Sales" sheetId="10" r:id="rId2"/>
    <sheet name="Capacity Charge" sheetId="14" r:id="rId3"/>
    <sheet name="Environmental" sheetId="18" r:id="rId4"/>
    <sheet name="PPA" sheetId="21" r:id="rId5"/>
    <sheet name="PPA KW" sheetId="37" r:id="rId6"/>
    <sheet name="DSM" sheetId="15" r:id="rId7"/>
    <sheet name="Decommissioning rider" sheetId="24" r:id="rId8"/>
    <sheet name="BS1OR kwh" sheetId="27" state="hidden" r:id="rId9"/>
    <sheet name="BS1OR kw" sheetId="28" state="hidden" r:id="rId10"/>
    <sheet name="Residential Energy Assistance" sheetId="31" r:id="rId11"/>
    <sheet name="Ken Economic Dev." sheetId="34" r:id="rId12"/>
    <sheet name="Federal tax cut" sheetId="33" r:id="rId13"/>
    <sheet name="B&amp;A kWh" sheetId="6" r:id="rId14"/>
    <sheet name="B&amp;A KW" sheetId="29" r:id="rId15"/>
    <sheet name="Comm kWh (DSM)" sheetId="12" r:id="rId16"/>
    <sheet name="B&amp;A $" sheetId="7" r:id="rId17"/>
    <sheet name="B&amp;A+DSM $" sheetId="16" r:id="rId18"/>
    <sheet name="B&amp;A+DSM - Fuel and % Riders" sheetId="20" r:id="rId19"/>
    <sheet name=" B&amp;A+DSM - % Riders" sheetId="23" r:id="rId20"/>
    <sheet name="B&amp;A customer by month" sheetId="35" r:id="rId21"/>
    <sheet name="Template" sheetId="9" r:id="rId22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5">'PPA KW'!$A$53:$Q$93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2" l="1"/>
  <c r="N17" i="20"/>
  <c r="D16" i="23" l="1"/>
  <c r="D17" i="20" l="1"/>
  <c r="X84" i="21" l="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6" i="21"/>
  <c r="X78" i="21"/>
  <c r="X79" i="21"/>
  <c r="X80" i="21"/>
  <c r="X81" i="21"/>
  <c r="X53" i="21"/>
  <c r="P203" i="7" l="1"/>
  <c r="AA24" i="21" l="1"/>
  <c r="AA26" i="21"/>
  <c r="AA28" i="21"/>
  <c r="AA32" i="21"/>
  <c r="AA34" i="21"/>
  <c r="AA36" i="21"/>
  <c r="AA38" i="21"/>
  <c r="AA40" i="21"/>
  <c r="AA42" i="21"/>
  <c r="AA44" i="21"/>
  <c r="AA46" i="21"/>
  <c r="AA48" i="21"/>
  <c r="AA50" i="21"/>
  <c r="AA52" i="21"/>
  <c r="AA54" i="21"/>
  <c r="AA56" i="21"/>
  <c r="AA58" i="21"/>
  <c r="AA60" i="21"/>
  <c r="AA62" i="21"/>
  <c r="AA64" i="21"/>
  <c r="AA66" i="21"/>
  <c r="AA68" i="21"/>
  <c r="AA70" i="21"/>
  <c r="AA72" i="21"/>
  <c r="AA74" i="21"/>
  <c r="AA76" i="21"/>
  <c r="AA78" i="21"/>
  <c r="AA80" i="21"/>
  <c r="AA82" i="21"/>
  <c r="AA90" i="21"/>
  <c r="P13" i="33"/>
  <c r="P15" i="33"/>
  <c r="P17" i="33"/>
  <c r="P21" i="33"/>
  <c r="P23" i="33"/>
  <c r="P25" i="33"/>
  <c r="P27" i="33"/>
  <c r="P29" i="33"/>
  <c r="P31" i="33"/>
  <c r="P33" i="33"/>
  <c r="P35" i="33"/>
  <c r="P37" i="33"/>
  <c r="P39" i="33"/>
  <c r="P41" i="33"/>
  <c r="P43" i="33"/>
  <c r="P45" i="33"/>
  <c r="P47" i="33"/>
  <c r="P49" i="33"/>
  <c r="P51" i="33"/>
  <c r="P53" i="33"/>
  <c r="P55" i="33"/>
  <c r="P57" i="33"/>
  <c r="P59" i="33"/>
  <c r="P61" i="33"/>
  <c r="P62" i="33"/>
  <c r="P63" i="33"/>
  <c r="P65" i="33"/>
  <c r="P67" i="33"/>
  <c r="P69" i="33"/>
  <c r="P71" i="33"/>
  <c r="P73" i="33"/>
  <c r="P75" i="33"/>
  <c r="P77" i="33"/>
  <c r="P63" i="29"/>
  <c r="M63" i="29"/>
  <c r="P208" i="6" l="1"/>
  <c r="L1" i="14" l="1"/>
  <c r="L59" i="14" s="1"/>
  <c r="E76" i="34"/>
  <c r="F76" i="34" s="1"/>
  <c r="G76" i="34" s="1"/>
  <c r="H76" i="34" s="1"/>
  <c r="I76" i="34" s="1"/>
  <c r="J76" i="34" s="1"/>
  <c r="K76" i="34" s="1"/>
  <c r="L76" i="34" s="1"/>
  <c r="M76" i="34" s="1"/>
  <c r="N76" i="34" s="1"/>
  <c r="O76" i="34" s="1"/>
  <c r="L2" i="21"/>
  <c r="L1" i="21"/>
  <c r="L77" i="14" l="1"/>
  <c r="L75" i="14"/>
  <c r="L71" i="14"/>
  <c r="L67" i="14"/>
  <c r="L63" i="14"/>
  <c r="L73" i="14"/>
  <c r="L69" i="14"/>
  <c r="L65" i="14"/>
  <c r="L61" i="14"/>
  <c r="L70" i="21"/>
  <c r="L88" i="21"/>
  <c r="L86" i="21"/>
  <c r="L82" i="21"/>
  <c r="L78" i="21"/>
  <c r="L74" i="21"/>
  <c r="L84" i="21"/>
  <c r="L80" i="21"/>
  <c r="L76" i="21"/>
  <c r="L72" i="21"/>
  <c r="M1" i="21"/>
  <c r="D68" i="21" l="1"/>
  <c r="D66" i="21"/>
  <c r="D64" i="21"/>
  <c r="D58" i="21"/>
  <c r="O59" i="37" l="1"/>
  <c r="M5" i="37"/>
  <c r="M4" i="37"/>
  <c r="M2" i="37"/>
  <c r="M1" i="37"/>
  <c r="E16" i="37"/>
  <c r="F16" i="37" s="1"/>
  <c r="G16" i="37" s="1"/>
  <c r="H16" i="37" s="1"/>
  <c r="I16" i="37" s="1"/>
  <c r="K12" i="37"/>
  <c r="F12" i="37"/>
  <c r="H12" i="37" s="1"/>
  <c r="E12" i="37"/>
  <c r="G12" i="37" s="1"/>
  <c r="I12" i="37" s="1"/>
  <c r="L81" i="37" l="1"/>
  <c r="L73" i="37"/>
  <c r="L79" i="37"/>
  <c r="L77" i="37"/>
  <c r="L75" i="37"/>
  <c r="L67" i="37"/>
  <c r="L71" i="37"/>
  <c r="L69" i="37"/>
  <c r="L63" i="37"/>
  <c r="L65" i="37"/>
  <c r="L59" i="37"/>
  <c r="L55" i="37"/>
  <c r="L57" i="37"/>
  <c r="N1" i="37"/>
  <c r="L53" i="37"/>
  <c r="E53" i="37"/>
  <c r="F117" i="12" l="1"/>
  <c r="G117" i="12"/>
  <c r="H117" i="12"/>
  <c r="I117" i="12"/>
  <c r="J117" i="12"/>
  <c r="K117" i="12"/>
  <c r="L117" i="12"/>
  <c r="M117" i="12"/>
  <c r="N117" i="12"/>
  <c r="O117" i="12"/>
  <c r="P117" i="12"/>
  <c r="E117" i="12"/>
  <c r="E109" i="12"/>
  <c r="F201" i="12"/>
  <c r="G201" i="12"/>
  <c r="H201" i="12"/>
  <c r="I201" i="12"/>
  <c r="J201" i="12"/>
  <c r="K201" i="12"/>
  <c r="L201" i="12"/>
  <c r="M201" i="12"/>
  <c r="N201" i="12"/>
  <c r="O201" i="12"/>
  <c r="P201" i="12"/>
  <c r="E201" i="12"/>
  <c r="Q210" i="35"/>
  <c r="P210" i="35"/>
  <c r="O210" i="35"/>
  <c r="N210" i="35"/>
  <c r="M210" i="35"/>
  <c r="L210" i="35"/>
  <c r="K210" i="35"/>
  <c r="J210" i="35"/>
  <c r="I210" i="35"/>
  <c r="H210" i="35"/>
  <c r="G210" i="35"/>
  <c r="F210" i="35"/>
  <c r="F202" i="35"/>
  <c r="G202" i="35"/>
  <c r="H202" i="35"/>
  <c r="I202" i="35"/>
  <c r="J202" i="35"/>
  <c r="K202" i="35"/>
  <c r="L202" i="35"/>
  <c r="M202" i="35"/>
  <c r="N202" i="35"/>
  <c r="O202" i="35"/>
  <c r="P202" i="35"/>
  <c r="Q202" i="35"/>
  <c r="E202" i="35"/>
  <c r="E210" i="35"/>
  <c r="Q80" i="7"/>
  <c r="E203" i="7"/>
  <c r="H203" i="7" l="1"/>
  <c r="I203" i="7"/>
  <c r="J203" i="7"/>
  <c r="K203" i="7"/>
  <c r="L203" i="7"/>
  <c r="M203" i="7"/>
  <c r="F203" i="7"/>
  <c r="G203" i="7"/>
  <c r="C204" i="6"/>
  <c r="D204" i="6"/>
  <c r="E208" i="6" l="1"/>
  <c r="E69" i="37" l="1"/>
  <c r="F69" i="37"/>
  <c r="G69" i="37"/>
  <c r="H69" i="37"/>
  <c r="I69" i="37"/>
  <c r="J69" i="37"/>
  <c r="K69" i="37"/>
  <c r="M69" i="37"/>
  <c r="N69" i="37"/>
  <c r="O69" i="37"/>
  <c r="D69" i="37"/>
  <c r="N67" i="37"/>
  <c r="O67" i="37"/>
  <c r="E67" i="37"/>
  <c r="F67" i="37"/>
  <c r="G67" i="37"/>
  <c r="H67" i="37"/>
  <c r="I67" i="37"/>
  <c r="J67" i="37"/>
  <c r="K67" i="37"/>
  <c r="M67" i="37"/>
  <c r="D67" i="37"/>
  <c r="Q59" i="29"/>
  <c r="Q57" i="29"/>
  <c r="P67" i="37" l="1"/>
  <c r="P69" i="37"/>
  <c r="E81" i="37"/>
  <c r="F81" i="37"/>
  <c r="G81" i="37"/>
  <c r="H81" i="37"/>
  <c r="I81" i="37"/>
  <c r="J81" i="37"/>
  <c r="K81" i="37"/>
  <c r="M81" i="37"/>
  <c r="N81" i="37"/>
  <c r="O81" i="37"/>
  <c r="E79" i="37"/>
  <c r="F79" i="37"/>
  <c r="G79" i="37"/>
  <c r="H79" i="37"/>
  <c r="I79" i="37"/>
  <c r="J79" i="37"/>
  <c r="K79" i="37"/>
  <c r="M79" i="37"/>
  <c r="N79" i="37"/>
  <c r="O79" i="37"/>
  <c r="E77" i="37"/>
  <c r="F77" i="37"/>
  <c r="G77" i="37"/>
  <c r="H77" i="37"/>
  <c r="I77" i="37"/>
  <c r="J77" i="37"/>
  <c r="K77" i="37"/>
  <c r="M77" i="37"/>
  <c r="N77" i="37"/>
  <c r="O77" i="37"/>
  <c r="E75" i="37"/>
  <c r="F75" i="37"/>
  <c r="G75" i="37"/>
  <c r="H75" i="37"/>
  <c r="I75" i="37"/>
  <c r="J75" i="37"/>
  <c r="K75" i="37"/>
  <c r="M75" i="37"/>
  <c r="N75" i="37"/>
  <c r="O75" i="37"/>
  <c r="E73" i="37"/>
  <c r="F73" i="37"/>
  <c r="G73" i="37"/>
  <c r="H73" i="37"/>
  <c r="I73" i="37"/>
  <c r="J73" i="37"/>
  <c r="K73" i="37"/>
  <c r="M73" i="37"/>
  <c r="N73" i="37"/>
  <c r="O73" i="37"/>
  <c r="E71" i="37"/>
  <c r="F71" i="37"/>
  <c r="G71" i="37"/>
  <c r="H71" i="37"/>
  <c r="I71" i="37"/>
  <c r="J71" i="37"/>
  <c r="K71" i="37"/>
  <c r="M71" i="37"/>
  <c r="N71" i="37"/>
  <c r="O71" i="37"/>
  <c r="E65" i="37"/>
  <c r="F65" i="37"/>
  <c r="G65" i="37"/>
  <c r="H65" i="37"/>
  <c r="I65" i="37"/>
  <c r="J65" i="37"/>
  <c r="K65" i="37"/>
  <c r="M65" i="37"/>
  <c r="N65" i="37"/>
  <c r="O65" i="37"/>
  <c r="E63" i="37"/>
  <c r="F63" i="37"/>
  <c r="G63" i="37"/>
  <c r="H63" i="37"/>
  <c r="I63" i="37"/>
  <c r="J63" i="37"/>
  <c r="K63" i="37"/>
  <c r="M63" i="37"/>
  <c r="N63" i="37"/>
  <c r="O63" i="37"/>
  <c r="E59" i="37"/>
  <c r="F59" i="37"/>
  <c r="G59" i="37"/>
  <c r="H59" i="37"/>
  <c r="I59" i="37"/>
  <c r="J59" i="37"/>
  <c r="K59" i="37"/>
  <c r="M59" i="37"/>
  <c r="N59" i="37"/>
  <c r="E57" i="37"/>
  <c r="F57" i="37"/>
  <c r="G57" i="37"/>
  <c r="H57" i="37"/>
  <c r="I57" i="37"/>
  <c r="J57" i="37"/>
  <c r="K57" i="37"/>
  <c r="M57" i="37"/>
  <c r="N57" i="37"/>
  <c r="O57" i="37"/>
  <c r="F53" i="37"/>
  <c r="G53" i="37"/>
  <c r="H53" i="37"/>
  <c r="I53" i="37"/>
  <c r="J53" i="37"/>
  <c r="K53" i="37"/>
  <c r="M53" i="37"/>
  <c r="N53" i="37"/>
  <c r="O53" i="37"/>
  <c r="D81" i="37"/>
  <c r="D79" i="37"/>
  <c r="D77" i="37"/>
  <c r="D75" i="37"/>
  <c r="D73" i="37"/>
  <c r="D71" i="37"/>
  <c r="D65" i="37"/>
  <c r="D63" i="37"/>
  <c r="D59" i="37"/>
  <c r="D57" i="37"/>
  <c r="E55" i="37"/>
  <c r="F55" i="37"/>
  <c r="G55" i="37"/>
  <c r="H55" i="37"/>
  <c r="I55" i="37"/>
  <c r="J55" i="37"/>
  <c r="K55" i="37"/>
  <c r="M55" i="37"/>
  <c r="N55" i="37"/>
  <c r="O55" i="37"/>
  <c r="D55" i="37"/>
  <c r="D53" i="37"/>
  <c r="Q50" i="29"/>
  <c r="Q49" i="29"/>
  <c r="F51" i="29"/>
  <c r="G51" i="29"/>
  <c r="H51" i="29"/>
  <c r="I51" i="29"/>
  <c r="H61" i="37" s="1"/>
  <c r="J51" i="29"/>
  <c r="I61" i="37" s="1"/>
  <c r="K51" i="29"/>
  <c r="J61" i="37" s="1"/>
  <c r="L51" i="29"/>
  <c r="M51" i="29"/>
  <c r="N51" i="29"/>
  <c r="M61" i="37" s="1"/>
  <c r="O51" i="29"/>
  <c r="P51" i="29"/>
  <c r="O61" i="37" s="1"/>
  <c r="E51" i="29"/>
  <c r="D61" i="37" s="1"/>
  <c r="Q74" i="29"/>
  <c r="F79" i="29"/>
  <c r="E86" i="37" s="1"/>
  <c r="G79" i="29"/>
  <c r="F86" i="37" s="1"/>
  <c r="H79" i="29"/>
  <c r="G86" i="37" s="1"/>
  <c r="I79" i="29"/>
  <c r="H86" i="37" s="1"/>
  <c r="J79" i="29"/>
  <c r="K79" i="29"/>
  <c r="L79" i="29"/>
  <c r="K86" i="37" s="1"/>
  <c r="M79" i="29"/>
  <c r="L86" i="37" s="1"/>
  <c r="N79" i="29"/>
  <c r="M86" i="37" s="1"/>
  <c r="O79" i="29"/>
  <c r="N86" i="37" s="1"/>
  <c r="P79" i="29"/>
  <c r="O86" i="37" s="1"/>
  <c r="E79" i="29"/>
  <c r="Q78" i="29"/>
  <c r="F75" i="29"/>
  <c r="E84" i="37" s="1"/>
  <c r="G75" i="29"/>
  <c r="F84" i="37" s="1"/>
  <c r="H75" i="29"/>
  <c r="G84" i="37" s="1"/>
  <c r="I75" i="29"/>
  <c r="H84" i="37" s="1"/>
  <c r="J75" i="29"/>
  <c r="I84" i="37" s="1"/>
  <c r="K75" i="29"/>
  <c r="J84" i="37" s="1"/>
  <c r="L75" i="29"/>
  <c r="K84" i="37" s="1"/>
  <c r="M75" i="29"/>
  <c r="L84" i="37" s="1"/>
  <c r="N75" i="29"/>
  <c r="M84" i="37" s="1"/>
  <c r="O75" i="29"/>
  <c r="N84" i="37" s="1"/>
  <c r="P75" i="29"/>
  <c r="O84" i="37" s="1"/>
  <c r="E75" i="29"/>
  <c r="Q77" i="29"/>
  <c r="Q73" i="29"/>
  <c r="Q71" i="29"/>
  <c r="Q69" i="29"/>
  <c r="Q67" i="29"/>
  <c r="Q65" i="29"/>
  <c r="Q63" i="29"/>
  <c r="Q61" i="29"/>
  <c r="Q46" i="29"/>
  <c r="Q55" i="29"/>
  <c r="Q53" i="29"/>
  <c r="Q42" i="29"/>
  <c r="Q44" i="29"/>
  <c r="Q40" i="29"/>
  <c r="G61" i="37" l="1"/>
  <c r="L61" i="37"/>
  <c r="L92" i="37" s="1"/>
  <c r="O92" i="37"/>
  <c r="G81" i="29"/>
  <c r="Q79" i="29"/>
  <c r="D86" i="37"/>
  <c r="L81" i="29"/>
  <c r="Q75" i="29"/>
  <c r="K81" i="29"/>
  <c r="D84" i="37"/>
  <c r="J81" i="29"/>
  <c r="O81" i="29"/>
  <c r="N81" i="29"/>
  <c r="F81" i="29"/>
  <c r="M81" i="29"/>
  <c r="N61" i="37"/>
  <c r="N92" i="37" s="1"/>
  <c r="F61" i="37"/>
  <c r="F92" i="37" s="1"/>
  <c r="E61" i="37"/>
  <c r="E92" i="37" s="1"/>
  <c r="E81" i="29"/>
  <c r="I81" i="29"/>
  <c r="J86" i="37"/>
  <c r="J92" i="37" s="1"/>
  <c r="P81" i="29"/>
  <c r="H81" i="29"/>
  <c r="K61" i="37"/>
  <c r="K92" i="37" s="1"/>
  <c r="I86" i="37"/>
  <c r="I92" i="37" s="1"/>
  <c r="Q51" i="29"/>
  <c r="M92" i="37"/>
  <c r="H92" i="37"/>
  <c r="G92" i="37"/>
  <c r="P77" i="37"/>
  <c r="X77" i="21" s="1"/>
  <c r="R81" i="29" l="1"/>
  <c r="C85" i="29"/>
  <c r="G10" i="12" l="1"/>
  <c r="H10" i="12"/>
  <c r="I10" i="12"/>
  <c r="J10" i="12"/>
  <c r="K10" i="12"/>
  <c r="L10" i="12"/>
  <c r="M10" i="12"/>
  <c r="N10" i="12"/>
  <c r="O10" i="12"/>
  <c r="P10" i="12"/>
  <c r="G12" i="12"/>
  <c r="H12" i="12"/>
  <c r="I12" i="12"/>
  <c r="J12" i="12"/>
  <c r="K12" i="12"/>
  <c r="L12" i="12"/>
  <c r="M12" i="12"/>
  <c r="N12" i="12"/>
  <c r="O12" i="12"/>
  <c r="P12" i="12"/>
  <c r="G14" i="12"/>
  <c r="H14" i="12"/>
  <c r="I14" i="12"/>
  <c r="J14" i="12"/>
  <c r="K14" i="12"/>
  <c r="L14" i="12"/>
  <c r="M14" i="12"/>
  <c r="N14" i="12"/>
  <c r="O14" i="12"/>
  <c r="P14" i="12"/>
  <c r="G20" i="12"/>
  <c r="F22" i="15" s="1"/>
  <c r="H20" i="12"/>
  <c r="G22" i="15" s="1"/>
  <c r="I20" i="12"/>
  <c r="H22" i="15" s="1"/>
  <c r="J20" i="12"/>
  <c r="I22" i="15" s="1"/>
  <c r="K20" i="12"/>
  <c r="J22" i="15" s="1"/>
  <c r="L20" i="12"/>
  <c r="K22" i="15" s="1"/>
  <c r="M20" i="12"/>
  <c r="L22" i="15" s="1"/>
  <c r="N20" i="12"/>
  <c r="M22" i="15" s="1"/>
  <c r="O20" i="12"/>
  <c r="N22" i="15" s="1"/>
  <c r="P20" i="12"/>
  <c r="O22" i="15" s="1"/>
  <c r="G22" i="12"/>
  <c r="F24" i="15" s="1"/>
  <c r="H22" i="12"/>
  <c r="G24" i="15" s="1"/>
  <c r="I22" i="12"/>
  <c r="H24" i="15" s="1"/>
  <c r="J22" i="12"/>
  <c r="I24" i="15" s="1"/>
  <c r="K22" i="12"/>
  <c r="J24" i="15" s="1"/>
  <c r="L22" i="12"/>
  <c r="K24" i="15" s="1"/>
  <c r="M22" i="12"/>
  <c r="L24" i="15" s="1"/>
  <c r="N22" i="12"/>
  <c r="M24" i="15" s="1"/>
  <c r="O22" i="12"/>
  <c r="N24" i="15" s="1"/>
  <c r="P22" i="12"/>
  <c r="O24" i="15" s="1"/>
  <c r="G24" i="12"/>
  <c r="F26" i="15" s="1"/>
  <c r="H24" i="12"/>
  <c r="G26" i="15" s="1"/>
  <c r="I24" i="12"/>
  <c r="H26" i="15" s="1"/>
  <c r="J24" i="12"/>
  <c r="I26" i="15" s="1"/>
  <c r="K24" i="12"/>
  <c r="J26" i="15" s="1"/>
  <c r="L24" i="12"/>
  <c r="K26" i="15" s="1"/>
  <c r="M24" i="12"/>
  <c r="L26" i="15" s="1"/>
  <c r="N24" i="12"/>
  <c r="M26" i="15" s="1"/>
  <c r="O24" i="12"/>
  <c r="N26" i="15" s="1"/>
  <c r="P24" i="12"/>
  <c r="O26" i="15" s="1"/>
  <c r="G28" i="12"/>
  <c r="F30" i="15" s="1"/>
  <c r="H28" i="12"/>
  <c r="G30" i="15" s="1"/>
  <c r="I28" i="12"/>
  <c r="H30" i="15" s="1"/>
  <c r="J28" i="12"/>
  <c r="I30" i="15" s="1"/>
  <c r="K28" i="12"/>
  <c r="J30" i="15" s="1"/>
  <c r="L28" i="12"/>
  <c r="K30" i="15" s="1"/>
  <c r="M28" i="12"/>
  <c r="L30" i="15" s="1"/>
  <c r="N28" i="12"/>
  <c r="M30" i="15" s="1"/>
  <c r="O28" i="12"/>
  <c r="N30" i="15" s="1"/>
  <c r="P28" i="12"/>
  <c r="O30" i="15" s="1"/>
  <c r="G32" i="12"/>
  <c r="F34" i="15" s="1"/>
  <c r="H32" i="12"/>
  <c r="G34" i="15" s="1"/>
  <c r="I32" i="12"/>
  <c r="H34" i="15" s="1"/>
  <c r="J32" i="12"/>
  <c r="I34" i="15" s="1"/>
  <c r="K32" i="12"/>
  <c r="J34" i="15" s="1"/>
  <c r="L32" i="12"/>
  <c r="K34" i="15" s="1"/>
  <c r="M32" i="12"/>
  <c r="L34" i="15" s="1"/>
  <c r="N32" i="12"/>
  <c r="M34" i="15" s="1"/>
  <c r="O32" i="12"/>
  <c r="N34" i="15" s="1"/>
  <c r="P32" i="12"/>
  <c r="O34" i="15" s="1"/>
  <c r="G34" i="12"/>
  <c r="F36" i="15" s="1"/>
  <c r="H34" i="12"/>
  <c r="G36" i="15" s="1"/>
  <c r="I34" i="12"/>
  <c r="H36" i="15" s="1"/>
  <c r="J34" i="12"/>
  <c r="I36" i="15" s="1"/>
  <c r="K34" i="12"/>
  <c r="J36" i="15" s="1"/>
  <c r="L34" i="12"/>
  <c r="K36" i="15" s="1"/>
  <c r="M34" i="12"/>
  <c r="L36" i="15" s="1"/>
  <c r="N34" i="12"/>
  <c r="M36" i="15" s="1"/>
  <c r="O34" i="12"/>
  <c r="N36" i="15" s="1"/>
  <c r="P34" i="12"/>
  <c r="O36" i="15" s="1"/>
  <c r="G38" i="12"/>
  <c r="F40" i="15" s="1"/>
  <c r="H38" i="12"/>
  <c r="G40" i="15" s="1"/>
  <c r="I38" i="12"/>
  <c r="H40" i="15" s="1"/>
  <c r="J38" i="12"/>
  <c r="I40" i="15" s="1"/>
  <c r="K38" i="12"/>
  <c r="J40" i="15" s="1"/>
  <c r="L38" i="12"/>
  <c r="K40" i="15" s="1"/>
  <c r="M38" i="12"/>
  <c r="L40" i="15" s="1"/>
  <c r="N38" i="12"/>
  <c r="M40" i="15" s="1"/>
  <c r="O38" i="12"/>
  <c r="N40" i="15" s="1"/>
  <c r="P38" i="12"/>
  <c r="O40" i="15" s="1"/>
  <c r="G42" i="12"/>
  <c r="F44" i="15" s="1"/>
  <c r="H42" i="12"/>
  <c r="G44" i="15" s="1"/>
  <c r="I42" i="12"/>
  <c r="H44" i="15" s="1"/>
  <c r="J42" i="12"/>
  <c r="I44" i="15" s="1"/>
  <c r="K42" i="12"/>
  <c r="J44" i="15" s="1"/>
  <c r="L42" i="12"/>
  <c r="K44" i="15" s="1"/>
  <c r="M42" i="12"/>
  <c r="L44" i="15" s="1"/>
  <c r="N42" i="12"/>
  <c r="M44" i="15" s="1"/>
  <c r="O42" i="12"/>
  <c r="N44" i="15" s="1"/>
  <c r="P42" i="12"/>
  <c r="O44" i="15" s="1"/>
  <c r="G44" i="12"/>
  <c r="F46" i="15" s="1"/>
  <c r="H44" i="12"/>
  <c r="G46" i="15" s="1"/>
  <c r="I44" i="12"/>
  <c r="H46" i="15" s="1"/>
  <c r="J44" i="12"/>
  <c r="I46" i="15" s="1"/>
  <c r="K44" i="12"/>
  <c r="J46" i="15" s="1"/>
  <c r="L44" i="12"/>
  <c r="K46" i="15" s="1"/>
  <c r="M44" i="12"/>
  <c r="L46" i="15" s="1"/>
  <c r="N44" i="12"/>
  <c r="M46" i="15" s="1"/>
  <c r="O44" i="12"/>
  <c r="N46" i="15" s="1"/>
  <c r="P44" i="12"/>
  <c r="O46" i="15" s="1"/>
  <c r="G46" i="12"/>
  <c r="F48" i="15" s="1"/>
  <c r="H46" i="12"/>
  <c r="G48" i="15" s="1"/>
  <c r="I46" i="12"/>
  <c r="H48" i="15" s="1"/>
  <c r="J46" i="12"/>
  <c r="I48" i="15" s="1"/>
  <c r="K46" i="12"/>
  <c r="J48" i="15" s="1"/>
  <c r="L46" i="12"/>
  <c r="K48" i="15" s="1"/>
  <c r="M46" i="12"/>
  <c r="L48" i="15" s="1"/>
  <c r="N46" i="12"/>
  <c r="M48" i="15" s="1"/>
  <c r="O46" i="12"/>
  <c r="N48" i="15" s="1"/>
  <c r="P46" i="12"/>
  <c r="O48" i="15" s="1"/>
  <c r="G50" i="12"/>
  <c r="F52" i="15" s="1"/>
  <c r="H50" i="12"/>
  <c r="G52" i="15" s="1"/>
  <c r="I50" i="12"/>
  <c r="H52" i="15" s="1"/>
  <c r="J50" i="12"/>
  <c r="I52" i="15" s="1"/>
  <c r="K50" i="12"/>
  <c r="J52" i="15" s="1"/>
  <c r="L50" i="12"/>
  <c r="K52" i="15" s="1"/>
  <c r="M50" i="12"/>
  <c r="L52" i="15" s="1"/>
  <c r="N50" i="12"/>
  <c r="M52" i="15" s="1"/>
  <c r="O50" i="12"/>
  <c r="N52" i="15" s="1"/>
  <c r="P50" i="12"/>
  <c r="O52" i="15" s="1"/>
  <c r="G52" i="12"/>
  <c r="F54" i="15" s="1"/>
  <c r="H52" i="12"/>
  <c r="G54" i="15" s="1"/>
  <c r="I52" i="12"/>
  <c r="H54" i="15" s="1"/>
  <c r="J52" i="12"/>
  <c r="I54" i="15" s="1"/>
  <c r="K52" i="12"/>
  <c r="J54" i="15" s="1"/>
  <c r="L52" i="12"/>
  <c r="K54" i="15" s="1"/>
  <c r="M52" i="12"/>
  <c r="L54" i="15" s="1"/>
  <c r="N52" i="12"/>
  <c r="M54" i="15" s="1"/>
  <c r="O52" i="12"/>
  <c r="N54" i="15" s="1"/>
  <c r="P52" i="12"/>
  <c r="O54" i="15" s="1"/>
  <c r="G54" i="12"/>
  <c r="F56" i="15" s="1"/>
  <c r="H54" i="12"/>
  <c r="G56" i="15" s="1"/>
  <c r="I54" i="12"/>
  <c r="H56" i="15" s="1"/>
  <c r="J54" i="12"/>
  <c r="I56" i="15" s="1"/>
  <c r="K54" i="12"/>
  <c r="J56" i="15" s="1"/>
  <c r="L54" i="12"/>
  <c r="K56" i="15" s="1"/>
  <c r="M54" i="12"/>
  <c r="L56" i="15" s="1"/>
  <c r="N54" i="12"/>
  <c r="M56" i="15" s="1"/>
  <c r="O54" i="12"/>
  <c r="N56" i="15" s="1"/>
  <c r="P54" i="12"/>
  <c r="O56" i="15" s="1"/>
  <c r="G56" i="12"/>
  <c r="F58" i="15" s="1"/>
  <c r="H56" i="12"/>
  <c r="G58" i="15" s="1"/>
  <c r="I56" i="12"/>
  <c r="H58" i="15" s="1"/>
  <c r="J56" i="12"/>
  <c r="I58" i="15" s="1"/>
  <c r="K56" i="12"/>
  <c r="J58" i="15" s="1"/>
  <c r="L56" i="12"/>
  <c r="K58" i="15" s="1"/>
  <c r="M56" i="12"/>
  <c r="L58" i="15" s="1"/>
  <c r="N56" i="12"/>
  <c r="M58" i="15" s="1"/>
  <c r="O56" i="12"/>
  <c r="N58" i="15" s="1"/>
  <c r="P56" i="12"/>
  <c r="O58" i="15" s="1"/>
  <c r="G58" i="12"/>
  <c r="F60" i="15" s="1"/>
  <c r="H58" i="12"/>
  <c r="G60" i="15" s="1"/>
  <c r="I58" i="12"/>
  <c r="H60" i="15" s="1"/>
  <c r="J58" i="12"/>
  <c r="I60" i="15" s="1"/>
  <c r="K58" i="12"/>
  <c r="J60" i="15" s="1"/>
  <c r="L58" i="12"/>
  <c r="K60" i="15" s="1"/>
  <c r="M58" i="12"/>
  <c r="L60" i="15" s="1"/>
  <c r="N58" i="12"/>
  <c r="M60" i="15" s="1"/>
  <c r="O58" i="12"/>
  <c r="N60" i="15" s="1"/>
  <c r="P58" i="12"/>
  <c r="O60" i="15" s="1"/>
  <c r="G60" i="12"/>
  <c r="F62" i="15" s="1"/>
  <c r="H60" i="12"/>
  <c r="G62" i="15" s="1"/>
  <c r="I60" i="12"/>
  <c r="H62" i="15" s="1"/>
  <c r="J60" i="12"/>
  <c r="I62" i="15" s="1"/>
  <c r="K60" i="12"/>
  <c r="J62" i="15" s="1"/>
  <c r="L60" i="12"/>
  <c r="K62" i="15" s="1"/>
  <c r="M60" i="12"/>
  <c r="L62" i="15" s="1"/>
  <c r="N60" i="12"/>
  <c r="M62" i="15" s="1"/>
  <c r="O60" i="12"/>
  <c r="N62" i="15" s="1"/>
  <c r="P60" i="12"/>
  <c r="O62" i="15" s="1"/>
  <c r="G62" i="12"/>
  <c r="F64" i="15" s="1"/>
  <c r="H62" i="12"/>
  <c r="G64" i="15" s="1"/>
  <c r="I62" i="12"/>
  <c r="H64" i="15" s="1"/>
  <c r="J62" i="12"/>
  <c r="I64" i="15" s="1"/>
  <c r="K62" i="12"/>
  <c r="J64" i="15" s="1"/>
  <c r="L62" i="12"/>
  <c r="K64" i="15" s="1"/>
  <c r="M62" i="12"/>
  <c r="L64" i="15" s="1"/>
  <c r="N62" i="12"/>
  <c r="M64" i="15" s="1"/>
  <c r="O62" i="12"/>
  <c r="N64" i="15" s="1"/>
  <c r="P62" i="12"/>
  <c r="O64" i="15" s="1"/>
  <c r="G64" i="12"/>
  <c r="F66" i="15" s="1"/>
  <c r="H64" i="12"/>
  <c r="G66" i="15" s="1"/>
  <c r="I64" i="12"/>
  <c r="H66" i="15" s="1"/>
  <c r="J64" i="12"/>
  <c r="I66" i="15" s="1"/>
  <c r="K64" i="12"/>
  <c r="J66" i="15" s="1"/>
  <c r="L64" i="12"/>
  <c r="K66" i="15" s="1"/>
  <c r="M64" i="12"/>
  <c r="L66" i="15" s="1"/>
  <c r="N64" i="12"/>
  <c r="M66" i="15" s="1"/>
  <c r="O64" i="12"/>
  <c r="N66" i="15" s="1"/>
  <c r="P64" i="12"/>
  <c r="O66" i="15" s="1"/>
  <c r="G66" i="12"/>
  <c r="F68" i="15" s="1"/>
  <c r="H66" i="12"/>
  <c r="G68" i="15" s="1"/>
  <c r="I66" i="12"/>
  <c r="H68" i="15" s="1"/>
  <c r="J66" i="12"/>
  <c r="I68" i="15" s="1"/>
  <c r="K66" i="12"/>
  <c r="J68" i="15" s="1"/>
  <c r="L66" i="12"/>
  <c r="K68" i="15" s="1"/>
  <c r="M66" i="12"/>
  <c r="L68" i="15" s="1"/>
  <c r="N66" i="12"/>
  <c r="M68" i="15" s="1"/>
  <c r="O66" i="12"/>
  <c r="N68" i="15" s="1"/>
  <c r="P66" i="12"/>
  <c r="O68" i="15" s="1"/>
  <c r="G72" i="12"/>
  <c r="F74" i="15" s="1"/>
  <c r="H72" i="12"/>
  <c r="G74" i="15" s="1"/>
  <c r="I72" i="12"/>
  <c r="H74" i="15" s="1"/>
  <c r="J72" i="12"/>
  <c r="I74" i="15" s="1"/>
  <c r="K72" i="12"/>
  <c r="J74" i="15" s="1"/>
  <c r="L72" i="12"/>
  <c r="K74" i="15" s="1"/>
  <c r="M72" i="12"/>
  <c r="L74" i="15" s="1"/>
  <c r="N72" i="12"/>
  <c r="M74" i="15" s="1"/>
  <c r="O72" i="12"/>
  <c r="N74" i="15" s="1"/>
  <c r="P72" i="12"/>
  <c r="O74" i="15" s="1"/>
  <c r="G74" i="12"/>
  <c r="F76" i="15" s="1"/>
  <c r="H74" i="12"/>
  <c r="G76" i="15" s="1"/>
  <c r="I74" i="12"/>
  <c r="H76" i="15" s="1"/>
  <c r="J74" i="12"/>
  <c r="I76" i="15" s="1"/>
  <c r="K74" i="12"/>
  <c r="J76" i="15" s="1"/>
  <c r="L74" i="12"/>
  <c r="K76" i="15" s="1"/>
  <c r="M74" i="12"/>
  <c r="L76" i="15" s="1"/>
  <c r="N74" i="12"/>
  <c r="M76" i="15" s="1"/>
  <c r="O74" i="12"/>
  <c r="N76" i="15" s="1"/>
  <c r="P74" i="12"/>
  <c r="O76" i="15" s="1"/>
  <c r="G76" i="12"/>
  <c r="F78" i="15" s="1"/>
  <c r="H76" i="12"/>
  <c r="G78" i="15" s="1"/>
  <c r="I76" i="12"/>
  <c r="H78" i="15" s="1"/>
  <c r="J76" i="12"/>
  <c r="I78" i="15" s="1"/>
  <c r="K76" i="12"/>
  <c r="J78" i="15" s="1"/>
  <c r="L76" i="12"/>
  <c r="K78" i="15" s="1"/>
  <c r="M76" i="12"/>
  <c r="L78" i="15" s="1"/>
  <c r="N76" i="12"/>
  <c r="M78" i="15" s="1"/>
  <c r="O76" i="12"/>
  <c r="N78" i="15" s="1"/>
  <c r="P76" i="12"/>
  <c r="O78" i="15" s="1"/>
  <c r="E10" i="12"/>
  <c r="E12" i="12"/>
  <c r="E14" i="12"/>
  <c r="E20" i="12"/>
  <c r="D22" i="15" s="1"/>
  <c r="E22" i="12"/>
  <c r="D24" i="15" s="1"/>
  <c r="E24" i="12"/>
  <c r="D26" i="15" s="1"/>
  <c r="E28" i="12"/>
  <c r="D30" i="15" s="1"/>
  <c r="E32" i="12"/>
  <c r="D34" i="15" s="1"/>
  <c r="E34" i="12"/>
  <c r="D36" i="15" s="1"/>
  <c r="E38" i="12"/>
  <c r="D40" i="15" s="1"/>
  <c r="E42" i="12"/>
  <c r="D44" i="15" s="1"/>
  <c r="E44" i="12"/>
  <c r="D46" i="15" s="1"/>
  <c r="E46" i="12"/>
  <c r="D48" i="15" s="1"/>
  <c r="E50" i="12"/>
  <c r="D52" i="15" s="1"/>
  <c r="E52" i="12"/>
  <c r="D54" i="15" s="1"/>
  <c r="E54" i="12"/>
  <c r="D56" i="15" s="1"/>
  <c r="E56" i="12"/>
  <c r="D58" i="15" s="1"/>
  <c r="E58" i="12"/>
  <c r="D60" i="15" s="1"/>
  <c r="E60" i="12"/>
  <c r="D62" i="15" s="1"/>
  <c r="E62" i="12"/>
  <c r="D64" i="15" s="1"/>
  <c r="E64" i="12"/>
  <c r="D66" i="15" s="1"/>
  <c r="E66" i="12"/>
  <c r="D68" i="15" s="1"/>
  <c r="E72" i="12"/>
  <c r="D74" i="15" s="1"/>
  <c r="E74" i="12"/>
  <c r="D76" i="15" s="1"/>
  <c r="E76" i="12"/>
  <c r="D78" i="15" s="1"/>
  <c r="F76" i="12"/>
  <c r="E78" i="15" s="1"/>
  <c r="F74" i="12"/>
  <c r="E76" i="15" s="1"/>
  <c r="F72" i="12"/>
  <c r="E74" i="15" s="1"/>
  <c r="F66" i="12"/>
  <c r="E68" i="15" s="1"/>
  <c r="F64" i="12"/>
  <c r="E66" i="15" s="1"/>
  <c r="F62" i="12"/>
  <c r="E64" i="15" s="1"/>
  <c r="F60" i="12"/>
  <c r="E62" i="15" s="1"/>
  <c r="F58" i="12"/>
  <c r="E60" i="15" s="1"/>
  <c r="F56" i="12"/>
  <c r="E58" i="15" s="1"/>
  <c r="F54" i="12"/>
  <c r="E56" i="15" s="1"/>
  <c r="F52" i="12"/>
  <c r="E54" i="15" s="1"/>
  <c r="F50" i="12"/>
  <c r="E52" i="15" s="1"/>
  <c r="F46" i="12"/>
  <c r="E48" i="15" s="1"/>
  <c r="F44" i="12"/>
  <c r="E46" i="15" s="1"/>
  <c r="F42" i="12"/>
  <c r="E44" i="15" s="1"/>
  <c r="F38" i="12"/>
  <c r="E40" i="15" s="1"/>
  <c r="F34" i="12"/>
  <c r="E36" i="15" s="1"/>
  <c r="F32" i="12"/>
  <c r="E34" i="15" s="1"/>
  <c r="F28" i="12"/>
  <c r="E30" i="15" s="1"/>
  <c r="F24" i="12"/>
  <c r="E26" i="15" s="1"/>
  <c r="F22" i="12"/>
  <c r="E24" i="15" s="1"/>
  <c r="F20" i="12"/>
  <c r="E22" i="15" s="1"/>
  <c r="F14" i="12"/>
  <c r="F12" i="12"/>
  <c r="F10" i="12"/>
  <c r="I18" i="12"/>
  <c r="H20" i="15" s="1"/>
  <c r="E18" i="12"/>
  <c r="F164" i="12"/>
  <c r="F70" i="12" s="1"/>
  <c r="E72" i="15" s="1"/>
  <c r="G164" i="12"/>
  <c r="G70" i="12" s="1"/>
  <c r="F72" i="15" s="1"/>
  <c r="H164" i="12"/>
  <c r="H70" i="12" s="1"/>
  <c r="G72" i="15" s="1"/>
  <c r="I164" i="12"/>
  <c r="I70" i="12" s="1"/>
  <c r="H72" i="15" s="1"/>
  <c r="J164" i="12"/>
  <c r="J70" i="12" s="1"/>
  <c r="I72" i="15" s="1"/>
  <c r="K164" i="12"/>
  <c r="K70" i="12" s="1"/>
  <c r="J72" i="15" s="1"/>
  <c r="L164" i="12"/>
  <c r="L70" i="12" s="1"/>
  <c r="K72" i="15" s="1"/>
  <c r="M164" i="12"/>
  <c r="M70" i="12" s="1"/>
  <c r="L72" i="15" s="1"/>
  <c r="N164" i="12"/>
  <c r="N70" i="12" s="1"/>
  <c r="M72" i="15" s="1"/>
  <c r="O164" i="12"/>
  <c r="O70" i="12" s="1"/>
  <c r="N72" i="15" s="1"/>
  <c r="P164" i="12"/>
  <c r="P70" i="12" s="1"/>
  <c r="O72" i="15" s="1"/>
  <c r="E164" i="12"/>
  <c r="E70" i="12" s="1"/>
  <c r="D72" i="15" s="1"/>
  <c r="F160" i="12"/>
  <c r="F68" i="12" s="1"/>
  <c r="E70" i="15" s="1"/>
  <c r="G160" i="12"/>
  <c r="G68" i="12" s="1"/>
  <c r="F70" i="15" s="1"/>
  <c r="H160" i="12"/>
  <c r="H68" i="12" s="1"/>
  <c r="G70" i="15" s="1"/>
  <c r="I160" i="12"/>
  <c r="I68" i="12" s="1"/>
  <c r="H70" i="15" s="1"/>
  <c r="J160" i="12"/>
  <c r="J68" i="12" s="1"/>
  <c r="I70" i="15" s="1"/>
  <c r="K160" i="12"/>
  <c r="K68" i="12" s="1"/>
  <c r="J70" i="15" s="1"/>
  <c r="L160" i="12"/>
  <c r="L68" i="12" s="1"/>
  <c r="K70" i="15" s="1"/>
  <c r="M160" i="12"/>
  <c r="M68" i="12" s="1"/>
  <c r="L70" i="15" s="1"/>
  <c r="N160" i="12"/>
  <c r="N68" i="12" s="1"/>
  <c r="M70" i="15" s="1"/>
  <c r="O160" i="12"/>
  <c r="O68" i="12" s="1"/>
  <c r="N70" i="15" s="1"/>
  <c r="P160" i="12"/>
  <c r="P68" i="12" s="1"/>
  <c r="O70" i="15" s="1"/>
  <c r="E160" i="12"/>
  <c r="E68" i="12" s="1"/>
  <c r="D70" i="15" s="1"/>
  <c r="P140" i="12"/>
  <c r="P48" i="12" s="1"/>
  <c r="O50" i="15" s="1"/>
  <c r="F140" i="12"/>
  <c r="F48" i="12" s="1"/>
  <c r="E50" i="15" s="1"/>
  <c r="G140" i="12"/>
  <c r="G48" i="12" s="1"/>
  <c r="F50" i="15" s="1"/>
  <c r="H140" i="12"/>
  <c r="H48" i="12" s="1"/>
  <c r="G50" i="15" s="1"/>
  <c r="I140" i="12"/>
  <c r="I48" i="12" s="1"/>
  <c r="H50" i="15" s="1"/>
  <c r="J140" i="12"/>
  <c r="J48" i="12" s="1"/>
  <c r="I50" i="15" s="1"/>
  <c r="K140" i="12"/>
  <c r="K48" i="12" s="1"/>
  <c r="J50" i="15" s="1"/>
  <c r="L140" i="12"/>
  <c r="L48" i="12" s="1"/>
  <c r="K50" i="15" s="1"/>
  <c r="M140" i="12"/>
  <c r="M48" i="12" s="1"/>
  <c r="L50" i="15" s="1"/>
  <c r="N140" i="12"/>
  <c r="N48" i="12" s="1"/>
  <c r="M50" i="15" s="1"/>
  <c r="O140" i="12"/>
  <c r="O48" i="12" s="1"/>
  <c r="N50" i="15" s="1"/>
  <c r="E140" i="12"/>
  <c r="E48" i="12" s="1"/>
  <c r="D50" i="15" s="1"/>
  <c r="F131" i="12"/>
  <c r="F40" i="12" s="1"/>
  <c r="E42" i="15" s="1"/>
  <c r="G131" i="12"/>
  <c r="G40" i="12" s="1"/>
  <c r="F42" i="15" s="1"/>
  <c r="H131" i="12"/>
  <c r="H40" i="12" s="1"/>
  <c r="G42" i="15" s="1"/>
  <c r="I131" i="12"/>
  <c r="I40" i="12" s="1"/>
  <c r="H42" i="15" s="1"/>
  <c r="J131" i="12"/>
  <c r="J40" i="12" s="1"/>
  <c r="I42" i="15" s="1"/>
  <c r="K131" i="12"/>
  <c r="K40" i="12" s="1"/>
  <c r="J42" i="15" s="1"/>
  <c r="L131" i="12"/>
  <c r="L40" i="12" s="1"/>
  <c r="K42" i="15" s="1"/>
  <c r="M131" i="12"/>
  <c r="M40" i="12" s="1"/>
  <c r="L42" i="15" s="1"/>
  <c r="N131" i="12"/>
  <c r="N40" i="12" s="1"/>
  <c r="M42" i="15" s="1"/>
  <c r="O131" i="12"/>
  <c r="O40" i="12" s="1"/>
  <c r="N42" i="15" s="1"/>
  <c r="P131" i="12"/>
  <c r="P40" i="12" s="1"/>
  <c r="O42" i="15" s="1"/>
  <c r="E131" i="12"/>
  <c r="E40" i="12" s="1"/>
  <c r="D42" i="15" s="1"/>
  <c r="F125" i="12"/>
  <c r="F36" i="12" s="1"/>
  <c r="E38" i="15" s="1"/>
  <c r="G125" i="12"/>
  <c r="G36" i="12" s="1"/>
  <c r="F38" i="15" s="1"/>
  <c r="H125" i="12"/>
  <c r="H36" i="12" s="1"/>
  <c r="G38" i="15" s="1"/>
  <c r="I125" i="12"/>
  <c r="I36" i="12" s="1"/>
  <c r="H38" i="15" s="1"/>
  <c r="J125" i="12"/>
  <c r="J36" i="12" s="1"/>
  <c r="I38" i="15" s="1"/>
  <c r="K125" i="12"/>
  <c r="K36" i="12" s="1"/>
  <c r="J38" i="15" s="1"/>
  <c r="L125" i="12"/>
  <c r="L36" i="12" s="1"/>
  <c r="K38" i="15" s="1"/>
  <c r="M125" i="12"/>
  <c r="M36" i="12" s="1"/>
  <c r="L38" i="15" s="1"/>
  <c r="N125" i="12"/>
  <c r="N36" i="12" s="1"/>
  <c r="M38" i="15" s="1"/>
  <c r="O125" i="12"/>
  <c r="O36" i="12" s="1"/>
  <c r="N38" i="15" s="1"/>
  <c r="P125" i="12"/>
  <c r="P36" i="12" s="1"/>
  <c r="O38" i="15" s="1"/>
  <c r="E125" i="12"/>
  <c r="E36" i="12" s="1"/>
  <c r="D38" i="15" s="1"/>
  <c r="F30" i="12"/>
  <c r="E32" i="15" s="1"/>
  <c r="G30" i="12"/>
  <c r="F32" i="15" s="1"/>
  <c r="H30" i="12"/>
  <c r="G32" i="15" s="1"/>
  <c r="I30" i="12"/>
  <c r="H32" i="15" s="1"/>
  <c r="J30" i="12"/>
  <c r="I32" i="15" s="1"/>
  <c r="K30" i="12"/>
  <c r="J32" i="15" s="1"/>
  <c r="L30" i="12"/>
  <c r="K32" i="15" s="1"/>
  <c r="M30" i="12"/>
  <c r="L32" i="15" s="1"/>
  <c r="N30" i="12"/>
  <c r="M32" i="15" s="1"/>
  <c r="O30" i="12"/>
  <c r="N32" i="15" s="1"/>
  <c r="P30" i="12"/>
  <c r="O32" i="15" s="1"/>
  <c r="E30" i="12"/>
  <c r="D32" i="15" s="1"/>
  <c r="F109" i="12"/>
  <c r="F26" i="12" s="1"/>
  <c r="E28" i="15" s="1"/>
  <c r="G109" i="12"/>
  <c r="G26" i="12" s="1"/>
  <c r="F28" i="15" s="1"/>
  <c r="H109" i="12"/>
  <c r="H26" i="12" s="1"/>
  <c r="G28" i="15" s="1"/>
  <c r="I109" i="12"/>
  <c r="I26" i="12" s="1"/>
  <c r="H28" i="15" s="1"/>
  <c r="J109" i="12"/>
  <c r="J26" i="12" s="1"/>
  <c r="I28" i="15" s="1"/>
  <c r="K109" i="12"/>
  <c r="K26" i="12" s="1"/>
  <c r="J28" i="15" s="1"/>
  <c r="L109" i="12"/>
  <c r="L26" i="12" s="1"/>
  <c r="K28" i="15" s="1"/>
  <c r="M109" i="12"/>
  <c r="M26" i="12" s="1"/>
  <c r="L28" i="15" s="1"/>
  <c r="N109" i="12"/>
  <c r="N26" i="12" s="1"/>
  <c r="M28" i="15" s="1"/>
  <c r="O109" i="12"/>
  <c r="O26" i="12" s="1"/>
  <c r="N28" i="15" s="1"/>
  <c r="P109" i="12"/>
  <c r="P26" i="12" s="1"/>
  <c r="O28" i="15" s="1"/>
  <c r="E26" i="12"/>
  <c r="D28" i="15" s="1"/>
  <c r="O205" i="12" l="1"/>
  <c r="O211" i="12" s="1"/>
  <c r="G205" i="12"/>
  <c r="G211" i="12" s="1"/>
  <c r="F205" i="12"/>
  <c r="F211" i="12" s="1"/>
  <c r="N205" i="12"/>
  <c r="N211" i="12" s="1"/>
  <c r="K205" i="12"/>
  <c r="K211" i="12" s="1"/>
  <c r="J205" i="12"/>
  <c r="J211" i="12" s="1"/>
  <c r="P205" i="12"/>
  <c r="P211" i="12" s="1"/>
  <c r="H205" i="12"/>
  <c r="H211" i="12" s="1"/>
  <c r="F18" i="12"/>
  <c r="E20" i="15" s="1"/>
  <c r="M205" i="12"/>
  <c r="M211" i="12" s="1"/>
  <c r="L205" i="12"/>
  <c r="L211" i="12" s="1"/>
  <c r="K18" i="12"/>
  <c r="D20" i="15"/>
  <c r="I205" i="12"/>
  <c r="I211" i="12" s="1"/>
  <c r="I17" i="12" s="1"/>
  <c r="I77" i="12" s="1"/>
  <c r="J18" i="12"/>
  <c r="I20" i="15" s="1"/>
  <c r="P18" i="12"/>
  <c r="O20" i="15" s="1"/>
  <c r="H18" i="12"/>
  <c r="G20" i="15" s="1"/>
  <c r="O18" i="12"/>
  <c r="N20" i="15" s="1"/>
  <c r="G18" i="12"/>
  <c r="F20" i="15" s="1"/>
  <c r="N18" i="12"/>
  <c r="M20" i="15" s="1"/>
  <c r="M18" i="12"/>
  <c r="L20" i="15" s="1"/>
  <c r="L18" i="12"/>
  <c r="K20" i="15" s="1"/>
  <c r="E206" i="12"/>
  <c r="E205" i="12"/>
  <c r="F17" i="12" l="1"/>
  <c r="F77" i="12" s="1"/>
  <c r="F78" i="12" s="1"/>
  <c r="M17" i="12"/>
  <c r="M77" i="12" s="1"/>
  <c r="G17" i="12"/>
  <c r="G77" i="12" s="1"/>
  <c r="L17" i="12"/>
  <c r="L77" i="12" s="1"/>
  <c r="O17" i="12"/>
  <c r="O77" i="12" s="1"/>
  <c r="H17" i="12"/>
  <c r="H77" i="12" s="1"/>
  <c r="P17" i="12"/>
  <c r="P77" i="12" s="1"/>
  <c r="J17" i="12"/>
  <c r="J77" i="12" s="1"/>
  <c r="E207" i="12"/>
  <c r="E211" i="12"/>
  <c r="Q205" i="12"/>
  <c r="N17" i="12"/>
  <c r="N77" i="12" s="1"/>
  <c r="K17" i="12"/>
  <c r="K77" i="12" s="1"/>
  <c r="J20" i="15"/>
  <c r="P20" i="15" s="1"/>
  <c r="S25" i="15" s="1"/>
  <c r="E77" i="12" l="1"/>
  <c r="Q77" i="12" s="1"/>
  <c r="R77" i="12" s="1"/>
  <c r="Q80" i="14" l="1"/>
  <c r="P85" i="37"/>
  <c r="A3" i="37"/>
  <c r="P73" i="34" l="1"/>
  <c r="P75" i="34"/>
  <c r="P77" i="34"/>
  <c r="E68" i="35"/>
  <c r="D70" i="34" s="1"/>
  <c r="K68" i="35"/>
  <c r="J70" i="34" s="1"/>
  <c r="L68" i="35"/>
  <c r="K70" i="34" s="1"/>
  <c r="M68" i="35"/>
  <c r="L70" i="34" s="1"/>
  <c r="P68" i="35"/>
  <c r="O70" i="34" s="1"/>
  <c r="F48" i="35"/>
  <c r="E50" i="34" s="1"/>
  <c r="I48" i="35"/>
  <c r="H50" i="34" s="1"/>
  <c r="L48" i="35"/>
  <c r="K50" i="34" s="1"/>
  <c r="M48" i="35"/>
  <c r="L50" i="34" s="1"/>
  <c r="N48" i="35"/>
  <c r="M50" i="34" s="1"/>
  <c r="P48" i="35"/>
  <c r="O50" i="34" s="1"/>
  <c r="P18" i="35"/>
  <c r="O18" i="35"/>
  <c r="M18" i="35"/>
  <c r="K18" i="35"/>
  <c r="I18" i="35"/>
  <c r="H18" i="35"/>
  <c r="G18" i="35"/>
  <c r="E18" i="35"/>
  <c r="D202" i="35"/>
  <c r="C202" i="35"/>
  <c r="P72" i="35"/>
  <c r="O74" i="34" s="1"/>
  <c r="O72" i="35"/>
  <c r="N74" i="34" s="1"/>
  <c r="N72" i="35"/>
  <c r="M74" i="34" s="1"/>
  <c r="M72" i="35"/>
  <c r="L74" i="34" s="1"/>
  <c r="L72" i="35"/>
  <c r="K74" i="34" s="1"/>
  <c r="G72" i="35"/>
  <c r="F74" i="34" s="1"/>
  <c r="E72" i="35"/>
  <c r="D74" i="34" s="1"/>
  <c r="D168" i="35"/>
  <c r="C168" i="35"/>
  <c r="P70" i="35"/>
  <c r="O72" i="34" s="1"/>
  <c r="N70" i="35"/>
  <c r="M72" i="34" s="1"/>
  <c r="M70" i="35"/>
  <c r="L72" i="34" s="1"/>
  <c r="L70" i="35"/>
  <c r="K72" i="34" s="1"/>
  <c r="K70" i="35"/>
  <c r="J72" i="34" s="1"/>
  <c r="J70" i="35"/>
  <c r="I72" i="34" s="1"/>
  <c r="I70" i="35"/>
  <c r="H72" i="34" s="1"/>
  <c r="H70" i="35"/>
  <c r="G72" i="34" s="1"/>
  <c r="F70" i="35"/>
  <c r="E72" i="34" s="1"/>
  <c r="E70" i="35"/>
  <c r="D72" i="34" s="1"/>
  <c r="O68" i="35"/>
  <c r="N70" i="34" s="1"/>
  <c r="J68" i="35"/>
  <c r="I70" i="34" s="1"/>
  <c r="I68" i="35"/>
  <c r="H70" i="34" s="1"/>
  <c r="H68" i="35"/>
  <c r="G70" i="34" s="1"/>
  <c r="O48" i="35"/>
  <c r="N50" i="34" s="1"/>
  <c r="H48" i="35"/>
  <c r="G50" i="34" s="1"/>
  <c r="D140" i="35"/>
  <c r="C140" i="35"/>
  <c r="P40" i="35"/>
  <c r="O42" i="34" s="1"/>
  <c r="O40" i="35"/>
  <c r="N42" i="34" s="1"/>
  <c r="J40" i="35"/>
  <c r="I42" i="34" s="1"/>
  <c r="I40" i="35"/>
  <c r="H42" i="34" s="1"/>
  <c r="G40" i="35"/>
  <c r="F42" i="34" s="1"/>
  <c r="D131" i="35"/>
  <c r="C131" i="35"/>
  <c r="P36" i="35"/>
  <c r="O38" i="34" s="1"/>
  <c r="O36" i="35"/>
  <c r="N38" i="34" s="1"/>
  <c r="N36" i="35"/>
  <c r="M38" i="34" s="1"/>
  <c r="J36" i="35"/>
  <c r="I38" i="34" s="1"/>
  <c r="I36" i="35"/>
  <c r="H38" i="34" s="1"/>
  <c r="H36" i="35"/>
  <c r="G38" i="34" s="1"/>
  <c r="G36" i="35"/>
  <c r="F38" i="34" s="1"/>
  <c r="F36" i="35"/>
  <c r="E38" i="34" s="1"/>
  <c r="E36" i="35"/>
  <c r="D38" i="34" s="1"/>
  <c r="D125" i="35"/>
  <c r="C125" i="35"/>
  <c r="P30" i="35"/>
  <c r="O32" i="34" s="1"/>
  <c r="O30" i="35"/>
  <c r="N32" i="34" s="1"/>
  <c r="N30" i="35"/>
  <c r="M32" i="34" s="1"/>
  <c r="M30" i="35"/>
  <c r="L32" i="34" s="1"/>
  <c r="K30" i="35"/>
  <c r="J32" i="34" s="1"/>
  <c r="J30" i="35"/>
  <c r="I32" i="34" s="1"/>
  <c r="I30" i="35"/>
  <c r="H32" i="34" s="1"/>
  <c r="H30" i="35"/>
  <c r="G32" i="34" s="1"/>
  <c r="G30" i="35"/>
  <c r="F32" i="34" s="1"/>
  <c r="F30" i="35"/>
  <c r="E32" i="34" s="1"/>
  <c r="E30" i="35"/>
  <c r="D32" i="34" s="1"/>
  <c r="D117" i="35"/>
  <c r="C117" i="35"/>
  <c r="P26" i="35"/>
  <c r="O28" i="34" s="1"/>
  <c r="O26" i="35"/>
  <c r="N28" i="34" s="1"/>
  <c r="N26" i="35"/>
  <c r="M28" i="34" s="1"/>
  <c r="L26" i="35"/>
  <c r="K28" i="34" s="1"/>
  <c r="K26" i="35"/>
  <c r="J28" i="34" s="1"/>
  <c r="J26" i="35"/>
  <c r="I28" i="34" s="1"/>
  <c r="I26" i="35"/>
  <c r="H28" i="34" s="1"/>
  <c r="H26" i="35"/>
  <c r="G28" i="34" s="1"/>
  <c r="G26" i="35"/>
  <c r="F28" i="34" s="1"/>
  <c r="F26" i="35"/>
  <c r="E28" i="34" s="1"/>
  <c r="P12" i="35"/>
  <c r="O14" i="31" s="1"/>
  <c r="O12" i="35"/>
  <c r="N14" i="31" s="1"/>
  <c r="M12" i="35"/>
  <c r="L14" i="31" s="1"/>
  <c r="L12" i="35"/>
  <c r="K14" i="31" s="1"/>
  <c r="K12" i="35"/>
  <c r="J14" i="31" s="1"/>
  <c r="J12" i="35"/>
  <c r="I14" i="31" s="1"/>
  <c r="I12" i="35"/>
  <c r="H14" i="31" s="1"/>
  <c r="H12" i="35"/>
  <c r="G14" i="31" s="1"/>
  <c r="G12" i="35"/>
  <c r="F14" i="31" s="1"/>
  <c r="E12" i="35"/>
  <c r="D14" i="31" s="1"/>
  <c r="D97" i="35"/>
  <c r="C97" i="35"/>
  <c r="P10" i="35"/>
  <c r="O12" i="31" s="1"/>
  <c r="O10" i="35"/>
  <c r="N12" i="31" s="1"/>
  <c r="N10" i="35"/>
  <c r="M12" i="31" s="1"/>
  <c r="L10" i="35"/>
  <c r="K12" i="31" s="1"/>
  <c r="K10" i="35"/>
  <c r="J12" i="31" s="1"/>
  <c r="J10" i="35"/>
  <c r="I12" i="31" s="1"/>
  <c r="I10" i="35"/>
  <c r="H12" i="31" s="1"/>
  <c r="H10" i="35"/>
  <c r="G12" i="31" s="1"/>
  <c r="G10" i="35"/>
  <c r="F12" i="31" s="1"/>
  <c r="F10" i="35"/>
  <c r="E12" i="31" s="1"/>
  <c r="D91" i="35"/>
  <c r="C91" i="35"/>
  <c r="P82" i="35"/>
  <c r="O82" i="35"/>
  <c r="N82" i="35"/>
  <c r="D78" i="35"/>
  <c r="D79" i="35" s="1"/>
  <c r="C78" i="35"/>
  <c r="C79" i="35" s="1"/>
  <c r="Q77" i="35"/>
  <c r="P76" i="35"/>
  <c r="O78" i="34" s="1"/>
  <c r="O76" i="35"/>
  <c r="N78" i="34" s="1"/>
  <c r="N76" i="35"/>
  <c r="M78" i="34" s="1"/>
  <c r="M76" i="35"/>
  <c r="L78" i="34" s="1"/>
  <c r="L76" i="35"/>
  <c r="K78" i="34" s="1"/>
  <c r="K76" i="35"/>
  <c r="J78" i="34" s="1"/>
  <c r="J76" i="35"/>
  <c r="I78" i="34" s="1"/>
  <c r="I76" i="35"/>
  <c r="H78" i="34" s="1"/>
  <c r="H76" i="35"/>
  <c r="G78" i="34" s="1"/>
  <c r="G76" i="35"/>
  <c r="F76" i="35"/>
  <c r="E78" i="34" s="1"/>
  <c r="E76" i="35"/>
  <c r="D78" i="34" s="1"/>
  <c r="Q75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Q73" i="35"/>
  <c r="I72" i="35"/>
  <c r="H74" i="34" s="1"/>
  <c r="F72" i="35"/>
  <c r="E74" i="34" s="1"/>
  <c r="Q71" i="35"/>
  <c r="O70" i="35"/>
  <c r="N72" i="34" s="1"/>
  <c r="G70" i="35"/>
  <c r="F72" i="34" s="1"/>
  <c r="Q69" i="35"/>
  <c r="N68" i="35"/>
  <c r="M70" i="34" s="1"/>
  <c r="F68" i="35"/>
  <c r="E70" i="34" s="1"/>
  <c r="Q67" i="35"/>
  <c r="P66" i="35"/>
  <c r="O68" i="34" s="1"/>
  <c r="O66" i="35"/>
  <c r="N68" i="34" s="1"/>
  <c r="N66" i="35"/>
  <c r="M68" i="34" s="1"/>
  <c r="M66" i="35"/>
  <c r="L68" i="34" s="1"/>
  <c r="L66" i="35"/>
  <c r="K68" i="34" s="1"/>
  <c r="K66" i="35"/>
  <c r="J68" i="34" s="1"/>
  <c r="J66" i="35"/>
  <c r="I68" i="34" s="1"/>
  <c r="I66" i="35"/>
  <c r="H68" i="34" s="1"/>
  <c r="H66" i="35"/>
  <c r="G68" i="34" s="1"/>
  <c r="G66" i="35"/>
  <c r="F68" i="34" s="1"/>
  <c r="F66" i="35"/>
  <c r="E68" i="34" s="1"/>
  <c r="E66" i="35"/>
  <c r="D68" i="34" s="1"/>
  <c r="Q65" i="35"/>
  <c r="P64" i="35"/>
  <c r="O66" i="34" s="1"/>
  <c r="O64" i="35"/>
  <c r="N66" i="34" s="1"/>
  <c r="N64" i="35"/>
  <c r="M66" i="34" s="1"/>
  <c r="M64" i="35"/>
  <c r="L66" i="34" s="1"/>
  <c r="L64" i="35"/>
  <c r="K66" i="34" s="1"/>
  <c r="K64" i="35"/>
  <c r="J66" i="34" s="1"/>
  <c r="J64" i="35"/>
  <c r="I66" i="34" s="1"/>
  <c r="I64" i="35"/>
  <c r="H66" i="34" s="1"/>
  <c r="H64" i="35"/>
  <c r="G66" i="34" s="1"/>
  <c r="G64" i="35"/>
  <c r="F66" i="34" s="1"/>
  <c r="F64" i="35"/>
  <c r="E66" i="34" s="1"/>
  <c r="E64" i="35"/>
  <c r="D66" i="34" s="1"/>
  <c r="Q63" i="35"/>
  <c r="P62" i="35"/>
  <c r="O64" i="34" s="1"/>
  <c r="O62" i="35"/>
  <c r="N64" i="34" s="1"/>
  <c r="N62" i="35"/>
  <c r="M64" i="34" s="1"/>
  <c r="M62" i="35"/>
  <c r="L64" i="34" s="1"/>
  <c r="L62" i="35"/>
  <c r="K64" i="34" s="1"/>
  <c r="K62" i="35"/>
  <c r="J64" i="34" s="1"/>
  <c r="J62" i="35"/>
  <c r="I64" i="34" s="1"/>
  <c r="I62" i="35"/>
  <c r="H64" i="34" s="1"/>
  <c r="H62" i="35"/>
  <c r="G64" i="34" s="1"/>
  <c r="G62" i="35"/>
  <c r="F64" i="34" s="1"/>
  <c r="F62" i="35"/>
  <c r="E64" i="34" s="1"/>
  <c r="E62" i="35"/>
  <c r="D64" i="34" s="1"/>
  <c r="Q61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Q59" i="35"/>
  <c r="P58" i="35"/>
  <c r="O60" i="34" s="1"/>
  <c r="O58" i="35"/>
  <c r="N60" i="34" s="1"/>
  <c r="N58" i="35"/>
  <c r="M60" i="34" s="1"/>
  <c r="M58" i="35"/>
  <c r="L60" i="34" s="1"/>
  <c r="L58" i="35"/>
  <c r="K60" i="34" s="1"/>
  <c r="K58" i="35"/>
  <c r="J60" i="34" s="1"/>
  <c r="J58" i="35"/>
  <c r="I60" i="34" s="1"/>
  <c r="I58" i="35"/>
  <c r="H60" i="34" s="1"/>
  <c r="H58" i="35"/>
  <c r="G60" i="34" s="1"/>
  <c r="G58" i="35"/>
  <c r="F60" i="34" s="1"/>
  <c r="F58" i="35"/>
  <c r="E60" i="34" s="1"/>
  <c r="E58" i="35"/>
  <c r="D60" i="34" s="1"/>
  <c r="Q57" i="35"/>
  <c r="P56" i="35"/>
  <c r="O58" i="34" s="1"/>
  <c r="O56" i="35"/>
  <c r="N58" i="34" s="1"/>
  <c r="N56" i="35"/>
  <c r="M58" i="34" s="1"/>
  <c r="M56" i="35"/>
  <c r="L58" i="34" s="1"/>
  <c r="L56" i="35"/>
  <c r="K58" i="34" s="1"/>
  <c r="K56" i="35"/>
  <c r="J58" i="34" s="1"/>
  <c r="J56" i="35"/>
  <c r="I58" i="34" s="1"/>
  <c r="I56" i="35"/>
  <c r="H58" i="34" s="1"/>
  <c r="H56" i="35"/>
  <c r="G58" i="34" s="1"/>
  <c r="G56" i="35"/>
  <c r="F58" i="34" s="1"/>
  <c r="F56" i="35"/>
  <c r="E58" i="34" s="1"/>
  <c r="E56" i="35"/>
  <c r="D58" i="34" s="1"/>
  <c r="Q55" i="35"/>
  <c r="P54" i="35"/>
  <c r="O56" i="34" s="1"/>
  <c r="O54" i="35"/>
  <c r="N56" i="34" s="1"/>
  <c r="N54" i="35"/>
  <c r="M56" i="34" s="1"/>
  <c r="M54" i="35"/>
  <c r="L56" i="34" s="1"/>
  <c r="L54" i="35"/>
  <c r="K56" i="34" s="1"/>
  <c r="K54" i="35"/>
  <c r="J56" i="34" s="1"/>
  <c r="J54" i="35"/>
  <c r="I56" i="34" s="1"/>
  <c r="I54" i="35"/>
  <c r="H56" i="34" s="1"/>
  <c r="H54" i="35"/>
  <c r="G56" i="34" s="1"/>
  <c r="G54" i="35"/>
  <c r="F56" i="34" s="1"/>
  <c r="F54" i="35"/>
  <c r="E56" i="34" s="1"/>
  <c r="E54" i="35"/>
  <c r="D56" i="34" s="1"/>
  <c r="Q53" i="35"/>
  <c r="P52" i="35"/>
  <c r="O54" i="34" s="1"/>
  <c r="O52" i="35"/>
  <c r="N54" i="34" s="1"/>
  <c r="N52" i="35"/>
  <c r="M54" i="34" s="1"/>
  <c r="M52" i="35"/>
  <c r="L54" i="34" s="1"/>
  <c r="L52" i="35"/>
  <c r="K54" i="34" s="1"/>
  <c r="K52" i="35"/>
  <c r="J54" i="34" s="1"/>
  <c r="J52" i="35"/>
  <c r="I54" i="34" s="1"/>
  <c r="I52" i="35"/>
  <c r="H54" i="34" s="1"/>
  <c r="H52" i="35"/>
  <c r="G54" i="34" s="1"/>
  <c r="G52" i="35"/>
  <c r="F54" i="34" s="1"/>
  <c r="F52" i="35"/>
  <c r="E54" i="34" s="1"/>
  <c r="E52" i="35"/>
  <c r="D54" i="34" s="1"/>
  <c r="Q51" i="35"/>
  <c r="P50" i="35"/>
  <c r="O52" i="34" s="1"/>
  <c r="O50" i="35"/>
  <c r="N52" i="34" s="1"/>
  <c r="N50" i="35"/>
  <c r="M52" i="34" s="1"/>
  <c r="M50" i="35"/>
  <c r="L52" i="34" s="1"/>
  <c r="L50" i="35"/>
  <c r="K52" i="34" s="1"/>
  <c r="K50" i="35"/>
  <c r="J52" i="34" s="1"/>
  <c r="J50" i="35"/>
  <c r="I52" i="34" s="1"/>
  <c r="I50" i="35"/>
  <c r="H52" i="34" s="1"/>
  <c r="H50" i="35"/>
  <c r="G52" i="34" s="1"/>
  <c r="G50" i="35"/>
  <c r="F52" i="34" s="1"/>
  <c r="F50" i="35"/>
  <c r="E52" i="34" s="1"/>
  <c r="E50" i="35"/>
  <c r="D52" i="34" s="1"/>
  <c r="Q49" i="35"/>
  <c r="K48" i="35"/>
  <c r="J50" i="34" s="1"/>
  <c r="G48" i="35"/>
  <c r="F50" i="34" s="1"/>
  <c r="Q47" i="35"/>
  <c r="P46" i="35"/>
  <c r="O48" i="34" s="1"/>
  <c r="O46" i="35"/>
  <c r="N48" i="34" s="1"/>
  <c r="N46" i="35"/>
  <c r="M48" i="34" s="1"/>
  <c r="M46" i="35"/>
  <c r="L48" i="34" s="1"/>
  <c r="L46" i="35"/>
  <c r="K48" i="34" s="1"/>
  <c r="K46" i="35"/>
  <c r="J48" i="34" s="1"/>
  <c r="J46" i="35"/>
  <c r="I48" i="34" s="1"/>
  <c r="I46" i="35"/>
  <c r="H48" i="34" s="1"/>
  <c r="H46" i="35"/>
  <c r="G48" i="34" s="1"/>
  <c r="G46" i="35"/>
  <c r="F48" i="34" s="1"/>
  <c r="F46" i="35"/>
  <c r="E48" i="34" s="1"/>
  <c r="E46" i="35"/>
  <c r="D48" i="34" s="1"/>
  <c r="Q45" i="35"/>
  <c r="P44" i="35"/>
  <c r="O46" i="34" s="1"/>
  <c r="O44" i="35"/>
  <c r="N46" i="34" s="1"/>
  <c r="N44" i="35"/>
  <c r="M46" i="34" s="1"/>
  <c r="M44" i="35"/>
  <c r="L46" i="34" s="1"/>
  <c r="L44" i="35"/>
  <c r="K46" i="34" s="1"/>
  <c r="K44" i="35"/>
  <c r="J46" i="34" s="1"/>
  <c r="J44" i="35"/>
  <c r="I46" i="34" s="1"/>
  <c r="I44" i="35"/>
  <c r="H46" i="34" s="1"/>
  <c r="H44" i="35"/>
  <c r="G46" i="34" s="1"/>
  <c r="G44" i="35"/>
  <c r="F46" i="34" s="1"/>
  <c r="F44" i="35"/>
  <c r="E46" i="34" s="1"/>
  <c r="E44" i="35"/>
  <c r="D46" i="34" s="1"/>
  <c r="Q43" i="35"/>
  <c r="P42" i="35"/>
  <c r="O44" i="34" s="1"/>
  <c r="O42" i="35"/>
  <c r="N44" i="34" s="1"/>
  <c r="N42" i="35"/>
  <c r="M44" i="34" s="1"/>
  <c r="M42" i="35"/>
  <c r="L44" i="34" s="1"/>
  <c r="L42" i="35"/>
  <c r="K44" i="34" s="1"/>
  <c r="K42" i="35"/>
  <c r="J44" i="34" s="1"/>
  <c r="J42" i="35"/>
  <c r="I44" i="34" s="1"/>
  <c r="I42" i="35"/>
  <c r="H44" i="34" s="1"/>
  <c r="H42" i="35"/>
  <c r="G44" i="34" s="1"/>
  <c r="G42" i="35"/>
  <c r="F44" i="34" s="1"/>
  <c r="F42" i="35"/>
  <c r="E44" i="34" s="1"/>
  <c r="E42" i="35"/>
  <c r="D44" i="34" s="1"/>
  <c r="Q41" i="35"/>
  <c r="N40" i="35"/>
  <c r="M42" i="34" s="1"/>
  <c r="M40" i="35"/>
  <c r="L42" i="34" s="1"/>
  <c r="L40" i="35"/>
  <c r="K42" i="34" s="1"/>
  <c r="K40" i="35"/>
  <c r="J42" i="34" s="1"/>
  <c r="F40" i="35"/>
  <c r="E42" i="34" s="1"/>
  <c r="E40" i="35"/>
  <c r="D42" i="34" s="1"/>
  <c r="Q39" i="35"/>
  <c r="P38" i="35"/>
  <c r="O40" i="34" s="1"/>
  <c r="O38" i="35"/>
  <c r="N40" i="34" s="1"/>
  <c r="N38" i="35"/>
  <c r="M40" i="34" s="1"/>
  <c r="M38" i="35"/>
  <c r="L40" i="34" s="1"/>
  <c r="L38" i="35"/>
  <c r="K40" i="34" s="1"/>
  <c r="K38" i="35"/>
  <c r="J40" i="34" s="1"/>
  <c r="J38" i="35"/>
  <c r="I40" i="34" s="1"/>
  <c r="I38" i="35"/>
  <c r="H40" i="34" s="1"/>
  <c r="H38" i="35"/>
  <c r="G40" i="34" s="1"/>
  <c r="G38" i="35"/>
  <c r="F40" i="34" s="1"/>
  <c r="F38" i="35"/>
  <c r="E40" i="34" s="1"/>
  <c r="E38" i="35"/>
  <c r="D40" i="34" s="1"/>
  <c r="Q37" i="35"/>
  <c r="M36" i="35"/>
  <c r="L38" i="34" s="1"/>
  <c r="L36" i="35"/>
  <c r="K38" i="34" s="1"/>
  <c r="K36" i="35"/>
  <c r="J38" i="34" s="1"/>
  <c r="Q35" i="35"/>
  <c r="P34" i="35"/>
  <c r="O36" i="34" s="1"/>
  <c r="O34" i="35"/>
  <c r="N36" i="34" s="1"/>
  <c r="N34" i="35"/>
  <c r="M36" i="34" s="1"/>
  <c r="M34" i="35"/>
  <c r="L36" i="34" s="1"/>
  <c r="L34" i="35"/>
  <c r="K36" i="34" s="1"/>
  <c r="K34" i="35"/>
  <c r="J36" i="34" s="1"/>
  <c r="J34" i="35"/>
  <c r="I36" i="34" s="1"/>
  <c r="I34" i="35"/>
  <c r="H36" i="34" s="1"/>
  <c r="H34" i="35"/>
  <c r="G36" i="34" s="1"/>
  <c r="G34" i="35"/>
  <c r="F36" i="34" s="1"/>
  <c r="F34" i="35"/>
  <c r="E36" i="34" s="1"/>
  <c r="E34" i="35"/>
  <c r="D36" i="34" s="1"/>
  <c r="Q33" i="35"/>
  <c r="P32" i="35"/>
  <c r="O34" i="34" s="1"/>
  <c r="O32" i="35"/>
  <c r="N34" i="34" s="1"/>
  <c r="N32" i="35"/>
  <c r="M34" i="34" s="1"/>
  <c r="M32" i="35"/>
  <c r="L34" i="34" s="1"/>
  <c r="L32" i="35"/>
  <c r="K34" i="34" s="1"/>
  <c r="K32" i="35"/>
  <c r="J34" i="34" s="1"/>
  <c r="J32" i="35"/>
  <c r="I34" i="34" s="1"/>
  <c r="I32" i="35"/>
  <c r="H34" i="34" s="1"/>
  <c r="H32" i="35"/>
  <c r="G34" i="34" s="1"/>
  <c r="G32" i="35"/>
  <c r="F34" i="34" s="1"/>
  <c r="F32" i="35"/>
  <c r="E34" i="34" s="1"/>
  <c r="E32" i="35"/>
  <c r="D34" i="34" s="1"/>
  <c r="Q31" i="35"/>
  <c r="L30" i="35"/>
  <c r="K32" i="34" s="1"/>
  <c r="Q29" i="35"/>
  <c r="P28" i="35"/>
  <c r="O30" i="34" s="1"/>
  <c r="O28" i="35"/>
  <c r="N30" i="34" s="1"/>
  <c r="N28" i="35"/>
  <c r="M30" i="34" s="1"/>
  <c r="M28" i="35"/>
  <c r="L30" i="34" s="1"/>
  <c r="L28" i="35"/>
  <c r="K30" i="34" s="1"/>
  <c r="K28" i="35"/>
  <c r="J30" i="34" s="1"/>
  <c r="J28" i="35"/>
  <c r="I30" i="34" s="1"/>
  <c r="I28" i="35"/>
  <c r="H30" i="34" s="1"/>
  <c r="H28" i="35"/>
  <c r="G30" i="34" s="1"/>
  <c r="G28" i="35"/>
  <c r="F30" i="34" s="1"/>
  <c r="F28" i="35"/>
  <c r="E30" i="34" s="1"/>
  <c r="E28" i="35"/>
  <c r="D30" i="34" s="1"/>
  <c r="Q27" i="35"/>
  <c r="M26" i="35"/>
  <c r="L28" i="34" s="1"/>
  <c r="E26" i="35"/>
  <c r="D28" i="34" s="1"/>
  <c r="Q25" i="35"/>
  <c r="P24" i="35"/>
  <c r="O26" i="34" s="1"/>
  <c r="O24" i="35"/>
  <c r="N26" i="34" s="1"/>
  <c r="N24" i="35"/>
  <c r="M26" i="34" s="1"/>
  <c r="M24" i="35"/>
  <c r="L26" i="34" s="1"/>
  <c r="L24" i="35"/>
  <c r="K26" i="34" s="1"/>
  <c r="K24" i="35"/>
  <c r="J26" i="34" s="1"/>
  <c r="J24" i="35"/>
  <c r="I26" i="34" s="1"/>
  <c r="I24" i="35"/>
  <c r="H26" i="34" s="1"/>
  <c r="H24" i="35"/>
  <c r="G26" i="34" s="1"/>
  <c r="G24" i="35"/>
  <c r="F26" i="34" s="1"/>
  <c r="F24" i="35"/>
  <c r="E26" i="34" s="1"/>
  <c r="E24" i="35"/>
  <c r="D26" i="34" s="1"/>
  <c r="Q23" i="35"/>
  <c r="P22" i="35"/>
  <c r="O24" i="34" s="1"/>
  <c r="O22" i="35"/>
  <c r="N24" i="34" s="1"/>
  <c r="N22" i="35"/>
  <c r="M24" i="34" s="1"/>
  <c r="M22" i="35"/>
  <c r="L24" i="34" s="1"/>
  <c r="L22" i="35"/>
  <c r="K24" i="34" s="1"/>
  <c r="K22" i="35"/>
  <c r="J24" i="34" s="1"/>
  <c r="J22" i="35"/>
  <c r="I24" i="34" s="1"/>
  <c r="I22" i="35"/>
  <c r="H24" i="34" s="1"/>
  <c r="H22" i="35"/>
  <c r="G24" i="34" s="1"/>
  <c r="G22" i="35"/>
  <c r="F24" i="34" s="1"/>
  <c r="F22" i="35"/>
  <c r="E24" i="34" s="1"/>
  <c r="E22" i="35"/>
  <c r="D24" i="34" s="1"/>
  <c r="Q21" i="35"/>
  <c r="P20" i="35"/>
  <c r="O22" i="34" s="1"/>
  <c r="O20" i="35"/>
  <c r="N22" i="34" s="1"/>
  <c r="N20" i="35"/>
  <c r="M22" i="34" s="1"/>
  <c r="M20" i="35"/>
  <c r="L22" i="34" s="1"/>
  <c r="L20" i="35"/>
  <c r="K22" i="34" s="1"/>
  <c r="K20" i="35"/>
  <c r="J22" i="34" s="1"/>
  <c r="J20" i="35"/>
  <c r="I22" i="34" s="1"/>
  <c r="I20" i="35"/>
  <c r="H22" i="34" s="1"/>
  <c r="H20" i="35"/>
  <c r="G22" i="34" s="1"/>
  <c r="G20" i="35"/>
  <c r="F22" i="34" s="1"/>
  <c r="F20" i="35"/>
  <c r="E22" i="34" s="1"/>
  <c r="E20" i="35"/>
  <c r="D22" i="34" s="1"/>
  <c r="Q19" i="35"/>
  <c r="N18" i="35"/>
  <c r="J18" i="35"/>
  <c r="F18" i="35"/>
  <c r="P16" i="35"/>
  <c r="O18" i="31" s="1"/>
  <c r="O16" i="35"/>
  <c r="N18" i="31" s="1"/>
  <c r="N16" i="35"/>
  <c r="M18" i="31" s="1"/>
  <c r="M16" i="35"/>
  <c r="L18" i="31" s="1"/>
  <c r="L16" i="35"/>
  <c r="K18" i="31" s="1"/>
  <c r="K16" i="35"/>
  <c r="J18" i="31" s="1"/>
  <c r="J16" i="35"/>
  <c r="I16" i="35"/>
  <c r="H16" i="35"/>
  <c r="G18" i="31" s="1"/>
  <c r="G16" i="35"/>
  <c r="F18" i="31" s="1"/>
  <c r="F16" i="35"/>
  <c r="E18" i="31" s="1"/>
  <c r="E16" i="35"/>
  <c r="D18" i="31" s="1"/>
  <c r="Q15" i="35"/>
  <c r="P14" i="35"/>
  <c r="O16" i="31" s="1"/>
  <c r="O14" i="35"/>
  <c r="N16" i="31" s="1"/>
  <c r="N14" i="35"/>
  <c r="M16" i="31" s="1"/>
  <c r="M14" i="35"/>
  <c r="L16" i="31" s="1"/>
  <c r="L14" i="35"/>
  <c r="K16" i="31" s="1"/>
  <c r="K14" i="35"/>
  <c r="J16" i="31" s="1"/>
  <c r="J14" i="35"/>
  <c r="I16" i="31" s="1"/>
  <c r="I14" i="35"/>
  <c r="H16" i="31" s="1"/>
  <c r="H14" i="35"/>
  <c r="G16" i="31" s="1"/>
  <c r="G14" i="35"/>
  <c r="F16" i="31" s="1"/>
  <c r="F14" i="35"/>
  <c r="E16" i="31" s="1"/>
  <c r="E14" i="35"/>
  <c r="D16" i="31" s="1"/>
  <c r="Q13" i="35"/>
  <c r="N12" i="35"/>
  <c r="M14" i="31" s="1"/>
  <c r="F12" i="35"/>
  <c r="E14" i="31" s="1"/>
  <c r="Q11" i="35"/>
  <c r="M10" i="35"/>
  <c r="L12" i="31" s="1"/>
  <c r="E10" i="35"/>
  <c r="D12" i="31" s="1"/>
  <c r="D84" i="20"/>
  <c r="D85" i="20"/>
  <c r="E84" i="20"/>
  <c r="E89" i="20"/>
  <c r="E88" i="20"/>
  <c r="O17" i="35" l="1"/>
  <c r="P76" i="34"/>
  <c r="S74" i="34" s="1"/>
  <c r="K79" i="34"/>
  <c r="O79" i="34"/>
  <c r="M79" i="34"/>
  <c r="N79" i="34"/>
  <c r="G81" i="31"/>
  <c r="E79" i="34"/>
  <c r="H79" i="34"/>
  <c r="O81" i="31"/>
  <c r="D81" i="31"/>
  <c r="Q16" i="35"/>
  <c r="H18" i="31"/>
  <c r="H81" i="31" s="1"/>
  <c r="F17" i="35"/>
  <c r="P17" i="35"/>
  <c r="J81" i="31"/>
  <c r="E17" i="35"/>
  <c r="M17" i="35"/>
  <c r="Q76" i="35"/>
  <c r="J17" i="35"/>
  <c r="I18" i="31"/>
  <c r="I81" i="31" s="1"/>
  <c r="K81" i="31"/>
  <c r="L81" i="31"/>
  <c r="L79" i="34"/>
  <c r="H17" i="35"/>
  <c r="E81" i="31"/>
  <c r="M81" i="31"/>
  <c r="F78" i="34"/>
  <c r="P78" i="34" s="1"/>
  <c r="S72" i="34" s="1"/>
  <c r="F81" i="31"/>
  <c r="N81" i="31"/>
  <c r="N17" i="35"/>
  <c r="J48" i="35"/>
  <c r="I50" i="34" s="1"/>
  <c r="Q44" i="35"/>
  <c r="Q28" i="35"/>
  <c r="Q52" i="35"/>
  <c r="Q60" i="35"/>
  <c r="Q26" i="35"/>
  <c r="Q42" i="35"/>
  <c r="L206" i="35"/>
  <c r="L211" i="35" s="1"/>
  <c r="K17" i="35"/>
  <c r="Q46" i="35"/>
  <c r="Q56" i="35"/>
  <c r="Q62" i="35"/>
  <c r="Q12" i="35"/>
  <c r="I17" i="35"/>
  <c r="Q38" i="35"/>
  <c r="Q34" i="35"/>
  <c r="L18" i="35"/>
  <c r="L17" i="35" s="1"/>
  <c r="Q24" i="35"/>
  <c r="Q32" i="35"/>
  <c r="Q50" i="35"/>
  <c r="Q54" i="35"/>
  <c r="Q74" i="35"/>
  <c r="Q66" i="35"/>
  <c r="Q58" i="35"/>
  <c r="Q36" i="35"/>
  <c r="E48" i="35"/>
  <c r="Q64" i="35"/>
  <c r="Q20" i="35"/>
  <c r="Q22" i="35"/>
  <c r="K206" i="35"/>
  <c r="K211" i="35" s="1"/>
  <c r="I206" i="35"/>
  <c r="I211" i="35" s="1"/>
  <c r="E206" i="35"/>
  <c r="M206" i="35"/>
  <c r="F206" i="35"/>
  <c r="F211" i="35" s="1"/>
  <c r="N206" i="35"/>
  <c r="N211" i="35" s="1"/>
  <c r="G206" i="35"/>
  <c r="G211" i="35" s="1"/>
  <c r="O206" i="35"/>
  <c r="O211" i="35" s="1"/>
  <c r="J206" i="35"/>
  <c r="J211" i="35" s="1"/>
  <c r="H206" i="35"/>
  <c r="H211" i="35" s="1"/>
  <c r="P206" i="35"/>
  <c r="P211" i="35" s="1"/>
  <c r="M78" i="35"/>
  <c r="Q10" i="35"/>
  <c r="F78" i="35"/>
  <c r="N78" i="35"/>
  <c r="Q70" i="35"/>
  <c r="I78" i="35"/>
  <c r="O78" i="35"/>
  <c r="Q30" i="35"/>
  <c r="P78" i="35"/>
  <c r="G17" i="35"/>
  <c r="H40" i="35"/>
  <c r="H72" i="35"/>
  <c r="G74" i="34" s="1"/>
  <c r="Q14" i="35"/>
  <c r="J72" i="35"/>
  <c r="G68" i="35"/>
  <c r="K72" i="35"/>
  <c r="E211" i="35" l="1"/>
  <c r="Q206" i="35"/>
  <c r="Q211" i="35" s="1"/>
  <c r="J78" i="35"/>
  <c r="J208" i="35" s="1"/>
  <c r="I74" i="34"/>
  <c r="Q40" i="35"/>
  <c r="G42" i="34"/>
  <c r="K78" i="35"/>
  <c r="K208" i="35" s="1"/>
  <c r="J74" i="34"/>
  <c r="J79" i="34" s="1"/>
  <c r="Q48" i="35"/>
  <c r="D50" i="34"/>
  <c r="D79" i="34" s="1"/>
  <c r="G78" i="35"/>
  <c r="G208" i="35" s="1"/>
  <c r="F70" i="34"/>
  <c r="F79" i="34" s="1"/>
  <c r="L78" i="35"/>
  <c r="L79" i="35" s="1"/>
  <c r="Q17" i="35"/>
  <c r="Q72" i="35"/>
  <c r="Q18" i="35"/>
  <c r="E78" i="35"/>
  <c r="Q68" i="35"/>
  <c r="H78" i="35"/>
  <c r="H208" i="35" s="1"/>
  <c r="O79" i="35"/>
  <c r="N79" i="35"/>
  <c r="F208" i="35"/>
  <c r="M208" i="35"/>
  <c r="F79" i="35"/>
  <c r="I79" i="35"/>
  <c r="M211" i="35"/>
  <c r="P79" i="35"/>
  <c r="M79" i="35"/>
  <c r="P208" i="35"/>
  <c r="O208" i="35"/>
  <c r="I208" i="35"/>
  <c r="N208" i="35"/>
  <c r="P74" i="34" l="1"/>
  <c r="I79" i="34"/>
  <c r="G79" i="35"/>
  <c r="J79" i="35"/>
  <c r="G79" i="34"/>
  <c r="P42" i="34"/>
  <c r="K79" i="35"/>
  <c r="L208" i="35"/>
  <c r="E208" i="35"/>
  <c r="E79" i="35"/>
  <c r="H79" i="35"/>
  <c r="Q78" i="35"/>
  <c r="P68" i="7" l="1"/>
  <c r="O68" i="16" s="1"/>
  <c r="P40" i="7"/>
  <c r="O40" i="16" s="1"/>
  <c r="P36" i="7"/>
  <c r="O36" i="16" s="1"/>
  <c r="P26" i="7"/>
  <c r="O26" i="16" s="1"/>
  <c r="P24" i="7"/>
  <c r="O24" i="16" s="1"/>
  <c r="P64" i="7"/>
  <c r="O64" i="16" s="1"/>
  <c r="P22" i="7"/>
  <c r="O22" i="16" s="1"/>
  <c r="P20" i="7"/>
  <c r="O20" i="16" s="1"/>
  <c r="P14" i="7"/>
  <c r="Q79" i="7"/>
  <c r="K10" i="7"/>
  <c r="F14" i="7"/>
  <c r="G14" i="7"/>
  <c r="H14" i="7"/>
  <c r="I14" i="7"/>
  <c r="J14" i="7"/>
  <c r="K14" i="7"/>
  <c r="L14" i="7"/>
  <c r="M14" i="7"/>
  <c r="N14" i="7"/>
  <c r="O14" i="7"/>
  <c r="F16" i="7"/>
  <c r="G16" i="7"/>
  <c r="H16" i="7"/>
  <c r="I16" i="7"/>
  <c r="J16" i="7"/>
  <c r="K16" i="7"/>
  <c r="L16" i="7"/>
  <c r="M16" i="7"/>
  <c r="N16" i="7"/>
  <c r="O16" i="7"/>
  <c r="P16" i="7"/>
  <c r="F20" i="7"/>
  <c r="E20" i="16" s="1"/>
  <c r="G20" i="7"/>
  <c r="F20" i="16" s="1"/>
  <c r="H20" i="7"/>
  <c r="G20" i="16" s="1"/>
  <c r="I20" i="7"/>
  <c r="H20" i="16" s="1"/>
  <c r="J20" i="7"/>
  <c r="I20" i="16" s="1"/>
  <c r="K20" i="7"/>
  <c r="J20" i="16" s="1"/>
  <c r="L20" i="7"/>
  <c r="K20" i="16" s="1"/>
  <c r="M20" i="7"/>
  <c r="L20" i="16" s="1"/>
  <c r="N20" i="7"/>
  <c r="M20" i="16" s="1"/>
  <c r="O20" i="7"/>
  <c r="N20" i="16" s="1"/>
  <c r="F22" i="7"/>
  <c r="E22" i="16" s="1"/>
  <c r="G22" i="7"/>
  <c r="F22" i="16" s="1"/>
  <c r="H22" i="7"/>
  <c r="G22" i="16" s="1"/>
  <c r="I22" i="7"/>
  <c r="H22" i="16" s="1"/>
  <c r="J22" i="7"/>
  <c r="I22" i="16" s="1"/>
  <c r="K22" i="7"/>
  <c r="J22" i="16" s="1"/>
  <c r="L22" i="7"/>
  <c r="K22" i="16" s="1"/>
  <c r="M22" i="7"/>
  <c r="L22" i="16" s="1"/>
  <c r="N22" i="7"/>
  <c r="M22" i="16" s="1"/>
  <c r="O22" i="7"/>
  <c r="N22" i="16" s="1"/>
  <c r="F24" i="7"/>
  <c r="E24" i="16" s="1"/>
  <c r="G24" i="7"/>
  <c r="F24" i="16" s="1"/>
  <c r="H24" i="7"/>
  <c r="G24" i="16" s="1"/>
  <c r="I24" i="7"/>
  <c r="H24" i="16" s="1"/>
  <c r="J24" i="7"/>
  <c r="I24" i="16" s="1"/>
  <c r="K24" i="7"/>
  <c r="J24" i="16" s="1"/>
  <c r="L24" i="7"/>
  <c r="K24" i="16" s="1"/>
  <c r="M24" i="7"/>
  <c r="L24" i="16" s="1"/>
  <c r="N24" i="7"/>
  <c r="M24" i="16" s="1"/>
  <c r="O24" i="7"/>
  <c r="N24" i="16" s="1"/>
  <c r="F28" i="7"/>
  <c r="E28" i="16" s="1"/>
  <c r="G28" i="7"/>
  <c r="F28" i="16" s="1"/>
  <c r="H28" i="7"/>
  <c r="G28" i="16" s="1"/>
  <c r="I28" i="7"/>
  <c r="H28" i="16" s="1"/>
  <c r="J28" i="7"/>
  <c r="I28" i="16" s="1"/>
  <c r="K28" i="7"/>
  <c r="J28" i="16" s="1"/>
  <c r="L28" i="7"/>
  <c r="K28" i="16" s="1"/>
  <c r="M28" i="7"/>
  <c r="L28" i="16" s="1"/>
  <c r="N28" i="7"/>
  <c r="M28" i="16" s="1"/>
  <c r="O28" i="7"/>
  <c r="N28" i="16" s="1"/>
  <c r="P28" i="7"/>
  <c r="O28" i="16" s="1"/>
  <c r="F32" i="7"/>
  <c r="E32" i="16" s="1"/>
  <c r="G32" i="7"/>
  <c r="F32" i="16" s="1"/>
  <c r="H32" i="7"/>
  <c r="G32" i="16" s="1"/>
  <c r="I32" i="7"/>
  <c r="H32" i="16" s="1"/>
  <c r="J32" i="7"/>
  <c r="I32" i="16" s="1"/>
  <c r="K32" i="7"/>
  <c r="J32" i="16" s="1"/>
  <c r="L32" i="7"/>
  <c r="K32" i="16" s="1"/>
  <c r="M32" i="7"/>
  <c r="L32" i="16" s="1"/>
  <c r="N32" i="7"/>
  <c r="M32" i="16" s="1"/>
  <c r="O32" i="7"/>
  <c r="N32" i="16" s="1"/>
  <c r="P32" i="7"/>
  <c r="O32" i="16" s="1"/>
  <c r="F34" i="7"/>
  <c r="E34" i="16" s="1"/>
  <c r="G34" i="7"/>
  <c r="F34" i="16" s="1"/>
  <c r="H34" i="7"/>
  <c r="G34" i="16" s="1"/>
  <c r="I34" i="7"/>
  <c r="H34" i="16" s="1"/>
  <c r="J34" i="7"/>
  <c r="I34" i="16" s="1"/>
  <c r="K34" i="7"/>
  <c r="J34" i="16" s="1"/>
  <c r="L34" i="7"/>
  <c r="K34" i="16" s="1"/>
  <c r="M34" i="7"/>
  <c r="L34" i="16" s="1"/>
  <c r="N34" i="7"/>
  <c r="M34" i="16" s="1"/>
  <c r="O34" i="7"/>
  <c r="N34" i="16" s="1"/>
  <c r="P34" i="7"/>
  <c r="O34" i="16" s="1"/>
  <c r="F38" i="7"/>
  <c r="E38" i="16" s="1"/>
  <c r="G38" i="7"/>
  <c r="F38" i="16" s="1"/>
  <c r="H38" i="7"/>
  <c r="G38" i="16" s="1"/>
  <c r="I38" i="7"/>
  <c r="H38" i="16" s="1"/>
  <c r="J38" i="7"/>
  <c r="I38" i="16" s="1"/>
  <c r="K38" i="7"/>
  <c r="J38" i="16" s="1"/>
  <c r="L38" i="7"/>
  <c r="K38" i="16" s="1"/>
  <c r="M38" i="7"/>
  <c r="L38" i="16" s="1"/>
  <c r="N38" i="7"/>
  <c r="M38" i="16" s="1"/>
  <c r="O38" i="7"/>
  <c r="N38" i="16" s="1"/>
  <c r="P38" i="7"/>
  <c r="O38" i="16" s="1"/>
  <c r="F42" i="7"/>
  <c r="E42" i="16" s="1"/>
  <c r="G42" i="7"/>
  <c r="F42" i="16" s="1"/>
  <c r="H42" i="7"/>
  <c r="G42" i="16" s="1"/>
  <c r="I42" i="7"/>
  <c r="H42" i="16" s="1"/>
  <c r="J42" i="7"/>
  <c r="I42" i="16" s="1"/>
  <c r="K42" i="7"/>
  <c r="J42" i="16" s="1"/>
  <c r="L42" i="7"/>
  <c r="K42" i="16" s="1"/>
  <c r="M42" i="7"/>
  <c r="L42" i="16" s="1"/>
  <c r="N42" i="7"/>
  <c r="M42" i="16" s="1"/>
  <c r="O42" i="7"/>
  <c r="N42" i="16" s="1"/>
  <c r="P42" i="7"/>
  <c r="O42" i="16" s="1"/>
  <c r="F44" i="7"/>
  <c r="E44" i="16" s="1"/>
  <c r="G44" i="7"/>
  <c r="F44" i="16" s="1"/>
  <c r="H44" i="7"/>
  <c r="G44" i="16" s="1"/>
  <c r="I44" i="7"/>
  <c r="H44" i="16" s="1"/>
  <c r="J44" i="7"/>
  <c r="I44" i="16" s="1"/>
  <c r="K44" i="7"/>
  <c r="J44" i="16" s="1"/>
  <c r="L44" i="7"/>
  <c r="K44" i="16" s="1"/>
  <c r="M44" i="7"/>
  <c r="L44" i="16" s="1"/>
  <c r="N44" i="7"/>
  <c r="M44" i="16" s="1"/>
  <c r="O44" i="7"/>
  <c r="N44" i="16" s="1"/>
  <c r="P44" i="7"/>
  <c r="O44" i="16" s="1"/>
  <c r="F46" i="7"/>
  <c r="E46" i="16" s="1"/>
  <c r="G46" i="7"/>
  <c r="F46" i="16" s="1"/>
  <c r="H46" i="7"/>
  <c r="G46" i="16" s="1"/>
  <c r="I46" i="7"/>
  <c r="H46" i="16" s="1"/>
  <c r="J46" i="7"/>
  <c r="I46" i="16" s="1"/>
  <c r="K46" i="7"/>
  <c r="J46" i="16" s="1"/>
  <c r="L46" i="7"/>
  <c r="K46" i="16" s="1"/>
  <c r="M46" i="7"/>
  <c r="L46" i="16" s="1"/>
  <c r="N46" i="7"/>
  <c r="M46" i="16" s="1"/>
  <c r="O46" i="7"/>
  <c r="N46" i="16" s="1"/>
  <c r="P46" i="7"/>
  <c r="O46" i="16" s="1"/>
  <c r="P48" i="7"/>
  <c r="O48" i="16" s="1"/>
  <c r="F50" i="7"/>
  <c r="E50" i="16" s="1"/>
  <c r="G50" i="7"/>
  <c r="F50" i="16" s="1"/>
  <c r="H50" i="7"/>
  <c r="G50" i="16" s="1"/>
  <c r="I50" i="7"/>
  <c r="H50" i="16" s="1"/>
  <c r="J50" i="7"/>
  <c r="I50" i="16" s="1"/>
  <c r="K50" i="7"/>
  <c r="J50" i="16" s="1"/>
  <c r="L50" i="7"/>
  <c r="K50" i="16" s="1"/>
  <c r="M50" i="7"/>
  <c r="L50" i="16" s="1"/>
  <c r="N50" i="7"/>
  <c r="M50" i="16" s="1"/>
  <c r="O50" i="7"/>
  <c r="N50" i="16" s="1"/>
  <c r="P50" i="7"/>
  <c r="O50" i="16" s="1"/>
  <c r="F52" i="7"/>
  <c r="E52" i="16" s="1"/>
  <c r="G52" i="7"/>
  <c r="F52" i="16" s="1"/>
  <c r="H52" i="7"/>
  <c r="G52" i="16" s="1"/>
  <c r="I52" i="7"/>
  <c r="H52" i="16" s="1"/>
  <c r="J52" i="7"/>
  <c r="I52" i="16" s="1"/>
  <c r="K52" i="7"/>
  <c r="J52" i="16" s="1"/>
  <c r="L52" i="7"/>
  <c r="K52" i="16" s="1"/>
  <c r="M52" i="7"/>
  <c r="L52" i="16" s="1"/>
  <c r="N52" i="7"/>
  <c r="M52" i="16" s="1"/>
  <c r="O52" i="7"/>
  <c r="N52" i="16" s="1"/>
  <c r="P52" i="7"/>
  <c r="O52" i="16" s="1"/>
  <c r="F54" i="7"/>
  <c r="E54" i="16" s="1"/>
  <c r="G54" i="7"/>
  <c r="F54" i="16" s="1"/>
  <c r="H54" i="7"/>
  <c r="G54" i="16" s="1"/>
  <c r="I54" i="7"/>
  <c r="H54" i="16" s="1"/>
  <c r="J54" i="7"/>
  <c r="I54" i="16" s="1"/>
  <c r="K54" i="7"/>
  <c r="J54" i="16" s="1"/>
  <c r="L54" i="7"/>
  <c r="K54" i="16" s="1"/>
  <c r="M54" i="7"/>
  <c r="L54" i="16" s="1"/>
  <c r="N54" i="7"/>
  <c r="M54" i="16" s="1"/>
  <c r="O54" i="7"/>
  <c r="N54" i="16" s="1"/>
  <c r="P54" i="7"/>
  <c r="O54" i="16" s="1"/>
  <c r="F56" i="7"/>
  <c r="E56" i="16" s="1"/>
  <c r="G56" i="7"/>
  <c r="F56" i="16" s="1"/>
  <c r="H56" i="7"/>
  <c r="G56" i="16" s="1"/>
  <c r="I56" i="7"/>
  <c r="H56" i="16" s="1"/>
  <c r="J56" i="7"/>
  <c r="I56" i="16" s="1"/>
  <c r="K56" i="7"/>
  <c r="J56" i="16" s="1"/>
  <c r="L56" i="7"/>
  <c r="K56" i="16" s="1"/>
  <c r="M56" i="7"/>
  <c r="L56" i="16" s="1"/>
  <c r="N56" i="7"/>
  <c r="M56" i="16" s="1"/>
  <c r="O56" i="7"/>
  <c r="N56" i="16" s="1"/>
  <c r="P56" i="7"/>
  <c r="O56" i="16" s="1"/>
  <c r="F58" i="7"/>
  <c r="E58" i="16" s="1"/>
  <c r="G58" i="7"/>
  <c r="F58" i="16" s="1"/>
  <c r="H58" i="7"/>
  <c r="G58" i="16" s="1"/>
  <c r="I58" i="7"/>
  <c r="H58" i="16" s="1"/>
  <c r="J58" i="7"/>
  <c r="I58" i="16" s="1"/>
  <c r="K58" i="7"/>
  <c r="J58" i="16" s="1"/>
  <c r="L58" i="7"/>
  <c r="K58" i="16" s="1"/>
  <c r="M58" i="7"/>
  <c r="L58" i="16" s="1"/>
  <c r="N58" i="7"/>
  <c r="M58" i="16" s="1"/>
  <c r="O58" i="7"/>
  <c r="N58" i="16" s="1"/>
  <c r="P58" i="7"/>
  <c r="O58" i="16" s="1"/>
  <c r="F60" i="7"/>
  <c r="E60" i="16" s="1"/>
  <c r="G60" i="7"/>
  <c r="F60" i="16" s="1"/>
  <c r="H60" i="7"/>
  <c r="G60" i="16" s="1"/>
  <c r="I60" i="7"/>
  <c r="H60" i="16" s="1"/>
  <c r="J60" i="7"/>
  <c r="I60" i="16" s="1"/>
  <c r="K60" i="7"/>
  <c r="J60" i="16" s="1"/>
  <c r="L60" i="7"/>
  <c r="K60" i="16" s="1"/>
  <c r="M60" i="7"/>
  <c r="L60" i="16" s="1"/>
  <c r="N60" i="7"/>
  <c r="M60" i="16" s="1"/>
  <c r="O60" i="7"/>
  <c r="N60" i="16" s="1"/>
  <c r="P60" i="7"/>
  <c r="O60" i="16" s="1"/>
  <c r="F62" i="7"/>
  <c r="E62" i="16" s="1"/>
  <c r="G62" i="7"/>
  <c r="F62" i="16" s="1"/>
  <c r="H62" i="7"/>
  <c r="G62" i="16" s="1"/>
  <c r="I62" i="7"/>
  <c r="H62" i="16" s="1"/>
  <c r="J62" i="7"/>
  <c r="I62" i="16" s="1"/>
  <c r="K62" i="7"/>
  <c r="J62" i="16" s="1"/>
  <c r="L62" i="7"/>
  <c r="K62" i="16" s="1"/>
  <c r="M62" i="7"/>
  <c r="L62" i="16" s="1"/>
  <c r="N62" i="7"/>
  <c r="M62" i="16" s="1"/>
  <c r="O62" i="7"/>
  <c r="N62" i="16" s="1"/>
  <c r="P62" i="7"/>
  <c r="O62" i="16" s="1"/>
  <c r="F64" i="7"/>
  <c r="E64" i="16" s="1"/>
  <c r="G64" i="7"/>
  <c r="F64" i="16" s="1"/>
  <c r="H64" i="7"/>
  <c r="G64" i="16" s="1"/>
  <c r="I64" i="7"/>
  <c r="H64" i="16" s="1"/>
  <c r="J64" i="7"/>
  <c r="I64" i="16" s="1"/>
  <c r="K64" i="7"/>
  <c r="J64" i="16" s="1"/>
  <c r="L64" i="7"/>
  <c r="K64" i="16" s="1"/>
  <c r="M64" i="7"/>
  <c r="L64" i="16" s="1"/>
  <c r="N64" i="7"/>
  <c r="M64" i="16" s="1"/>
  <c r="O64" i="7"/>
  <c r="N64" i="16" s="1"/>
  <c r="F66" i="7"/>
  <c r="E66" i="16" s="1"/>
  <c r="G66" i="7"/>
  <c r="F66" i="16" s="1"/>
  <c r="H66" i="7"/>
  <c r="G66" i="16" s="1"/>
  <c r="I66" i="7"/>
  <c r="H66" i="16" s="1"/>
  <c r="J66" i="7"/>
  <c r="I66" i="16" s="1"/>
  <c r="K66" i="7"/>
  <c r="J66" i="16" s="1"/>
  <c r="L66" i="7"/>
  <c r="K66" i="16" s="1"/>
  <c r="M66" i="7"/>
  <c r="L66" i="16" s="1"/>
  <c r="N66" i="7"/>
  <c r="M66" i="16" s="1"/>
  <c r="O66" i="7"/>
  <c r="N66" i="16" s="1"/>
  <c r="P66" i="7"/>
  <c r="O66" i="16" s="1"/>
  <c r="F74" i="7"/>
  <c r="E74" i="16" s="1"/>
  <c r="G74" i="7"/>
  <c r="F74" i="16" s="1"/>
  <c r="H74" i="7"/>
  <c r="G74" i="16" s="1"/>
  <c r="I74" i="7"/>
  <c r="H74" i="16" s="1"/>
  <c r="J74" i="7"/>
  <c r="I74" i="16" s="1"/>
  <c r="K74" i="7"/>
  <c r="J74" i="16" s="1"/>
  <c r="L74" i="7"/>
  <c r="K74" i="16" s="1"/>
  <c r="M74" i="7"/>
  <c r="L74" i="16" s="1"/>
  <c r="N74" i="7"/>
  <c r="M74" i="16" s="1"/>
  <c r="O74" i="7"/>
  <c r="N74" i="16" s="1"/>
  <c r="P74" i="7"/>
  <c r="O74" i="16" s="1"/>
  <c r="F76" i="7"/>
  <c r="E76" i="16" s="1"/>
  <c r="G76" i="7"/>
  <c r="F76" i="16" s="1"/>
  <c r="H76" i="7"/>
  <c r="G76" i="16" s="1"/>
  <c r="I76" i="7"/>
  <c r="H76" i="16" s="1"/>
  <c r="J76" i="7"/>
  <c r="I76" i="16" s="1"/>
  <c r="K76" i="7"/>
  <c r="J76" i="16" s="1"/>
  <c r="L76" i="7"/>
  <c r="K76" i="16" s="1"/>
  <c r="M76" i="7"/>
  <c r="L76" i="16" s="1"/>
  <c r="N76" i="7"/>
  <c r="M76" i="16" s="1"/>
  <c r="O76" i="7"/>
  <c r="N76" i="16" s="1"/>
  <c r="P76" i="7"/>
  <c r="O76" i="16" s="1"/>
  <c r="E14" i="7"/>
  <c r="E76" i="7"/>
  <c r="D76" i="16" s="1"/>
  <c r="E74" i="7"/>
  <c r="D74" i="16" s="1"/>
  <c r="E66" i="7"/>
  <c r="D66" i="16" s="1"/>
  <c r="E64" i="7"/>
  <c r="D64" i="16" s="1"/>
  <c r="E62" i="7"/>
  <c r="D62" i="16" s="1"/>
  <c r="E58" i="7"/>
  <c r="D58" i="16" s="1"/>
  <c r="E56" i="7"/>
  <c r="D56" i="16" s="1"/>
  <c r="E52" i="7"/>
  <c r="D52" i="16" s="1"/>
  <c r="E50" i="7"/>
  <c r="D50" i="16" s="1"/>
  <c r="E54" i="7"/>
  <c r="D54" i="16" s="1"/>
  <c r="E60" i="7"/>
  <c r="D60" i="16" s="1"/>
  <c r="E46" i="7"/>
  <c r="D46" i="16" s="1"/>
  <c r="E44" i="7"/>
  <c r="D44" i="16" s="1"/>
  <c r="E42" i="7"/>
  <c r="D42" i="16" s="1"/>
  <c r="E38" i="7"/>
  <c r="D38" i="16" s="1"/>
  <c r="E34" i="7"/>
  <c r="D34" i="16" s="1"/>
  <c r="E32" i="7"/>
  <c r="D32" i="16" s="1"/>
  <c r="E28" i="7"/>
  <c r="D28" i="16" s="1"/>
  <c r="E24" i="7"/>
  <c r="D24" i="16" s="1"/>
  <c r="E22" i="7"/>
  <c r="D22" i="16" s="1"/>
  <c r="E20" i="7"/>
  <c r="D20" i="16" s="1"/>
  <c r="E16" i="7"/>
  <c r="F10" i="7"/>
  <c r="G10" i="7"/>
  <c r="H10" i="7"/>
  <c r="I10" i="7"/>
  <c r="J10" i="7"/>
  <c r="L10" i="7"/>
  <c r="M10" i="7"/>
  <c r="N10" i="7"/>
  <c r="O10" i="7"/>
  <c r="P10" i="7"/>
  <c r="Q74" i="7" l="1"/>
  <c r="E10" i="7"/>
  <c r="E18" i="7"/>
  <c r="F18" i="7"/>
  <c r="G18" i="7"/>
  <c r="H18" i="7"/>
  <c r="I18" i="7"/>
  <c r="J18" i="7"/>
  <c r="K18" i="7"/>
  <c r="J18" i="16" s="1"/>
  <c r="L18" i="7"/>
  <c r="K18" i="16" s="1"/>
  <c r="M18" i="7"/>
  <c r="N18" i="7"/>
  <c r="O18" i="7"/>
  <c r="P18" i="7"/>
  <c r="F70" i="7"/>
  <c r="E70" i="16" s="1"/>
  <c r="G70" i="7"/>
  <c r="F70" i="16" s="1"/>
  <c r="H70" i="7"/>
  <c r="G70" i="16" s="1"/>
  <c r="I70" i="7"/>
  <c r="H70" i="16" s="1"/>
  <c r="J70" i="7"/>
  <c r="I70" i="16" s="1"/>
  <c r="K70" i="7"/>
  <c r="J70" i="16" s="1"/>
  <c r="L70" i="7"/>
  <c r="K70" i="16" s="1"/>
  <c r="M70" i="7"/>
  <c r="L70" i="16" s="1"/>
  <c r="N70" i="7"/>
  <c r="M70" i="16" s="1"/>
  <c r="O70" i="7"/>
  <c r="N70" i="16" s="1"/>
  <c r="P70" i="7"/>
  <c r="O70" i="16" s="1"/>
  <c r="E70" i="7"/>
  <c r="D70" i="16" s="1"/>
  <c r="F68" i="7"/>
  <c r="E68" i="16" s="1"/>
  <c r="G68" i="7"/>
  <c r="F68" i="16" s="1"/>
  <c r="H68" i="7"/>
  <c r="G68" i="16" s="1"/>
  <c r="I68" i="7"/>
  <c r="H68" i="16" s="1"/>
  <c r="J68" i="7"/>
  <c r="I68" i="16" s="1"/>
  <c r="K68" i="7"/>
  <c r="J68" i="16" s="1"/>
  <c r="L68" i="7"/>
  <c r="K68" i="16" s="1"/>
  <c r="M68" i="7"/>
  <c r="L68" i="16" s="1"/>
  <c r="N68" i="7"/>
  <c r="M68" i="16" s="1"/>
  <c r="O68" i="7"/>
  <c r="N68" i="16" s="1"/>
  <c r="E68" i="7"/>
  <c r="D68" i="16" s="1"/>
  <c r="L17" i="7" l="1"/>
  <c r="O17" i="7"/>
  <c r="N18" i="16"/>
  <c r="G17" i="7"/>
  <c r="F18" i="16"/>
  <c r="D18" i="16"/>
  <c r="E17" i="7"/>
  <c r="M17" i="7"/>
  <c r="L18" i="16"/>
  <c r="O18" i="16"/>
  <c r="P17" i="7"/>
  <c r="F17" i="7"/>
  <c r="E18" i="16"/>
  <c r="G18" i="16"/>
  <c r="H17" i="7"/>
  <c r="I18" i="16"/>
  <c r="J17" i="7"/>
  <c r="K17" i="7"/>
  <c r="N17" i="7"/>
  <c r="M18" i="16"/>
  <c r="H18" i="16"/>
  <c r="I17" i="7"/>
  <c r="P88" i="21"/>
  <c r="AA88" i="21" s="1"/>
  <c r="P86" i="21"/>
  <c r="AA86" i="21" s="1"/>
  <c r="P84" i="21"/>
  <c r="AA84" i="21" s="1"/>
  <c r="P73" i="15" l="1"/>
  <c r="P75" i="15"/>
  <c r="P77" i="15"/>
  <c r="P72" i="15"/>
  <c r="P78" i="15"/>
  <c r="S72" i="15" s="1"/>
  <c r="P76" i="15"/>
  <c r="P58" i="15"/>
  <c r="P42" i="15"/>
  <c r="P28" i="15"/>
  <c r="P74" i="15"/>
  <c r="C62" i="14"/>
  <c r="C60" i="14"/>
  <c r="C48" i="14"/>
  <c r="F48" i="6"/>
  <c r="E61" i="21" s="1"/>
  <c r="G48" i="6"/>
  <c r="F61" i="21" s="1"/>
  <c r="N48" i="6"/>
  <c r="O48" i="6"/>
  <c r="N61" i="21" s="1"/>
  <c r="P48" i="6"/>
  <c r="O61" i="21" s="1"/>
  <c r="Q11" i="6"/>
  <c r="Q13" i="6"/>
  <c r="Q15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45" i="6"/>
  <c r="Q47" i="6"/>
  <c r="Q49" i="6"/>
  <c r="Q51" i="6"/>
  <c r="Q53" i="6"/>
  <c r="Q55" i="6"/>
  <c r="Q57" i="6"/>
  <c r="Q59" i="6"/>
  <c r="Q61" i="6"/>
  <c r="Q63" i="6"/>
  <c r="Q65" i="6"/>
  <c r="Q67" i="6"/>
  <c r="Q69" i="6"/>
  <c r="Q71" i="6"/>
  <c r="Q73" i="6"/>
  <c r="Q75" i="6"/>
  <c r="Q77" i="6"/>
  <c r="K12" i="6"/>
  <c r="G14" i="6"/>
  <c r="F16" i="14" s="1"/>
  <c r="H14" i="6"/>
  <c r="I14" i="6"/>
  <c r="H16" i="14" s="1"/>
  <c r="J14" i="6"/>
  <c r="K14" i="6"/>
  <c r="L14" i="6"/>
  <c r="M14" i="6"/>
  <c r="N14" i="6"/>
  <c r="M16" i="10" s="1"/>
  <c r="O14" i="6"/>
  <c r="N16" i="14" s="1"/>
  <c r="P14" i="6"/>
  <c r="G16" i="6"/>
  <c r="H16" i="6"/>
  <c r="G18" i="10" s="1"/>
  <c r="I16" i="6"/>
  <c r="H18" i="10" s="1"/>
  <c r="J16" i="6"/>
  <c r="K16" i="6"/>
  <c r="L16" i="6"/>
  <c r="M16" i="6"/>
  <c r="N16" i="6"/>
  <c r="M18" i="14" s="1"/>
  <c r="O16" i="6"/>
  <c r="P16" i="6"/>
  <c r="G20" i="6"/>
  <c r="H20" i="6"/>
  <c r="I20" i="6"/>
  <c r="J20" i="6"/>
  <c r="K20" i="6"/>
  <c r="L20" i="6"/>
  <c r="K22" i="14" s="1"/>
  <c r="M20" i="6"/>
  <c r="N20" i="6"/>
  <c r="O20" i="6"/>
  <c r="P20" i="6"/>
  <c r="O22" i="14" s="1"/>
  <c r="G22" i="6"/>
  <c r="H22" i="6"/>
  <c r="I22" i="6"/>
  <c r="J22" i="6"/>
  <c r="I24" i="14" s="1"/>
  <c r="K22" i="6"/>
  <c r="J24" i="14" s="1"/>
  <c r="L22" i="6"/>
  <c r="M22" i="6"/>
  <c r="N22" i="6"/>
  <c r="O22" i="6"/>
  <c r="P22" i="6"/>
  <c r="O24" i="5" s="1"/>
  <c r="G24" i="6"/>
  <c r="H24" i="6"/>
  <c r="I24" i="6"/>
  <c r="J24" i="6"/>
  <c r="K24" i="6"/>
  <c r="L24" i="6"/>
  <c r="M24" i="6"/>
  <c r="N24" i="6"/>
  <c r="O24" i="6"/>
  <c r="N26" i="14" s="1"/>
  <c r="P24" i="6"/>
  <c r="O26" i="14" s="1"/>
  <c r="G28" i="6"/>
  <c r="H28" i="6"/>
  <c r="I28" i="6"/>
  <c r="H30" i="14" s="1"/>
  <c r="J28" i="6"/>
  <c r="I30" i="14" s="1"/>
  <c r="K28" i="6"/>
  <c r="L28" i="6"/>
  <c r="M28" i="6"/>
  <c r="N28" i="6"/>
  <c r="M41" i="21" s="1"/>
  <c r="O28" i="6"/>
  <c r="P28" i="6"/>
  <c r="G32" i="6"/>
  <c r="H32" i="6"/>
  <c r="I32" i="6"/>
  <c r="J32" i="6"/>
  <c r="K32" i="6"/>
  <c r="L32" i="6"/>
  <c r="M32" i="6"/>
  <c r="N32" i="6"/>
  <c r="M34" i="14" s="1"/>
  <c r="O32" i="6"/>
  <c r="P32" i="6"/>
  <c r="G34" i="6"/>
  <c r="H34" i="6"/>
  <c r="I34" i="6"/>
  <c r="J34" i="6"/>
  <c r="K34" i="6"/>
  <c r="J36" i="10" s="1"/>
  <c r="L34" i="6"/>
  <c r="M34" i="6"/>
  <c r="N34" i="6"/>
  <c r="O34" i="6"/>
  <c r="P34" i="6"/>
  <c r="G38" i="6"/>
  <c r="H38" i="6"/>
  <c r="I38" i="6"/>
  <c r="J38" i="6"/>
  <c r="I40" i="14" s="1"/>
  <c r="K38" i="6"/>
  <c r="J40" i="14" s="1"/>
  <c r="L38" i="6"/>
  <c r="M38" i="6"/>
  <c r="N38" i="6"/>
  <c r="O38" i="6"/>
  <c r="P38" i="6"/>
  <c r="G42" i="6"/>
  <c r="H42" i="6"/>
  <c r="G55" i="21" s="1"/>
  <c r="I42" i="6"/>
  <c r="H55" i="21" s="1"/>
  <c r="J42" i="6"/>
  <c r="I55" i="21" s="1"/>
  <c r="K42" i="6"/>
  <c r="J55" i="21" s="1"/>
  <c r="L42" i="6"/>
  <c r="M42" i="6"/>
  <c r="N42" i="6"/>
  <c r="M55" i="21" s="1"/>
  <c r="O42" i="6"/>
  <c r="P42" i="6"/>
  <c r="O55" i="21" s="1"/>
  <c r="G44" i="6"/>
  <c r="F57" i="21" s="1"/>
  <c r="H44" i="6"/>
  <c r="G57" i="21" s="1"/>
  <c r="I44" i="6"/>
  <c r="H57" i="21" s="1"/>
  <c r="J44" i="6"/>
  <c r="K44" i="6"/>
  <c r="J57" i="21" s="1"/>
  <c r="L44" i="6"/>
  <c r="M44" i="6"/>
  <c r="N44" i="6"/>
  <c r="M57" i="21" s="1"/>
  <c r="O44" i="6"/>
  <c r="N57" i="21" s="1"/>
  <c r="P44" i="6"/>
  <c r="O57" i="21" s="1"/>
  <c r="G46" i="6"/>
  <c r="H46" i="6"/>
  <c r="G59" i="21" s="1"/>
  <c r="I46" i="6"/>
  <c r="J46" i="6"/>
  <c r="I59" i="21" s="1"/>
  <c r="K46" i="6"/>
  <c r="J59" i="21" s="1"/>
  <c r="L46" i="6"/>
  <c r="K59" i="21" s="1"/>
  <c r="M46" i="6"/>
  <c r="N46" i="6"/>
  <c r="M59" i="21" s="1"/>
  <c r="O46" i="6"/>
  <c r="N59" i="21" s="1"/>
  <c r="P46" i="6"/>
  <c r="O59" i="21" s="1"/>
  <c r="H48" i="6"/>
  <c r="G61" i="21" s="1"/>
  <c r="I48" i="6"/>
  <c r="H61" i="21" s="1"/>
  <c r="J48" i="6"/>
  <c r="I61" i="21" s="1"/>
  <c r="K48" i="6"/>
  <c r="L48" i="6"/>
  <c r="M48" i="6"/>
  <c r="G50" i="6"/>
  <c r="F63" i="21" s="1"/>
  <c r="H50" i="6"/>
  <c r="G63" i="21" s="1"/>
  <c r="I50" i="6"/>
  <c r="J50" i="6"/>
  <c r="I63" i="21" s="1"/>
  <c r="K50" i="6"/>
  <c r="J63" i="21" s="1"/>
  <c r="L50" i="6"/>
  <c r="K63" i="21" s="1"/>
  <c r="M50" i="6"/>
  <c r="N50" i="6"/>
  <c r="M63" i="21" s="1"/>
  <c r="O50" i="6"/>
  <c r="N63" i="21" s="1"/>
  <c r="P50" i="6"/>
  <c r="O63" i="21" s="1"/>
  <c r="G52" i="6"/>
  <c r="H52" i="6"/>
  <c r="I52" i="6"/>
  <c r="H65" i="21" s="1"/>
  <c r="J52" i="6"/>
  <c r="I65" i="21" s="1"/>
  <c r="K52" i="6"/>
  <c r="J65" i="21" s="1"/>
  <c r="L52" i="6"/>
  <c r="M52" i="6"/>
  <c r="N52" i="6"/>
  <c r="M65" i="21" s="1"/>
  <c r="O52" i="6"/>
  <c r="P52" i="6"/>
  <c r="G54" i="6"/>
  <c r="H54" i="6"/>
  <c r="G67" i="21" s="1"/>
  <c r="I54" i="6"/>
  <c r="H67" i="21" s="1"/>
  <c r="J54" i="6"/>
  <c r="I67" i="21" s="1"/>
  <c r="K54" i="6"/>
  <c r="J67" i="21" s="1"/>
  <c r="L54" i="6"/>
  <c r="M54" i="6"/>
  <c r="L56" i="14" s="1"/>
  <c r="N54" i="6"/>
  <c r="M67" i="21" s="1"/>
  <c r="O54" i="6"/>
  <c r="N67" i="21" s="1"/>
  <c r="P54" i="6"/>
  <c r="O67" i="21" s="1"/>
  <c r="G56" i="6"/>
  <c r="F69" i="21" s="1"/>
  <c r="H56" i="6"/>
  <c r="G69" i="21" s="1"/>
  <c r="I56" i="6"/>
  <c r="H69" i="21" s="1"/>
  <c r="J56" i="6"/>
  <c r="I69" i="21" s="1"/>
  <c r="K56" i="6"/>
  <c r="J69" i="21" s="1"/>
  <c r="L56" i="6"/>
  <c r="M56" i="6"/>
  <c r="L58" i="14" s="1"/>
  <c r="N56" i="6"/>
  <c r="M69" i="21" s="1"/>
  <c r="O56" i="6"/>
  <c r="P56" i="6"/>
  <c r="O69" i="21" s="1"/>
  <c r="G58" i="6"/>
  <c r="H58" i="6"/>
  <c r="G60" i="14" s="1"/>
  <c r="I58" i="6"/>
  <c r="J58" i="6"/>
  <c r="I60" i="14" s="1"/>
  <c r="K58" i="6"/>
  <c r="J60" i="14" s="1"/>
  <c r="L58" i="6"/>
  <c r="K60" i="14" s="1"/>
  <c r="M58" i="6"/>
  <c r="L60" i="14" s="1"/>
  <c r="N58" i="6"/>
  <c r="O58" i="6"/>
  <c r="P58" i="6"/>
  <c r="G60" i="6"/>
  <c r="F62" i="14" s="1"/>
  <c r="H60" i="6"/>
  <c r="G62" i="14" s="1"/>
  <c r="I60" i="6"/>
  <c r="H62" i="14" s="1"/>
  <c r="J60" i="6"/>
  <c r="I62" i="14" s="1"/>
  <c r="K60" i="6"/>
  <c r="J62" i="14" s="1"/>
  <c r="L60" i="6"/>
  <c r="K62" i="14" s="1"/>
  <c r="M60" i="6"/>
  <c r="L62" i="14" s="1"/>
  <c r="N60" i="6"/>
  <c r="O60" i="6"/>
  <c r="P60" i="6"/>
  <c r="G62" i="6"/>
  <c r="F64" i="14" s="1"/>
  <c r="H62" i="6"/>
  <c r="I62" i="6"/>
  <c r="J62" i="6"/>
  <c r="I64" i="14" s="1"/>
  <c r="K62" i="6"/>
  <c r="J64" i="14" s="1"/>
  <c r="L62" i="6"/>
  <c r="K64" i="14" s="1"/>
  <c r="M62" i="6"/>
  <c r="L64" i="14" s="1"/>
  <c r="N62" i="6"/>
  <c r="O62" i="6"/>
  <c r="P62" i="6"/>
  <c r="G64" i="6"/>
  <c r="F66" i="14" s="1"/>
  <c r="H64" i="6"/>
  <c r="G66" i="14" s="1"/>
  <c r="I64" i="6"/>
  <c r="H66" i="14" s="1"/>
  <c r="J64" i="6"/>
  <c r="I66" i="14" s="1"/>
  <c r="K64" i="6"/>
  <c r="J66" i="14" s="1"/>
  <c r="L64" i="6"/>
  <c r="K66" i="14" s="1"/>
  <c r="M64" i="6"/>
  <c r="L66" i="14" s="1"/>
  <c r="N64" i="6"/>
  <c r="M66" i="10" s="1"/>
  <c r="O64" i="6"/>
  <c r="N66" i="14" s="1"/>
  <c r="P64" i="6"/>
  <c r="O66" i="10" s="1"/>
  <c r="G66" i="6"/>
  <c r="F68" i="5" s="1"/>
  <c r="H66" i="6"/>
  <c r="I66" i="6"/>
  <c r="J66" i="6"/>
  <c r="I68" i="10" s="1"/>
  <c r="K66" i="6"/>
  <c r="L66" i="6"/>
  <c r="M66" i="6"/>
  <c r="L68" i="14" s="1"/>
  <c r="N66" i="6"/>
  <c r="O66" i="6"/>
  <c r="P66" i="6"/>
  <c r="G68" i="6"/>
  <c r="L70" i="6"/>
  <c r="H72" i="6"/>
  <c r="G74" i="6"/>
  <c r="F76" i="14" s="1"/>
  <c r="H74" i="6"/>
  <c r="G76" i="5" s="1"/>
  <c r="I74" i="6"/>
  <c r="J74" i="6"/>
  <c r="K74" i="6"/>
  <c r="J76" i="5" s="1"/>
  <c r="L74" i="6"/>
  <c r="K76" i="14" s="1"/>
  <c r="M74" i="6"/>
  <c r="L76" i="14" s="1"/>
  <c r="N74" i="6"/>
  <c r="O74" i="6"/>
  <c r="P74" i="6"/>
  <c r="G76" i="6"/>
  <c r="H76" i="6"/>
  <c r="I76" i="6"/>
  <c r="J76" i="6"/>
  <c r="I78" i="14" s="1"/>
  <c r="K76" i="6"/>
  <c r="J78" i="14" s="1"/>
  <c r="L76" i="6"/>
  <c r="K78" i="10" s="1"/>
  <c r="M76" i="6"/>
  <c r="L78" i="14" s="1"/>
  <c r="N76" i="6"/>
  <c r="M78" i="10" s="1"/>
  <c r="O76" i="6"/>
  <c r="P76" i="6"/>
  <c r="F14" i="6"/>
  <c r="E16" i="10" s="1"/>
  <c r="F16" i="6"/>
  <c r="F20" i="6"/>
  <c r="F22" i="6"/>
  <c r="F24" i="6"/>
  <c r="F26" i="6"/>
  <c r="F28" i="6"/>
  <c r="F32" i="6"/>
  <c r="F34" i="6"/>
  <c r="F38" i="6"/>
  <c r="F42" i="6"/>
  <c r="E55" i="21" s="1"/>
  <c r="F44" i="6"/>
  <c r="E57" i="21" s="1"/>
  <c r="F46" i="6"/>
  <c r="E59" i="21" s="1"/>
  <c r="F50" i="6"/>
  <c r="E63" i="21" s="1"/>
  <c r="F52" i="6"/>
  <c r="F54" i="6"/>
  <c r="E67" i="21" s="1"/>
  <c r="F56" i="6"/>
  <c r="E69" i="21" s="1"/>
  <c r="F58" i="6"/>
  <c r="F60" i="6"/>
  <c r="E62" i="14" s="1"/>
  <c r="F62" i="6"/>
  <c r="E64" i="14" s="1"/>
  <c r="F64" i="6"/>
  <c r="E66" i="14" s="1"/>
  <c r="F66" i="6"/>
  <c r="E68" i="5" s="1"/>
  <c r="F74" i="6"/>
  <c r="E76" i="10" s="1"/>
  <c r="F76" i="6"/>
  <c r="E78" i="10" s="1"/>
  <c r="E16" i="6"/>
  <c r="D18" i="14" s="1"/>
  <c r="E76" i="6"/>
  <c r="E74" i="6"/>
  <c r="E66" i="6"/>
  <c r="E64" i="6"/>
  <c r="D66" i="14" s="1"/>
  <c r="E62" i="6"/>
  <c r="D64" i="14" s="1"/>
  <c r="E60" i="6"/>
  <c r="D62" i="14" s="1"/>
  <c r="E58" i="6"/>
  <c r="E56" i="6"/>
  <c r="E54" i="6"/>
  <c r="E52" i="6"/>
  <c r="D65" i="21" s="1"/>
  <c r="E50" i="6"/>
  <c r="E48" i="6"/>
  <c r="E46" i="6"/>
  <c r="E44" i="6"/>
  <c r="E34" i="6"/>
  <c r="D36" i="10" s="1"/>
  <c r="E32" i="6"/>
  <c r="E28" i="6"/>
  <c r="E24" i="6"/>
  <c r="E22" i="6"/>
  <c r="F18" i="6"/>
  <c r="G18" i="6"/>
  <c r="F20" i="10" s="1"/>
  <c r="H18" i="6"/>
  <c r="G20" i="10" s="1"/>
  <c r="I18" i="6"/>
  <c r="H20" i="14" s="1"/>
  <c r="J18" i="6"/>
  <c r="I20" i="14" s="1"/>
  <c r="K18" i="6"/>
  <c r="J20" i="10" s="1"/>
  <c r="L18" i="6"/>
  <c r="M18" i="6"/>
  <c r="L20" i="14" s="1"/>
  <c r="N18" i="6"/>
  <c r="O18" i="6"/>
  <c r="N20" i="10" s="1"/>
  <c r="F72" i="6"/>
  <c r="G72" i="6"/>
  <c r="I72" i="6"/>
  <c r="J72" i="6"/>
  <c r="K72" i="6"/>
  <c r="L72" i="6"/>
  <c r="M72" i="6"/>
  <c r="N72" i="6"/>
  <c r="O72" i="6"/>
  <c r="P72" i="6"/>
  <c r="F70" i="6"/>
  <c r="G70" i="6"/>
  <c r="F72" i="10" s="1"/>
  <c r="H70" i="6"/>
  <c r="I70" i="6"/>
  <c r="J70" i="6"/>
  <c r="K70" i="6"/>
  <c r="M70" i="6"/>
  <c r="N70" i="6"/>
  <c r="O70" i="6"/>
  <c r="P70" i="6"/>
  <c r="E70" i="6"/>
  <c r="F68" i="6"/>
  <c r="H68" i="6"/>
  <c r="I68" i="6"/>
  <c r="J68" i="6"/>
  <c r="K68" i="6"/>
  <c r="L68" i="6"/>
  <c r="M68" i="6"/>
  <c r="N68" i="6"/>
  <c r="O68" i="6"/>
  <c r="P68" i="6"/>
  <c r="O70" i="10" s="1"/>
  <c r="E68" i="6"/>
  <c r="F40" i="6"/>
  <c r="E53" i="21" s="1"/>
  <c r="G40" i="6"/>
  <c r="F53" i="21" s="1"/>
  <c r="H40" i="6"/>
  <c r="I40" i="6"/>
  <c r="H53" i="21" s="1"/>
  <c r="J40" i="6"/>
  <c r="K40" i="6"/>
  <c r="J53" i="21" s="1"/>
  <c r="L40" i="6"/>
  <c r="K53" i="21" s="1"/>
  <c r="M40" i="6"/>
  <c r="N40" i="6"/>
  <c r="M53" i="21" s="1"/>
  <c r="O40" i="6"/>
  <c r="N53" i="21" s="1"/>
  <c r="P40" i="6"/>
  <c r="O53" i="21" s="1"/>
  <c r="F36" i="6"/>
  <c r="G36" i="6"/>
  <c r="H36" i="6"/>
  <c r="I36" i="6"/>
  <c r="J36" i="6"/>
  <c r="K36" i="6"/>
  <c r="L36" i="6"/>
  <c r="M36" i="6"/>
  <c r="L38" i="14" s="1"/>
  <c r="N36" i="6"/>
  <c r="M38" i="14" s="1"/>
  <c r="O36" i="6"/>
  <c r="P36" i="6"/>
  <c r="O38" i="10" s="1"/>
  <c r="E36" i="6"/>
  <c r="F30" i="6"/>
  <c r="E32" i="14" s="1"/>
  <c r="G30" i="6"/>
  <c r="F32" i="10" s="1"/>
  <c r="H30" i="6"/>
  <c r="I30" i="6"/>
  <c r="H32" i="14" s="1"/>
  <c r="J30" i="6"/>
  <c r="K30" i="6"/>
  <c r="L30" i="6"/>
  <c r="M30" i="6"/>
  <c r="N30" i="6"/>
  <c r="M32" i="14" s="1"/>
  <c r="O30" i="6"/>
  <c r="P30" i="6"/>
  <c r="G26" i="6"/>
  <c r="F28" i="14" s="1"/>
  <c r="H26" i="6"/>
  <c r="I26" i="6"/>
  <c r="J26" i="6"/>
  <c r="K26" i="6"/>
  <c r="L26" i="6"/>
  <c r="K28" i="14" s="1"/>
  <c r="M26" i="6"/>
  <c r="N26" i="6"/>
  <c r="O26" i="6"/>
  <c r="P26" i="6"/>
  <c r="F12" i="6"/>
  <c r="G12" i="6"/>
  <c r="H12" i="6"/>
  <c r="I12" i="6"/>
  <c r="H14" i="10" s="1"/>
  <c r="J12" i="6"/>
  <c r="L12" i="6"/>
  <c r="M12" i="6"/>
  <c r="L14" i="14" s="1"/>
  <c r="N12" i="6"/>
  <c r="O12" i="6"/>
  <c r="P12" i="6"/>
  <c r="F10" i="6"/>
  <c r="G10" i="6"/>
  <c r="H10" i="6"/>
  <c r="I10" i="6"/>
  <c r="H12" i="10" s="1"/>
  <c r="J10" i="6"/>
  <c r="I12" i="10" s="1"/>
  <c r="K10" i="6"/>
  <c r="L10" i="6"/>
  <c r="M10" i="6"/>
  <c r="N10" i="6"/>
  <c r="O10" i="6"/>
  <c r="P10" i="6"/>
  <c r="E20" i="6"/>
  <c r="D33" i="21" s="1"/>
  <c r="L89" i="21" l="1"/>
  <c r="L87" i="21"/>
  <c r="L83" i="21"/>
  <c r="L72" i="14"/>
  <c r="L85" i="21"/>
  <c r="L74" i="14"/>
  <c r="L81" i="21"/>
  <c r="L70" i="14"/>
  <c r="G64" i="10"/>
  <c r="G64" i="14"/>
  <c r="H64" i="10"/>
  <c r="H64" i="14"/>
  <c r="F60" i="10"/>
  <c r="F60" i="14"/>
  <c r="E60" i="10"/>
  <c r="E60" i="14"/>
  <c r="H60" i="10"/>
  <c r="H60" i="14"/>
  <c r="D71" i="21"/>
  <c r="D60" i="14"/>
  <c r="L79" i="21"/>
  <c r="L43" i="21"/>
  <c r="L32" i="14"/>
  <c r="L65" i="21"/>
  <c r="L54" i="14"/>
  <c r="L57" i="21"/>
  <c r="L46" i="14"/>
  <c r="L51" i="21"/>
  <c r="L40" i="14"/>
  <c r="L45" i="21"/>
  <c r="L34" i="14"/>
  <c r="L37" i="21"/>
  <c r="L26" i="14"/>
  <c r="L33" i="21"/>
  <c r="L22" i="14"/>
  <c r="L39" i="21"/>
  <c r="L28" i="14"/>
  <c r="L61" i="21"/>
  <c r="L50" i="14"/>
  <c r="L53" i="21"/>
  <c r="L42" i="14"/>
  <c r="L63" i="21"/>
  <c r="L52" i="14"/>
  <c r="L59" i="21"/>
  <c r="L48" i="14"/>
  <c r="L55" i="21"/>
  <c r="L44" i="14"/>
  <c r="L47" i="21"/>
  <c r="L36" i="14"/>
  <c r="L41" i="21"/>
  <c r="L30" i="14"/>
  <c r="L35" i="21"/>
  <c r="L24" i="14"/>
  <c r="L75" i="21"/>
  <c r="L73" i="21"/>
  <c r="L71" i="21"/>
  <c r="L69" i="21"/>
  <c r="L67" i="21"/>
  <c r="L29" i="21"/>
  <c r="L18" i="14"/>
  <c r="L27" i="21"/>
  <c r="L16" i="14"/>
  <c r="L25" i="21"/>
  <c r="L23" i="21"/>
  <c r="L12" i="14"/>
  <c r="L66" i="10"/>
  <c r="L77" i="21"/>
  <c r="L34" i="5"/>
  <c r="L49" i="21"/>
  <c r="K58" i="10"/>
  <c r="K69" i="21"/>
  <c r="N58" i="5"/>
  <c r="N69" i="21"/>
  <c r="D69" i="21"/>
  <c r="F56" i="10"/>
  <c r="F67" i="21"/>
  <c r="K56" i="10"/>
  <c r="K67" i="21"/>
  <c r="D67" i="21"/>
  <c r="E54" i="10"/>
  <c r="E65" i="21"/>
  <c r="O54" i="10"/>
  <c r="O65" i="21"/>
  <c r="K54" i="10"/>
  <c r="K65" i="21"/>
  <c r="G54" i="10"/>
  <c r="G65" i="21"/>
  <c r="N54" i="10"/>
  <c r="N65" i="21"/>
  <c r="F54" i="5"/>
  <c r="F65" i="21"/>
  <c r="H52" i="10"/>
  <c r="H63" i="21"/>
  <c r="D63" i="21"/>
  <c r="J50" i="10"/>
  <c r="J61" i="21"/>
  <c r="M50" i="10"/>
  <c r="M61" i="21"/>
  <c r="K50" i="10"/>
  <c r="K61" i="21"/>
  <c r="D61" i="21"/>
  <c r="F48" i="10"/>
  <c r="F59" i="21"/>
  <c r="H48" i="10"/>
  <c r="H59" i="21"/>
  <c r="D59" i="21"/>
  <c r="K46" i="10"/>
  <c r="K57" i="21"/>
  <c r="I46" i="10"/>
  <c r="I57" i="21"/>
  <c r="D57" i="21"/>
  <c r="N44" i="10"/>
  <c r="N55" i="21"/>
  <c r="F44" i="10"/>
  <c r="F55" i="21"/>
  <c r="K44" i="10"/>
  <c r="K55" i="21"/>
  <c r="G42" i="10"/>
  <c r="G53" i="21"/>
  <c r="I42" i="10"/>
  <c r="I53" i="21"/>
  <c r="K12" i="14"/>
  <c r="K23" i="21"/>
  <c r="L24" i="10"/>
  <c r="F76" i="10"/>
  <c r="O38" i="14"/>
  <c r="M32" i="10"/>
  <c r="O66" i="14"/>
  <c r="J36" i="14"/>
  <c r="F32" i="14"/>
  <c r="N20" i="14"/>
  <c r="J40" i="10"/>
  <c r="G18" i="5"/>
  <c r="H20" i="10"/>
  <c r="H19" i="10" s="1"/>
  <c r="G20" i="14"/>
  <c r="F28" i="10"/>
  <c r="I24" i="10"/>
  <c r="K22" i="5"/>
  <c r="L28" i="10"/>
  <c r="E49" i="21"/>
  <c r="E38" i="33"/>
  <c r="E38" i="14"/>
  <c r="E38" i="10"/>
  <c r="M70" i="5"/>
  <c r="M70" i="14"/>
  <c r="M81" i="21"/>
  <c r="M70" i="33"/>
  <c r="M70" i="10"/>
  <c r="L74" i="5"/>
  <c r="L74" i="33"/>
  <c r="L74" i="10"/>
  <c r="G19" i="10"/>
  <c r="K74" i="5"/>
  <c r="K85" i="21"/>
  <c r="K74" i="14"/>
  <c r="K74" i="33"/>
  <c r="K74" i="10"/>
  <c r="I14" i="5"/>
  <c r="I14" i="15"/>
  <c r="I25" i="21"/>
  <c r="I14" i="33"/>
  <c r="I14" i="10"/>
  <c r="I14" i="14"/>
  <c r="J12" i="5"/>
  <c r="J12" i="15"/>
  <c r="J23" i="21"/>
  <c r="J12" i="33"/>
  <c r="J12" i="14"/>
  <c r="J12" i="10"/>
  <c r="J70" i="5"/>
  <c r="J81" i="21"/>
  <c r="J70" i="14"/>
  <c r="J70" i="33"/>
  <c r="J70" i="10"/>
  <c r="M17" i="6"/>
  <c r="L30" i="21" s="1"/>
  <c r="L20" i="10"/>
  <c r="I28" i="5"/>
  <c r="I39" i="21"/>
  <c r="I28" i="33"/>
  <c r="I28" i="14"/>
  <c r="I28" i="10"/>
  <c r="H74" i="5"/>
  <c r="H85" i="21"/>
  <c r="H74" i="14"/>
  <c r="H74" i="33"/>
  <c r="H74" i="10"/>
  <c r="O74" i="5"/>
  <c r="O85" i="21"/>
  <c r="O74" i="14"/>
  <c r="O74" i="33"/>
  <c r="O74" i="10"/>
  <c r="L12" i="5"/>
  <c r="L12" i="15"/>
  <c r="L12" i="33"/>
  <c r="L12" i="10"/>
  <c r="L72" i="5"/>
  <c r="L72" i="33"/>
  <c r="L72" i="10"/>
  <c r="G28" i="5"/>
  <c r="G39" i="21"/>
  <c r="G28" i="33"/>
  <c r="G28" i="14"/>
  <c r="G28" i="10"/>
  <c r="F17" i="6"/>
  <c r="E20" i="10"/>
  <c r="E20" i="14"/>
  <c r="E14" i="5"/>
  <c r="E14" i="15"/>
  <c r="E25" i="21"/>
  <c r="E14" i="33"/>
  <c r="E14" i="14"/>
  <c r="E14" i="10"/>
  <c r="H28" i="5"/>
  <c r="H39" i="21"/>
  <c r="H28" i="33"/>
  <c r="H28" i="14"/>
  <c r="H28" i="10"/>
  <c r="K14" i="5"/>
  <c r="K14" i="15"/>
  <c r="K25" i="21"/>
  <c r="K14" i="33"/>
  <c r="K14" i="10"/>
  <c r="K14" i="14"/>
  <c r="K32" i="5"/>
  <c r="K43" i="21"/>
  <c r="K32" i="33"/>
  <c r="K32" i="14"/>
  <c r="K32" i="10"/>
  <c r="G70" i="5"/>
  <c r="G81" i="21"/>
  <c r="G70" i="14"/>
  <c r="G70" i="33"/>
  <c r="G70" i="10"/>
  <c r="N12" i="5"/>
  <c r="N12" i="15"/>
  <c r="N23" i="21"/>
  <c r="N12" i="33"/>
  <c r="N12" i="10"/>
  <c r="N12" i="14"/>
  <c r="F12" i="5"/>
  <c r="F12" i="15"/>
  <c r="F23" i="21"/>
  <c r="F12" i="33"/>
  <c r="F12" i="10"/>
  <c r="F12" i="14"/>
  <c r="J43" i="21"/>
  <c r="J32" i="5"/>
  <c r="J32" i="33"/>
  <c r="J32" i="14"/>
  <c r="J32" i="10"/>
  <c r="N70" i="5"/>
  <c r="N81" i="21"/>
  <c r="N70" i="14"/>
  <c r="N70" i="33"/>
  <c r="N70" i="10"/>
  <c r="O72" i="5"/>
  <c r="O83" i="21"/>
  <c r="O72" i="14"/>
  <c r="O72" i="33"/>
  <c r="O72" i="10"/>
  <c r="E48" i="5"/>
  <c r="E48" i="14"/>
  <c r="E48" i="33"/>
  <c r="F62" i="5"/>
  <c r="F73" i="21"/>
  <c r="G30" i="5"/>
  <c r="G41" i="21"/>
  <c r="G30" i="33"/>
  <c r="G30" i="14"/>
  <c r="G30" i="10"/>
  <c r="N14" i="5"/>
  <c r="N14" i="15"/>
  <c r="N25" i="21"/>
  <c r="N14" i="33"/>
  <c r="N14" i="14"/>
  <c r="F14" i="5"/>
  <c r="F14" i="15"/>
  <c r="F25" i="21"/>
  <c r="F14" i="33"/>
  <c r="F14" i="14"/>
  <c r="J28" i="5"/>
  <c r="J39" i="21"/>
  <c r="J28" i="33"/>
  <c r="J28" i="14"/>
  <c r="J28" i="10"/>
  <c r="N32" i="5"/>
  <c r="N43" i="21"/>
  <c r="N32" i="33"/>
  <c r="F32" i="5"/>
  <c r="F43" i="21"/>
  <c r="F32" i="33"/>
  <c r="J38" i="5"/>
  <c r="J49" i="21"/>
  <c r="J38" i="33"/>
  <c r="J38" i="14"/>
  <c r="J38" i="10"/>
  <c r="N42" i="5"/>
  <c r="N42" i="14"/>
  <c r="N42" i="33"/>
  <c r="F42" i="5"/>
  <c r="F42" i="14"/>
  <c r="F42" i="33"/>
  <c r="N72" i="5"/>
  <c r="N83" i="21"/>
  <c r="N72" i="14"/>
  <c r="N72" i="33"/>
  <c r="F72" i="5"/>
  <c r="F83" i="21"/>
  <c r="F72" i="14"/>
  <c r="F72" i="33"/>
  <c r="I74" i="5"/>
  <c r="I85" i="21"/>
  <c r="I74" i="14"/>
  <c r="I74" i="33"/>
  <c r="D35" i="21"/>
  <c r="D24" i="5"/>
  <c r="D24" i="33"/>
  <c r="Q50" i="6"/>
  <c r="D52" i="14"/>
  <c r="D52" i="33"/>
  <c r="Q66" i="6"/>
  <c r="D79" i="21"/>
  <c r="D68" i="14"/>
  <c r="D68" i="33"/>
  <c r="E64" i="5"/>
  <c r="E75" i="21"/>
  <c r="E64" i="33"/>
  <c r="E64" i="10"/>
  <c r="E46" i="5"/>
  <c r="E46" i="14"/>
  <c r="E46" i="33"/>
  <c r="E46" i="10"/>
  <c r="E37" i="21"/>
  <c r="E26" i="33"/>
  <c r="E26" i="14"/>
  <c r="E26" i="10"/>
  <c r="N78" i="5"/>
  <c r="N89" i="21"/>
  <c r="N78" i="33"/>
  <c r="N78" i="14"/>
  <c r="N78" i="10"/>
  <c r="F78" i="5"/>
  <c r="F89" i="21"/>
  <c r="F78" i="33"/>
  <c r="F78" i="10"/>
  <c r="F78" i="14"/>
  <c r="H76" i="5"/>
  <c r="H87" i="21"/>
  <c r="H76" i="33"/>
  <c r="H76" i="14"/>
  <c r="O68" i="5"/>
  <c r="O79" i="21"/>
  <c r="O68" i="14"/>
  <c r="O68" i="33"/>
  <c r="O68" i="10"/>
  <c r="G68" i="5"/>
  <c r="G79" i="21"/>
  <c r="G68" i="14"/>
  <c r="G68" i="33"/>
  <c r="G68" i="10"/>
  <c r="I66" i="5"/>
  <c r="I77" i="21"/>
  <c r="I66" i="33"/>
  <c r="I66" i="10"/>
  <c r="K64" i="5"/>
  <c r="K75" i="21"/>
  <c r="K64" i="33"/>
  <c r="K64" i="10"/>
  <c r="M62" i="5"/>
  <c r="M73" i="21"/>
  <c r="M62" i="14"/>
  <c r="O60" i="5"/>
  <c r="O71" i="21"/>
  <c r="O60" i="14"/>
  <c r="O60" i="33"/>
  <c r="O60" i="10"/>
  <c r="G60" i="5"/>
  <c r="G71" i="21"/>
  <c r="G60" i="33"/>
  <c r="G60" i="10"/>
  <c r="Q56" i="6"/>
  <c r="I58" i="14"/>
  <c r="I58" i="33"/>
  <c r="K56" i="5"/>
  <c r="K56" i="14"/>
  <c r="K56" i="33"/>
  <c r="O52" i="5"/>
  <c r="O52" i="14"/>
  <c r="O52" i="33"/>
  <c r="G52" i="5"/>
  <c r="G52" i="14"/>
  <c r="G52" i="33"/>
  <c r="G50" i="5"/>
  <c r="G50" i="14"/>
  <c r="G50" i="33"/>
  <c r="G50" i="10"/>
  <c r="H48" i="5"/>
  <c r="H48" i="14"/>
  <c r="H48" i="33"/>
  <c r="J46" i="5"/>
  <c r="J46" i="14"/>
  <c r="J46" i="33"/>
  <c r="J46" i="10"/>
  <c r="L44" i="5"/>
  <c r="L44" i="33"/>
  <c r="N40" i="5"/>
  <c r="N51" i="21"/>
  <c r="N40" i="33"/>
  <c r="N40" i="14"/>
  <c r="N40" i="10"/>
  <c r="F40" i="5"/>
  <c r="F51" i="21"/>
  <c r="F40" i="33"/>
  <c r="F40" i="14"/>
  <c r="F40" i="10"/>
  <c r="H36" i="5"/>
  <c r="H47" i="21"/>
  <c r="H36" i="33"/>
  <c r="J34" i="5"/>
  <c r="J45" i="21"/>
  <c r="J34" i="33"/>
  <c r="N41" i="21"/>
  <c r="N30" i="33"/>
  <c r="N30" i="14"/>
  <c r="N30" i="10"/>
  <c r="N30" i="5"/>
  <c r="F41" i="21"/>
  <c r="F30" i="33"/>
  <c r="F30" i="5"/>
  <c r="F30" i="14"/>
  <c r="F30" i="10"/>
  <c r="L26" i="33"/>
  <c r="L26" i="10"/>
  <c r="L26" i="5"/>
  <c r="N35" i="21"/>
  <c r="N24" i="33"/>
  <c r="N24" i="14"/>
  <c r="N24" i="10"/>
  <c r="N24" i="5"/>
  <c r="F35" i="21"/>
  <c r="F24" i="33"/>
  <c r="F24" i="5"/>
  <c r="F24" i="14"/>
  <c r="F24" i="10"/>
  <c r="H22" i="5"/>
  <c r="H33" i="21"/>
  <c r="H22" i="33"/>
  <c r="H22" i="10"/>
  <c r="H22" i="14"/>
  <c r="K18" i="15"/>
  <c r="K29" i="21"/>
  <c r="K18" i="33"/>
  <c r="K18" i="10"/>
  <c r="K18" i="5"/>
  <c r="M16" i="5"/>
  <c r="M16" i="15"/>
  <c r="M14" i="16" s="1"/>
  <c r="M27" i="21"/>
  <c r="M16" i="33"/>
  <c r="K58" i="5"/>
  <c r="E26" i="5"/>
  <c r="G52" i="10"/>
  <c r="I40" i="10"/>
  <c r="H36" i="10"/>
  <c r="H32" i="10"/>
  <c r="K28" i="10"/>
  <c r="J24" i="10"/>
  <c r="F14" i="10"/>
  <c r="H36" i="14"/>
  <c r="M16" i="14"/>
  <c r="G14" i="5"/>
  <c r="G14" i="15"/>
  <c r="G25" i="21"/>
  <c r="G14" i="33"/>
  <c r="G14" i="14"/>
  <c r="G14" i="10"/>
  <c r="K70" i="5"/>
  <c r="K81" i="21"/>
  <c r="K70" i="14"/>
  <c r="K70" i="33"/>
  <c r="K70" i="10"/>
  <c r="D50" i="14"/>
  <c r="D50" i="33"/>
  <c r="D50" i="10"/>
  <c r="F70" i="5"/>
  <c r="F81" i="21"/>
  <c r="F70" i="14"/>
  <c r="F70" i="33"/>
  <c r="L56" i="5"/>
  <c r="L56" i="33"/>
  <c r="M44" i="5"/>
  <c r="M44" i="14"/>
  <c r="M44" i="33"/>
  <c r="M44" i="10"/>
  <c r="G35" i="21"/>
  <c r="G24" i="33"/>
  <c r="G24" i="5"/>
  <c r="G24" i="14"/>
  <c r="G24" i="10"/>
  <c r="M14" i="5"/>
  <c r="M14" i="15"/>
  <c r="M25" i="21"/>
  <c r="M14" i="33"/>
  <c r="M14" i="14"/>
  <c r="I70" i="5"/>
  <c r="I81" i="21"/>
  <c r="I70" i="14"/>
  <c r="I70" i="33"/>
  <c r="D54" i="14"/>
  <c r="D54" i="33"/>
  <c r="D54" i="10"/>
  <c r="K72" i="5"/>
  <c r="K83" i="21"/>
  <c r="K72" i="14"/>
  <c r="K72" i="33"/>
  <c r="F60" i="5"/>
  <c r="F71" i="21"/>
  <c r="F60" i="33"/>
  <c r="G48" i="5"/>
  <c r="G48" i="14"/>
  <c r="G48" i="33"/>
  <c r="G48" i="10"/>
  <c r="O28" i="5"/>
  <c r="O39" i="21"/>
  <c r="O28" i="33"/>
  <c r="O28" i="14"/>
  <c r="O28" i="10"/>
  <c r="D49" i="21"/>
  <c r="D38" i="33"/>
  <c r="D38" i="10"/>
  <c r="H70" i="5"/>
  <c r="H81" i="21"/>
  <c r="H70" i="14"/>
  <c r="H70" i="33"/>
  <c r="H70" i="10"/>
  <c r="D41" i="21"/>
  <c r="D30" i="14"/>
  <c r="D30" i="33"/>
  <c r="D30" i="10"/>
  <c r="Q54" i="6"/>
  <c r="D56" i="14"/>
  <c r="D56" i="33"/>
  <c r="E40" i="5"/>
  <c r="E51" i="21"/>
  <c r="E40" i="33"/>
  <c r="E40" i="14"/>
  <c r="E40" i="10"/>
  <c r="E22" i="5"/>
  <c r="E33" i="21"/>
  <c r="E22" i="33"/>
  <c r="E22" i="14"/>
  <c r="L78" i="33"/>
  <c r="L78" i="5"/>
  <c r="L78" i="10"/>
  <c r="N76" i="5"/>
  <c r="N87" i="21"/>
  <c r="N76" i="33"/>
  <c r="N76" i="14"/>
  <c r="F76" i="5"/>
  <c r="F87" i="21"/>
  <c r="F76" i="33"/>
  <c r="O70" i="5"/>
  <c r="O81" i="21"/>
  <c r="O70" i="14"/>
  <c r="O70" i="33"/>
  <c r="M68" i="5"/>
  <c r="M68" i="14"/>
  <c r="M79" i="21"/>
  <c r="M68" i="33"/>
  <c r="M68" i="10"/>
  <c r="O66" i="5"/>
  <c r="O77" i="21"/>
  <c r="O66" i="33"/>
  <c r="G66" i="5"/>
  <c r="G77" i="21"/>
  <c r="G66" i="33"/>
  <c r="I64" i="5"/>
  <c r="I75" i="21"/>
  <c r="I64" i="33"/>
  <c r="I64" i="10"/>
  <c r="K62" i="5"/>
  <c r="K73" i="21"/>
  <c r="M71" i="21"/>
  <c r="M60" i="14"/>
  <c r="M60" i="33"/>
  <c r="M60" i="5"/>
  <c r="O58" i="5"/>
  <c r="O58" i="14"/>
  <c r="O58" i="33"/>
  <c r="O58" i="10"/>
  <c r="G58" i="5"/>
  <c r="G58" i="14"/>
  <c r="G58" i="33"/>
  <c r="G58" i="10"/>
  <c r="I56" i="5"/>
  <c r="I56" i="14"/>
  <c r="I56" i="33"/>
  <c r="I56" i="10"/>
  <c r="M52" i="14"/>
  <c r="M52" i="33"/>
  <c r="M52" i="10"/>
  <c r="O50" i="5"/>
  <c r="O50" i="14"/>
  <c r="O50" i="33"/>
  <c r="O50" i="10"/>
  <c r="N48" i="5"/>
  <c r="N48" i="14"/>
  <c r="N48" i="33"/>
  <c r="F48" i="5"/>
  <c r="F48" i="14"/>
  <c r="F48" i="33"/>
  <c r="H46" i="5"/>
  <c r="H46" i="14"/>
  <c r="H46" i="33"/>
  <c r="J44" i="5"/>
  <c r="J44" i="14"/>
  <c r="J44" i="33"/>
  <c r="J44" i="10"/>
  <c r="L40" i="5"/>
  <c r="L40" i="33"/>
  <c r="N36" i="5"/>
  <c r="N47" i="21"/>
  <c r="N36" i="33"/>
  <c r="N36" i="14"/>
  <c r="N36" i="10"/>
  <c r="F36" i="5"/>
  <c r="F47" i="21"/>
  <c r="F36" i="33"/>
  <c r="F36" i="14"/>
  <c r="F36" i="10"/>
  <c r="H34" i="5"/>
  <c r="H45" i="21"/>
  <c r="H34" i="33"/>
  <c r="H34" i="14"/>
  <c r="H34" i="10"/>
  <c r="L30" i="5"/>
  <c r="L30" i="33"/>
  <c r="L30" i="10"/>
  <c r="J26" i="5"/>
  <c r="J37" i="21"/>
  <c r="J26" i="33"/>
  <c r="J26" i="14"/>
  <c r="J26" i="10"/>
  <c r="L24" i="5"/>
  <c r="L24" i="33"/>
  <c r="N22" i="5"/>
  <c r="N33" i="21"/>
  <c r="N22" i="33"/>
  <c r="N22" i="14"/>
  <c r="N22" i="10"/>
  <c r="Q20" i="6"/>
  <c r="F33" i="21"/>
  <c r="F22" i="33"/>
  <c r="F22" i="10"/>
  <c r="I18" i="15"/>
  <c r="I29" i="21"/>
  <c r="I18" i="33"/>
  <c r="I18" i="14"/>
  <c r="I19" i="14" s="1"/>
  <c r="I18" i="10"/>
  <c r="I18" i="5"/>
  <c r="K16" i="5"/>
  <c r="K16" i="15"/>
  <c r="K14" i="16" s="1"/>
  <c r="K27" i="21"/>
  <c r="K16" i="33"/>
  <c r="K16" i="14"/>
  <c r="M50" i="5"/>
  <c r="M50" i="14"/>
  <c r="M50" i="33"/>
  <c r="E50" i="5"/>
  <c r="E50" i="14"/>
  <c r="E50" i="33"/>
  <c r="D52" i="10"/>
  <c r="J78" i="10"/>
  <c r="I74" i="10"/>
  <c r="I70" i="10"/>
  <c r="N42" i="10"/>
  <c r="M38" i="10"/>
  <c r="M34" i="10"/>
  <c r="E32" i="10"/>
  <c r="O26" i="10"/>
  <c r="O22" i="10"/>
  <c r="K16" i="10"/>
  <c r="K12" i="10"/>
  <c r="F20" i="14"/>
  <c r="O32" i="5"/>
  <c r="O43" i="21"/>
  <c r="O32" i="33"/>
  <c r="O32" i="14"/>
  <c r="O32" i="10"/>
  <c r="O42" i="5"/>
  <c r="O42" i="14"/>
  <c r="O42" i="33"/>
  <c r="J74" i="5"/>
  <c r="J85" i="21"/>
  <c r="J74" i="14"/>
  <c r="J74" i="33"/>
  <c r="J74" i="10"/>
  <c r="E66" i="5"/>
  <c r="E77" i="21"/>
  <c r="E66" i="33"/>
  <c r="G78" i="5"/>
  <c r="G89" i="21"/>
  <c r="G78" i="33"/>
  <c r="G78" i="10"/>
  <c r="G78" i="14"/>
  <c r="H68" i="5"/>
  <c r="H79" i="21"/>
  <c r="H68" i="14"/>
  <c r="H68" i="33"/>
  <c r="H68" i="10"/>
  <c r="N54" i="14"/>
  <c r="N54" i="33"/>
  <c r="H50" i="5"/>
  <c r="H50" i="14"/>
  <c r="H50" i="33"/>
  <c r="H50" i="10"/>
  <c r="O40" i="5"/>
  <c r="O51" i="21"/>
  <c r="O40" i="33"/>
  <c r="O40" i="14"/>
  <c r="O40" i="10"/>
  <c r="K34" i="5"/>
  <c r="K45" i="21"/>
  <c r="K34" i="33"/>
  <c r="M37" i="21"/>
  <c r="M26" i="33"/>
  <c r="M26" i="14"/>
  <c r="M26" i="10"/>
  <c r="I33" i="21"/>
  <c r="I22" i="33"/>
  <c r="I22" i="10"/>
  <c r="I22" i="14"/>
  <c r="M26" i="5"/>
  <c r="I38" i="5"/>
  <c r="I49" i="21"/>
  <c r="I38" i="33"/>
  <c r="I38" i="14"/>
  <c r="I38" i="10"/>
  <c r="E72" i="5"/>
  <c r="E83" i="21"/>
  <c r="E72" i="14"/>
  <c r="E72" i="33"/>
  <c r="E72" i="10"/>
  <c r="Q74" i="6"/>
  <c r="D87" i="21"/>
  <c r="D76" i="14"/>
  <c r="D76" i="33"/>
  <c r="D76" i="10"/>
  <c r="E24" i="5"/>
  <c r="E35" i="21"/>
  <c r="E24" i="33"/>
  <c r="E24" i="14"/>
  <c r="E24" i="10"/>
  <c r="G87" i="21"/>
  <c r="G76" i="33"/>
  <c r="G76" i="14"/>
  <c r="G76" i="10"/>
  <c r="H66" i="5"/>
  <c r="H77" i="21"/>
  <c r="H66" i="33"/>
  <c r="H66" i="10"/>
  <c r="N60" i="5"/>
  <c r="N71" i="21"/>
  <c r="N60" i="14"/>
  <c r="N60" i="33"/>
  <c r="J56" i="5"/>
  <c r="J56" i="14"/>
  <c r="J56" i="33"/>
  <c r="J56" i="10"/>
  <c r="O48" i="5"/>
  <c r="O48" i="14"/>
  <c r="O48" i="33"/>
  <c r="O48" i="10"/>
  <c r="K44" i="5"/>
  <c r="K44" i="14"/>
  <c r="K44" i="33"/>
  <c r="G36" i="5"/>
  <c r="G47" i="21"/>
  <c r="G36" i="33"/>
  <c r="M30" i="33"/>
  <c r="M30" i="14"/>
  <c r="M30" i="10"/>
  <c r="M30" i="5"/>
  <c r="O22" i="5"/>
  <c r="O33" i="21"/>
  <c r="O22" i="33"/>
  <c r="J14" i="5"/>
  <c r="J14" i="15"/>
  <c r="J25" i="21"/>
  <c r="J14" i="33"/>
  <c r="J14" i="10"/>
  <c r="J14" i="14"/>
  <c r="O42" i="10"/>
  <c r="D22" i="33"/>
  <c r="D22" i="10"/>
  <c r="D81" i="21"/>
  <c r="D70" i="14"/>
  <c r="D70" i="33"/>
  <c r="D70" i="10"/>
  <c r="Q76" i="6"/>
  <c r="D89" i="21"/>
  <c r="D78" i="14"/>
  <c r="D78" i="33"/>
  <c r="D78" i="10"/>
  <c r="O12" i="5"/>
  <c r="O12" i="15"/>
  <c r="O23" i="21"/>
  <c r="O12" i="33"/>
  <c r="O12" i="14"/>
  <c r="O12" i="10"/>
  <c r="G12" i="5"/>
  <c r="G12" i="15"/>
  <c r="G23" i="21"/>
  <c r="G12" i="33"/>
  <c r="G12" i="14"/>
  <c r="G12" i="10"/>
  <c r="O38" i="5"/>
  <c r="O49" i="21"/>
  <c r="O38" i="33"/>
  <c r="G38" i="5"/>
  <c r="G49" i="21"/>
  <c r="G38" i="33"/>
  <c r="K42" i="5"/>
  <c r="K42" i="14"/>
  <c r="K42" i="33"/>
  <c r="K42" i="10"/>
  <c r="N74" i="5"/>
  <c r="N85" i="21"/>
  <c r="N74" i="14"/>
  <c r="N74" i="33"/>
  <c r="N74" i="10"/>
  <c r="F74" i="5"/>
  <c r="F85" i="21"/>
  <c r="F74" i="14"/>
  <c r="F74" i="33"/>
  <c r="F74" i="10"/>
  <c r="J17" i="6"/>
  <c r="I20" i="10"/>
  <c r="Q32" i="6"/>
  <c r="D45" i="21"/>
  <c r="D34" i="33"/>
  <c r="D34" i="10"/>
  <c r="D58" i="14"/>
  <c r="D58" i="33"/>
  <c r="D29" i="21"/>
  <c r="D18" i="33"/>
  <c r="D18" i="10"/>
  <c r="D18" i="15"/>
  <c r="E58" i="5"/>
  <c r="E58" i="14"/>
  <c r="E58" i="33"/>
  <c r="E58" i="10"/>
  <c r="K78" i="5"/>
  <c r="K89" i="21"/>
  <c r="K78" i="33"/>
  <c r="K78" i="14"/>
  <c r="M76" i="5"/>
  <c r="M76" i="14"/>
  <c r="M87" i="21"/>
  <c r="M76" i="33"/>
  <c r="L68" i="5"/>
  <c r="L68" i="33"/>
  <c r="N66" i="5"/>
  <c r="N77" i="21"/>
  <c r="N66" i="33"/>
  <c r="N66" i="10"/>
  <c r="F66" i="5"/>
  <c r="F77" i="21"/>
  <c r="F66" i="33"/>
  <c r="F66" i="10"/>
  <c r="H64" i="5"/>
  <c r="H75" i="21"/>
  <c r="H64" i="33"/>
  <c r="J73" i="21"/>
  <c r="J62" i="5"/>
  <c r="L60" i="33"/>
  <c r="L60" i="10"/>
  <c r="N58" i="14"/>
  <c r="N58" i="33"/>
  <c r="N58" i="10"/>
  <c r="F58" i="14"/>
  <c r="F58" i="33"/>
  <c r="F58" i="5"/>
  <c r="F58" i="10"/>
  <c r="H56" i="5"/>
  <c r="H56" i="14"/>
  <c r="H56" i="33"/>
  <c r="H56" i="10"/>
  <c r="J54" i="14"/>
  <c r="J54" i="33"/>
  <c r="J54" i="10"/>
  <c r="J54" i="5"/>
  <c r="L52" i="33"/>
  <c r="L52" i="10"/>
  <c r="L52" i="5"/>
  <c r="L50" i="5"/>
  <c r="L50" i="33"/>
  <c r="L50" i="10"/>
  <c r="M48" i="5"/>
  <c r="M48" i="14"/>
  <c r="M48" i="33"/>
  <c r="O46" i="5"/>
  <c r="O46" i="14"/>
  <c r="O46" i="33"/>
  <c r="O46" i="10"/>
  <c r="G46" i="5"/>
  <c r="G46" i="14"/>
  <c r="G46" i="33"/>
  <c r="G46" i="10"/>
  <c r="I44" i="5"/>
  <c r="I44" i="14"/>
  <c r="I44" i="33"/>
  <c r="I44" i="10"/>
  <c r="K40" i="5"/>
  <c r="K51" i="21"/>
  <c r="K40" i="33"/>
  <c r="K40" i="14"/>
  <c r="K40" i="10"/>
  <c r="M36" i="5"/>
  <c r="M47" i="21"/>
  <c r="M36" i="33"/>
  <c r="M36" i="14"/>
  <c r="M36" i="10"/>
  <c r="O34" i="5"/>
  <c r="O45" i="21"/>
  <c r="O34" i="33"/>
  <c r="O34" i="14"/>
  <c r="O34" i="10"/>
  <c r="G34" i="5"/>
  <c r="G45" i="21"/>
  <c r="G34" i="33"/>
  <c r="G34" i="14"/>
  <c r="G34" i="10"/>
  <c r="K30" i="5"/>
  <c r="K41" i="21"/>
  <c r="K30" i="33"/>
  <c r="I26" i="5"/>
  <c r="I37" i="21"/>
  <c r="I26" i="33"/>
  <c r="K24" i="5"/>
  <c r="K35" i="21"/>
  <c r="K24" i="33"/>
  <c r="K24" i="14"/>
  <c r="K24" i="10"/>
  <c r="M22" i="5"/>
  <c r="M22" i="33"/>
  <c r="M33" i="21"/>
  <c r="H18" i="15"/>
  <c r="H29" i="21"/>
  <c r="H18" i="33"/>
  <c r="H18" i="14"/>
  <c r="H19" i="14" s="1"/>
  <c r="J16" i="5"/>
  <c r="J16" i="15"/>
  <c r="J14" i="16" s="1"/>
  <c r="J27" i="21"/>
  <c r="J16" i="33"/>
  <c r="J16" i="14"/>
  <c r="M52" i="5"/>
  <c r="I22" i="5"/>
  <c r="D56" i="10"/>
  <c r="G66" i="10"/>
  <c r="I58" i="10"/>
  <c r="L38" i="10"/>
  <c r="K34" i="10"/>
  <c r="K30" i="10"/>
  <c r="N26" i="10"/>
  <c r="M22" i="10"/>
  <c r="J16" i="10"/>
  <c r="K34" i="14"/>
  <c r="K30" i="14"/>
  <c r="M22" i="14"/>
  <c r="E16" i="14"/>
  <c r="K28" i="5"/>
  <c r="K39" i="21"/>
  <c r="K28" i="33"/>
  <c r="K38" i="5"/>
  <c r="K49" i="21"/>
  <c r="K38" i="33"/>
  <c r="K38" i="14"/>
  <c r="K38" i="10"/>
  <c r="G72" i="5"/>
  <c r="G83" i="21"/>
  <c r="G72" i="14"/>
  <c r="G72" i="33"/>
  <c r="G72" i="10"/>
  <c r="D66" i="5"/>
  <c r="D77" i="21"/>
  <c r="D66" i="33"/>
  <c r="D66" i="10"/>
  <c r="O78" i="5"/>
  <c r="O89" i="21"/>
  <c r="O78" i="33"/>
  <c r="O78" i="14"/>
  <c r="O78" i="10"/>
  <c r="G74" i="5"/>
  <c r="G85" i="21"/>
  <c r="G74" i="14"/>
  <c r="G74" i="33"/>
  <c r="G74" i="10"/>
  <c r="L64" i="5"/>
  <c r="L64" i="33"/>
  <c r="L64" i="10"/>
  <c r="J58" i="14"/>
  <c r="J58" i="33"/>
  <c r="J58" i="5"/>
  <c r="J58" i="10"/>
  <c r="F54" i="14"/>
  <c r="F54" i="33"/>
  <c r="F54" i="10"/>
  <c r="K46" i="5"/>
  <c r="K46" i="14"/>
  <c r="K46" i="33"/>
  <c r="G40" i="5"/>
  <c r="G51" i="21"/>
  <c r="G40" i="33"/>
  <c r="G40" i="14"/>
  <c r="G40" i="10"/>
  <c r="O35" i="21"/>
  <c r="O24" i="33"/>
  <c r="O24" i="14"/>
  <c r="O24" i="10"/>
  <c r="N16" i="15"/>
  <c r="N14" i="16" s="1"/>
  <c r="N27" i="21"/>
  <c r="N16" i="33"/>
  <c r="N16" i="10"/>
  <c r="N16" i="5"/>
  <c r="I12" i="15"/>
  <c r="I23" i="21"/>
  <c r="I12" i="33"/>
  <c r="I12" i="14"/>
  <c r="M42" i="5"/>
  <c r="M42" i="14"/>
  <c r="M42" i="33"/>
  <c r="M42" i="10"/>
  <c r="K20" i="5"/>
  <c r="K20" i="10"/>
  <c r="K20" i="14"/>
  <c r="E62" i="5"/>
  <c r="E73" i="21"/>
  <c r="O87" i="21"/>
  <c r="O76" i="33"/>
  <c r="O76" i="5"/>
  <c r="O76" i="10"/>
  <c r="N68" i="5"/>
  <c r="N79" i="21"/>
  <c r="N68" i="14"/>
  <c r="N68" i="33"/>
  <c r="N68" i="10"/>
  <c r="L62" i="5"/>
  <c r="H58" i="14"/>
  <c r="H58" i="33"/>
  <c r="H58" i="5"/>
  <c r="N52" i="5"/>
  <c r="N52" i="14"/>
  <c r="N52" i="33"/>
  <c r="N52" i="10"/>
  <c r="I46" i="5"/>
  <c r="I46" i="14"/>
  <c r="I46" i="33"/>
  <c r="I45" i="21"/>
  <c r="I34" i="33"/>
  <c r="I34" i="14"/>
  <c r="I34" i="10"/>
  <c r="K26" i="5"/>
  <c r="K37" i="21"/>
  <c r="K26" i="33"/>
  <c r="K26" i="14"/>
  <c r="K26" i="10"/>
  <c r="J18" i="15"/>
  <c r="J29" i="21"/>
  <c r="J18" i="33"/>
  <c r="L16" i="5"/>
  <c r="L16" i="15"/>
  <c r="L14" i="16" s="1"/>
  <c r="L16" i="33"/>
  <c r="L16" i="10"/>
  <c r="E48" i="10"/>
  <c r="L32" i="5"/>
  <c r="L32" i="33"/>
  <c r="L32" i="10"/>
  <c r="L42" i="5"/>
  <c r="L42" i="33"/>
  <c r="L42" i="10"/>
  <c r="E71" i="21"/>
  <c r="E60" i="33"/>
  <c r="N28" i="5"/>
  <c r="N39" i="21"/>
  <c r="N28" i="33"/>
  <c r="F28" i="5"/>
  <c r="F39" i="21"/>
  <c r="F28" i="33"/>
  <c r="N38" i="5"/>
  <c r="N49" i="21"/>
  <c r="N38" i="33"/>
  <c r="N38" i="14"/>
  <c r="N38" i="10"/>
  <c r="F38" i="5"/>
  <c r="F49" i="21"/>
  <c r="F38" i="33"/>
  <c r="F38" i="14"/>
  <c r="F38" i="10"/>
  <c r="J42" i="5"/>
  <c r="J42" i="14"/>
  <c r="J42" i="33"/>
  <c r="J42" i="10"/>
  <c r="J72" i="5"/>
  <c r="J83" i="21"/>
  <c r="J72" i="14"/>
  <c r="J72" i="33"/>
  <c r="J72" i="10"/>
  <c r="M74" i="5"/>
  <c r="M74" i="14"/>
  <c r="M85" i="21"/>
  <c r="M74" i="33"/>
  <c r="M74" i="10"/>
  <c r="E74" i="5"/>
  <c r="E85" i="21"/>
  <c r="E74" i="14"/>
  <c r="E74" i="33"/>
  <c r="E74" i="10"/>
  <c r="Q34" i="6"/>
  <c r="D47" i="21"/>
  <c r="D36" i="33"/>
  <c r="Q58" i="6"/>
  <c r="D60" i="33"/>
  <c r="D60" i="10"/>
  <c r="E78" i="5"/>
  <c r="E89" i="21"/>
  <c r="E78" i="33"/>
  <c r="E78" i="14"/>
  <c r="E56" i="14"/>
  <c r="E56" i="33"/>
  <c r="E56" i="5"/>
  <c r="E56" i="10"/>
  <c r="E47" i="21"/>
  <c r="E36" i="33"/>
  <c r="E36" i="14"/>
  <c r="E36" i="10"/>
  <c r="E18" i="15"/>
  <c r="E29" i="21"/>
  <c r="E18" i="33"/>
  <c r="E18" i="10"/>
  <c r="E18" i="5"/>
  <c r="J78" i="5"/>
  <c r="J89" i="21"/>
  <c r="J78" i="33"/>
  <c r="L76" i="5"/>
  <c r="L76" i="33"/>
  <c r="L76" i="10"/>
  <c r="K68" i="5"/>
  <c r="K79" i="21"/>
  <c r="K68" i="14"/>
  <c r="K68" i="33"/>
  <c r="K68" i="10"/>
  <c r="M66" i="5"/>
  <c r="M77" i="21"/>
  <c r="M66" i="33"/>
  <c r="M66" i="14"/>
  <c r="O64" i="5"/>
  <c r="O75" i="21"/>
  <c r="O64" i="14"/>
  <c r="O64" i="33"/>
  <c r="G64" i="5"/>
  <c r="G75" i="21"/>
  <c r="G64" i="33"/>
  <c r="I62" i="5"/>
  <c r="I73" i="21"/>
  <c r="K60" i="5"/>
  <c r="K71" i="21"/>
  <c r="K60" i="33"/>
  <c r="K60" i="10"/>
  <c r="M58" i="5"/>
  <c r="M58" i="14"/>
  <c r="M58" i="33"/>
  <c r="M58" i="10"/>
  <c r="O56" i="5"/>
  <c r="O56" i="14"/>
  <c r="O56" i="33"/>
  <c r="O56" i="10"/>
  <c r="G56" i="5"/>
  <c r="G56" i="14"/>
  <c r="G56" i="33"/>
  <c r="G56" i="10"/>
  <c r="I54" i="5"/>
  <c r="I54" i="14"/>
  <c r="I54" i="33"/>
  <c r="I54" i="10"/>
  <c r="K52" i="5"/>
  <c r="K52" i="14"/>
  <c r="K52" i="33"/>
  <c r="K52" i="10"/>
  <c r="K50" i="5"/>
  <c r="K50" i="14"/>
  <c r="K50" i="33"/>
  <c r="L48" i="5"/>
  <c r="L48" i="33"/>
  <c r="L48" i="10"/>
  <c r="N46" i="5"/>
  <c r="N46" i="14"/>
  <c r="N46" i="33"/>
  <c r="N46" i="10"/>
  <c r="F46" i="5"/>
  <c r="F46" i="14"/>
  <c r="F46" i="33"/>
  <c r="F46" i="10"/>
  <c r="H44" i="5"/>
  <c r="H44" i="14"/>
  <c r="H44" i="33"/>
  <c r="H44" i="10"/>
  <c r="J40" i="5"/>
  <c r="J51" i="21"/>
  <c r="J40" i="33"/>
  <c r="L36" i="5"/>
  <c r="L36" i="33"/>
  <c r="L36" i="10"/>
  <c r="N45" i="21"/>
  <c r="N34" i="33"/>
  <c r="N34" i="14"/>
  <c r="N34" i="10"/>
  <c r="N34" i="5"/>
  <c r="F45" i="21"/>
  <c r="F34" i="33"/>
  <c r="F34" i="14"/>
  <c r="F34" i="10"/>
  <c r="F34" i="5"/>
  <c r="J30" i="5"/>
  <c r="J41" i="21"/>
  <c r="J30" i="33"/>
  <c r="J30" i="14"/>
  <c r="J30" i="10"/>
  <c r="H26" i="5"/>
  <c r="H37" i="21"/>
  <c r="H26" i="33"/>
  <c r="H26" i="14"/>
  <c r="H26" i="10"/>
  <c r="J24" i="5"/>
  <c r="J35" i="21"/>
  <c r="J24" i="33"/>
  <c r="L22" i="5"/>
  <c r="L22" i="33"/>
  <c r="O18" i="15"/>
  <c r="O29" i="21"/>
  <c r="O18" i="33"/>
  <c r="O18" i="14"/>
  <c r="G18" i="15"/>
  <c r="G29" i="21"/>
  <c r="G18" i="33"/>
  <c r="G18" i="14"/>
  <c r="I16" i="5"/>
  <c r="I16" i="15"/>
  <c r="I14" i="16" s="1"/>
  <c r="I27" i="21"/>
  <c r="I16" i="33"/>
  <c r="I16" i="14"/>
  <c r="I16" i="10"/>
  <c r="E36" i="5"/>
  <c r="O18" i="5"/>
  <c r="D58" i="10"/>
  <c r="N76" i="10"/>
  <c r="N72" i="10"/>
  <c r="F70" i="10"/>
  <c r="E66" i="10"/>
  <c r="H58" i="10"/>
  <c r="E50" i="10"/>
  <c r="H46" i="10"/>
  <c r="G38" i="10"/>
  <c r="J34" i="10"/>
  <c r="I30" i="10"/>
  <c r="I26" i="10"/>
  <c r="L22" i="10"/>
  <c r="G38" i="14"/>
  <c r="J34" i="14"/>
  <c r="I26" i="14"/>
  <c r="K18" i="14"/>
  <c r="K12" i="5"/>
  <c r="K12" i="15"/>
  <c r="K12" i="33"/>
  <c r="G32" i="5"/>
  <c r="G43" i="21"/>
  <c r="G32" i="33"/>
  <c r="G32" i="14"/>
  <c r="G32" i="10"/>
  <c r="M20" i="10"/>
  <c r="M20" i="14"/>
  <c r="M19" i="14" s="1"/>
  <c r="E28" i="5"/>
  <c r="E39" i="21"/>
  <c r="E28" i="33"/>
  <c r="E28" i="14"/>
  <c r="E28" i="10"/>
  <c r="J66" i="5"/>
  <c r="J77" i="21"/>
  <c r="J66" i="33"/>
  <c r="J66" i="10"/>
  <c r="H60" i="5"/>
  <c r="H71" i="21"/>
  <c r="H60" i="33"/>
  <c r="I48" i="5"/>
  <c r="I48" i="14"/>
  <c r="I48" i="33"/>
  <c r="I48" i="10"/>
  <c r="O30" i="5"/>
  <c r="O41" i="21"/>
  <c r="O30" i="33"/>
  <c r="O30" i="14"/>
  <c r="O30" i="10"/>
  <c r="L18" i="15"/>
  <c r="L18" i="33"/>
  <c r="L18" i="10"/>
  <c r="L18" i="5"/>
  <c r="E32" i="5"/>
  <c r="E43" i="21"/>
  <c r="E32" i="33"/>
  <c r="M72" i="5"/>
  <c r="M72" i="14"/>
  <c r="M83" i="21"/>
  <c r="M72" i="33"/>
  <c r="M72" i="10"/>
  <c r="Q24" i="6"/>
  <c r="D37" i="21"/>
  <c r="D26" i="33"/>
  <c r="M78" i="5"/>
  <c r="M78" i="14"/>
  <c r="M89" i="21"/>
  <c r="M78" i="33"/>
  <c r="J64" i="5"/>
  <c r="J75" i="21"/>
  <c r="J64" i="33"/>
  <c r="F52" i="5"/>
  <c r="F52" i="14"/>
  <c r="F52" i="33"/>
  <c r="F52" i="10"/>
  <c r="O36" i="5"/>
  <c r="O47" i="21"/>
  <c r="O36" i="33"/>
  <c r="G22" i="5"/>
  <c r="G33" i="21"/>
  <c r="G22" i="33"/>
  <c r="G22" i="14"/>
  <c r="G36" i="10"/>
  <c r="H12" i="15"/>
  <c r="H23" i="21"/>
  <c r="H12" i="33"/>
  <c r="H12" i="14"/>
  <c r="H38" i="5"/>
  <c r="H49" i="21"/>
  <c r="H38" i="33"/>
  <c r="H38" i="14"/>
  <c r="H38" i="10"/>
  <c r="J20" i="5"/>
  <c r="J20" i="14"/>
  <c r="M12" i="5"/>
  <c r="M12" i="15"/>
  <c r="M23" i="21"/>
  <c r="M12" i="33"/>
  <c r="M12" i="10"/>
  <c r="M12" i="14"/>
  <c r="E12" i="5"/>
  <c r="E12" i="15"/>
  <c r="E23" i="21"/>
  <c r="E12" i="33"/>
  <c r="E12" i="10"/>
  <c r="E12" i="14"/>
  <c r="M28" i="5"/>
  <c r="M39" i="21"/>
  <c r="M28" i="33"/>
  <c r="M28" i="14"/>
  <c r="M28" i="10"/>
  <c r="I32" i="5"/>
  <c r="I43" i="21"/>
  <c r="I32" i="33"/>
  <c r="I32" i="14"/>
  <c r="I32" i="10"/>
  <c r="M38" i="5"/>
  <c r="M49" i="21"/>
  <c r="M38" i="33"/>
  <c r="I42" i="5"/>
  <c r="I42" i="14"/>
  <c r="I42" i="33"/>
  <c r="E70" i="5"/>
  <c r="E81" i="21"/>
  <c r="E70" i="14"/>
  <c r="E70" i="33"/>
  <c r="E70" i="10"/>
  <c r="I72" i="5"/>
  <c r="I83" i="21"/>
  <c r="I72" i="14"/>
  <c r="I72" i="33"/>
  <c r="I72" i="10"/>
  <c r="P18" i="6"/>
  <c r="P78" i="6" s="1"/>
  <c r="D46" i="14"/>
  <c r="D46" i="33"/>
  <c r="D46" i="10"/>
  <c r="Q60" i="6"/>
  <c r="D73" i="21"/>
  <c r="E76" i="5"/>
  <c r="E87" i="21"/>
  <c r="E76" i="33"/>
  <c r="E76" i="14"/>
  <c r="E54" i="5"/>
  <c r="E54" i="14"/>
  <c r="E54" i="33"/>
  <c r="E34" i="5"/>
  <c r="E45" i="21"/>
  <c r="E34" i="33"/>
  <c r="E16" i="15"/>
  <c r="E14" i="16" s="1"/>
  <c r="E27" i="21"/>
  <c r="E16" i="33"/>
  <c r="E16" i="5"/>
  <c r="I89" i="21"/>
  <c r="I78" i="33"/>
  <c r="I78" i="5"/>
  <c r="I78" i="10"/>
  <c r="K76" i="5"/>
  <c r="K87" i="21"/>
  <c r="K76" i="33"/>
  <c r="K76" i="10"/>
  <c r="J68" i="5"/>
  <c r="J79" i="21"/>
  <c r="J68" i="14"/>
  <c r="J68" i="33"/>
  <c r="L66" i="33"/>
  <c r="L66" i="5"/>
  <c r="N64" i="5"/>
  <c r="N75" i="21"/>
  <c r="N64" i="14"/>
  <c r="N64" i="33"/>
  <c r="N64" i="10"/>
  <c r="F64" i="5"/>
  <c r="F75" i="21"/>
  <c r="F64" i="33"/>
  <c r="F64" i="10"/>
  <c r="H62" i="5"/>
  <c r="H73" i="21"/>
  <c r="J60" i="5"/>
  <c r="J71" i="21"/>
  <c r="J60" i="33"/>
  <c r="J60" i="10"/>
  <c r="L58" i="5"/>
  <c r="L58" i="33"/>
  <c r="L58" i="10"/>
  <c r="N56" i="5"/>
  <c r="N56" i="14"/>
  <c r="N56" i="33"/>
  <c r="F56" i="5"/>
  <c r="F56" i="14"/>
  <c r="F56" i="33"/>
  <c r="H54" i="5"/>
  <c r="H54" i="14"/>
  <c r="H54" i="33"/>
  <c r="H54" i="10"/>
  <c r="J52" i="5"/>
  <c r="J52" i="14"/>
  <c r="J52" i="33"/>
  <c r="J50" i="5"/>
  <c r="J50" i="14"/>
  <c r="J50" i="33"/>
  <c r="K48" i="5"/>
  <c r="K48" i="14"/>
  <c r="K48" i="33"/>
  <c r="K48" i="10"/>
  <c r="M46" i="5"/>
  <c r="M46" i="14"/>
  <c r="M46" i="33"/>
  <c r="M46" i="10"/>
  <c r="O44" i="5"/>
  <c r="O44" i="14"/>
  <c r="O44" i="33"/>
  <c r="O44" i="10"/>
  <c r="G44" i="5"/>
  <c r="G44" i="14"/>
  <c r="G44" i="33"/>
  <c r="G44" i="10"/>
  <c r="I51" i="21"/>
  <c r="I40" i="33"/>
  <c r="I40" i="5"/>
  <c r="K36" i="5"/>
  <c r="K47" i="21"/>
  <c r="K36" i="33"/>
  <c r="K36" i="14"/>
  <c r="K36" i="10"/>
  <c r="M34" i="5"/>
  <c r="M45" i="21"/>
  <c r="M34" i="33"/>
  <c r="I30" i="5"/>
  <c r="I41" i="21"/>
  <c r="I30" i="33"/>
  <c r="O26" i="5"/>
  <c r="O37" i="21"/>
  <c r="O26" i="33"/>
  <c r="G26" i="5"/>
  <c r="G37" i="21"/>
  <c r="G26" i="33"/>
  <c r="I24" i="5"/>
  <c r="I35" i="21"/>
  <c r="I24" i="33"/>
  <c r="K33" i="21"/>
  <c r="K22" i="33"/>
  <c r="K22" i="10"/>
  <c r="N18" i="15"/>
  <c r="N29" i="21"/>
  <c r="N18" i="33"/>
  <c r="N18" i="14"/>
  <c r="N18" i="10"/>
  <c r="N19" i="10" s="1"/>
  <c r="N18" i="5"/>
  <c r="F18" i="15"/>
  <c r="F29" i="21"/>
  <c r="F18" i="33"/>
  <c r="F18" i="14"/>
  <c r="F18" i="10"/>
  <c r="F18" i="5"/>
  <c r="H16" i="5"/>
  <c r="H16" i="15"/>
  <c r="H14" i="16" s="1"/>
  <c r="H27" i="21"/>
  <c r="H16" i="33"/>
  <c r="H16" i="10"/>
  <c r="Q16" i="6"/>
  <c r="L60" i="5"/>
  <c r="J18" i="5"/>
  <c r="D24" i="10"/>
  <c r="D68" i="10"/>
  <c r="M76" i="10"/>
  <c r="L68" i="10"/>
  <c r="O64" i="10"/>
  <c r="N60" i="10"/>
  <c r="N56" i="10"/>
  <c r="O52" i="10"/>
  <c r="N48" i="10"/>
  <c r="F42" i="10"/>
  <c r="E34" i="10"/>
  <c r="H30" i="10"/>
  <c r="G26" i="10"/>
  <c r="G22" i="10"/>
  <c r="O18" i="10"/>
  <c r="N14" i="10"/>
  <c r="O76" i="14"/>
  <c r="E34" i="14"/>
  <c r="G26" i="14"/>
  <c r="F22" i="14"/>
  <c r="J18" i="14"/>
  <c r="O14" i="5"/>
  <c r="O14" i="15"/>
  <c r="O25" i="21"/>
  <c r="O14" i="33"/>
  <c r="O14" i="14"/>
  <c r="O14" i="10"/>
  <c r="G42" i="5"/>
  <c r="G42" i="14"/>
  <c r="G42" i="33"/>
  <c r="I76" i="5"/>
  <c r="I87" i="21"/>
  <c r="I76" i="33"/>
  <c r="I76" i="10"/>
  <c r="I76" i="14"/>
  <c r="N62" i="5"/>
  <c r="N73" i="21"/>
  <c r="N62" i="14"/>
  <c r="H52" i="14"/>
  <c r="H52" i="33"/>
  <c r="H52" i="5"/>
  <c r="I36" i="5"/>
  <c r="I47" i="21"/>
  <c r="I36" i="33"/>
  <c r="I36" i="14"/>
  <c r="I36" i="10"/>
  <c r="F16" i="5"/>
  <c r="F16" i="15"/>
  <c r="F14" i="16" s="1"/>
  <c r="F27" i="21"/>
  <c r="F16" i="33"/>
  <c r="F16" i="10"/>
  <c r="M32" i="5"/>
  <c r="M43" i="21"/>
  <c r="M32" i="33"/>
  <c r="E42" i="5"/>
  <c r="E42" i="14"/>
  <c r="E42" i="33"/>
  <c r="E42" i="10"/>
  <c r="E44" i="5"/>
  <c r="E44" i="14"/>
  <c r="E44" i="33"/>
  <c r="E44" i="10"/>
  <c r="F79" i="21"/>
  <c r="F68" i="14"/>
  <c r="F68" i="33"/>
  <c r="F68" i="10"/>
  <c r="M40" i="5"/>
  <c r="M40" i="33"/>
  <c r="M51" i="21"/>
  <c r="M40" i="14"/>
  <c r="M40" i="10"/>
  <c r="M24" i="5"/>
  <c r="M35" i="21"/>
  <c r="M24" i="33"/>
  <c r="M24" i="14"/>
  <c r="M24" i="10"/>
  <c r="N54" i="5"/>
  <c r="G36" i="14"/>
  <c r="L14" i="5"/>
  <c r="L14" i="15"/>
  <c r="L14" i="33"/>
  <c r="L14" i="10"/>
  <c r="H14" i="5"/>
  <c r="H14" i="15"/>
  <c r="H25" i="21"/>
  <c r="H14" i="33"/>
  <c r="L28" i="5"/>
  <c r="L28" i="33"/>
  <c r="H32" i="5"/>
  <c r="H43" i="21"/>
  <c r="H32" i="33"/>
  <c r="L38" i="5"/>
  <c r="L38" i="33"/>
  <c r="H42" i="5"/>
  <c r="H42" i="14"/>
  <c r="H42" i="33"/>
  <c r="H42" i="10"/>
  <c r="L70" i="5"/>
  <c r="L70" i="33"/>
  <c r="L70" i="10"/>
  <c r="Q70" i="6"/>
  <c r="D83" i="21"/>
  <c r="D72" i="14"/>
  <c r="D72" i="33"/>
  <c r="H72" i="5"/>
  <c r="H83" i="21"/>
  <c r="H72" i="14"/>
  <c r="H72" i="33"/>
  <c r="H72" i="10"/>
  <c r="D48" i="5"/>
  <c r="D48" i="33"/>
  <c r="D48" i="14"/>
  <c r="D48" i="10"/>
  <c r="D64" i="5"/>
  <c r="D75" i="21"/>
  <c r="D64" i="33"/>
  <c r="D64" i="10"/>
  <c r="E79" i="21"/>
  <c r="E68" i="14"/>
  <c r="E68" i="33"/>
  <c r="E68" i="10"/>
  <c r="E52" i="5"/>
  <c r="E52" i="14"/>
  <c r="E52" i="33"/>
  <c r="E52" i="10"/>
  <c r="E30" i="5"/>
  <c r="E30" i="33"/>
  <c r="E41" i="21"/>
  <c r="E30" i="14"/>
  <c r="E30" i="10"/>
  <c r="H89" i="21"/>
  <c r="H78" i="33"/>
  <c r="H78" i="5"/>
  <c r="H78" i="10"/>
  <c r="H78" i="14"/>
  <c r="J87" i="21"/>
  <c r="J76" i="33"/>
  <c r="J76" i="10"/>
  <c r="J76" i="14"/>
  <c r="I68" i="5"/>
  <c r="I79" i="21"/>
  <c r="I68" i="14"/>
  <c r="I68" i="33"/>
  <c r="K77" i="21"/>
  <c r="K66" i="33"/>
  <c r="K66" i="5"/>
  <c r="K66" i="10"/>
  <c r="M64" i="5"/>
  <c r="M75" i="21"/>
  <c r="M64" i="14"/>
  <c r="M64" i="33"/>
  <c r="M64" i="10"/>
  <c r="O62" i="5"/>
  <c r="O73" i="21"/>
  <c r="O62" i="14"/>
  <c r="G62" i="5"/>
  <c r="G73" i="21"/>
  <c r="I60" i="5"/>
  <c r="I71" i="21"/>
  <c r="I60" i="33"/>
  <c r="I60" i="10"/>
  <c r="K58" i="14"/>
  <c r="K58" i="33"/>
  <c r="M56" i="5"/>
  <c r="M56" i="14"/>
  <c r="M56" i="33"/>
  <c r="M56" i="10"/>
  <c r="O54" i="5"/>
  <c r="O54" i="14"/>
  <c r="O54" i="33"/>
  <c r="G54" i="5"/>
  <c r="G54" i="14"/>
  <c r="G54" i="33"/>
  <c r="I52" i="14"/>
  <c r="I52" i="33"/>
  <c r="I52" i="5"/>
  <c r="I52" i="10"/>
  <c r="I50" i="5"/>
  <c r="I50" i="14"/>
  <c r="I50" i="33"/>
  <c r="I50" i="10"/>
  <c r="J48" i="5"/>
  <c r="J48" i="14"/>
  <c r="J48" i="33"/>
  <c r="J48" i="10"/>
  <c r="L46" i="5"/>
  <c r="L46" i="33"/>
  <c r="L46" i="10"/>
  <c r="N44" i="5"/>
  <c r="N44" i="14"/>
  <c r="N44" i="33"/>
  <c r="F44" i="5"/>
  <c r="F44" i="14"/>
  <c r="F44" i="33"/>
  <c r="H40" i="5"/>
  <c r="H51" i="21"/>
  <c r="H40" i="33"/>
  <c r="H40" i="14"/>
  <c r="H40" i="10"/>
  <c r="J36" i="5"/>
  <c r="J47" i="21"/>
  <c r="J36" i="33"/>
  <c r="L34" i="33"/>
  <c r="L34" i="10"/>
  <c r="H30" i="5"/>
  <c r="H41" i="21"/>
  <c r="H30" i="33"/>
  <c r="N26" i="5"/>
  <c r="N37" i="21"/>
  <c r="N26" i="33"/>
  <c r="F26" i="5"/>
  <c r="F37" i="21"/>
  <c r="F26" i="33"/>
  <c r="H35" i="21"/>
  <c r="H24" i="33"/>
  <c r="H24" i="5"/>
  <c r="H24" i="14"/>
  <c r="H24" i="10"/>
  <c r="J33" i="21"/>
  <c r="J22" i="33"/>
  <c r="J22" i="10"/>
  <c r="J22" i="14"/>
  <c r="J22" i="5"/>
  <c r="M18" i="15"/>
  <c r="M29" i="21"/>
  <c r="M18" i="33"/>
  <c r="M18" i="10"/>
  <c r="M18" i="5"/>
  <c r="O16" i="5"/>
  <c r="O16" i="15"/>
  <c r="O14" i="16" s="1"/>
  <c r="O27" i="21"/>
  <c r="O16" i="33"/>
  <c r="O16" i="10"/>
  <c r="O16" i="14"/>
  <c r="G16" i="5"/>
  <c r="G16" i="15"/>
  <c r="G14" i="16" s="1"/>
  <c r="G27" i="21"/>
  <c r="G16" i="33"/>
  <c r="G16" i="10"/>
  <c r="G16" i="14"/>
  <c r="E60" i="5"/>
  <c r="I34" i="5"/>
  <c r="H18" i="5"/>
  <c r="D26" i="10"/>
  <c r="D72" i="10"/>
  <c r="H76" i="10"/>
  <c r="K72" i="10"/>
  <c r="J68" i="10"/>
  <c r="J64" i="10"/>
  <c r="M60" i="10"/>
  <c r="L56" i="10"/>
  <c r="J52" i="10"/>
  <c r="M48" i="10"/>
  <c r="L44" i="10"/>
  <c r="L40" i="10"/>
  <c r="O36" i="10"/>
  <c r="N32" i="10"/>
  <c r="N28" i="10"/>
  <c r="F26" i="10"/>
  <c r="E22" i="10"/>
  <c r="J18" i="10"/>
  <c r="J19" i="10" s="1"/>
  <c r="M14" i="10"/>
  <c r="O36" i="14"/>
  <c r="N32" i="14"/>
  <c r="N28" i="14"/>
  <c r="F26" i="14"/>
  <c r="E18" i="14"/>
  <c r="H14" i="14"/>
  <c r="N50" i="5"/>
  <c r="N50" i="14"/>
  <c r="N50" i="33"/>
  <c r="F50" i="5"/>
  <c r="F50" i="14"/>
  <c r="F50" i="33"/>
  <c r="N50" i="10"/>
  <c r="F50" i="10"/>
  <c r="Q52" i="6"/>
  <c r="M54" i="5"/>
  <c r="M54" i="14"/>
  <c r="M54" i="33"/>
  <c r="M54" i="10"/>
  <c r="L54" i="5"/>
  <c r="L54" i="33"/>
  <c r="L54" i="10"/>
  <c r="K54" i="5"/>
  <c r="K54" i="14"/>
  <c r="K54" i="33"/>
  <c r="P64" i="15"/>
  <c r="P48" i="15"/>
  <c r="P70" i="15"/>
  <c r="P68" i="15"/>
  <c r="P62" i="15"/>
  <c r="P56" i="15"/>
  <c r="P52" i="15"/>
  <c r="P50" i="15"/>
  <c r="P46" i="15"/>
  <c r="P44" i="15"/>
  <c r="P40" i="15"/>
  <c r="P38" i="15"/>
  <c r="P36" i="15"/>
  <c r="P34" i="15"/>
  <c r="P32" i="15"/>
  <c r="P30" i="15"/>
  <c r="P26" i="15"/>
  <c r="P24" i="15"/>
  <c r="P22" i="15"/>
  <c r="P66" i="15"/>
  <c r="P60" i="15"/>
  <c r="P54" i="15"/>
  <c r="H208" i="6"/>
  <c r="H213" i="6" s="1"/>
  <c r="Q68" i="6"/>
  <c r="Q62" i="6"/>
  <c r="Q64" i="6"/>
  <c r="I58" i="5"/>
  <c r="Q48" i="6"/>
  <c r="N17" i="6"/>
  <c r="M30" i="21" s="1"/>
  <c r="M20" i="5"/>
  <c r="H20" i="5"/>
  <c r="I17" i="6"/>
  <c r="H17" i="6"/>
  <c r="G20" i="5"/>
  <c r="O17" i="6"/>
  <c r="N20" i="5"/>
  <c r="G17" i="6"/>
  <c r="F20" i="5"/>
  <c r="E20" i="5"/>
  <c r="L20" i="5"/>
  <c r="L17" i="6"/>
  <c r="K17" i="6"/>
  <c r="I20" i="5"/>
  <c r="Q44" i="6"/>
  <c r="Q46" i="6"/>
  <c r="Q36" i="6"/>
  <c r="E38" i="5"/>
  <c r="I208" i="6"/>
  <c r="I213" i="6" s="1"/>
  <c r="Q28" i="6"/>
  <c r="Q22" i="6"/>
  <c r="F22" i="5"/>
  <c r="I12" i="5"/>
  <c r="J78" i="6"/>
  <c r="H12" i="5"/>
  <c r="I78" i="6"/>
  <c r="L78" i="6"/>
  <c r="K78" i="6"/>
  <c r="J208" i="6"/>
  <c r="J213" i="6" s="1"/>
  <c r="H78" i="6"/>
  <c r="N78" i="6"/>
  <c r="M78" i="6"/>
  <c r="O78" i="6"/>
  <c r="G78" i="6"/>
  <c r="F78" i="6"/>
  <c r="G208" i="6"/>
  <c r="G213" i="6" s="1"/>
  <c r="N208" i="6"/>
  <c r="N213" i="6" s="1"/>
  <c r="F208" i="6"/>
  <c r="M208" i="6"/>
  <c r="M213" i="6" s="1"/>
  <c r="L208" i="6"/>
  <c r="O208" i="6"/>
  <c r="K208" i="6"/>
  <c r="K213" i="6" s="1"/>
  <c r="P64" i="33" l="1"/>
  <c r="P72" i="33"/>
  <c r="P26" i="33"/>
  <c r="P36" i="33"/>
  <c r="P34" i="33"/>
  <c r="P38" i="33"/>
  <c r="P68" i="33"/>
  <c r="P52" i="33"/>
  <c r="P46" i="33"/>
  <c r="P58" i="33"/>
  <c r="P60" i="33"/>
  <c r="P66" i="33"/>
  <c r="P78" i="33"/>
  <c r="P76" i="33"/>
  <c r="P50" i="33"/>
  <c r="P48" i="33"/>
  <c r="P18" i="33"/>
  <c r="P70" i="33"/>
  <c r="P22" i="33"/>
  <c r="P56" i="33"/>
  <c r="P30" i="33"/>
  <c r="P54" i="33"/>
  <c r="P24" i="33"/>
  <c r="F213" i="6"/>
  <c r="Q208" i="6"/>
  <c r="P18" i="15"/>
  <c r="N19" i="33"/>
  <c r="N20" i="33" s="1"/>
  <c r="N80" i="33" s="1"/>
  <c r="N30" i="21"/>
  <c r="M19" i="33"/>
  <c r="M20" i="33" s="1"/>
  <c r="M80" i="33" s="1"/>
  <c r="H19" i="33"/>
  <c r="H20" i="33" s="1"/>
  <c r="H80" i="33" s="1"/>
  <c r="H30" i="21"/>
  <c r="J19" i="33"/>
  <c r="J20" i="33" s="1"/>
  <c r="J80" i="33" s="1"/>
  <c r="J30" i="21"/>
  <c r="I19" i="33"/>
  <c r="I20" i="33" s="1"/>
  <c r="I80" i="33" s="1"/>
  <c r="I30" i="21"/>
  <c r="K19" i="33"/>
  <c r="K20" i="33" s="1"/>
  <c r="K80" i="33" s="1"/>
  <c r="K30" i="21"/>
  <c r="F19" i="33"/>
  <c r="F20" i="33" s="1"/>
  <c r="F80" i="33" s="1"/>
  <c r="F30" i="21"/>
  <c r="G19" i="33"/>
  <c r="G20" i="33" s="1"/>
  <c r="G80" i="33" s="1"/>
  <c r="G30" i="21"/>
  <c r="E19" i="33"/>
  <c r="E20" i="33" s="1"/>
  <c r="E80" i="33" s="1"/>
  <c r="E30" i="21"/>
  <c r="L19" i="33"/>
  <c r="L20" i="33" s="1"/>
  <c r="L80" i="33" s="1"/>
  <c r="P69" i="21"/>
  <c r="AA69" i="21" s="1"/>
  <c r="P67" i="21"/>
  <c r="AA67" i="21" s="1"/>
  <c r="P65" i="21"/>
  <c r="AA65" i="21" s="1"/>
  <c r="P63" i="21"/>
  <c r="AA63" i="21" s="1"/>
  <c r="P61" i="21"/>
  <c r="AA61" i="21" s="1"/>
  <c r="P59" i="21"/>
  <c r="AA59" i="21" s="1"/>
  <c r="P57" i="21"/>
  <c r="AA57" i="21" s="1"/>
  <c r="K19" i="10"/>
  <c r="K81" i="10" s="1"/>
  <c r="S57" i="15"/>
  <c r="P17" i="6"/>
  <c r="N19" i="14"/>
  <c r="N80" i="14" s="1"/>
  <c r="G19" i="14"/>
  <c r="G80" i="14" s="1"/>
  <c r="P210" i="6"/>
  <c r="K19" i="5"/>
  <c r="K80" i="5" s="1"/>
  <c r="N81" i="10"/>
  <c r="S69" i="15"/>
  <c r="S53" i="15"/>
  <c r="P87" i="21"/>
  <c r="AA87" i="21" s="1"/>
  <c r="P83" i="21"/>
  <c r="P52" i="14"/>
  <c r="H80" i="14"/>
  <c r="G81" i="10"/>
  <c r="H81" i="10"/>
  <c r="L19" i="5"/>
  <c r="L80" i="5" s="1"/>
  <c r="P64" i="5"/>
  <c r="J81" i="10"/>
  <c r="P75" i="21"/>
  <c r="F19" i="5"/>
  <c r="F80" i="5" s="1"/>
  <c r="M19" i="5"/>
  <c r="M80" i="5" s="1"/>
  <c r="P213" i="6"/>
  <c r="S41" i="15"/>
  <c r="J19" i="14"/>
  <c r="J80" i="14" s="1"/>
  <c r="M10" i="16"/>
  <c r="O19" i="15"/>
  <c r="O17" i="16" s="1"/>
  <c r="O16" i="16"/>
  <c r="P60" i="14"/>
  <c r="J19" i="15"/>
  <c r="J17" i="16" s="1"/>
  <c r="J16" i="16"/>
  <c r="I10" i="16"/>
  <c r="D19" i="15"/>
  <c r="D16" i="16"/>
  <c r="P45" i="21"/>
  <c r="AA45" i="21" s="1"/>
  <c r="F19" i="14"/>
  <c r="F80" i="14" s="1"/>
  <c r="K19" i="15"/>
  <c r="K17" i="16" s="1"/>
  <c r="K16" i="16"/>
  <c r="L19" i="10"/>
  <c r="L81" i="10" s="1"/>
  <c r="H19" i="5"/>
  <c r="H80" i="5" s="1"/>
  <c r="E19" i="14"/>
  <c r="E80" i="14" s="1"/>
  <c r="P48" i="14"/>
  <c r="N19" i="15"/>
  <c r="N17" i="16" s="1"/>
  <c r="N16" i="16"/>
  <c r="P46" i="14"/>
  <c r="E19" i="15"/>
  <c r="E17" i="16" s="1"/>
  <c r="E16" i="16"/>
  <c r="P71" i="21"/>
  <c r="AA71" i="21" s="1"/>
  <c r="P76" i="14"/>
  <c r="P50" i="14"/>
  <c r="O10" i="16"/>
  <c r="P56" i="14"/>
  <c r="P48" i="5"/>
  <c r="F19" i="15"/>
  <c r="F17" i="16" s="1"/>
  <c r="F16" i="16"/>
  <c r="O20" i="5"/>
  <c r="O20" i="14"/>
  <c r="O20" i="10"/>
  <c r="J19" i="5"/>
  <c r="J80" i="5" s="1"/>
  <c r="L19" i="15"/>
  <c r="L17" i="16" s="1"/>
  <c r="L16" i="16"/>
  <c r="P77" i="21"/>
  <c r="AA77" i="21" s="1"/>
  <c r="H19" i="15"/>
  <c r="H17" i="16" s="1"/>
  <c r="H16" i="16"/>
  <c r="P29" i="21"/>
  <c r="AA29" i="21" s="1"/>
  <c r="P70" i="14"/>
  <c r="E19" i="10"/>
  <c r="E81" i="10" s="1"/>
  <c r="J10" i="16"/>
  <c r="P66" i="14"/>
  <c r="I19" i="10"/>
  <c r="I81" i="10" s="1"/>
  <c r="F19" i="10"/>
  <c r="F81" i="10" s="1"/>
  <c r="P62" i="14"/>
  <c r="H10" i="16"/>
  <c r="P37" i="21"/>
  <c r="AA37" i="21" s="1"/>
  <c r="M19" i="10"/>
  <c r="M81" i="10" s="1"/>
  <c r="K10" i="16"/>
  <c r="G19" i="15"/>
  <c r="G17" i="16" s="1"/>
  <c r="G16" i="16"/>
  <c r="P47" i="21"/>
  <c r="AA47" i="21" s="1"/>
  <c r="P66" i="5"/>
  <c r="G10" i="16"/>
  <c r="P78" i="10"/>
  <c r="P81" i="21"/>
  <c r="AA81" i="21" s="1"/>
  <c r="L10" i="16"/>
  <c r="N19" i="5"/>
  <c r="N80" i="5" s="1"/>
  <c r="I19" i="5"/>
  <c r="I80" i="5" s="1"/>
  <c r="G19" i="5"/>
  <c r="G80" i="5" s="1"/>
  <c r="S29" i="15"/>
  <c r="M80" i="14"/>
  <c r="P64" i="14"/>
  <c r="P73" i="21"/>
  <c r="AA73" i="21" s="1"/>
  <c r="P58" i="14"/>
  <c r="P24" i="5"/>
  <c r="N10" i="16"/>
  <c r="M19" i="15"/>
  <c r="M17" i="16" s="1"/>
  <c r="M16" i="16"/>
  <c r="P72" i="14"/>
  <c r="I80" i="14"/>
  <c r="K19" i="14"/>
  <c r="K80" i="14" s="1"/>
  <c r="P78" i="14"/>
  <c r="P30" i="14"/>
  <c r="P68" i="14"/>
  <c r="E10" i="16"/>
  <c r="O213" i="6"/>
  <c r="O210" i="6"/>
  <c r="E19" i="5"/>
  <c r="E80" i="5" s="1"/>
  <c r="P89" i="21"/>
  <c r="AA89" i="21" s="1"/>
  <c r="P33" i="21"/>
  <c r="AA33" i="21" s="1"/>
  <c r="P76" i="10"/>
  <c r="I19" i="15"/>
  <c r="I17" i="16" s="1"/>
  <c r="I16" i="16"/>
  <c r="P41" i="21"/>
  <c r="AA41" i="21" s="1"/>
  <c r="P49" i="21"/>
  <c r="AA49" i="21" s="1"/>
  <c r="P79" i="21"/>
  <c r="AA79" i="21" s="1"/>
  <c r="F10" i="16"/>
  <c r="L19" i="14"/>
  <c r="L80" i="14" s="1"/>
  <c r="L213" i="6"/>
  <c r="P54" i="14"/>
  <c r="Q164" i="6"/>
  <c r="Q163" i="6"/>
  <c r="Q160" i="6"/>
  <c r="D17" i="16" l="1"/>
  <c r="P19" i="15"/>
  <c r="O19" i="33"/>
  <c r="O20" i="33" s="1"/>
  <c r="O80" i="33" s="1"/>
  <c r="O30" i="21"/>
  <c r="K79" i="15"/>
  <c r="H79" i="15"/>
  <c r="N79" i="15"/>
  <c r="O79" i="15"/>
  <c r="I79" i="15"/>
  <c r="L79" i="15"/>
  <c r="E79" i="15"/>
  <c r="J79" i="15"/>
  <c r="F79" i="15"/>
  <c r="O19" i="14"/>
  <c r="O80" i="14" s="1"/>
  <c r="O19" i="5"/>
  <c r="O80" i="5" s="1"/>
  <c r="M79" i="15"/>
  <c r="G79" i="15"/>
  <c r="O19" i="10"/>
  <c r="O81" i="10" s="1"/>
  <c r="E42" i="6"/>
  <c r="D55" i="21" s="1"/>
  <c r="P55" i="21" s="1"/>
  <c r="AA55" i="21" s="1"/>
  <c r="E38" i="6"/>
  <c r="D51" i="21" s="1"/>
  <c r="E14" i="6"/>
  <c r="D16" i="15" l="1"/>
  <c r="D16" i="10"/>
  <c r="D16" i="14"/>
  <c r="Q42" i="6"/>
  <c r="D44" i="33"/>
  <c r="P44" i="33" s="1"/>
  <c r="D44" i="10"/>
  <c r="Q38" i="6"/>
  <c r="P51" i="21"/>
  <c r="AA51" i="21" s="1"/>
  <c r="D40" i="33"/>
  <c r="P40" i="33" s="1"/>
  <c r="D40" i="10"/>
  <c r="Q14" i="6"/>
  <c r="D27" i="21"/>
  <c r="D16" i="33"/>
  <c r="P16" i="33" s="1"/>
  <c r="B12" i="33"/>
  <c r="C72" i="33"/>
  <c r="B72" i="33"/>
  <c r="C70" i="33"/>
  <c r="B70" i="33"/>
  <c r="C68" i="33"/>
  <c r="B68" i="33"/>
  <c r="C66" i="33"/>
  <c r="B66" i="33"/>
  <c r="C64" i="33"/>
  <c r="B64" i="33"/>
  <c r="C62" i="33"/>
  <c r="B62" i="33"/>
  <c r="C60" i="33"/>
  <c r="B60" i="33"/>
  <c r="C58" i="33"/>
  <c r="B58" i="33"/>
  <c r="C56" i="33"/>
  <c r="B56" i="33"/>
  <c r="C54" i="33"/>
  <c r="B54" i="33"/>
  <c r="C52" i="33"/>
  <c r="B52" i="33"/>
  <c r="C50" i="33"/>
  <c r="B50" i="33"/>
  <c r="C48" i="33"/>
  <c r="B48" i="33"/>
  <c r="C46" i="33"/>
  <c r="B46" i="33"/>
  <c r="C44" i="33"/>
  <c r="B44" i="33"/>
  <c r="C42" i="33"/>
  <c r="B42" i="33"/>
  <c r="C40" i="33"/>
  <c r="B40" i="33"/>
  <c r="C38" i="33"/>
  <c r="B38" i="33"/>
  <c r="C36" i="33"/>
  <c r="B36" i="33"/>
  <c r="C34" i="33"/>
  <c r="B34" i="33"/>
  <c r="C32" i="33"/>
  <c r="B32" i="33"/>
  <c r="C30" i="33"/>
  <c r="B30" i="33"/>
  <c r="C28" i="33"/>
  <c r="B28" i="33"/>
  <c r="C26" i="33"/>
  <c r="B26" i="33"/>
  <c r="C24" i="33"/>
  <c r="B24" i="33"/>
  <c r="C22" i="33"/>
  <c r="B22" i="33"/>
  <c r="C20" i="33"/>
  <c r="B20" i="33"/>
  <c r="C16" i="33"/>
  <c r="B16" i="33"/>
  <c r="C14" i="33"/>
  <c r="B14" i="33"/>
  <c r="C12" i="33"/>
  <c r="D14" i="16" l="1"/>
  <c r="P16" i="15"/>
  <c r="C80" i="33"/>
  <c r="B80" i="33"/>
  <c r="P70" i="34"/>
  <c r="P60" i="34"/>
  <c r="P44" i="34"/>
  <c r="P36" i="34"/>
  <c r="P30" i="34"/>
  <c r="C79" i="34"/>
  <c r="B79" i="34"/>
  <c r="A3" i="34"/>
  <c r="A3" i="33"/>
  <c r="P14" i="34" l="1"/>
  <c r="P16" i="34"/>
  <c r="P26" i="34"/>
  <c r="P28" i="34"/>
  <c r="P50" i="34"/>
  <c r="P54" i="34"/>
  <c r="P58" i="34"/>
  <c r="P66" i="34"/>
  <c r="P68" i="34"/>
  <c r="P24" i="34"/>
  <c r="P32" i="34"/>
  <c r="P40" i="34"/>
  <c r="P52" i="34"/>
  <c r="P56" i="34"/>
  <c r="P64" i="34"/>
  <c r="P22" i="34"/>
  <c r="P34" i="34"/>
  <c r="P38" i="34"/>
  <c r="P46" i="34"/>
  <c r="P48" i="34"/>
  <c r="P62" i="34"/>
  <c r="P72" i="34"/>
  <c r="P12" i="34"/>
  <c r="A3" i="5"/>
  <c r="S69" i="34" l="1"/>
  <c r="S57" i="34"/>
  <c r="S41" i="34"/>
  <c r="S29" i="34"/>
  <c r="P79" i="34" s="1"/>
  <c r="S17" i="34"/>
  <c r="S53" i="34"/>
  <c r="C16" i="31"/>
  <c r="B16" i="31"/>
  <c r="C14" i="31"/>
  <c r="B14" i="31"/>
  <c r="C12" i="31"/>
  <c r="B12" i="31"/>
  <c r="A3" i="31"/>
  <c r="S79" i="34" l="1"/>
  <c r="P14" i="31"/>
  <c r="B81" i="31"/>
  <c r="C81" i="31"/>
  <c r="S53" i="31"/>
  <c r="S57" i="31"/>
  <c r="S69" i="31"/>
  <c r="S29" i="31"/>
  <c r="S41" i="31"/>
  <c r="S72" i="31"/>
  <c r="P16" i="31"/>
  <c r="P12" i="31"/>
  <c r="S17" i="31" l="1"/>
  <c r="S81" i="31" s="1"/>
  <c r="P81" i="31"/>
  <c r="O187" i="29"/>
  <c r="P187" i="29"/>
  <c r="Q169" i="29" l="1"/>
  <c r="Q168" i="29"/>
  <c r="Q165" i="29"/>
  <c r="Q164" i="29"/>
  <c r="Q161" i="29"/>
  <c r="Q160" i="29"/>
  <c r="Q159" i="29"/>
  <c r="Q158" i="29"/>
  <c r="Q156" i="29"/>
  <c r="Q154" i="29"/>
  <c r="Q152" i="29"/>
  <c r="Q150" i="29"/>
  <c r="Q148" i="29"/>
  <c r="Q146" i="29"/>
  <c r="Q144" i="29"/>
  <c r="Q140" i="29"/>
  <c r="Q136" i="29"/>
  <c r="Q132" i="29"/>
  <c r="Q130" i="29"/>
  <c r="Q122" i="29"/>
  <c r="O113" i="29"/>
  <c r="P113" i="29"/>
  <c r="O107" i="29"/>
  <c r="P107" i="29"/>
  <c r="O99" i="29"/>
  <c r="P99" i="29"/>
  <c r="O93" i="29"/>
  <c r="P93" i="29"/>
  <c r="P191" i="29" l="1"/>
  <c r="O191" i="29"/>
  <c r="N27" i="28"/>
  <c r="M27" i="28"/>
  <c r="L27" i="28"/>
  <c r="K27" i="28"/>
  <c r="J27" i="28"/>
  <c r="I27" i="28"/>
  <c r="H27" i="28"/>
  <c r="E27" i="28"/>
  <c r="P199" i="29"/>
  <c r="P200" i="29" s="1"/>
  <c r="O199" i="29"/>
  <c r="O200" i="29" s="1"/>
  <c r="N199" i="29"/>
  <c r="M199" i="29"/>
  <c r="L199" i="29"/>
  <c r="K199" i="29"/>
  <c r="J199" i="29"/>
  <c r="I199" i="29"/>
  <c r="H199" i="29"/>
  <c r="G199" i="29"/>
  <c r="F199" i="29"/>
  <c r="E199" i="29"/>
  <c r="O27" i="28"/>
  <c r="G27" i="28"/>
  <c r="F27" i="28"/>
  <c r="D27" i="28"/>
  <c r="N27" i="27"/>
  <c r="L27" i="27"/>
  <c r="J27" i="27"/>
  <c r="H27" i="27"/>
  <c r="F27" i="27"/>
  <c r="O27" i="27"/>
  <c r="M27" i="27"/>
  <c r="G27" i="27"/>
  <c r="E27" i="27"/>
  <c r="D27" i="27"/>
  <c r="Q16" i="7" l="1"/>
  <c r="D18" i="5"/>
  <c r="P18" i="5" s="1"/>
  <c r="I27" i="27"/>
  <c r="K27" i="27"/>
  <c r="P27" i="28"/>
  <c r="P27" i="27" l="1"/>
  <c r="P18" i="14"/>
  <c r="P18" i="10"/>
  <c r="O72" i="7"/>
  <c r="N72" i="16" s="1"/>
  <c r="P72" i="7"/>
  <c r="O72" i="16" s="1"/>
  <c r="O48" i="7"/>
  <c r="N48" i="16" s="1"/>
  <c r="O40" i="7"/>
  <c r="N40" i="16" s="1"/>
  <c r="O36" i="7"/>
  <c r="N36" i="16" s="1"/>
  <c r="O30" i="7"/>
  <c r="N30" i="16" s="1"/>
  <c r="P30" i="7"/>
  <c r="O30" i="16" s="1"/>
  <c r="O26" i="7"/>
  <c r="N26" i="16" s="1"/>
  <c r="O12" i="7"/>
  <c r="P12" i="7"/>
  <c r="Q171" i="6"/>
  <c r="Q159" i="6"/>
  <c r="Q157" i="6"/>
  <c r="Q154" i="6"/>
  <c r="Q149" i="6"/>
  <c r="Q147" i="6"/>
  <c r="Q145" i="6"/>
  <c r="Q143" i="6"/>
  <c r="Q111" i="6"/>
  <c r="P218" i="7" l="1"/>
  <c r="O12" i="16"/>
  <c r="O78" i="16" s="1"/>
  <c r="P78" i="7"/>
  <c r="P81" i="7" s="1"/>
  <c r="N12" i="16"/>
  <c r="N78" i="16" s="1"/>
  <c r="O78" i="7"/>
  <c r="O81" i="7" s="1"/>
  <c r="O203" i="7"/>
  <c r="O218" i="7" s="1"/>
  <c r="N84" i="20"/>
  <c r="O84" i="20"/>
  <c r="N85" i="20"/>
  <c r="O85" i="20"/>
  <c r="N88" i="20"/>
  <c r="O88" i="20"/>
  <c r="N89" i="20"/>
  <c r="O89" i="20"/>
  <c r="N83" i="23"/>
  <c r="O83" i="23"/>
  <c r="N84" i="23"/>
  <c r="O84" i="23"/>
  <c r="N87" i="23"/>
  <c r="O87" i="23"/>
  <c r="N88" i="23"/>
  <c r="O88" i="23"/>
  <c r="N43" i="28"/>
  <c r="N55" i="28"/>
  <c r="O81" i="28"/>
  <c r="O81" i="12"/>
  <c r="P81" i="12"/>
  <c r="O21" i="28"/>
  <c r="N23" i="28"/>
  <c r="O23" i="28"/>
  <c r="N25" i="28"/>
  <c r="O25" i="28"/>
  <c r="O29" i="28"/>
  <c r="O28" i="28" s="1"/>
  <c r="N31" i="28"/>
  <c r="O31" i="28"/>
  <c r="N33" i="28"/>
  <c r="O33" i="28"/>
  <c r="N35" i="28"/>
  <c r="O35" i="28"/>
  <c r="O37" i="28"/>
  <c r="N39" i="28"/>
  <c r="N41" i="28"/>
  <c r="O41" i="28"/>
  <c r="O43" i="28"/>
  <c r="O45" i="28"/>
  <c r="N47" i="28"/>
  <c r="N49" i="28"/>
  <c r="O49" i="28"/>
  <c r="N51" i="28"/>
  <c r="O51" i="28"/>
  <c r="N53" i="28"/>
  <c r="O53" i="28"/>
  <c r="O55" i="28"/>
  <c r="N57" i="28"/>
  <c r="O57" i="28"/>
  <c r="N59" i="28"/>
  <c r="O59" i="28"/>
  <c r="O61" i="28"/>
  <c r="N63" i="28"/>
  <c r="N65" i="28"/>
  <c r="O65" i="28"/>
  <c r="N67" i="28"/>
  <c r="O67" i="28"/>
  <c r="N69" i="28"/>
  <c r="O69" i="28"/>
  <c r="N71" i="28"/>
  <c r="N73" i="28"/>
  <c r="O73" i="28"/>
  <c r="N75" i="28"/>
  <c r="O75" i="28"/>
  <c r="O77" i="28"/>
  <c r="N79" i="28"/>
  <c r="N81" i="28"/>
  <c r="O85" i="29"/>
  <c r="P85" i="29"/>
  <c r="A3" i="28"/>
  <c r="A3" i="27"/>
  <c r="A3" i="24"/>
  <c r="A3" i="15"/>
  <c r="A3" i="21"/>
  <c r="A3" i="18"/>
  <c r="A3" i="14"/>
  <c r="A3" i="10"/>
  <c r="B3" i="12"/>
  <c r="A3" i="23"/>
  <c r="A3" i="20"/>
  <c r="A3" i="16"/>
  <c r="B3" i="7"/>
  <c r="B3" i="29"/>
  <c r="N31" i="27"/>
  <c r="O33" i="27"/>
  <c r="N39" i="27"/>
  <c r="N43" i="27"/>
  <c r="O45" i="27"/>
  <c r="N51" i="27"/>
  <c r="N55" i="27"/>
  <c r="O55" i="27"/>
  <c r="O61" i="27"/>
  <c r="O63" i="27"/>
  <c r="O65" i="27"/>
  <c r="O69" i="27"/>
  <c r="O71" i="27"/>
  <c r="O73" i="27"/>
  <c r="O77" i="27"/>
  <c r="O82" i="6"/>
  <c r="P82" i="6"/>
  <c r="N80" i="16" l="1"/>
  <c r="O80" i="16"/>
  <c r="O76" i="20"/>
  <c r="O79" i="24" s="1"/>
  <c r="O60" i="20"/>
  <c r="O44" i="20"/>
  <c r="O47" i="24" s="1"/>
  <c r="O28" i="20"/>
  <c r="O31" i="24" s="1"/>
  <c r="O20" i="20"/>
  <c r="O23" i="24" s="1"/>
  <c r="O70" i="20"/>
  <c r="O73" i="24" s="1"/>
  <c r="O54" i="20"/>
  <c r="O57" i="24" s="1"/>
  <c r="O38" i="20"/>
  <c r="O41" i="24" s="1"/>
  <c r="O25" i="20"/>
  <c r="O17" i="20"/>
  <c r="O20" i="24" s="1"/>
  <c r="O64" i="20"/>
  <c r="O67" i="24" s="1"/>
  <c r="O32" i="20"/>
  <c r="O35" i="24" s="1"/>
  <c r="O66" i="20"/>
  <c r="O69" i="24" s="1"/>
  <c r="O34" i="20"/>
  <c r="O37" i="24" s="1"/>
  <c r="O48" i="20"/>
  <c r="O51" i="24" s="1"/>
  <c r="O22" i="20"/>
  <c r="O25" i="24" s="1"/>
  <c r="O74" i="20"/>
  <c r="O77" i="24" s="1"/>
  <c r="O58" i="20"/>
  <c r="O61" i="24" s="1"/>
  <c r="O42" i="20"/>
  <c r="O45" i="24" s="1"/>
  <c r="O27" i="20"/>
  <c r="O19" i="20"/>
  <c r="O40" i="20"/>
  <c r="O43" i="24" s="1"/>
  <c r="O18" i="20"/>
  <c r="O68" i="20"/>
  <c r="O71" i="24" s="1"/>
  <c r="O52" i="20"/>
  <c r="O55" i="24" s="1"/>
  <c r="O36" i="20"/>
  <c r="O39" i="24" s="1"/>
  <c r="O24" i="20"/>
  <c r="O27" i="24" s="1"/>
  <c r="O56" i="20"/>
  <c r="O59" i="24" s="1"/>
  <c r="O26" i="20"/>
  <c r="O29" i="24" s="1"/>
  <c r="O62" i="20"/>
  <c r="O65" i="24" s="1"/>
  <c r="O46" i="20"/>
  <c r="O49" i="24" s="1"/>
  <c r="O30" i="20"/>
  <c r="O33" i="24" s="1"/>
  <c r="O21" i="20"/>
  <c r="O72" i="20"/>
  <c r="O75" i="24" s="1"/>
  <c r="O50" i="20"/>
  <c r="O53" i="24" s="1"/>
  <c r="O23" i="20"/>
  <c r="N16" i="23"/>
  <c r="N12" i="23"/>
  <c r="N14" i="23"/>
  <c r="N10" i="23"/>
  <c r="N66" i="20"/>
  <c r="N69" i="24" s="1"/>
  <c r="N50" i="20"/>
  <c r="N53" i="24" s="1"/>
  <c r="N34" i="20"/>
  <c r="N37" i="24" s="1"/>
  <c r="N23" i="20"/>
  <c r="N76" i="20"/>
  <c r="N79" i="24" s="1"/>
  <c r="N60" i="20"/>
  <c r="N44" i="20"/>
  <c r="N47" i="24" s="1"/>
  <c r="N28" i="20"/>
  <c r="N31" i="24" s="1"/>
  <c r="N20" i="20"/>
  <c r="N23" i="24" s="1"/>
  <c r="N54" i="20"/>
  <c r="N57" i="24" s="1"/>
  <c r="N25" i="20"/>
  <c r="N20" i="24"/>
  <c r="N18" i="20"/>
  <c r="N70" i="20"/>
  <c r="N73" i="24" s="1"/>
  <c r="N38" i="20"/>
  <c r="N41" i="24" s="1"/>
  <c r="N64" i="20"/>
  <c r="N67" i="24" s="1"/>
  <c r="N48" i="20"/>
  <c r="N51" i="24" s="1"/>
  <c r="N32" i="20"/>
  <c r="N35" i="24" s="1"/>
  <c r="N22" i="20"/>
  <c r="N25" i="24" s="1"/>
  <c r="N72" i="20"/>
  <c r="N75" i="24" s="1"/>
  <c r="N26" i="20"/>
  <c r="N29" i="24" s="1"/>
  <c r="N74" i="20"/>
  <c r="N77" i="24" s="1"/>
  <c r="N58" i="20"/>
  <c r="N61" i="24" s="1"/>
  <c r="N42" i="20"/>
  <c r="N45" i="24" s="1"/>
  <c r="N27" i="20"/>
  <c r="N19" i="20"/>
  <c r="N40" i="20"/>
  <c r="N43" i="24" s="1"/>
  <c r="N68" i="20"/>
  <c r="N71" i="24" s="1"/>
  <c r="N52" i="20"/>
  <c r="N55" i="24" s="1"/>
  <c r="N36" i="20"/>
  <c r="N39" i="24" s="1"/>
  <c r="N24" i="20"/>
  <c r="N27" i="24" s="1"/>
  <c r="N62" i="20"/>
  <c r="N65" i="24" s="1"/>
  <c r="N46" i="20"/>
  <c r="N49" i="24" s="1"/>
  <c r="N30" i="20"/>
  <c r="N33" i="24" s="1"/>
  <c r="N21" i="20"/>
  <c r="N56" i="20"/>
  <c r="N59" i="24" s="1"/>
  <c r="O10" i="23"/>
  <c r="O12" i="23"/>
  <c r="O16" i="23"/>
  <c r="O14" i="23"/>
  <c r="O49" i="27"/>
  <c r="N49" i="27"/>
  <c r="N45" i="27"/>
  <c r="O79" i="28"/>
  <c r="O39" i="28"/>
  <c r="P79" i="6"/>
  <c r="O81" i="27"/>
  <c r="O39" i="27"/>
  <c r="N77" i="27"/>
  <c r="N35" i="27"/>
  <c r="N37" i="28"/>
  <c r="N29" i="27"/>
  <c r="O79" i="6"/>
  <c r="O57" i="27"/>
  <c r="O31" i="27"/>
  <c r="N25" i="27"/>
  <c r="N45" i="28"/>
  <c r="O53" i="27"/>
  <c r="O23" i="27"/>
  <c r="N29" i="28"/>
  <c r="N28" i="28" s="1"/>
  <c r="N77" i="28"/>
  <c r="O71" i="28"/>
  <c r="O63" i="28"/>
  <c r="N61" i="28"/>
  <c r="O47" i="28"/>
  <c r="N21" i="28"/>
  <c r="O79" i="27"/>
  <c r="N79" i="27"/>
  <c r="O29" i="27"/>
  <c r="N81" i="27"/>
  <c r="N75" i="27"/>
  <c r="O75" i="27"/>
  <c r="N71" i="27"/>
  <c r="N67" i="27"/>
  <c r="N63" i="27"/>
  <c r="N59" i="27"/>
  <c r="N73" i="27"/>
  <c r="N69" i="27"/>
  <c r="N65" i="27"/>
  <c r="N61" i="27"/>
  <c r="O67" i="27"/>
  <c r="O59" i="27"/>
  <c r="N57" i="27"/>
  <c r="N53" i="27"/>
  <c r="O51" i="27"/>
  <c r="O47" i="27"/>
  <c r="N47" i="27"/>
  <c r="O43" i="27"/>
  <c r="O41" i="27"/>
  <c r="N41" i="27"/>
  <c r="O35" i="27"/>
  <c r="O37" i="27"/>
  <c r="N37" i="27"/>
  <c r="N33" i="27"/>
  <c r="O25" i="27"/>
  <c r="N23" i="27"/>
  <c r="N21" i="27"/>
  <c r="O21" i="27"/>
  <c r="N63" i="24" l="1"/>
  <c r="N63" i="18"/>
  <c r="O63" i="24"/>
  <c r="O63" i="18"/>
  <c r="N83" i="28"/>
  <c r="N15" i="18"/>
  <c r="N15" i="24"/>
  <c r="N19" i="18"/>
  <c r="N19" i="24"/>
  <c r="N21" i="24" s="1"/>
  <c r="O15" i="18"/>
  <c r="O15" i="24"/>
  <c r="N13" i="18"/>
  <c r="N13" i="24"/>
  <c r="O13" i="18"/>
  <c r="O13" i="24"/>
  <c r="O17" i="18"/>
  <c r="O17" i="24"/>
  <c r="N17" i="18"/>
  <c r="N17" i="24"/>
  <c r="O19" i="18"/>
  <c r="O19" i="24"/>
  <c r="O21" i="24" s="1"/>
  <c r="N42" i="23"/>
  <c r="N45" i="18"/>
  <c r="N64" i="23"/>
  <c r="N67" i="18"/>
  <c r="N28" i="23"/>
  <c r="N31" i="18"/>
  <c r="O30" i="23"/>
  <c r="O33" i="18"/>
  <c r="O68" i="23"/>
  <c r="O71" i="18"/>
  <c r="O22" i="23"/>
  <c r="O25" i="18"/>
  <c r="O38" i="23"/>
  <c r="O41" i="18"/>
  <c r="N24" i="23"/>
  <c r="N27" i="18"/>
  <c r="N58" i="23"/>
  <c r="N61" i="18"/>
  <c r="N38" i="23"/>
  <c r="N41" i="18"/>
  <c r="N44" i="23"/>
  <c r="N47" i="18"/>
  <c r="O46" i="23"/>
  <c r="O49" i="18"/>
  <c r="O48" i="23"/>
  <c r="O51" i="18"/>
  <c r="O54" i="23"/>
  <c r="O57" i="18"/>
  <c r="N36" i="23"/>
  <c r="N39" i="18"/>
  <c r="O26" i="23"/>
  <c r="O29" i="18"/>
  <c r="O66" i="23"/>
  <c r="O69" i="18"/>
  <c r="O20" i="23"/>
  <c r="O23" i="18"/>
  <c r="O40" i="23"/>
  <c r="O43" i="18"/>
  <c r="N76" i="23"/>
  <c r="N79" i="18"/>
  <c r="N56" i="23"/>
  <c r="N59" i="18"/>
  <c r="N68" i="23"/>
  <c r="N71" i="18"/>
  <c r="N72" i="23"/>
  <c r="N75" i="18"/>
  <c r="N17" i="23"/>
  <c r="N20" i="18"/>
  <c r="O56" i="23"/>
  <c r="O59" i="18"/>
  <c r="O32" i="23"/>
  <c r="O35" i="18"/>
  <c r="O28" i="23"/>
  <c r="O31" i="18"/>
  <c r="N70" i="23"/>
  <c r="N73" i="18"/>
  <c r="O62" i="23"/>
  <c r="O65" i="18"/>
  <c r="O34" i="23"/>
  <c r="O37" i="18"/>
  <c r="N40" i="23"/>
  <c r="N43" i="18"/>
  <c r="N22" i="23"/>
  <c r="N25" i="18"/>
  <c r="N34" i="23"/>
  <c r="N37" i="18"/>
  <c r="O50" i="23"/>
  <c r="O53" i="18"/>
  <c r="O24" i="23"/>
  <c r="O27" i="18"/>
  <c r="O42" i="23"/>
  <c r="O45" i="18"/>
  <c r="O64" i="23"/>
  <c r="O67" i="18"/>
  <c r="O44" i="23"/>
  <c r="O47" i="18"/>
  <c r="N74" i="23"/>
  <c r="N77" i="18"/>
  <c r="N60" i="23"/>
  <c r="O70" i="23"/>
  <c r="O73" i="18"/>
  <c r="N26" i="23"/>
  <c r="N29" i="18"/>
  <c r="N30" i="23"/>
  <c r="N33" i="18"/>
  <c r="N32" i="23"/>
  <c r="N35" i="18"/>
  <c r="N54" i="23"/>
  <c r="N57" i="18"/>
  <c r="N50" i="23"/>
  <c r="N53" i="18"/>
  <c r="O72" i="23"/>
  <c r="O75" i="18"/>
  <c r="O36" i="23"/>
  <c r="O39" i="18"/>
  <c r="O58" i="23"/>
  <c r="O61" i="18"/>
  <c r="O17" i="23"/>
  <c r="O20" i="18"/>
  <c r="O60" i="23"/>
  <c r="N62" i="23"/>
  <c r="N65" i="18"/>
  <c r="N52" i="23"/>
  <c r="N55" i="18"/>
  <c r="N46" i="23"/>
  <c r="N49" i="18"/>
  <c r="N48" i="23"/>
  <c r="N51" i="18"/>
  <c r="N20" i="23"/>
  <c r="N23" i="18"/>
  <c r="N66" i="23"/>
  <c r="N69" i="18"/>
  <c r="O52" i="23"/>
  <c r="O55" i="18"/>
  <c r="O74" i="23"/>
  <c r="O77" i="18"/>
  <c r="O76" i="23"/>
  <c r="O79" i="18"/>
  <c r="O28" i="27"/>
  <c r="O83" i="27" s="1"/>
  <c r="O83" i="28"/>
  <c r="N28" i="27"/>
  <c r="N83" i="27" s="1"/>
  <c r="O82" i="29"/>
  <c r="O193" i="29"/>
  <c r="P82" i="29"/>
  <c r="P193" i="29"/>
  <c r="O78" i="12"/>
  <c r="P78" i="12"/>
  <c r="N80" i="24" l="1"/>
  <c r="N21" i="18"/>
  <c r="N81" i="18" s="1"/>
  <c r="O80" i="24"/>
  <c r="N31" i="21"/>
  <c r="O31" i="21"/>
  <c r="O21" i="18"/>
  <c r="O81" i="18" s="1"/>
  <c r="O91" i="21" l="1"/>
  <c r="N91" i="21"/>
  <c r="F81" i="28"/>
  <c r="J79" i="28"/>
  <c r="B79" i="28"/>
  <c r="L77" i="28"/>
  <c r="H77" i="28"/>
  <c r="D77" i="28"/>
  <c r="H75" i="28"/>
  <c r="G75" i="28"/>
  <c r="L73" i="28"/>
  <c r="H73" i="28"/>
  <c r="D73" i="28"/>
  <c r="M71" i="28"/>
  <c r="L71" i="28"/>
  <c r="I71" i="28"/>
  <c r="H71" i="28"/>
  <c r="E71" i="28"/>
  <c r="D71" i="28"/>
  <c r="H69" i="28"/>
  <c r="K53" i="28"/>
  <c r="C53" i="28"/>
  <c r="J45" i="28"/>
  <c r="B45" i="28"/>
  <c r="F43" i="28"/>
  <c r="F37" i="28"/>
  <c r="J35" i="28"/>
  <c r="B35" i="28"/>
  <c r="F33" i="28"/>
  <c r="J31" i="28"/>
  <c r="B31" i="28"/>
  <c r="H25" i="28"/>
  <c r="L23" i="28"/>
  <c r="D23" i="28"/>
  <c r="H21" i="28"/>
  <c r="B25" i="28"/>
  <c r="C25" i="28"/>
  <c r="D25" i="28"/>
  <c r="E25" i="28"/>
  <c r="F25" i="28"/>
  <c r="G25" i="28"/>
  <c r="I25" i="28"/>
  <c r="J25" i="28"/>
  <c r="K25" i="28"/>
  <c r="L25" i="28"/>
  <c r="M25" i="28"/>
  <c r="H31" i="28"/>
  <c r="B33" i="28"/>
  <c r="C33" i="28"/>
  <c r="E33" i="28"/>
  <c r="G33" i="28"/>
  <c r="H33" i="28"/>
  <c r="I33" i="28"/>
  <c r="J33" i="28"/>
  <c r="K33" i="28"/>
  <c r="L33" i="28"/>
  <c r="M33" i="28"/>
  <c r="C35" i="28"/>
  <c r="E35" i="28"/>
  <c r="F35" i="28"/>
  <c r="G35" i="28"/>
  <c r="H35" i="28"/>
  <c r="I35" i="28"/>
  <c r="K35" i="28"/>
  <c r="L35" i="28"/>
  <c r="M35" i="28"/>
  <c r="B39" i="28"/>
  <c r="C39" i="28"/>
  <c r="D39" i="28"/>
  <c r="E39" i="28"/>
  <c r="F39" i="28"/>
  <c r="G39" i="28"/>
  <c r="H39" i="28"/>
  <c r="I39" i="28"/>
  <c r="J39" i="28"/>
  <c r="K39" i="28"/>
  <c r="L39" i="28"/>
  <c r="M39" i="28"/>
  <c r="B41" i="28"/>
  <c r="C41" i="28"/>
  <c r="B43" i="28"/>
  <c r="C43" i="28"/>
  <c r="E43" i="28"/>
  <c r="G43" i="28"/>
  <c r="H43" i="28"/>
  <c r="I43" i="28"/>
  <c r="J43" i="28"/>
  <c r="K43" i="28"/>
  <c r="L43" i="28"/>
  <c r="M43" i="28"/>
  <c r="C45" i="28"/>
  <c r="D45" i="28"/>
  <c r="E45" i="28"/>
  <c r="F45" i="28"/>
  <c r="G45" i="28"/>
  <c r="H45" i="28"/>
  <c r="I45" i="28"/>
  <c r="K45" i="28"/>
  <c r="L45" i="28"/>
  <c r="M45" i="28"/>
  <c r="E47" i="28"/>
  <c r="H47" i="28"/>
  <c r="I47" i="28"/>
  <c r="L47" i="28"/>
  <c r="M47" i="28"/>
  <c r="B49" i="28"/>
  <c r="C49" i="28"/>
  <c r="E49" i="28"/>
  <c r="F49" i="28"/>
  <c r="G49" i="28"/>
  <c r="H49" i="28"/>
  <c r="I49" i="28"/>
  <c r="J49" i="28"/>
  <c r="K49" i="28"/>
  <c r="L49" i="28"/>
  <c r="M49" i="28"/>
  <c r="B51" i="28"/>
  <c r="C51" i="28"/>
  <c r="F51" i="28"/>
  <c r="G51" i="28"/>
  <c r="J51" i="28"/>
  <c r="K51" i="28"/>
  <c r="B53" i="28"/>
  <c r="D53" i="28"/>
  <c r="E53" i="28"/>
  <c r="F53" i="28"/>
  <c r="G53" i="28"/>
  <c r="H53" i="28"/>
  <c r="I53" i="28"/>
  <c r="J53" i="28"/>
  <c r="L53" i="28"/>
  <c r="M53" i="28"/>
  <c r="B55" i="28"/>
  <c r="C55" i="28"/>
  <c r="D55" i="28"/>
  <c r="E55" i="28"/>
  <c r="F55" i="28"/>
  <c r="G55" i="28"/>
  <c r="H55" i="28"/>
  <c r="J55" i="28"/>
  <c r="K55" i="28"/>
  <c r="L55" i="28"/>
  <c r="M55" i="28"/>
  <c r="E57" i="28"/>
  <c r="H57" i="28"/>
  <c r="I57" i="28"/>
  <c r="L57" i="28"/>
  <c r="M57" i="28"/>
  <c r="C59" i="28"/>
  <c r="E59" i="28"/>
  <c r="F59" i="28"/>
  <c r="G59" i="28"/>
  <c r="H59" i="28"/>
  <c r="I59" i="28"/>
  <c r="J59" i="28"/>
  <c r="K59" i="28"/>
  <c r="L59" i="28"/>
  <c r="M59" i="28"/>
  <c r="B61" i="28"/>
  <c r="C61" i="28"/>
  <c r="E61" i="28"/>
  <c r="F61" i="28"/>
  <c r="G61" i="28"/>
  <c r="H61" i="28"/>
  <c r="I61" i="28"/>
  <c r="J61" i="28"/>
  <c r="K61" i="28"/>
  <c r="L61" i="28"/>
  <c r="M61" i="28"/>
  <c r="B63" i="28"/>
  <c r="C63" i="28"/>
  <c r="D63" i="28"/>
  <c r="E63" i="28"/>
  <c r="F63" i="28"/>
  <c r="G63" i="28"/>
  <c r="H63" i="28"/>
  <c r="I63" i="28"/>
  <c r="J63" i="28"/>
  <c r="K63" i="28"/>
  <c r="L63" i="28"/>
  <c r="M63" i="28"/>
  <c r="B65" i="28"/>
  <c r="C65" i="28"/>
  <c r="E65" i="28"/>
  <c r="F65" i="28"/>
  <c r="G65" i="28"/>
  <c r="H65" i="28"/>
  <c r="I65" i="28"/>
  <c r="J65" i="28"/>
  <c r="K65" i="28"/>
  <c r="L65" i="28"/>
  <c r="M65" i="28"/>
  <c r="B67" i="28"/>
  <c r="C67" i="28"/>
  <c r="D67" i="28"/>
  <c r="E67" i="28"/>
  <c r="F67" i="28"/>
  <c r="G67" i="28"/>
  <c r="H67" i="28"/>
  <c r="J67" i="28"/>
  <c r="K67" i="28"/>
  <c r="L67" i="28"/>
  <c r="M67" i="28"/>
  <c r="B69" i="28"/>
  <c r="C69" i="28"/>
  <c r="D69" i="28"/>
  <c r="E69" i="28"/>
  <c r="F69" i="28"/>
  <c r="G69" i="28"/>
  <c r="I69" i="28"/>
  <c r="J69" i="28"/>
  <c r="K69" i="28"/>
  <c r="L69" i="28"/>
  <c r="M69" i="28"/>
  <c r="B71" i="28"/>
  <c r="C71" i="28"/>
  <c r="F71" i="28"/>
  <c r="G71" i="28"/>
  <c r="J71" i="28"/>
  <c r="K71" i="28"/>
  <c r="B73" i="28"/>
  <c r="C73" i="28"/>
  <c r="E73" i="28"/>
  <c r="F73" i="28"/>
  <c r="G73" i="28"/>
  <c r="I73" i="28"/>
  <c r="J73" i="28"/>
  <c r="K73" i="28"/>
  <c r="M73" i="28"/>
  <c r="B75" i="28"/>
  <c r="F75" i="28"/>
  <c r="J75" i="28"/>
  <c r="K75" i="28"/>
  <c r="B77" i="28"/>
  <c r="F77" i="28"/>
  <c r="J77" i="28"/>
  <c r="C79" i="28"/>
  <c r="E79" i="28"/>
  <c r="F79" i="28"/>
  <c r="G79" i="28"/>
  <c r="H79" i="28"/>
  <c r="I79" i="28"/>
  <c r="K79" i="28"/>
  <c r="L79" i="28"/>
  <c r="M79" i="28"/>
  <c r="B81" i="28"/>
  <c r="C81" i="28"/>
  <c r="E81" i="28"/>
  <c r="G81" i="28"/>
  <c r="H81" i="28"/>
  <c r="I81" i="28"/>
  <c r="J81" i="28"/>
  <c r="K81" i="28"/>
  <c r="L81" i="28"/>
  <c r="M81" i="28"/>
  <c r="N187" i="29"/>
  <c r="M187" i="29"/>
  <c r="L187" i="29"/>
  <c r="L200" i="29" s="1"/>
  <c r="K187" i="29"/>
  <c r="J187" i="29"/>
  <c r="I187" i="29"/>
  <c r="H187" i="29"/>
  <c r="H200" i="29" s="1"/>
  <c r="G187" i="29"/>
  <c r="F187" i="29"/>
  <c r="E187" i="29"/>
  <c r="D187" i="29"/>
  <c r="C29" i="28" s="1"/>
  <c r="C187" i="29"/>
  <c r="B29" i="28" s="1"/>
  <c r="M77" i="28"/>
  <c r="K77" i="28"/>
  <c r="I77" i="28"/>
  <c r="G77" i="28"/>
  <c r="E77" i="28"/>
  <c r="C77" i="28"/>
  <c r="M75" i="28"/>
  <c r="L75" i="28"/>
  <c r="I75" i="28"/>
  <c r="E75" i="28"/>
  <c r="D75" i="28"/>
  <c r="K57" i="28"/>
  <c r="J57" i="28"/>
  <c r="G57" i="28"/>
  <c r="F57" i="28"/>
  <c r="C57" i="28"/>
  <c r="B57" i="28"/>
  <c r="M51" i="28"/>
  <c r="L51" i="28"/>
  <c r="I51" i="28"/>
  <c r="H51" i="28"/>
  <c r="E51" i="28"/>
  <c r="K47" i="28"/>
  <c r="J47" i="28"/>
  <c r="G47" i="28"/>
  <c r="F47" i="28"/>
  <c r="C47" i="28"/>
  <c r="B47" i="28"/>
  <c r="N113" i="29"/>
  <c r="M37" i="28" s="1"/>
  <c r="M113" i="29"/>
  <c r="L37" i="28" s="1"/>
  <c r="L113" i="29"/>
  <c r="K37" i="28" s="1"/>
  <c r="K113" i="29"/>
  <c r="J37" i="28" s="1"/>
  <c r="J113" i="29"/>
  <c r="I37" i="28" s="1"/>
  <c r="I113" i="29"/>
  <c r="H37" i="28" s="1"/>
  <c r="H113" i="29"/>
  <c r="G37" i="28" s="1"/>
  <c r="G113" i="29"/>
  <c r="F113" i="29"/>
  <c r="E37" i="28" s="1"/>
  <c r="E113" i="29"/>
  <c r="D113" i="29"/>
  <c r="C37" i="28" s="1"/>
  <c r="C113" i="29"/>
  <c r="B37" i="28" s="1"/>
  <c r="N107" i="29"/>
  <c r="M31" i="28" s="1"/>
  <c r="M107" i="29"/>
  <c r="L31" i="28" s="1"/>
  <c r="L107" i="29"/>
  <c r="K31" i="28" s="1"/>
  <c r="K107" i="29"/>
  <c r="J107" i="29"/>
  <c r="I31" i="28" s="1"/>
  <c r="I107" i="29"/>
  <c r="H107" i="29"/>
  <c r="G31" i="28" s="1"/>
  <c r="G107" i="29"/>
  <c r="F31" i="28" s="1"/>
  <c r="F107" i="29"/>
  <c r="E31" i="28" s="1"/>
  <c r="E107" i="29"/>
  <c r="D107" i="29"/>
  <c r="C31" i="28" s="1"/>
  <c r="C107" i="29"/>
  <c r="N99" i="29"/>
  <c r="M23" i="28" s="1"/>
  <c r="M99" i="29"/>
  <c r="L99" i="29"/>
  <c r="K23" i="28" s="1"/>
  <c r="K99" i="29"/>
  <c r="J23" i="28" s="1"/>
  <c r="J99" i="29"/>
  <c r="I23" i="28" s="1"/>
  <c r="I99" i="29"/>
  <c r="H23" i="28" s="1"/>
  <c r="H99" i="29"/>
  <c r="G23" i="28" s="1"/>
  <c r="G99" i="29"/>
  <c r="F23" i="28" s="1"/>
  <c r="F99" i="29"/>
  <c r="E23" i="28" s="1"/>
  <c r="E99" i="29"/>
  <c r="D99" i="29"/>
  <c r="C23" i="28" s="1"/>
  <c r="C99" i="29"/>
  <c r="B23" i="28" s="1"/>
  <c r="N93" i="29"/>
  <c r="M93" i="29"/>
  <c r="L93" i="29"/>
  <c r="K93" i="29"/>
  <c r="J93" i="29"/>
  <c r="I93" i="29"/>
  <c r="I191" i="29" s="1"/>
  <c r="H93" i="29"/>
  <c r="G93" i="29"/>
  <c r="F93" i="29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J191" i="29" l="1"/>
  <c r="N191" i="29"/>
  <c r="F191" i="29"/>
  <c r="G191" i="29"/>
  <c r="D21" i="28"/>
  <c r="D31" i="28"/>
  <c r="P31" i="28" s="1"/>
  <c r="D37" i="28"/>
  <c r="P37" i="28" s="1"/>
  <c r="G21" i="28"/>
  <c r="H191" i="29"/>
  <c r="E200" i="29"/>
  <c r="L29" i="28"/>
  <c r="L28" i="28" s="1"/>
  <c r="M200" i="29"/>
  <c r="E29" i="28"/>
  <c r="E28" i="28" s="1"/>
  <c r="F200" i="29"/>
  <c r="M29" i="28"/>
  <c r="M28" i="28" s="1"/>
  <c r="N200" i="29"/>
  <c r="K29" i="28"/>
  <c r="K28" i="28" s="1"/>
  <c r="D35" i="28"/>
  <c r="P35" i="28" s="1"/>
  <c r="D79" i="28"/>
  <c r="P79" i="28" s="1"/>
  <c r="F29" i="28"/>
  <c r="F28" i="28" s="1"/>
  <c r="G200" i="29"/>
  <c r="G29" i="28"/>
  <c r="G28" i="28" s="1"/>
  <c r="C191" i="29"/>
  <c r="C21" i="28"/>
  <c r="D191" i="29"/>
  <c r="K21" i="28"/>
  <c r="L191" i="29"/>
  <c r="H29" i="28"/>
  <c r="H28" i="28" s="1"/>
  <c r="I200" i="29"/>
  <c r="K191" i="29"/>
  <c r="E191" i="29"/>
  <c r="M191" i="29"/>
  <c r="I29" i="28"/>
  <c r="I28" i="28" s="1"/>
  <c r="J200" i="29"/>
  <c r="D33" i="28"/>
  <c r="P33" i="28" s="1"/>
  <c r="D43" i="28"/>
  <c r="P43" i="28" s="1"/>
  <c r="D81" i="28"/>
  <c r="P81" i="28" s="1"/>
  <c r="J29" i="28"/>
  <c r="J28" i="28" s="1"/>
  <c r="K200" i="29"/>
  <c r="L21" i="28"/>
  <c r="I67" i="28"/>
  <c r="P67" i="28" s="1"/>
  <c r="D65" i="28"/>
  <c r="P65" i="28" s="1"/>
  <c r="D61" i="28"/>
  <c r="P61" i="28" s="1"/>
  <c r="D59" i="28"/>
  <c r="P59" i="28" s="1"/>
  <c r="D57" i="28"/>
  <c r="I55" i="28"/>
  <c r="P55" i="28" s="1"/>
  <c r="D51" i="28"/>
  <c r="P51" i="28" s="1"/>
  <c r="D49" i="28"/>
  <c r="P49" i="28" s="1"/>
  <c r="D47" i="28"/>
  <c r="P47" i="28" s="1"/>
  <c r="D41" i="28"/>
  <c r="L41" i="28"/>
  <c r="J41" i="28"/>
  <c r="E41" i="28"/>
  <c r="M41" i="28"/>
  <c r="G41" i="28"/>
  <c r="H41" i="28"/>
  <c r="F41" i="28"/>
  <c r="I41" i="28"/>
  <c r="K41" i="28"/>
  <c r="P75" i="28"/>
  <c r="P23" i="28"/>
  <c r="P25" i="28"/>
  <c r="P39" i="28"/>
  <c r="P45" i="28"/>
  <c r="P73" i="28"/>
  <c r="P63" i="28"/>
  <c r="P69" i="28"/>
  <c r="P77" i="28"/>
  <c r="P71" i="28"/>
  <c r="P53" i="28"/>
  <c r="C75" i="28"/>
  <c r="B59" i="28"/>
  <c r="M21" i="28"/>
  <c r="I21" i="28"/>
  <c r="E21" i="28"/>
  <c r="J21" i="28"/>
  <c r="F21" i="28"/>
  <c r="B21" i="28"/>
  <c r="C81" i="29"/>
  <c r="D81" i="29"/>
  <c r="M88" i="23"/>
  <c r="L88" i="23"/>
  <c r="K88" i="23"/>
  <c r="J88" i="23"/>
  <c r="I88" i="23"/>
  <c r="H88" i="23"/>
  <c r="G88" i="23"/>
  <c r="F88" i="23"/>
  <c r="E88" i="23"/>
  <c r="D88" i="23"/>
  <c r="C88" i="23"/>
  <c r="B88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C92" i="20"/>
  <c r="B92" i="20"/>
  <c r="M89" i="20"/>
  <c r="L89" i="20"/>
  <c r="K89" i="20"/>
  <c r="J89" i="20"/>
  <c r="I89" i="20"/>
  <c r="H89" i="20"/>
  <c r="G89" i="20"/>
  <c r="F89" i="20"/>
  <c r="D89" i="20"/>
  <c r="C89" i="20"/>
  <c r="B89" i="20"/>
  <c r="M88" i="20"/>
  <c r="L88" i="20"/>
  <c r="K88" i="20"/>
  <c r="J88" i="20"/>
  <c r="I88" i="20"/>
  <c r="H88" i="20"/>
  <c r="G88" i="20"/>
  <c r="F88" i="20"/>
  <c r="D88" i="20"/>
  <c r="C88" i="20"/>
  <c r="B88" i="20"/>
  <c r="M85" i="20"/>
  <c r="L85" i="20"/>
  <c r="K85" i="20"/>
  <c r="J85" i="20"/>
  <c r="I85" i="20"/>
  <c r="H85" i="20"/>
  <c r="G85" i="20"/>
  <c r="F85" i="20"/>
  <c r="E85" i="20"/>
  <c r="E60" i="20" s="1"/>
  <c r="C85" i="20"/>
  <c r="B85" i="20"/>
  <c r="M84" i="20"/>
  <c r="L84" i="20"/>
  <c r="K84" i="20"/>
  <c r="J84" i="20"/>
  <c r="I84" i="20"/>
  <c r="H84" i="20"/>
  <c r="G84" i="20"/>
  <c r="F84" i="20"/>
  <c r="C84" i="20"/>
  <c r="B84" i="20"/>
  <c r="F60" i="20" l="1"/>
  <c r="F63" i="24" s="1"/>
  <c r="E63" i="24"/>
  <c r="E63" i="18"/>
  <c r="E83" i="28"/>
  <c r="F83" i="28"/>
  <c r="M83" i="28"/>
  <c r="C193" i="29"/>
  <c r="L83" i="28"/>
  <c r="H83" i="28"/>
  <c r="K83" i="28"/>
  <c r="D64" i="20"/>
  <c r="D67" i="24" s="1"/>
  <c r="D62" i="20"/>
  <c r="D65" i="24" s="1"/>
  <c r="D46" i="20"/>
  <c r="D49" i="24" s="1"/>
  <c r="D27" i="20"/>
  <c r="D19" i="20"/>
  <c r="D21" i="20"/>
  <c r="D25" i="20"/>
  <c r="D22" i="20"/>
  <c r="D25" i="24" s="1"/>
  <c r="D23" i="20"/>
  <c r="M14" i="23"/>
  <c r="M16" i="23"/>
  <c r="M10" i="23"/>
  <c r="F16" i="23"/>
  <c r="F14" i="23"/>
  <c r="F10" i="23"/>
  <c r="F66" i="20"/>
  <c r="F69" i="24" s="1"/>
  <c r="F50" i="20"/>
  <c r="F53" i="24" s="1"/>
  <c r="F34" i="20"/>
  <c r="F37" i="24" s="1"/>
  <c r="F23" i="20"/>
  <c r="F76" i="20"/>
  <c r="F79" i="24" s="1"/>
  <c r="F44" i="20"/>
  <c r="F47" i="24" s="1"/>
  <c r="F28" i="20"/>
  <c r="F31" i="24" s="1"/>
  <c r="F20" i="20"/>
  <c r="F23" i="24" s="1"/>
  <c r="F54" i="20"/>
  <c r="F57" i="24" s="1"/>
  <c r="F38" i="20"/>
  <c r="F41" i="24" s="1"/>
  <c r="F56" i="20"/>
  <c r="F59" i="24" s="1"/>
  <c r="F70" i="20"/>
  <c r="F73" i="24" s="1"/>
  <c r="F25" i="20"/>
  <c r="F17" i="20"/>
  <c r="F20" i="24" s="1"/>
  <c r="F64" i="20"/>
  <c r="F67" i="24" s="1"/>
  <c r="F32" i="20"/>
  <c r="F35" i="24" s="1"/>
  <c r="F22" i="20"/>
  <c r="F25" i="24" s="1"/>
  <c r="F46" i="20"/>
  <c r="F49" i="24" s="1"/>
  <c r="F74" i="20"/>
  <c r="F77" i="24" s="1"/>
  <c r="F58" i="20"/>
  <c r="F61" i="24" s="1"/>
  <c r="F42" i="20"/>
  <c r="F45" i="24" s="1"/>
  <c r="F27" i="20"/>
  <c r="F19" i="20"/>
  <c r="F62" i="20"/>
  <c r="F65" i="24" s="1"/>
  <c r="F21" i="20"/>
  <c r="F18" i="20"/>
  <c r="F68" i="20"/>
  <c r="F71" i="24" s="1"/>
  <c r="F52" i="20"/>
  <c r="F55" i="24" s="1"/>
  <c r="F24" i="20"/>
  <c r="F27" i="24" s="1"/>
  <c r="D14" i="23"/>
  <c r="D17" i="24" s="1"/>
  <c r="D19" i="24"/>
  <c r="E56" i="20"/>
  <c r="E59" i="24" s="1"/>
  <c r="E66" i="20"/>
  <c r="E69" i="24" s="1"/>
  <c r="E50" i="20"/>
  <c r="E53" i="24" s="1"/>
  <c r="E34" i="20"/>
  <c r="E37" i="24" s="1"/>
  <c r="E23" i="20"/>
  <c r="E28" i="20"/>
  <c r="E31" i="24" s="1"/>
  <c r="E76" i="20"/>
  <c r="E79" i="24" s="1"/>
  <c r="E44" i="20"/>
  <c r="E47" i="24" s="1"/>
  <c r="E20" i="20"/>
  <c r="E23" i="24" s="1"/>
  <c r="E18" i="20"/>
  <c r="E70" i="20"/>
  <c r="E73" i="24" s="1"/>
  <c r="E54" i="20"/>
  <c r="E57" i="24" s="1"/>
  <c r="E38" i="20"/>
  <c r="E41" i="24" s="1"/>
  <c r="E25" i="20"/>
  <c r="E17" i="20"/>
  <c r="E20" i="24" s="1"/>
  <c r="E21" i="20"/>
  <c r="E64" i="20"/>
  <c r="E67" i="24" s="1"/>
  <c r="E32" i="20"/>
  <c r="E35" i="24" s="1"/>
  <c r="E22" i="20"/>
  <c r="E25" i="24" s="1"/>
  <c r="E62" i="20"/>
  <c r="E65" i="24" s="1"/>
  <c r="E74" i="20"/>
  <c r="E77" i="24" s="1"/>
  <c r="E58" i="20"/>
  <c r="E61" i="24" s="1"/>
  <c r="E42" i="20"/>
  <c r="E45" i="24" s="1"/>
  <c r="E27" i="20"/>
  <c r="E19" i="20"/>
  <c r="E68" i="20"/>
  <c r="E71" i="24" s="1"/>
  <c r="E52" i="20"/>
  <c r="E55" i="24" s="1"/>
  <c r="E24" i="20"/>
  <c r="E27" i="24" s="1"/>
  <c r="E46" i="20"/>
  <c r="E49" i="24" s="1"/>
  <c r="H10" i="23"/>
  <c r="H16" i="23"/>
  <c r="H14" i="23"/>
  <c r="H70" i="20"/>
  <c r="H73" i="24" s="1"/>
  <c r="H54" i="20"/>
  <c r="H57" i="24" s="1"/>
  <c r="H38" i="20"/>
  <c r="H41" i="24" s="1"/>
  <c r="H25" i="20"/>
  <c r="H64" i="20"/>
  <c r="H67" i="24" s="1"/>
  <c r="H32" i="20"/>
  <c r="H35" i="24" s="1"/>
  <c r="H22" i="20"/>
  <c r="H25" i="24" s="1"/>
  <c r="H58" i="20"/>
  <c r="H61" i="24" s="1"/>
  <c r="H42" i="20"/>
  <c r="H45" i="24" s="1"/>
  <c r="H19" i="20"/>
  <c r="H17" i="20"/>
  <c r="H20" i="24" s="1"/>
  <c r="H74" i="20"/>
  <c r="H77" i="24" s="1"/>
  <c r="H27" i="20"/>
  <c r="H44" i="20"/>
  <c r="H47" i="24" s="1"/>
  <c r="H68" i="20"/>
  <c r="H71" i="24" s="1"/>
  <c r="H52" i="20"/>
  <c r="H55" i="24" s="1"/>
  <c r="H24" i="20"/>
  <c r="H27" i="24" s="1"/>
  <c r="H66" i="20"/>
  <c r="H69" i="24" s="1"/>
  <c r="H60" i="20"/>
  <c r="H62" i="20"/>
  <c r="H65" i="24" s="1"/>
  <c r="H46" i="20"/>
  <c r="H49" i="24" s="1"/>
  <c r="H21" i="20"/>
  <c r="H50" i="20"/>
  <c r="H53" i="24" s="1"/>
  <c r="H34" i="20"/>
  <c r="H37" i="24" s="1"/>
  <c r="H23" i="20"/>
  <c r="H28" i="20"/>
  <c r="H31" i="24" s="1"/>
  <c r="H56" i="20"/>
  <c r="H59" i="24" s="1"/>
  <c r="H18" i="20"/>
  <c r="H76" i="20"/>
  <c r="H79" i="24" s="1"/>
  <c r="H20" i="20"/>
  <c r="H23" i="24" s="1"/>
  <c r="I14" i="23"/>
  <c r="I10" i="23"/>
  <c r="I16" i="23"/>
  <c r="E14" i="23"/>
  <c r="E10" i="23"/>
  <c r="E16" i="23"/>
  <c r="I64" i="20"/>
  <c r="I67" i="24" s="1"/>
  <c r="I32" i="20"/>
  <c r="I35" i="24" s="1"/>
  <c r="I22" i="20"/>
  <c r="I25" i="24" s="1"/>
  <c r="I74" i="20"/>
  <c r="I77" i="24" s="1"/>
  <c r="I58" i="20"/>
  <c r="I61" i="24" s="1"/>
  <c r="I42" i="20"/>
  <c r="I45" i="24" s="1"/>
  <c r="I27" i="20"/>
  <c r="I19" i="20"/>
  <c r="I24" i="20"/>
  <c r="I27" i="24" s="1"/>
  <c r="I25" i="20"/>
  <c r="I68" i="20"/>
  <c r="I71" i="24" s="1"/>
  <c r="I52" i="20"/>
  <c r="I55" i="24" s="1"/>
  <c r="I70" i="20"/>
  <c r="I73" i="24" s="1"/>
  <c r="I38" i="20"/>
  <c r="I41" i="24" s="1"/>
  <c r="I62" i="20"/>
  <c r="I65" i="24" s="1"/>
  <c r="I46" i="20"/>
  <c r="I49" i="24" s="1"/>
  <c r="I21" i="20"/>
  <c r="I28" i="20"/>
  <c r="I31" i="24" s="1"/>
  <c r="I56" i="20"/>
  <c r="I59" i="24" s="1"/>
  <c r="I18" i="20"/>
  <c r="I44" i="20"/>
  <c r="I47" i="24" s="1"/>
  <c r="I54" i="20"/>
  <c r="I57" i="24" s="1"/>
  <c r="I66" i="20"/>
  <c r="I69" i="24" s="1"/>
  <c r="I50" i="20"/>
  <c r="I53" i="24" s="1"/>
  <c r="I34" i="20"/>
  <c r="I37" i="24" s="1"/>
  <c r="I23" i="20"/>
  <c r="I76" i="20"/>
  <c r="I79" i="24" s="1"/>
  <c r="I60" i="20"/>
  <c r="I20" i="20"/>
  <c r="I23" i="24" s="1"/>
  <c r="I17" i="20"/>
  <c r="I20" i="24" s="1"/>
  <c r="J14" i="23"/>
  <c r="J16" i="23"/>
  <c r="J10" i="23"/>
  <c r="K68" i="20"/>
  <c r="K71" i="24" s="1"/>
  <c r="K52" i="20"/>
  <c r="K55" i="24" s="1"/>
  <c r="K24" i="20"/>
  <c r="K27" i="24" s="1"/>
  <c r="K62" i="20"/>
  <c r="K65" i="24" s="1"/>
  <c r="K46" i="20"/>
  <c r="K49" i="24" s="1"/>
  <c r="K21" i="20"/>
  <c r="K42" i="20"/>
  <c r="K45" i="24" s="1"/>
  <c r="K56" i="20"/>
  <c r="K59" i="24" s="1"/>
  <c r="K18" i="20"/>
  <c r="K58" i="20"/>
  <c r="K61" i="24" s="1"/>
  <c r="K19" i="20"/>
  <c r="K66" i="20"/>
  <c r="K69" i="24" s="1"/>
  <c r="K50" i="20"/>
  <c r="K53" i="24" s="1"/>
  <c r="K34" i="20"/>
  <c r="K37" i="24" s="1"/>
  <c r="K23" i="20"/>
  <c r="K22" i="20"/>
  <c r="K25" i="24" s="1"/>
  <c r="K76" i="20"/>
  <c r="K79" i="24" s="1"/>
  <c r="K60" i="20"/>
  <c r="K44" i="20"/>
  <c r="K47" i="24" s="1"/>
  <c r="K28" i="20"/>
  <c r="K31" i="24" s="1"/>
  <c r="K20" i="20"/>
  <c r="K23" i="24" s="1"/>
  <c r="K64" i="20"/>
  <c r="K67" i="24" s="1"/>
  <c r="K74" i="20"/>
  <c r="K77" i="24" s="1"/>
  <c r="K70" i="20"/>
  <c r="K73" i="24" s="1"/>
  <c r="K54" i="20"/>
  <c r="K57" i="24" s="1"/>
  <c r="K38" i="20"/>
  <c r="K41" i="24" s="1"/>
  <c r="K25" i="20"/>
  <c r="K17" i="20"/>
  <c r="K20" i="24" s="1"/>
  <c r="K32" i="20"/>
  <c r="K35" i="24" s="1"/>
  <c r="K27" i="20"/>
  <c r="L14" i="23"/>
  <c r="L16" i="23"/>
  <c r="L10" i="23"/>
  <c r="L62" i="20"/>
  <c r="L65" i="24" s="1"/>
  <c r="L46" i="20"/>
  <c r="L49" i="24" s="1"/>
  <c r="L21" i="20"/>
  <c r="L56" i="20"/>
  <c r="L59" i="24" s="1"/>
  <c r="L18" i="20"/>
  <c r="L50" i="20"/>
  <c r="L53" i="24" s="1"/>
  <c r="L34" i="20"/>
  <c r="L37" i="24" s="1"/>
  <c r="L23" i="20"/>
  <c r="L66" i="20"/>
  <c r="L69" i="24" s="1"/>
  <c r="L52" i="20"/>
  <c r="L55" i="24" s="1"/>
  <c r="L76" i="20"/>
  <c r="L79" i="24" s="1"/>
  <c r="L60" i="20"/>
  <c r="L44" i="20"/>
  <c r="L47" i="24" s="1"/>
  <c r="L28" i="20"/>
  <c r="L31" i="24" s="1"/>
  <c r="L20" i="20"/>
  <c r="L23" i="24" s="1"/>
  <c r="L70" i="20"/>
  <c r="L73" i="24" s="1"/>
  <c r="L54" i="20"/>
  <c r="L57" i="24" s="1"/>
  <c r="L38" i="20"/>
  <c r="L41" i="24" s="1"/>
  <c r="L25" i="20"/>
  <c r="L17" i="20"/>
  <c r="L20" i="24" s="1"/>
  <c r="L74" i="20"/>
  <c r="L77" i="24" s="1"/>
  <c r="L19" i="20"/>
  <c r="L24" i="20"/>
  <c r="L27" i="24" s="1"/>
  <c r="L64" i="20"/>
  <c r="L67" i="24" s="1"/>
  <c r="L32" i="20"/>
  <c r="L35" i="24" s="1"/>
  <c r="L22" i="20"/>
  <c r="L25" i="24" s="1"/>
  <c r="L58" i="20"/>
  <c r="L61" i="24" s="1"/>
  <c r="L42" i="20"/>
  <c r="L45" i="24" s="1"/>
  <c r="L27" i="20"/>
  <c r="L68" i="20"/>
  <c r="L71" i="24" s="1"/>
  <c r="M56" i="20"/>
  <c r="M59" i="24" s="1"/>
  <c r="M18" i="20"/>
  <c r="M66" i="20"/>
  <c r="M69" i="24" s="1"/>
  <c r="M50" i="20"/>
  <c r="M53" i="24" s="1"/>
  <c r="M34" i="20"/>
  <c r="M37" i="24" s="1"/>
  <c r="M23" i="20"/>
  <c r="M60" i="20"/>
  <c r="M44" i="20"/>
  <c r="M47" i="24" s="1"/>
  <c r="M20" i="20"/>
  <c r="M23" i="24" s="1"/>
  <c r="M62" i="20"/>
  <c r="M65" i="24" s="1"/>
  <c r="M76" i="20"/>
  <c r="M79" i="24" s="1"/>
  <c r="M28" i="20"/>
  <c r="M31" i="24" s="1"/>
  <c r="M70" i="20"/>
  <c r="M73" i="24" s="1"/>
  <c r="M54" i="20"/>
  <c r="M57" i="24" s="1"/>
  <c r="M38" i="20"/>
  <c r="M41" i="24" s="1"/>
  <c r="M25" i="20"/>
  <c r="M17" i="20"/>
  <c r="M20" i="24" s="1"/>
  <c r="M52" i="20"/>
  <c r="M55" i="24" s="1"/>
  <c r="M64" i="20"/>
  <c r="M67" i="24" s="1"/>
  <c r="M32" i="20"/>
  <c r="M35" i="24" s="1"/>
  <c r="M22" i="20"/>
  <c r="M25" i="24" s="1"/>
  <c r="M68" i="20"/>
  <c r="M71" i="24" s="1"/>
  <c r="M24" i="20"/>
  <c r="M27" i="24" s="1"/>
  <c r="M46" i="20"/>
  <c r="M49" i="24" s="1"/>
  <c r="M21" i="20"/>
  <c r="M74" i="20"/>
  <c r="M77" i="24" s="1"/>
  <c r="M58" i="20"/>
  <c r="M61" i="24" s="1"/>
  <c r="M42" i="20"/>
  <c r="M45" i="24" s="1"/>
  <c r="M27" i="20"/>
  <c r="M19" i="20"/>
  <c r="G10" i="23"/>
  <c r="G16" i="23"/>
  <c r="G14" i="23"/>
  <c r="G76" i="20"/>
  <c r="G79" i="24" s="1"/>
  <c r="G60" i="20"/>
  <c r="G44" i="20"/>
  <c r="G47" i="24" s="1"/>
  <c r="G28" i="20"/>
  <c r="G31" i="24" s="1"/>
  <c r="G20" i="20"/>
  <c r="G23" i="24" s="1"/>
  <c r="G70" i="20"/>
  <c r="G73" i="24" s="1"/>
  <c r="G54" i="20"/>
  <c r="G57" i="24" s="1"/>
  <c r="G38" i="20"/>
  <c r="G41" i="24" s="1"/>
  <c r="G25" i="20"/>
  <c r="G17" i="20"/>
  <c r="G20" i="24" s="1"/>
  <c r="G22" i="20"/>
  <c r="G25" i="24" s="1"/>
  <c r="G50" i="20"/>
  <c r="G53" i="24" s="1"/>
  <c r="G64" i="20"/>
  <c r="G67" i="24" s="1"/>
  <c r="G32" i="20"/>
  <c r="G35" i="24" s="1"/>
  <c r="G23" i="20"/>
  <c r="G74" i="20"/>
  <c r="G77" i="24" s="1"/>
  <c r="G58" i="20"/>
  <c r="G61" i="24" s="1"/>
  <c r="G42" i="20"/>
  <c r="G45" i="24" s="1"/>
  <c r="G27" i="20"/>
  <c r="G19" i="20"/>
  <c r="G68" i="20"/>
  <c r="G71" i="24" s="1"/>
  <c r="G52" i="20"/>
  <c r="G55" i="24" s="1"/>
  <c r="G24" i="20"/>
  <c r="G27" i="24" s="1"/>
  <c r="G66" i="20"/>
  <c r="G69" i="24" s="1"/>
  <c r="G34" i="20"/>
  <c r="G37" i="24" s="1"/>
  <c r="G62" i="20"/>
  <c r="G65" i="24" s="1"/>
  <c r="G46" i="20"/>
  <c r="G49" i="24" s="1"/>
  <c r="G21" i="20"/>
  <c r="G56" i="20"/>
  <c r="G59" i="24" s="1"/>
  <c r="G18" i="20"/>
  <c r="J74" i="20"/>
  <c r="J77" i="24" s="1"/>
  <c r="J58" i="20"/>
  <c r="J61" i="24" s="1"/>
  <c r="J42" i="20"/>
  <c r="J45" i="24" s="1"/>
  <c r="J27" i="20"/>
  <c r="J19" i="20"/>
  <c r="J68" i="20"/>
  <c r="J71" i="24" s="1"/>
  <c r="J52" i="20"/>
  <c r="J55" i="24" s="1"/>
  <c r="J24" i="20"/>
  <c r="J27" i="24" s="1"/>
  <c r="J22" i="20"/>
  <c r="J25" i="24" s="1"/>
  <c r="J62" i="20"/>
  <c r="J65" i="24" s="1"/>
  <c r="J46" i="20"/>
  <c r="J49" i="24" s="1"/>
  <c r="J21" i="20"/>
  <c r="J56" i="20"/>
  <c r="J59" i="24" s="1"/>
  <c r="J18" i="20"/>
  <c r="J25" i="20"/>
  <c r="J66" i="20"/>
  <c r="J69" i="24" s="1"/>
  <c r="J50" i="20"/>
  <c r="J53" i="24" s="1"/>
  <c r="J34" i="20"/>
  <c r="J37" i="24" s="1"/>
  <c r="J23" i="20"/>
  <c r="J54" i="20"/>
  <c r="J57" i="24" s="1"/>
  <c r="J17" i="20"/>
  <c r="J20" i="24" s="1"/>
  <c r="J76" i="20"/>
  <c r="J79" i="24" s="1"/>
  <c r="J60" i="20"/>
  <c r="J44" i="20"/>
  <c r="J47" i="24" s="1"/>
  <c r="J28" i="20"/>
  <c r="J31" i="24" s="1"/>
  <c r="J20" i="20"/>
  <c r="J23" i="24" s="1"/>
  <c r="J70" i="20"/>
  <c r="J73" i="24" s="1"/>
  <c r="J38" i="20"/>
  <c r="J41" i="24" s="1"/>
  <c r="J64" i="20"/>
  <c r="J67" i="24" s="1"/>
  <c r="J32" i="20"/>
  <c r="J35" i="24" s="1"/>
  <c r="K14" i="23"/>
  <c r="K10" i="23"/>
  <c r="K16" i="23"/>
  <c r="J82" i="29"/>
  <c r="N82" i="29"/>
  <c r="Q191" i="29"/>
  <c r="P21" i="28"/>
  <c r="G82" i="29"/>
  <c r="F82" i="29"/>
  <c r="K82" i="29"/>
  <c r="I83" i="28"/>
  <c r="G83" i="28"/>
  <c r="J83" i="28"/>
  <c r="H82" i="29"/>
  <c r="D29" i="28"/>
  <c r="P57" i="28"/>
  <c r="P41" i="28"/>
  <c r="D193" i="29"/>
  <c r="L82" i="29"/>
  <c r="I193" i="29"/>
  <c r="E193" i="29"/>
  <c r="M193" i="29"/>
  <c r="I82" i="29"/>
  <c r="E82" i="29"/>
  <c r="L193" i="29"/>
  <c r="D82" i="29"/>
  <c r="M82" i="29"/>
  <c r="C82" i="29"/>
  <c r="D73" i="27"/>
  <c r="F63" i="18" l="1"/>
  <c r="G63" i="24"/>
  <c r="G63" i="18"/>
  <c r="M63" i="24"/>
  <c r="M63" i="18"/>
  <c r="K63" i="24"/>
  <c r="K63" i="18"/>
  <c r="H63" i="24"/>
  <c r="H63" i="18"/>
  <c r="J63" i="24"/>
  <c r="J63" i="18"/>
  <c r="L63" i="24"/>
  <c r="L63" i="18"/>
  <c r="I63" i="24"/>
  <c r="I63" i="18"/>
  <c r="D19" i="18"/>
  <c r="J193" i="29"/>
  <c r="H193" i="29"/>
  <c r="G193" i="29"/>
  <c r="N193" i="29"/>
  <c r="F193" i="29"/>
  <c r="Q81" i="29"/>
  <c r="K193" i="29"/>
  <c r="E19" i="18"/>
  <c r="E19" i="24"/>
  <c r="E21" i="24" s="1"/>
  <c r="J13" i="18"/>
  <c r="J13" i="24"/>
  <c r="E13" i="18"/>
  <c r="E13" i="24"/>
  <c r="F19" i="18"/>
  <c r="F19" i="24"/>
  <c r="F21" i="24" s="1"/>
  <c r="J19" i="18"/>
  <c r="J19" i="24"/>
  <c r="J21" i="24" s="1"/>
  <c r="I13" i="18"/>
  <c r="I13" i="24"/>
  <c r="G13" i="18"/>
  <c r="G13" i="24"/>
  <c r="H13" i="18"/>
  <c r="H13" i="24"/>
  <c r="J17" i="18"/>
  <c r="J17" i="24"/>
  <c r="E17" i="18"/>
  <c r="E17" i="24"/>
  <c r="F13" i="18"/>
  <c r="F13" i="24"/>
  <c r="G19" i="18"/>
  <c r="G19" i="24"/>
  <c r="G21" i="24" s="1"/>
  <c r="I17" i="18"/>
  <c r="I17" i="24"/>
  <c r="G17" i="18"/>
  <c r="G17" i="24"/>
  <c r="H17" i="18"/>
  <c r="H17" i="24"/>
  <c r="F17" i="18"/>
  <c r="F17" i="24"/>
  <c r="I19" i="24"/>
  <c r="I21" i="24" s="1"/>
  <c r="H19" i="18"/>
  <c r="H19" i="24"/>
  <c r="H21" i="24" s="1"/>
  <c r="M13" i="18"/>
  <c r="M13" i="24"/>
  <c r="L13" i="18"/>
  <c r="L13" i="24"/>
  <c r="M19" i="18"/>
  <c r="M19" i="24"/>
  <c r="M21" i="24" s="1"/>
  <c r="L19" i="18"/>
  <c r="L19" i="24"/>
  <c r="L21" i="24" s="1"/>
  <c r="K19" i="24"/>
  <c r="K21" i="24" s="1"/>
  <c r="L17" i="18"/>
  <c r="L17" i="24"/>
  <c r="M17" i="18"/>
  <c r="M17" i="24"/>
  <c r="K13" i="18"/>
  <c r="K13" i="24"/>
  <c r="K17" i="18"/>
  <c r="K17" i="24"/>
  <c r="K44" i="23"/>
  <c r="K47" i="18"/>
  <c r="J76" i="23"/>
  <c r="J79" i="18"/>
  <c r="M58" i="23"/>
  <c r="M61" i="18"/>
  <c r="J38" i="23"/>
  <c r="J41" i="18"/>
  <c r="J54" i="23"/>
  <c r="J57" i="18"/>
  <c r="J58" i="23"/>
  <c r="J61" i="18"/>
  <c r="G62" i="23"/>
  <c r="G65" i="18"/>
  <c r="G68" i="23"/>
  <c r="G71" i="18"/>
  <c r="G64" i="23"/>
  <c r="G67" i="18"/>
  <c r="G70" i="23"/>
  <c r="G73" i="18"/>
  <c r="M52" i="23"/>
  <c r="M55" i="18"/>
  <c r="M76" i="23"/>
  <c r="M79" i="18"/>
  <c r="M66" i="23"/>
  <c r="M69" i="18"/>
  <c r="L42" i="23"/>
  <c r="L45" i="18"/>
  <c r="L74" i="23"/>
  <c r="L77" i="18"/>
  <c r="L28" i="23"/>
  <c r="L31" i="18"/>
  <c r="L50" i="23"/>
  <c r="L53" i="18"/>
  <c r="L46" i="23"/>
  <c r="L49" i="18"/>
  <c r="K17" i="23"/>
  <c r="K20" i="18"/>
  <c r="K20" i="23"/>
  <c r="K23" i="18"/>
  <c r="K50" i="23"/>
  <c r="K53" i="18"/>
  <c r="K52" i="23"/>
  <c r="K55" i="18"/>
  <c r="I60" i="23"/>
  <c r="I46" i="23"/>
  <c r="I49" i="18"/>
  <c r="I24" i="23"/>
  <c r="I27" i="18"/>
  <c r="H62" i="23"/>
  <c r="H65" i="18"/>
  <c r="E42" i="23"/>
  <c r="E45" i="18"/>
  <c r="E20" i="23"/>
  <c r="E23" i="18"/>
  <c r="E50" i="23"/>
  <c r="E53" i="18"/>
  <c r="F22" i="23"/>
  <c r="F25" i="18"/>
  <c r="F56" i="23"/>
  <c r="F59" i="18"/>
  <c r="F76" i="23"/>
  <c r="F79" i="18"/>
  <c r="J34" i="23"/>
  <c r="J37" i="18"/>
  <c r="G22" i="23"/>
  <c r="G25" i="18"/>
  <c r="I38" i="23"/>
  <c r="I41" i="18"/>
  <c r="J70" i="23"/>
  <c r="J73" i="18"/>
  <c r="J24" i="23"/>
  <c r="J27" i="18"/>
  <c r="J74" i="23"/>
  <c r="J77" i="18"/>
  <c r="G34" i="23"/>
  <c r="G37" i="18"/>
  <c r="G50" i="23"/>
  <c r="G53" i="18"/>
  <c r="G20" i="23"/>
  <c r="G23" i="18"/>
  <c r="M46" i="23"/>
  <c r="M49" i="18"/>
  <c r="M17" i="23"/>
  <c r="M20" i="18"/>
  <c r="M62" i="23"/>
  <c r="M65" i="18"/>
  <c r="L58" i="23"/>
  <c r="L61" i="18"/>
  <c r="L17" i="23"/>
  <c r="L20" i="18"/>
  <c r="L44" i="23"/>
  <c r="L47" i="18"/>
  <c r="L62" i="23"/>
  <c r="L65" i="18"/>
  <c r="K28" i="23"/>
  <c r="K31" i="18"/>
  <c r="K66" i="23"/>
  <c r="K69" i="18"/>
  <c r="K68" i="23"/>
  <c r="K71" i="18"/>
  <c r="I76" i="23"/>
  <c r="I79" i="18"/>
  <c r="I62" i="23"/>
  <c r="I65" i="18"/>
  <c r="I64" i="23"/>
  <c r="I67" i="18"/>
  <c r="H28" i="23"/>
  <c r="H31" i="18"/>
  <c r="H60" i="23"/>
  <c r="H74" i="23"/>
  <c r="H77" i="18"/>
  <c r="H64" i="23"/>
  <c r="H67" i="18"/>
  <c r="E58" i="23"/>
  <c r="E61" i="18"/>
  <c r="E44" i="23"/>
  <c r="E47" i="18"/>
  <c r="E66" i="23"/>
  <c r="E69" i="18"/>
  <c r="F62" i="23"/>
  <c r="F65" i="18"/>
  <c r="F32" i="23"/>
  <c r="F35" i="18"/>
  <c r="G66" i="23"/>
  <c r="G69" i="18"/>
  <c r="H66" i="23"/>
  <c r="H69" i="18"/>
  <c r="E46" i="23"/>
  <c r="E49" i="18"/>
  <c r="F24" i="23"/>
  <c r="F27" i="18"/>
  <c r="F38" i="23"/>
  <c r="F41" i="18"/>
  <c r="J28" i="23"/>
  <c r="J31" i="18"/>
  <c r="J50" i="23"/>
  <c r="J53" i="18"/>
  <c r="J52" i="23"/>
  <c r="J55" i="18"/>
  <c r="G42" i="23"/>
  <c r="G45" i="18"/>
  <c r="G44" i="23"/>
  <c r="G47" i="18"/>
  <c r="M68" i="23"/>
  <c r="M71" i="18"/>
  <c r="M38" i="23"/>
  <c r="M41" i="18"/>
  <c r="M44" i="23"/>
  <c r="M47" i="18"/>
  <c r="L32" i="23"/>
  <c r="L35" i="18"/>
  <c r="L38" i="23"/>
  <c r="L41" i="18"/>
  <c r="L76" i="23"/>
  <c r="L79" i="18"/>
  <c r="K54" i="23"/>
  <c r="K57" i="18"/>
  <c r="K60" i="23"/>
  <c r="K58" i="23"/>
  <c r="K61" i="18"/>
  <c r="I34" i="23"/>
  <c r="I37" i="18"/>
  <c r="I56" i="23"/>
  <c r="I59" i="18"/>
  <c r="I70" i="23"/>
  <c r="I73" i="18"/>
  <c r="I42" i="23"/>
  <c r="I45" i="18"/>
  <c r="H76" i="23"/>
  <c r="H79" i="18"/>
  <c r="H34" i="23"/>
  <c r="H37" i="18"/>
  <c r="H24" i="23"/>
  <c r="H27" i="18"/>
  <c r="H38" i="23"/>
  <c r="H41" i="18"/>
  <c r="E24" i="23"/>
  <c r="E27" i="18"/>
  <c r="E62" i="23"/>
  <c r="E65" i="18"/>
  <c r="E76" i="23"/>
  <c r="E79" i="18"/>
  <c r="F64" i="23"/>
  <c r="F67" i="18"/>
  <c r="F54" i="23"/>
  <c r="F57" i="18"/>
  <c r="F50" i="23"/>
  <c r="F53" i="18"/>
  <c r="D46" i="23"/>
  <c r="D49" i="18"/>
  <c r="M24" i="23"/>
  <c r="M27" i="18"/>
  <c r="L60" i="23"/>
  <c r="F34" i="23"/>
  <c r="F37" i="18"/>
  <c r="K19" i="18"/>
  <c r="J44" i="23"/>
  <c r="J47" i="18"/>
  <c r="J66" i="23"/>
  <c r="J69" i="18"/>
  <c r="J68" i="23"/>
  <c r="J71" i="18"/>
  <c r="G56" i="23"/>
  <c r="G59" i="18"/>
  <c r="G58" i="23"/>
  <c r="G61" i="18"/>
  <c r="G17" i="23"/>
  <c r="G20" i="18"/>
  <c r="G60" i="23"/>
  <c r="M22" i="23"/>
  <c r="M25" i="18"/>
  <c r="M54" i="23"/>
  <c r="M57" i="18"/>
  <c r="M60" i="23"/>
  <c r="M56" i="23"/>
  <c r="M59" i="18"/>
  <c r="L54" i="23"/>
  <c r="L57" i="18"/>
  <c r="L52" i="23"/>
  <c r="L55" i="18"/>
  <c r="L56" i="23"/>
  <c r="L59" i="18"/>
  <c r="K70" i="23"/>
  <c r="K73" i="18"/>
  <c r="K76" i="23"/>
  <c r="K79" i="18"/>
  <c r="K46" i="23"/>
  <c r="K49" i="18"/>
  <c r="I50" i="23"/>
  <c r="I53" i="18"/>
  <c r="I58" i="23"/>
  <c r="I61" i="18"/>
  <c r="H50" i="23"/>
  <c r="H53" i="18"/>
  <c r="H42" i="23"/>
  <c r="H45" i="18"/>
  <c r="H54" i="23"/>
  <c r="H57" i="18"/>
  <c r="E52" i="23"/>
  <c r="E55" i="18"/>
  <c r="E22" i="23"/>
  <c r="E25" i="18"/>
  <c r="E38" i="23"/>
  <c r="E41" i="18"/>
  <c r="E56" i="23"/>
  <c r="E59" i="18"/>
  <c r="F52" i="23"/>
  <c r="F55" i="18"/>
  <c r="F42" i="23"/>
  <c r="F45" i="18"/>
  <c r="F20" i="23"/>
  <c r="F23" i="18"/>
  <c r="F66" i="23"/>
  <c r="F69" i="18"/>
  <c r="D62" i="23"/>
  <c r="D65" i="18"/>
  <c r="J56" i="23"/>
  <c r="J59" i="18"/>
  <c r="G28" i="23"/>
  <c r="G31" i="18"/>
  <c r="M20" i="23"/>
  <c r="M23" i="18"/>
  <c r="K38" i="23"/>
  <c r="K41" i="18"/>
  <c r="H17" i="23"/>
  <c r="H20" i="18"/>
  <c r="E17" i="23"/>
  <c r="E20" i="18"/>
  <c r="J60" i="23"/>
  <c r="J46" i="23"/>
  <c r="J49" i="18"/>
  <c r="G24" i="23"/>
  <c r="G27" i="18"/>
  <c r="G74" i="23"/>
  <c r="G77" i="18"/>
  <c r="G76" i="23"/>
  <c r="G79" i="18"/>
  <c r="M42" i="23"/>
  <c r="M45" i="18"/>
  <c r="M32" i="23"/>
  <c r="M35" i="18"/>
  <c r="M70" i="23"/>
  <c r="M73" i="18"/>
  <c r="L64" i="23"/>
  <c r="L67" i="18"/>
  <c r="L70" i="23"/>
  <c r="L73" i="18"/>
  <c r="L66" i="23"/>
  <c r="L69" i="18"/>
  <c r="K74" i="23"/>
  <c r="K77" i="18"/>
  <c r="K22" i="23"/>
  <c r="K25" i="18"/>
  <c r="K56" i="23"/>
  <c r="K59" i="18"/>
  <c r="K62" i="23"/>
  <c r="K65" i="18"/>
  <c r="I66" i="23"/>
  <c r="I69" i="18"/>
  <c r="I28" i="23"/>
  <c r="I31" i="18"/>
  <c r="I52" i="23"/>
  <c r="I55" i="18"/>
  <c r="I74" i="23"/>
  <c r="I77" i="18"/>
  <c r="H52" i="23"/>
  <c r="H55" i="18"/>
  <c r="H58" i="23"/>
  <c r="H61" i="18"/>
  <c r="H70" i="23"/>
  <c r="H73" i="18"/>
  <c r="E68" i="23"/>
  <c r="E71" i="18"/>
  <c r="E32" i="23"/>
  <c r="E35" i="18"/>
  <c r="E54" i="23"/>
  <c r="E57" i="18"/>
  <c r="E28" i="23"/>
  <c r="E31" i="18"/>
  <c r="F68" i="23"/>
  <c r="F71" i="18"/>
  <c r="F58" i="23"/>
  <c r="F61" i="18"/>
  <c r="F17" i="23"/>
  <c r="F20" i="18"/>
  <c r="F28" i="23"/>
  <c r="F31" i="18"/>
  <c r="D64" i="23"/>
  <c r="D67" i="18"/>
  <c r="L22" i="23"/>
  <c r="L25" i="18"/>
  <c r="E74" i="23"/>
  <c r="E77" i="18"/>
  <c r="G38" i="23"/>
  <c r="G41" i="18"/>
  <c r="M34" i="23"/>
  <c r="M37" i="18"/>
  <c r="L68" i="23"/>
  <c r="L71" i="18"/>
  <c r="L24" i="23"/>
  <c r="L27" i="18"/>
  <c r="K24" i="23"/>
  <c r="K27" i="18"/>
  <c r="I17" i="23"/>
  <c r="I20" i="18"/>
  <c r="I54" i="23"/>
  <c r="I57" i="18"/>
  <c r="I68" i="23"/>
  <c r="I71" i="18"/>
  <c r="I22" i="23"/>
  <c r="I25" i="18"/>
  <c r="H68" i="23"/>
  <c r="H71" i="18"/>
  <c r="H22" i="23"/>
  <c r="H25" i="18"/>
  <c r="E70" i="23"/>
  <c r="E73" i="18"/>
  <c r="F74" i="23"/>
  <c r="F77" i="18"/>
  <c r="F44" i="23"/>
  <c r="F47" i="18"/>
  <c r="J20" i="23"/>
  <c r="J23" i="18"/>
  <c r="H20" i="23"/>
  <c r="H23" i="18"/>
  <c r="E60" i="23"/>
  <c r="J32" i="23"/>
  <c r="J35" i="18"/>
  <c r="J62" i="23"/>
  <c r="J65" i="18"/>
  <c r="J64" i="23"/>
  <c r="J67" i="18"/>
  <c r="J17" i="23"/>
  <c r="J20" i="18"/>
  <c r="J22" i="23"/>
  <c r="J25" i="18"/>
  <c r="J42" i="23"/>
  <c r="J45" i="18"/>
  <c r="G46" i="23"/>
  <c r="G49" i="18"/>
  <c r="G52" i="23"/>
  <c r="G55" i="18"/>
  <c r="G32" i="23"/>
  <c r="G35" i="18"/>
  <c r="G54" i="23"/>
  <c r="G57" i="18"/>
  <c r="M74" i="23"/>
  <c r="M77" i="18"/>
  <c r="M64" i="23"/>
  <c r="M67" i="18"/>
  <c r="M28" i="23"/>
  <c r="M31" i="18"/>
  <c r="M50" i="23"/>
  <c r="M53" i="18"/>
  <c r="L20" i="23"/>
  <c r="L23" i="18"/>
  <c r="L34" i="23"/>
  <c r="L37" i="18"/>
  <c r="K32" i="23"/>
  <c r="K35" i="18"/>
  <c r="K64" i="23"/>
  <c r="K67" i="18"/>
  <c r="K34" i="23"/>
  <c r="K37" i="18"/>
  <c r="K42" i="23"/>
  <c r="K45" i="18"/>
  <c r="I20" i="23"/>
  <c r="I23" i="18"/>
  <c r="I44" i="23"/>
  <c r="I47" i="18"/>
  <c r="I32" i="23"/>
  <c r="I35" i="18"/>
  <c r="I19" i="18"/>
  <c r="H56" i="23"/>
  <c r="H59" i="18"/>
  <c r="H46" i="23"/>
  <c r="H49" i="18"/>
  <c r="H44" i="23"/>
  <c r="H47" i="18"/>
  <c r="H32" i="23"/>
  <c r="H35" i="18"/>
  <c r="E64" i="23"/>
  <c r="E67" i="18"/>
  <c r="E34" i="23"/>
  <c r="E37" i="18"/>
  <c r="F46" i="23"/>
  <c r="F49" i="18"/>
  <c r="F70" i="23"/>
  <c r="F73" i="18"/>
  <c r="F60" i="23"/>
  <c r="D22" i="23"/>
  <c r="D25" i="18"/>
  <c r="D28" i="28"/>
  <c r="P28" i="28" s="1"/>
  <c r="P29" i="28"/>
  <c r="F21" i="18" l="1"/>
  <c r="H21" i="18"/>
  <c r="L21" i="18"/>
  <c r="D83" i="28"/>
  <c r="P79" i="37"/>
  <c r="M21" i="18"/>
  <c r="P81" i="37"/>
  <c r="P65" i="37"/>
  <c r="J21" i="18"/>
  <c r="G21" i="18"/>
  <c r="P61" i="37"/>
  <c r="P53" i="37"/>
  <c r="M31" i="21"/>
  <c r="K31" i="21"/>
  <c r="P86" i="37"/>
  <c r="X85" i="21" s="1"/>
  <c r="P71" i="37"/>
  <c r="P75" i="37"/>
  <c r="X75" i="21" s="1"/>
  <c r="AA75" i="21" s="1"/>
  <c r="L31" i="21"/>
  <c r="L91" i="21" s="1"/>
  <c r="P57" i="37"/>
  <c r="J31" i="21"/>
  <c r="I31" i="21"/>
  <c r="E31" i="21"/>
  <c r="G31" i="21"/>
  <c r="P84" i="37"/>
  <c r="X83" i="21" s="1"/>
  <c r="H31" i="21"/>
  <c r="P73" i="37"/>
  <c r="P63" i="37"/>
  <c r="F31" i="21"/>
  <c r="P59" i="37"/>
  <c r="P27" i="21"/>
  <c r="AA27" i="21" s="1"/>
  <c r="I21" i="18"/>
  <c r="K21" i="18"/>
  <c r="E21" i="18"/>
  <c r="P19" i="24"/>
  <c r="C93" i="20"/>
  <c r="P19" i="18"/>
  <c r="B93" i="20"/>
  <c r="B72" i="14"/>
  <c r="B56" i="14"/>
  <c r="B70" i="10"/>
  <c r="B60" i="10"/>
  <c r="C62" i="5"/>
  <c r="D70" i="5"/>
  <c r="B78" i="5"/>
  <c r="B58" i="5"/>
  <c r="C18" i="12"/>
  <c r="D66" i="12"/>
  <c r="D64" i="12"/>
  <c r="C64" i="12"/>
  <c r="D46" i="12"/>
  <c r="C46" i="12"/>
  <c r="C40" i="12"/>
  <c r="D36" i="12"/>
  <c r="C38" i="15" s="1"/>
  <c r="C36" i="12"/>
  <c r="B38" i="15" s="1"/>
  <c r="D30" i="12"/>
  <c r="C30" i="12"/>
  <c r="D26" i="12"/>
  <c r="D20" i="12"/>
  <c r="C20" i="12"/>
  <c r="D12" i="12"/>
  <c r="C12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D70" i="12"/>
  <c r="C70" i="12"/>
  <c r="D68" i="12"/>
  <c r="C68" i="12"/>
  <c r="C66" i="12"/>
  <c r="D62" i="12"/>
  <c r="C62" i="12"/>
  <c r="D60" i="12"/>
  <c r="C60" i="12"/>
  <c r="D58" i="12"/>
  <c r="C58" i="12"/>
  <c r="D56" i="12"/>
  <c r="C56" i="12"/>
  <c r="D54" i="12"/>
  <c r="C54" i="12"/>
  <c r="D52" i="12"/>
  <c r="C52" i="12"/>
  <c r="D50" i="12"/>
  <c r="C50" i="12"/>
  <c r="D48" i="12"/>
  <c r="C48" i="12"/>
  <c r="D44" i="12"/>
  <c r="C44" i="12"/>
  <c r="D42" i="12"/>
  <c r="C42" i="12"/>
  <c r="D40" i="12"/>
  <c r="D38" i="12"/>
  <c r="C38" i="12"/>
  <c r="D34" i="12"/>
  <c r="C34" i="12"/>
  <c r="D32" i="12"/>
  <c r="C32" i="12"/>
  <c r="D28" i="12"/>
  <c r="C28" i="12"/>
  <c r="C26" i="12"/>
  <c r="D24" i="12"/>
  <c r="C24" i="12"/>
  <c r="D22" i="12"/>
  <c r="C22" i="12"/>
  <c r="D18" i="12"/>
  <c r="D14" i="12"/>
  <c r="C14" i="12"/>
  <c r="D18" i="7"/>
  <c r="C18" i="7"/>
  <c r="N72" i="7"/>
  <c r="M72" i="16" s="1"/>
  <c r="M72" i="20" s="1"/>
  <c r="M72" i="7"/>
  <c r="L72" i="16" s="1"/>
  <c r="L72" i="20" s="1"/>
  <c r="K72" i="7"/>
  <c r="J72" i="16" s="1"/>
  <c r="J72" i="20" s="1"/>
  <c r="I72" i="7"/>
  <c r="H72" i="16" s="1"/>
  <c r="H72" i="20" s="1"/>
  <c r="H72" i="7"/>
  <c r="G72" i="16" s="1"/>
  <c r="G72" i="20" s="1"/>
  <c r="G72" i="7"/>
  <c r="F72" i="16" s="1"/>
  <c r="F72" i="20" s="1"/>
  <c r="F72" i="7"/>
  <c r="E72" i="16" s="1"/>
  <c r="E72" i="20" s="1"/>
  <c r="E72" i="7"/>
  <c r="D165" i="7"/>
  <c r="D66" i="7" s="1"/>
  <c r="C165" i="7"/>
  <c r="C66" i="7" s="1"/>
  <c r="D157" i="7"/>
  <c r="D64" i="7" s="1"/>
  <c r="C157" i="7"/>
  <c r="C64" i="7" s="1"/>
  <c r="N48" i="7"/>
  <c r="M48" i="16" s="1"/>
  <c r="M48" i="20" s="1"/>
  <c r="M48" i="7"/>
  <c r="L48" i="16" s="1"/>
  <c r="L48" i="20" s="1"/>
  <c r="L48" i="7"/>
  <c r="K48" i="16" s="1"/>
  <c r="K48" i="20" s="1"/>
  <c r="J48" i="7"/>
  <c r="I48" i="16" s="1"/>
  <c r="I48" i="20" s="1"/>
  <c r="I48" i="7"/>
  <c r="H48" i="16" s="1"/>
  <c r="H48" i="20" s="1"/>
  <c r="H48" i="7"/>
  <c r="G48" i="16" s="1"/>
  <c r="G48" i="20" s="1"/>
  <c r="G48" i="7"/>
  <c r="F48" i="16" s="1"/>
  <c r="F48" i="20" s="1"/>
  <c r="F48" i="7"/>
  <c r="E48" i="16" s="1"/>
  <c r="E48" i="20" s="1"/>
  <c r="E48" i="7"/>
  <c r="D48" i="16" s="1"/>
  <c r="D138" i="7"/>
  <c r="D46" i="7" s="1"/>
  <c r="C138" i="7"/>
  <c r="C46" i="7" s="1"/>
  <c r="N40" i="7"/>
  <c r="M40" i="16" s="1"/>
  <c r="M40" i="20" s="1"/>
  <c r="M40" i="7"/>
  <c r="L40" i="16" s="1"/>
  <c r="L40" i="20" s="1"/>
  <c r="L40" i="7"/>
  <c r="K40" i="16" s="1"/>
  <c r="K40" i="20" s="1"/>
  <c r="K40" i="7"/>
  <c r="J40" i="16" s="1"/>
  <c r="J40" i="20" s="1"/>
  <c r="J40" i="7"/>
  <c r="I40" i="16" s="1"/>
  <c r="I40" i="20" s="1"/>
  <c r="I40" i="7"/>
  <c r="H40" i="16" s="1"/>
  <c r="H40" i="20" s="1"/>
  <c r="H40" i="7"/>
  <c r="G40" i="16" s="1"/>
  <c r="G40" i="20" s="1"/>
  <c r="G40" i="7"/>
  <c r="F40" i="16" s="1"/>
  <c r="F40" i="20" s="1"/>
  <c r="E40" i="7"/>
  <c r="D40" i="16" s="1"/>
  <c r="D129" i="7"/>
  <c r="D40" i="7" s="1"/>
  <c r="C129" i="7"/>
  <c r="C40" i="7" s="1"/>
  <c r="N36" i="7"/>
  <c r="M36" i="16" s="1"/>
  <c r="M36" i="20" s="1"/>
  <c r="M36" i="7"/>
  <c r="L36" i="16" s="1"/>
  <c r="L36" i="20" s="1"/>
  <c r="L36" i="7"/>
  <c r="K36" i="16" s="1"/>
  <c r="K36" i="20" s="1"/>
  <c r="K36" i="7"/>
  <c r="J36" i="16" s="1"/>
  <c r="J36" i="20" s="1"/>
  <c r="J36" i="7"/>
  <c r="I36" i="16" s="1"/>
  <c r="I36" i="20" s="1"/>
  <c r="I36" i="7"/>
  <c r="H36" i="16" s="1"/>
  <c r="H36" i="20" s="1"/>
  <c r="H36" i="7"/>
  <c r="G36" i="16" s="1"/>
  <c r="G36" i="20" s="1"/>
  <c r="G36" i="7"/>
  <c r="F36" i="16" s="1"/>
  <c r="F36" i="20" s="1"/>
  <c r="F36" i="7"/>
  <c r="E36" i="16" s="1"/>
  <c r="E36" i="20" s="1"/>
  <c r="E36" i="7"/>
  <c r="D36" i="16" s="1"/>
  <c r="D123" i="7"/>
  <c r="D36" i="7" s="1"/>
  <c r="C123" i="7"/>
  <c r="C36" i="7" s="1"/>
  <c r="N26" i="7"/>
  <c r="M26" i="16" s="1"/>
  <c r="M26" i="20" s="1"/>
  <c r="M26" i="7"/>
  <c r="L26" i="16" s="1"/>
  <c r="L26" i="20" s="1"/>
  <c r="L26" i="7"/>
  <c r="K26" i="16" s="1"/>
  <c r="K26" i="20" s="1"/>
  <c r="K26" i="7"/>
  <c r="J26" i="16" s="1"/>
  <c r="J26" i="20" s="1"/>
  <c r="J26" i="7"/>
  <c r="I26" i="16" s="1"/>
  <c r="I26" i="20" s="1"/>
  <c r="I26" i="7"/>
  <c r="H26" i="16" s="1"/>
  <c r="H26" i="20" s="1"/>
  <c r="H26" i="7"/>
  <c r="G26" i="16" s="1"/>
  <c r="G26" i="20" s="1"/>
  <c r="G26" i="7"/>
  <c r="F26" i="16" s="1"/>
  <c r="F26" i="20" s="1"/>
  <c r="F26" i="7"/>
  <c r="E26" i="16" s="1"/>
  <c r="E26" i="20" s="1"/>
  <c r="E26" i="7"/>
  <c r="D26" i="16" s="1"/>
  <c r="D109" i="7"/>
  <c r="D20" i="7" s="1"/>
  <c r="C109" i="7"/>
  <c r="C20" i="7" s="1"/>
  <c r="N12" i="7"/>
  <c r="M12" i="7"/>
  <c r="L12" i="7"/>
  <c r="K12" i="7"/>
  <c r="J12" i="7"/>
  <c r="I12" i="7"/>
  <c r="H12" i="7"/>
  <c r="G12" i="7"/>
  <c r="F12" i="7"/>
  <c r="E12" i="7"/>
  <c r="D97" i="7"/>
  <c r="D12" i="7" s="1"/>
  <c r="C97" i="7"/>
  <c r="C12" i="7" s="1"/>
  <c r="I218" i="7"/>
  <c r="D91" i="7"/>
  <c r="D10" i="7" s="1"/>
  <c r="C91" i="7"/>
  <c r="C10" i="7" s="1"/>
  <c r="N30" i="7"/>
  <c r="M30" i="16" s="1"/>
  <c r="M30" i="20" s="1"/>
  <c r="L30" i="7"/>
  <c r="K30" i="16" s="1"/>
  <c r="K30" i="20" s="1"/>
  <c r="K30" i="7"/>
  <c r="J30" i="16" s="1"/>
  <c r="J30" i="20" s="1"/>
  <c r="J30" i="7"/>
  <c r="I30" i="16" s="1"/>
  <c r="I30" i="20" s="1"/>
  <c r="I30" i="7"/>
  <c r="H30" i="16" s="1"/>
  <c r="H30" i="20" s="1"/>
  <c r="H30" i="7"/>
  <c r="G30" i="16" s="1"/>
  <c r="G30" i="20" s="1"/>
  <c r="G30" i="7"/>
  <c r="F30" i="16" s="1"/>
  <c r="F30" i="20" s="1"/>
  <c r="F30" i="7"/>
  <c r="E30" i="16" s="1"/>
  <c r="E30" i="20" s="1"/>
  <c r="E30" i="7"/>
  <c r="D30" i="16" s="1"/>
  <c r="D115" i="7"/>
  <c r="D30" i="7" s="1"/>
  <c r="C115" i="7"/>
  <c r="C30" i="7" s="1"/>
  <c r="D70" i="7"/>
  <c r="C70" i="7"/>
  <c r="D68" i="7"/>
  <c r="C68" i="7"/>
  <c r="D62" i="7"/>
  <c r="C62" i="7"/>
  <c r="D60" i="7"/>
  <c r="C60" i="7"/>
  <c r="D58" i="7"/>
  <c r="C58" i="7"/>
  <c r="D56" i="7"/>
  <c r="C56" i="7"/>
  <c r="D54" i="7"/>
  <c r="C54" i="7"/>
  <c r="D52" i="7"/>
  <c r="C52" i="7"/>
  <c r="D50" i="7"/>
  <c r="C50" i="7"/>
  <c r="D48" i="7"/>
  <c r="C48" i="7"/>
  <c r="D44" i="7"/>
  <c r="C44" i="7"/>
  <c r="D42" i="7"/>
  <c r="C42" i="7"/>
  <c r="D38" i="7"/>
  <c r="C38" i="7"/>
  <c r="D34" i="7"/>
  <c r="C34" i="7"/>
  <c r="D32" i="7"/>
  <c r="C32" i="7"/>
  <c r="D28" i="7"/>
  <c r="C28" i="7"/>
  <c r="D14" i="7"/>
  <c r="C14" i="7"/>
  <c r="D82" i="6"/>
  <c r="E82" i="6"/>
  <c r="F82" i="6"/>
  <c r="G82" i="6"/>
  <c r="H82" i="6"/>
  <c r="I82" i="6"/>
  <c r="J82" i="6"/>
  <c r="K82" i="6"/>
  <c r="L82" i="6"/>
  <c r="M82" i="6"/>
  <c r="N82" i="6"/>
  <c r="C67" i="27"/>
  <c r="D60" i="5"/>
  <c r="E67" i="27"/>
  <c r="F67" i="27"/>
  <c r="G67" i="27"/>
  <c r="H67" i="27"/>
  <c r="I67" i="27"/>
  <c r="J67" i="27"/>
  <c r="K67" i="27"/>
  <c r="C69" i="27"/>
  <c r="D62" i="5"/>
  <c r="D60" i="20" s="1"/>
  <c r="E69" i="27"/>
  <c r="F69" i="27"/>
  <c r="G69" i="27"/>
  <c r="H69" i="27"/>
  <c r="I69" i="27"/>
  <c r="J69" i="27"/>
  <c r="K69" i="27"/>
  <c r="C71" i="27"/>
  <c r="E71" i="27"/>
  <c r="F71" i="27"/>
  <c r="G71" i="27"/>
  <c r="H71" i="27"/>
  <c r="I71" i="27"/>
  <c r="J71" i="27"/>
  <c r="K71" i="27"/>
  <c r="C73" i="27"/>
  <c r="F73" i="27"/>
  <c r="G73" i="27"/>
  <c r="H73" i="27"/>
  <c r="I73" i="27"/>
  <c r="J73" i="27"/>
  <c r="K73" i="27"/>
  <c r="C79" i="27"/>
  <c r="E79" i="27"/>
  <c r="F79" i="27"/>
  <c r="G79" i="27"/>
  <c r="H79" i="27"/>
  <c r="I79" i="27"/>
  <c r="J79" i="27"/>
  <c r="K79" i="27"/>
  <c r="C81" i="27"/>
  <c r="E81" i="27"/>
  <c r="F81" i="27"/>
  <c r="G81" i="27"/>
  <c r="H81" i="27"/>
  <c r="I81" i="27"/>
  <c r="J81" i="27"/>
  <c r="K81" i="27"/>
  <c r="B81" i="27"/>
  <c r="B79" i="27"/>
  <c r="B73" i="27"/>
  <c r="B71" i="27"/>
  <c r="B69" i="27"/>
  <c r="B67" i="27"/>
  <c r="C65" i="27"/>
  <c r="E65" i="27"/>
  <c r="F65" i="27"/>
  <c r="G65" i="27"/>
  <c r="H65" i="27"/>
  <c r="I65" i="27"/>
  <c r="J65" i="27"/>
  <c r="K65" i="27"/>
  <c r="B65" i="27"/>
  <c r="C63" i="27"/>
  <c r="E63" i="27"/>
  <c r="F63" i="27"/>
  <c r="G63" i="27"/>
  <c r="H63" i="27"/>
  <c r="I63" i="27"/>
  <c r="J63" i="27"/>
  <c r="K63" i="27"/>
  <c r="B63" i="27"/>
  <c r="C55" i="27"/>
  <c r="E55" i="27"/>
  <c r="F55" i="27"/>
  <c r="G55" i="27"/>
  <c r="H55" i="27"/>
  <c r="I55" i="27"/>
  <c r="J55" i="27"/>
  <c r="K55" i="27"/>
  <c r="B55" i="27"/>
  <c r="D169" i="6"/>
  <c r="C77" i="27" s="1"/>
  <c r="E77" i="27"/>
  <c r="C169" i="6"/>
  <c r="B77" i="27" s="1"/>
  <c r="C75" i="27"/>
  <c r="B75" i="27"/>
  <c r="X91" i="21" l="1"/>
  <c r="AA83" i="21"/>
  <c r="Q81" i="37"/>
  <c r="D63" i="24"/>
  <c r="D63" i="18"/>
  <c r="Q86" i="37"/>
  <c r="N203" i="7"/>
  <c r="E91" i="21"/>
  <c r="G91" i="21"/>
  <c r="F91" i="21"/>
  <c r="I91" i="21"/>
  <c r="J91" i="21"/>
  <c r="H91" i="21"/>
  <c r="I12" i="16"/>
  <c r="F218" i="7"/>
  <c r="F40" i="7"/>
  <c r="E40" i="16" s="1"/>
  <c r="E40" i="20" s="1"/>
  <c r="J39" i="24"/>
  <c r="J36" i="23"/>
  <c r="J39" i="18"/>
  <c r="F43" i="24"/>
  <c r="F40" i="23"/>
  <c r="F43" i="18"/>
  <c r="K218" i="7"/>
  <c r="K48" i="7"/>
  <c r="J48" i="16" s="1"/>
  <c r="J48" i="20" s="1"/>
  <c r="D72" i="16"/>
  <c r="L75" i="24"/>
  <c r="L72" i="23"/>
  <c r="L75" i="18"/>
  <c r="I33" i="24"/>
  <c r="I30" i="23"/>
  <c r="I33" i="18"/>
  <c r="P62" i="5"/>
  <c r="I51" i="24"/>
  <c r="I48" i="23"/>
  <c r="I51" i="18"/>
  <c r="P60" i="5"/>
  <c r="D58" i="20"/>
  <c r="G43" i="24"/>
  <c r="G40" i="23"/>
  <c r="G43" i="18"/>
  <c r="K51" i="24"/>
  <c r="K48" i="23"/>
  <c r="K51" i="18"/>
  <c r="E75" i="24"/>
  <c r="E75" i="18"/>
  <c r="E72" i="23"/>
  <c r="M75" i="24"/>
  <c r="M72" i="23"/>
  <c r="M75" i="18"/>
  <c r="I78" i="7"/>
  <c r="I81" i="7" s="1"/>
  <c r="H12" i="16"/>
  <c r="I39" i="24"/>
  <c r="I39" i="18"/>
  <c r="I36" i="23"/>
  <c r="L218" i="7"/>
  <c r="L72" i="7"/>
  <c r="K72" i="16" s="1"/>
  <c r="K72" i="20" s="1"/>
  <c r="F29" i="24"/>
  <c r="F26" i="23"/>
  <c r="F29" i="18"/>
  <c r="M218" i="7"/>
  <c r="M30" i="7"/>
  <c r="L30" i="16" s="1"/>
  <c r="L30" i="20" s="1"/>
  <c r="K12" i="16"/>
  <c r="E33" i="24"/>
  <c r="E30" i="23"/>
  <c r="E33" i="18"/>
  <c r="M33" i="24"/>
  <c r="M30" i="23"/>
  <c r="M33" i="18"/>
  <c r="E78" i="7"/>
  <c r="L12" i="16"/>
  <c r="H29" i="24"/>
  <c r="H29" i="18"/>
  <c r="H26" i="23"/>
  <c r="L39" i="24"/>
  <c r="L36" i="23"/>
  <c r="L39" i="18"/>
  <c r="H43" i="24"/>
  <c r="H40" i="23"/>
  <c r="H43" i="18"/>
  <c r="L51" i="24"/>
  <c r="L48" i="23"/>
  <c r="L51" i="18"/>
  <c r="F75" i="24"/>
  <c r="F75" i="18"/>
  <c r="F72" i="23"/>
  <c r="K91" i="21"/>
  <c r="E29" i="24"/>
  <c r="E26" i="23"/>
  <c r="E29" i="18"/>
  <c r="J12" i="16"/>
  <c r="K39" i="24"/>
  <c r="K36" i="23"/>
  <c r="K39" i="18"/>
  <c r="F33" i="24"/>
  <c r="F30" i="23"/>
  <c r="F33" i="18"/>
  <c r="E12" i="16"/>
  <c r="M12" i="16"/>
  <c r="N78" i="7"/>
  <c r="N81" i="7" s="1"/>
  <c r="I29" i="24"/>
  <c r="I26" i="23"/>
  <c r="I29" i="18"/>
  <c r="E39" i="24"/>
  <c r="E36" i="23"/>
  <c r="E39" i="18"/>
  <c r="M39" i="24"/>
  <c r="M36" i="23"/>
  <c r="M39" i="18"/>
  <c r="I43" i="24"/>
  <c r="I40" i="23"/>
  <c r="I43" i="18"/>
  <c r="E51" i="24"/>
  <c r="E48" i="23"/>
  <c r="E51" i="18"/>
  <c r="M51" i="24"/>
  <c r="M48" i="23"/>
  <c r="M51" i="18"/>
  <c r="G75" i="24"/>
  <c r="G72" i="23"/>
  <c r="G75" i="18"/>
  <c r="Q84" i="37"/>
  <c r="J33" i="24"/>
  <c r="J30" i="23"/>
  <c r="J33" i="18"/>
  <c r="M43" i="24"/>
  <c r="M43" i="18"/>
  <c r="M40" i="23"/>
  <c r="K33" i="24"/>
  <c r="K33" i="18"/>
  <c r="K30" i="23"/>
  <c r="G33" i="24"/>
  <c r="G30" i="23"/>
  <c r="G33" i="18"/>
  <c r="F12" i="16"/>
  <c r="G78" i="7"/>
  <c r="G81" i="7" s="1"/>
  <c r="J29" i="24"/>
  <c r="J29" i="18"/>
  <c r="J26" i="23"/>
  <c r="F39" i="24"/>
  <c r="F36" i="23"/>
  <c r="F39" i="18"/>
  <c r="J43" i="24"/>
  <c r="J43" i="18"/>
  <c r="J40" i="23"/>
  <c r="F51" i="24"/>
  <c r="F48" i="23"/>
  <c r="F51" i="18"/>
  <c r="H75" i="24"/>
  <c r="H75" i="18"/>
  <c r="H72" i="23"/>
  <c r="P70" i="5"/>
  <c r="D68" i="20"/>
  <c r="M91" i="21"/>
  <c r="M29" i="24"/>
  <c r="M26" i="23"/>
  <c r="M29" i="18"/>
  <c r="G29" i="24"/>
  <c r="G29" i="18"/>
  <c r="G26" i="23"/>
  <c r="H33" i="24"/>
  <c r="H30" i="23"/>
  <c r="H33" i="18"/>
  <c r="G218" i="7"/>
  <c r="G12" i="16"/>
  <c r="H78" i="7"/>
  <c r="H81" i="7" s="1"/>
  <c r="K29" i="24"/>
  <c r="K26" i="23"/>
  <c r="K29" i="18"/>
  <c r="G39" i="24"/>
  <c r="G36" i="23"/>
  <c r="G39" i="18"/>
  <c r="K43" i="24"/>
  <c r="K40" i="23"/>
  <c r="K43" i="18"/>
  <c r="G51" i="24"/>
  <c r="G48" i="23"/>
  <c r="G51" i="18"/>
  <c r="J218" i="7"/>
  <c r="J72" i="7"/>
  <c r="I72" i="16" s="1"/>
  <c r="I72" i="20" s="1"/>
  <c r="L29" i="24"/>
  <c r="L29" i="18"/>
  <c r="L26" i="23"/>
  <c r="H39" i="24"/>
  <c r="H36" i="23"/>
  <c r="H39" i="18"/>
  <c r="L43" i="24"/>
  <c r="L43" i="18"/>
  <c r="L40" i="23"/>
  <c r="H51" i="24"/>
  <c r="H48" i="23"/>
  <c r="H51" i="18"/>
  <c r="J75" i="24"/>
  <c r="J72" i="23"/>
  <c r="J75" i="18"/>
  <c r="P55" i="37"/>
  <c r="P94" i="37" s="1"/>
  <c r="Q92" i="21" s="1"/>
  <c r="P35" i="21"/>
  <c r="AA35" i="21" s="1"/>
  <c r="D92" i="37"/>
  <c r="P92" i="37" s="1"/>
  <c r="E218" i="7"/>
  <c r="H218" i="7"/>
  <c r="Q52" i="7"/>
  <c r="Q56" i="7"/>
  <c r="Q60" i="7"/>
  <c r="E72" i="6"/>
  <c r="D74" i="5" s="1"/>
  <c r="P74" i="5" s="1"/>
  <c r="K77" i="27"/>
  <c r="F77" i="27"/>
  <c r="H75" i="27"/>
  <c r="J75" i="27"/>
  <c r="G75" i="27"/>
  <c r="F75" i="27"/>
  <c r="K75" i="27"/>
  <c r="H77" i="27"/>
  <c r="D81" i="27"/>
  <c r="Q161" i="6"/>
  <c r="D55" i="27"/>
  <c r="D65" i="27"/>
  <c r="D71" i="27"/>
  <c r="Q22" i="7"/>
  <c r="Q34" i="7"/>
  <c r="Q42" i="7"/>
  <c r="E78" i="12"/>
  <c r="B56" i="5"/>
  <c r="B76" i="5"/>
  <c r="C74" i="5"/>
  <c r="C64" i="10"/>
  <c r="B70" i="14"/>
  <c r="C72" i="14"/>
  <c r="C58" i="14"/>
  <c r="Q14" i="7"/>
  <c r="Q28" i="7"/>
  <c r="J78" i="12"/>
  <c r="B60" i="5"/>
  <c r="B54" i="10"/>
  <c r="C60" i="10"/>
  <c r="C70" i="10"/>
  <c r="B58" i="14"/>
  <c r="B74" i="14"/>
  <c r="C70" i="14"/>
  <c r="D69" i="27"/>
  <c r="Q24" i="7"/>
  <c r="Q70" i="7"/>
  <c r="Q20" i="7"/>
  <c r="Q36" i="7"/>
  <c r="Q46" i="7"/>
  <c r="B62" i="5"/>
  <c r="D78" i="5"/>
  <c r="C60" i="5"/>
  <c r="D58" i="5"/>
  <c r="C54" i="10"/>
  <c r="B66" i="10"/>
  <c r="C72" i="10"/>
  <c r="B68" i="14"/>
  <c r="C68" i="14"/>
  <c r="C56" i="14"/>
  <c r="Q169" i="6"/>
  <c r="D63" i="27"/>
  <c r="D79" i="27"/>
  <c r="Q26" i="7"/>
  <c r="Q44" i="7"/>
  <c r="Q66" i="7"/>
  <c r="B46" i="5"/>
  <c r="D46" i="5"/>
  <c r="B68" i="5"/>
  <c r="C78" i="5"/>
  <c r="C70" i="5"/>
  <c r="C58" i="5"/>
  <c r="D56" i="5"/>
  <c r="B46" i="10"/>
  <c r="B56" i="10"/>
  <c r="B62" i="10"/>
  <c r="C66" i="10"/>
  <c r="B76" i="14"/>
  <c r="E73" i="27"/>
  <c r="Q32" i="7"/>
  <c r="Q38" i="7"/>
  <c r="Q50" i="7"/>
  <c r="Q54" i="7"/>
  <c r="Q58" i="7"/>
  <c r="Q62" i="7"/>
  <c r="C46" i="5"/>
  <c r="B70" i="5"/>
  <c r="D76" i="5"/>
  <c r="D68" i="5"/>
  <c r="D66" i="20" s="1"/>
  <c r="C56" i="5"/>
  <c r="C46" i="10"/>
  <c r="C56" i="10"/>
  <c r="C62" i="10"/>
  <c r="B72" i="10"/>
  <c r="B78" i="14"/>
  <c r="C78" i="14"/>
  <c r="D67" i="27"/>
  <c r="B72" i="5"/>
  <c r="C76" i="5"/>
  <c r="C68" i="5"/>
  <c r="B58" i="10"/>
  <c r="B68" i="10"/>
  <c r="B46" i="14"/>
  <c r="B62" i="14"/>
  <c r="C76" i="14"/>
  <c r="C64" i="14"/>
  <c r="C72" i="5"/>
  <c r="Q68" i="7"/>
  <c r="Q12" i="7"/>
  <c r="Q64" i="7"/>
  <c r="B74" i="5"/>
  <c r="C58" i="10"/>
  <c r="B64" i="10"/>
  <c r="C68" i="10"/>
  <c r="B64" i="14"/>
  <c r="C74" i="14"/>
  <c r="C46" i="14"/>
  <c r="M79" i="27"/>
  <c r="L79" i="27"/>
  <c r="M81" i="27"/>
  <c r="L81" i="27"/>
  <c r="M77" i="27"/>
  <c r="L77" i="27"/>
  <c r="M75" i="27"/>
  <c r="M71" i="27"/>
  <c r="M73" i="27"/>
  <c r="L71" i="27"/>
  <c r="L73" i="27"/>
  <c r="M69" i="27"/>
  <c r="L69" i="27"/>
  <c r="M67" i="27"/>
  <c r="L67" i="27"/>
  <c r="L65" i="27"/>
  <c r="M63" i="27"/>
  <c r="M65" i="27"/>
  <c r="L63" i="27"/>
  <c r="L55" i="27"/>
  <c r="M55" i="27"/>
  <c r="C77" i="12"/>
  <c r="D10" i="12"/>
  <c r="D77" i="12" s="1"/>
  <c r="D76" i="7"/>
  <c r="C76" i="7"/>
  <c r="N218" i="7" l="1"/>
  <c r="Q203" i="7"/>
  <c r="Q40" i="7"/>
  <c r="Q48" i="7"/>
  <c r="F78" i="7"/>
  <c r="F81" i="7" s="1"/>
  <c r="L78" i="7"/>
  <c r="L81" i="7" s="1"/>
  <c r="K78" i="7"/>
  <c r="K81" i="7" s="1"/>
  <c r="D72" i="20"/>
  <c r="D75" i="24" s="1"/>
  <c r="D61" i="24"/>
  <c r="D58" i="23"/>
  <c r="D61" i="18"/>
  <c r="P46" i="5"/>
  <c r="D44" i="20"/>
  <c r="P78" i="5"/>
  <c r="D76" i="20"/>
  <c r="D85" i="21"/>
  <c r="P85" i="21" s="1"/>
  <c r="AA85" i="21" s="1"/>
  <c r="D74" i="14"/>
  <c r="P74" i="14" s="1"/>
  <c r="D74" i="33"/>
  <c r="P74" i="33" s="1"/>
  <c r="D74" i="10"/>
  <c r="P74" i="10" s="1"/>
  <c r="G78" i="16"/>
  <c r="G80" i="16" s="1"/>
  <c r="G12" i="23"/>
  <c r="E81" i="7"/>
  <c r="D81" i="16"/>
  <c r="I75" i="24"/>
  <c r="I72" i="23"/>
  <c r="I75" i="18"/>
  <c r="K78" i="16"/>
  <c r="K12" i="23"/>
  <c r="L33" i="24"/>
  <c r="L30" i="23"/>
  <c r="L33" i="18"/>
  <c r="Q72" i="7"/>
  <c r="P68" i="5"/>
  <c r="P76" i="5"/>
  <c r="D74" i="20"/>
  <c r="D71" i="24"/>
  <c r="D68" i="23"/>
  <c r="D71" i="18"/>
  <c r="M78" i="16"/>
  <c r="M80" i="16" s="1"/>
  <c r="M12" i="23"/>
  <c r="H78" i="16"/>
  <c r="H80" i="16" s="1"/>
  <c r="H12" i="23"/>
  <c r="J51" i="24"/>
  <c r="J48" i="23"/>
  <c r="J51" i="18"/>
  <c r="E43" i="24"/>
  <c r="E43" i="18"/>
  <c r="E40" i="23"/>
  <c r="D60" i="23"/>
  <c r="P58" i="5"/>
  <c r="D56" i="20"/>
  <c r="F78" i="16"/>
  <c r="F80" i="16" s="1"/>
  <c r="F12" i="23"/>
  <c r="E78" i="16"/>
  <c r="E12" i="23"/>
  <c r="J78" i="16"/>
  <c r="J12" i="23"/>
  <c r="M78" i="7"/>
  <c r="M81" i="7" s="1"/>
  <c r="J78" i="7"/>
  <c r="J81" i="7" s="1"/>
  <c r="P56" i="5"/>
  <c r="D54" i="20"/>
  <c r="Q30" i="7"/>
  <c r="D77" i="27"/>
  <c r="L78" i="16"/>
  <c r="L12" i="23"/>
  <c r="K75" i="24"/>
  <c r="K72" i="23"/>
  <c r="K75" i="18"/>
  <c r="I78" i="16"/>
  <c r="I12" i="23"/>
  <c r="Q72" i="6"/>
  <c r="J77" i="27"/>
  <c r="G77" i="27"/>
  <c r="I77" i="27"/>
  <c r="E75" i="27"/>
  <c r="I75" i="27"/>
  <c r="L75" i="27"/>
  <c r="P64" i="10"/>
  <c r="P58" i="10"/>
  <c r="P60" i="10"/>
  <c r="P72" i="10"/>
  <c r="D75" i="27"/>
  <c r="D72" i="5"/>
  <c r="P46" i="10"/>
  <c r="D78" i="12"/>
  <c r="Q10" i="7"/>
  <c r="P62" i="10"/>
  <c r="P73" i="27"/>
  <c r="N78" i="12"/>
  <c r="P55" i="27"/>
  <c r="P79" i="27"/>
  <c r="P65" i="27"/>
  <c r="P67" i="27"/>
  <c r="P69" i="27"/>
  <c r="P71" i="27"/>
  <c r="P70" i="10"/>
  <c r="P54" i="10"/>
  <c r="P56" i="10"/>
  <c r="P81" i="27"/>
  <c r="P63" i="27"/>
  <c r="I78" i="12"/>
  <c r="M78" i="12"/>
  <c r="K78" i="12"/>
  <c r="G78" i="12"/>
  <c r="C78" i="12"/>
  <c r="H78" i="12"/>
  <c r="C64" i="15"/>
  <c r="B64" i="15"/>
  <c r="C20" i="15"/>
  <c r="B20" i="15"/>
  <c r="C72" i="15"/>
  <c r="B72" i="15"/>
  <c r="E80" i="16" l="1"/>
  <c r="K80" i="16"/>
  <c r="J80" i="16"/>
  <c r="Q78" i="7"/>
  <c r="P75" i="24"/>
  <c r="D75" i="18"/>
  <c r="P75" i="18" s="1"/>
  <c r="D72" i="23"/>
  <c r="L80" i="16"/>
  <c r="D59" i="24"/>
  <c r="D59" i="18"/>
  <c r="D56" i="23"/>
  <c r="D79" i="24"/>
  <c r="P79" i="24" s="1"/>
  <c r="D76" i="23"/>
  <c r="D79" i="18"/>
  <c r="P79" i="18" s="1"/>
  <c r="J15" i="24"/>
  <c r="J80" i="24" s="1"/>
  <c r="J15" i="18"/>
  <c r="J81" i="18" s="1"/>
  <c r="D47" i="24"/>
  <c r="D44" i="23"/>
  <c r="D47" i="18"/>
  <c r="I80" i="16"/>
  <c r="H15" i="18"/>
  <c r="H81" i="18" s="1"/>
  <c r="H15" i="24"/>
  <c r="H80" i="24" s="1"/>
  <c r="L15" i="24"/>
  <c r="L80" i="24" s="1"/>
  <c r="L15" i="18"/>
  <c r="L81" i="18" s="1"/>
  <c r="K15" i="18"/>
  <c r="K81" i="18" s="1"/>
  <c r="K15" i="24"/>
  <c r="K80" i="24" s="1"/>
  <c r="P72" i="5"/>
  <c r="D70" i="20"/>
  <c r="E15" i="18"/>
  <c r="E81" i="18" s="1"/>
  <c r="E15" i="24"/>
  <c r="E80" i="24" s="1"/>
  <c r="D69" i="24"/>
  <c r="D66" i="23"/>
  <c r="D69" i="18"/>
  <c r="D77" i="24"/>
  <c r="P77" i="24" s="1"/>
  <c r="D74" i="23"/>
  <c r="D77" i="18"/>
  <c r="P77" i="18" s="1"/>
  <c r="M15" i="18"/>
  <c r="M81" i="18" s="1"/>
  <c r="M15" i="24"/>
  <c r="M80" i="24" s="1"/>
  <c r="I15" i="18"/>
  <c r="I81" i="18" s="1"/>
  <c r="I15" i="24"/>
  <c r="I80" i="24" s="1"/>
  <c r="G15" i="24"/>
  <c r="G80" i="24" s="1"/>
  <c r="G15" i="18"/>
  <c r="G81" i="18" s="1"/>
  <c r="D57" i="24"/>
  <c r="D54" i="23"/>
  <c r="D57" i="18"/>
  <c r="F15" i="18"/>
  <c r="F81" i="18" s="1"/>
  <c r="F15" i="24"/>
  <c r="F80" i="24" s="1"/>
  <c r="L78" i="12"/>
  <c r="P68" i="10"/>
  <c r="P77" i="27"/>
  <c r="P66" i="10"/>
  <c r="P75" i="27"/>
  <c r="C18" i="16"/>
  <c r="B18" i="16"/>
  <c r="C62" i="16"/>
  <c r="B62" i="16"/>
  <c r="C70" i="16"/>
  <c r="B70" i="16"/>
  <c r="D73" i="24" l="1"/>
  <c r="D70" i="23"/>
  <c r="D73" i="18"/>
  <c r="Q76" i="7"/>
  <c r="B70" i="15"/>
  <c r="C70" i="15"/>
  <c r="B58" i="15"/>
  <c r="C58" i="15"/>
  <c r="B66" i="15"/>
  <c r="C66" i="15"/>
  <c r="B44" i="15"/>
  <c r="C44" i="15"/>
  <c r="B52" i="15"/>
  <c r="C52" i="15"/>
  <c r="B40" i="15"/>
  <c r="C40" i="15"/>
  <c r="C22" i="15"/>
  <c r="B68" i="15"/>
  <c r="C68" i="15"/>
  <c r="B50" i="15"/>
  <c r="C50" i="15"/>
  <c r="B48" i="15"/>
  <c r="C48" i="15"/>
  <c r="B36" i="15"/>
  <c r="C36" i="15"/>
  <c r="B32" i="15"/>
  <c r="B62" i="15"/>
  <c r="C62" i="15"/>
  <c r="B26" i="15"/>
  <c r="C26" i="15"/>
  <c r="B56" i="15"/>
  <c r="C56" i="15"/>
  <c r="B34" i="15"/>
  <c r="C34" i="15"/>
  <c r="B30" i="15"/>
  <c r="C30" i="15"/>
  <c r="B60" i="15"/>
  <c r="C60" i="15"/>
  <c r="B24" i="15"/>
  <c r="C24" i="15"/>
  <c r="B54" i="15"/>
  <c r="C54" i="15"/>
  <c r="B42" i="15"/>
  <c r="C22" i="5"/>
  <c r="Q18" i="7" l="1"/>
  <c r="E10" i="6"/>
  <c r="I43" i="27"/>
  <c r="C36" i="14"/>
  <c r="C45" i="27"/>
  <c r="C36" i="10"/>
  <c r="B61" i="27"/>
  <c r="B54" i="5"/>
  <c r="B54" i="14"/>
  <c r="B52" i="10"/>
  <c r="F49" i="27"/>
  <c r="J39" i="27"/>
  <c r="B33" i="27"/>
  <c r="B24" i="10"/>
  <c r="E53" i="27"/>
  <c r="E43" i="27"/>
  <c r="E33" i="27"/>
  <c r="H59" i="27"/>
  <c r="L47" i="27"/>
  <c r="H35" i="27"/>
  <c r="H25" i="27"/>
  <c r="G53" i="27"/>
  <c r="K43" i="27"/>
  <c r="C35" i="27"/>
  <c r="C26" i="10"/>
  <c r="G25" i="27"/>
  <c r="J59" i="27"/>
  <c r="B49" i="27"/>
  <c r="B40" i="10"/>
  <c r="F39" i="27"/>
  <c r="J31" i="27"/>
  <c r="D59" i="27"/>
  <c r="D52" i="5"/>
  <c r="D26" i="5"/>
  <c r="D35" i="27"/>
  <c r="D16" i="5"/>
  <c r="P16" i="5" s="1"/>
  <c r="D25" i="27"/>
  <c r="K61" i="27"/>
  <c r="C44" i="14"/>
  <c r="C53" i="27"/>
  <c r="C44" i="10"/>
  <c r="G43" i="27"/>
  <c r="K33" i="27"/>
  <c r="C25" i="27"/>
  <c r="C16" i="10"/>
  <c r="F59" i="27"/>
  <c r="H45" i="27"/>
  <c r="H33" i="27"/>
  <c r="G61" i="27"/>
  <c r="K49" i="27"/>
  <c r="C43" i="27"/>
  <c r="C34" i="10"/>
  <c r="G33" i="27"/>
  <c r="J49" i="27"/>
  <c r="D30" i="5"/>
  <c r="D39" i="27"/>
  <c r="B39" i="27"/>
  <c r="B30" i="10"/>
  <c r="I49" i="27"/>
  <c r="I31" i="27"/>
  <c r="F45" i="27"/>
  <c r="E61" i="27"/>
  <c r="E49" i="27"/>
  <c r="E39" i="27"/>
  <c r="E31" i="27"/>
  <c r="H53" i="27"/>
  <c r="D36" i="14"/>
  <c r="P36" i="14" s="1"/>
  <c r="D45" i="27"/>
  <c r="D24" i="14"/>
  <c r="P24" i="14" s="1"/>
  <c r="D33" i="27"/>
  <c r="C61" i="27"/>
  <c r="C54" i="5"/>
  <c r="C54" i="14"/>
  <c r="C52" i="10"/>
  <c r="G49" i="27"/>
  <c r="K39" i="27"/>
  <c r="C24" i="14"/>
  <c r="C33" i="27"/>
  <c r="C24" i="10"/>
  <c r="I33" i="27"/>
  <c r="J45" i="27"/>
  <c r="F31" i="27"/>
  <c r="I61" i="27"/>
  <c r="I39" i="27"/>
  <c r="B59" i="27"/>
  <c r="B52" i="14"/>
  <c r="B50" i="10"/>
  <c r="B52" i="5"/>
  <c r="J53" i="27"/>
  <c r="J25" i="27"/>
  <c r="I59" i="27"/>
  <c r="I45" i="27"/>
  <c r="I25" i="27"/>
  <c r="D44" i="14"/>
  <c r="P44" i="14" s="1"/>
  <c r="D53" i="27"/>
  <c r="H43" i="27"/>
  <c r="K59" i="27"/>
  <c r="C40" i="14"/>
  <c r="C49" i="27"/>
  <c r="C40" i="10"/>
  <c r="G39" i="27"/>
  <c r="K31" i="27"/>
  <c r="F33" i="27"/>
  <c r="G35" i="27"/>
  <c r="J35" i="27"/>
  <c r="C36" i="5"/>
  <c r="B45" i="27"/>
  <c r="B36" i="10"/>
  <c r="F35" i="27"/>
  <c r="F53" i="27"/>
  <c r="J43" i="27"/>
  <c r="B35" i="27"/>
  <c r="B26" i="10"/>
  <c r="F25" i="27"/>
  <c r="E59" i="27"/>
  <c r="E45" i="27"/>
  <c r="I35" i="27"/>
  <c r="E25" i="27"/>
  <c r="H61" i="27"/>
  <c r="D34" i="5"/>
  <c r="D43" i="27"/>
  <c r="H31" i="27"/>
  <c r="G59" i="27"/>
  <c r="K45" i="27"/>
  <c r="C30" i="14"/>
  <c r="C39" i="27"/>
  <c r="C30" i="10"/>
  <c r="G31" i="27"/>
  <c r="F61" i="27"/>
  <c r="B34" i="5"/>
  <c r="B43" i="27"/>
  <c r="B34" i="10"/>
  <c r="I53" i="27"/>
  <c r="D40" i="14"/>
  <c r="P40" i="14" s="1"/>
  <c r="D49" i="27"/>
  <c r="K53" i="27"/>
  <c r="K25" i="27"/>
  <c r="J61" i="27"/>
  <c r="B53" i="27"/>
  <c r="B44" i="10"/>
  <c r="F43" i="27"/>
  <c r="J33" i="27"/>
  <c r="B25" i="27"/>
  <c r="B16" i="10"/>
  <c r="E35" i="27"/>
  <c r="D61" i="27"/>
  <c r="D54" i="5"/>
  <c r="H49" i="27"/>
  <c r="H39" i="27"/>
  <c r="C59" i="27"/>
  <c r="C50" i="10"/>
  <c r="C52" i="5"/>
  <c r="C52" i="14"/>
  <c r="G45" i="27"/>
  <c r="K35" i="27"/>
  <c r="C22" i="14"/>
  <c r="C31" i="27"/>
  <c r="C22" i="10"/>
  <c r="L59" i="27"/>
  <c r="L61" i="27"/>
  <c r="M61" i="27"/>
  <c r="M59" i="27"/>
  <c r="M53" i="27"/>
  <c r="L53" i="27"/>
  <c r="M51" i="27"/>
  <c r="M49" i="27"/>
  <c r="L49" i="27"/>
  <c r="L45" i="27"/>
  <c r="M45" i="27"/>
  <c r="L43" i="27"/>
  <c r="M43" i="27"/>
  <c r="M39" i="27"/>
  <c r="L39" i="27"/>
  <c r="L35" i="27"/>
  <c r="M35" i="27"/>
  <c r="L33" i="27"/>
  <c r="M33" i="27"/>
  <c r="L31" i="27"/>
  <c r="M31" i="27"/>
  <c r="M25" i="27"/>
  <c r="L25" i="27"/>
  <c r="B31" i="27"/>
  <c r="B22" i="10"/>
  <c r="C24" i="5"/>
  <c r="C44" i="5"/>
  <c r="C30" i="5"/>
  <c r="D22" i="5"/>
  <c r="D36" i="5"/>
  <c r="B24" i="5"/>
  <c r="D40" i="5"/>
  <c r="C40" i="5"/>
  <c r="B30" i="5"/>
  <c r="D91" i="6"/>
  <c r="D44" i="5"/>
  <c r="C118" i="6"/>
  <c r="B44" i="14"/>
  <c r="B40" i="14"/>
  <c r="B40" i="5"/>
  <c r="C132" i="6"/>
  <c r="B16" i="5"/>
  <c r="B30" i="14"/>
  <c r="B24" i="14"/>
  <c r="B34" i="14"/>
  <c r="D118" i="6"/>
  <c r="C91" i="6"/>
  <c r="C42" i="15"/>
  <c r="C40" i="16" s="1"/>
  <c r="D132" i="6"/>
  <c r="B36" i="14"/>
  <c r="B36" i="5"/>
  <c r="B26" i="5"/>
  <c r="B26" i="14"/>
  <c r="B22" i="14"/>
  <c r="B22" i="5"/>
  <c r="C52" i="16"/>
  <c r="C22" i="16"/>
  <c r="C32" i="16"/>
  <c r="C46" i="15"/>
  <c r="C54" i="16"/>
  <c r="C24" i="16"/>
  <c r="E40" i="6"/>
  <c r="D53" i="21" s="1"/>
  <c r="P53" i="21" s="1"/>
  <c r="AA53" i="21" s="1"/>
  <c r="E30" i="6"/>
  <c r="D26" i="14"/>
  <c r="P26" i="14" s="1"/>
  <c r="B28" i="15"/>
  <c r="B30" i="16"/>
  <c r="B34" i="16"/>
  <c r="B46" i="16"/>
  <c r="B48" i="16"/>
  <c r="B66" i="16"/>
  <c r="C26" i="5"/>
  <c r="C26" i="14"/>
  <c r="B22" i="15"/>
  <c r="B38" i="16"/>
  <c r="B50" i="16"/>
  <c r="B42" i="16"/>
  <c r="B64" i="16"/>
  <c r="B56" i="16"/>
  <c r="B68" i="16"/>
  <c r="C141" i="6"/>
  <c r="B16" i="15"/>
  <c r="B16" i="14"/>
  <c r="C58" i="16"/>
  <c r="D97" i="6"/>
  <c r="B28" i="16"/>
  <c r="B32" i="16"/>
  <c r="B46" i="15"/>
  <c r="B54" i="16"/>
  <c r="B24" i="16"/>
  <c r="B60" i="16"/>
  <c r="D34" i="14"/>
  <c r="P34" i="14" s="1"/>
  <c r="E26" i="6"/>
  <c r="P16" i="14"/>
  <c r="D126" i="6"/>
  <c r="C42" i="16"/>
  <c r="C56" i="16"/>
  <c r="C68" i="16"/>
  <c r="B40" i="16"/>
  <c r="B52" i="16"/>
  <c r="B22" i="16"/>
  <c r="B58" i="16"/>
  <c r="C34" i="16"/>
  <c r="C48" i="16"/>
  <c r="B44" i="5"/>
  <c r="C126" i="6"/>
  <c r="C28" i="16"/>
  <c r="C60" i="16"/>
  <c r="C97" i="6"/>
  <c r="C28" i="15"/>
  <c r="C32" i="15"/>
  <c r="C46" i="16"/>
  <c r="C66" i="16"/>
  <c r="D141" i="6"/>
  <c r="C57" i="27" s="1"/>
  <c r="C34" i="5"/>
  <c r="C34" i="14"/>
  <c r="C16" i="5"/>
  <c r="C16" i="15"/>
  <c r="C16" i="14"/>
  <c r="C20" i="16"/>
  <c r="C38" i="16"/>
  <c r="C50" i="16"/>
  <c r="C64" i="16"/>
  <c r="D12" i="15" l="1"/>
  <c r="D23" i="21"/>
  <c r="P23" i="21" s="1"/>
  <c r="AA23" i="21" s="1"/>
  <c r="D12" i="10"/>
  <c r="P12" i="10" s="1"/>
  <c r="D12" i="14"/>
  <c r="P12" i="14" s="1"/>
  <c r="P30" i="5"/>
  <c r="D28" i="20"/>
  <c r="P34" i="5"/>
  <c r="D32" i="20"/>
  <c r="Q26" i="6"/>
  <c r="D39" i="21"/>
  <c r="P39" i="21" s="1"/>
  <c r="AA39" i="21" s="1"/>
  <c r="D28" i="14"/>
  <c r="P28" i="14" s="1"/>
  <c r="D28" i="33"/>
  <c r="P28" i="33" s="1"/>
  <c r="D28" i="10"/>
  <c r="Q40" i="6"/>
  <c r="D42" i="14"/>
  <c r="P42" i="14" s="1"/>
  <c r="D42" i="33"/>
  <c r="P42" i="33" s="1"/>
  <c r="D42" i="10"/>
  <c r="P36" i="5"/>
  <c r="D34" i="20"/>
  <c r="Q30" i="6"/>
  <c r="D43" i="21"/>
  <c r="P43" i="21" s="1"/>
  <c r="AA43" i="21" s="1"/>
  <c r="D32" i="33"/>
  <c r="P32" i="33" s="1"/>
  <c r="D32" i="10"/>
  <c r="P40" i="5"/>
  <c r="D38" i="20"/>
  <c r="P22" i="5"/>
  <c r="D20" i="20"/>
  <c r="P54" i="5"/>
  <c r="D52" i="20"/>
  <c r="P44" i="5"/>
  <c r="D42" i="20"/>
  <c r="P26" i="5"/>
  <c r="D24" i="20"/>
  <c r="D12" i="33"/>
  <c r="P12" i="33" s="1"/>
  <c r="P52" i="5"/>
  <c r="D50" i="20"/>
  <c r="Q17" i="7"/>
  <c r="D12" i="5"/>
  <c r="D21" i="27"/>
  <c r="E18" i="6"/>
  <c r="E17" i="6" s="1"/>
  <c r="D30" i="21" s="1"/>
  <c r="P30" i="21" s="1"/>
  <c r="AA30" i="21" s="1"/>
  <c r="E12" i="6"/>
  <c r="E57" i="27"/>
  <c r="I57" i="27"/>
  <c r="F57" i="27"/>
  <c r="H57" i="27"/>
  <c r="J57" i="27"/>
  <c r="G57" i="27"/>
  <c r="P44" i="10"/>
  <c r="P40" i="10"/>
  <c r="K51" i="27"/>
  <c r="E47" i="27"/>
  <c r="I37" i="27"/>
  <c r="J37" i="27"/>
  <c r="I51" i="27"/>
  <c r="E51" i="27"/>
  <c r="J47" i="27"/>
  <c r="Q10" i="6"/>
  <c r="H37" i="27"/>
  <c r="F47" i="27"/>
  <c r="M47" i="27"/>
  <c r="P50" i="10"/>
  <c r="C38" i="5"/>
  <c r="C38" i="14"/>
  <c r="C38" i="10"/>
  <c r="C47" i="27"/>
  <c r="J23" i="27"/>
  <c r="C23" i="27"/>
  <c r="C14" i="10"/>
  <c r="F37" i="27"/>
  <c r="F51" i="27"/>
  <c r="K37" i="27"/>
  <c r="J51" i="27"/>
  <c r="I23" i="27"/>
  <c r="D22" i="14"/>
  <c r="P22" i="14" s="1"/>
  <c r="D31" i="27"/>
  <c r="P31" i="27" s="1"/>
  <c r="P22" i="10"/>
  <c r="E37" i="27"/>
  <c r="K47" i="27"/>
  <c r="G51" i="27"/>
  <c r="H47" i="27"/>
  <c r="B38" i="10"/>
  <c r="B38" i="5"/>
  <c r="B38" i="14"/>
  <c r="C29" i="27"/>
  <c r="C20" i="10"/>
  <c r="G47" i="27"/>
  <c r="I47" i="27"/>
  <c r="P26" i="10"/>
  <c r="P45" i="27"/>
  <c r="F23" i="27"/>
  <c r="E23" i="27"/>
  <c r="H51" i="27"/>
  <c r="G37" i="27"/>
  <c r="C51" i="27"/>
  <c r="C42" i="10"/>
  <c r="P25" i="27"/>
  <c r="P24" i="10"/>
  <c r="P30" i="10"/>
  <c r="P34" i="10"/>
  <c r="P35" i="27"/>
  <c r="P52" i="10"/>
  <c r="P16" i="10"/>
  <c r="P33" i="27"/>
  <c r="P39" i="27"/>
  <c r="P43" i="27"/>
  <c r="P36" i="10"/>
  <c r="P49" i="27"/>
  <c r="P53" i="27"/>
  <c r="P61" i="27"/>
  <c r="P59" i="27"/>
  <c r="M29" i="27"/>
  <c r="L29" i="27"/>
  <c r="L57" i="27"/>
  <c r="M57" i="27"/>
  <c r="L51" i="27"/>
  <c r="L37" i="27"/>
  <c r="M37" i="27"/>
  <c r="L23" i="27"/>
  <c r="C83" i="28"/>
  <c r="C37" i="27"/>
  <c r="C28" i="10"/>
  <c r="B47" i="27"/>
  <c r="B57" i="27"/>
  <c r="B29" i="27"/>
  <c r="F21" i="27"/>
  <c r="I21" i="27"/>
  <c r="J21" i="27"/>
  <c r="B37" i="27"/>
  <c r="B51" i="27"/>
  <c r="H21" i="27"/>
  <c r="E21" i="27"/>
  <c r="L21" i="27"/>
  <c r="G21" i="27"/>
  <c r="C21" i="27"/>
  <c r="B20" i="10"/>
  <c r="B14" i="10"/>
  <c r="B23" i="27"/>
  <c r="B28" i="10"/>
  <c r="B12" i="10"/>
  <c r="B21" i="27"/>
  <c r="C12" i="10"/>
  <c r="B50" i="14"/>
  <c r="B48" i="10"/>
  <c r="B50" i="5"/>
  <c r="D50" i="5"/>
  <c r="C50" i="5"/>
  <c r="C48" i="10"/>
  <c r="C50" i="14"/>
  <c r="B42" i="14"/>
  <c r="B42" i="10"/>
  <c r="L41" i="27"/>
  <c r="M41" i="27"/>
  <c r="B42" i="5"/>
  <c r="C28" i="14"/>
  <c r="C28" i="5"/>
  <c r="B28" i="14"/>
  <c r="B28" i="5"/>
  <c r="C32" i="14"/>
  <c r="C42" i="14"/>
  <c r="C42" i="5"/>
  <c r="C26" i="16"/>
  <c r="B20" i="14"/>
  <c r="B20" i="5"/>
  <c r="C14" i="16"/>
  <c r="C14" i="23" s="1"/>
  <c r="B14" i="16"/>
  <c r="B14" i="23" s="1"/>
  <c r="B36" i="16"/>
  <c r="B20" i="16"/>
  <c r="B26" i="16"/>
  <c r="B14" i="15"/>
  <c r="B14" i="14"/>
  <c r="B14" i="5"/>
  <c r="B44" i="16"/>
  <c r="C12" i="15"/>
  <c r="C12" i="14"/>
  <c r="C12" i="5"/>
  <c r="B12" i="15"/>
  <c r="B12" i="14"/>
  <c r="C44" i="16"/>
  <c r="C36" i="16"/>
  <c r="C30" i="16"/>
  <c r="D28" i="5"/>
  <c r="C14" i="14"/>
  <c r="C14" i="15"/>
  <c r="C14" i="5"/>
  <c r="C20" i="14"/>
  <c r="C20" i="5"/>
  <c r="D42" i="5"/>
  <c r="B12" i="5"/>
  <c r="D20" i="5" l="1"/>
  <c r="P20" i="5" s="1"/>
  <c r="D14" i="15"/>
  <c r="D79" i="15" s="1"/>
  <c r="D14" i="10"/>
  <c r="D14" i="14"/>
  <c r="P14" i="14" s="1"/>
  <c r="Q17" i="6"/>
  <c r="D19" i="33"/>
  <c r="D20" i="33" s="1"/>
  <c r="P20" i="33" s="1"/>
  <c r="D20" i="23"/>
  <c r="D23" i="18"/>
  <c r="D37" i="24"/>
  <c r="D34" i="23"/>
  <c r="D37" i="18"/>
  <c r="D27" i="24"/>
  <c r="D24" i="23"/>
  <c r="D27" i="18"/>
  <c r="D53" i="24"/>
  <c r="D50" i="23"/>
  <c r="D53" i="18"/>
  <c r="D35" i="24"/>
  <c r="D32" i="23"/>
  <c r="D35" i="18"/>
  <c r="P28" i="5"/>
  <c r="D26" i="20"/>
  <c r="D41" i="24"/>
  <c r="D38" i="23"/>
  <c r="D41" i="18"/>
  <c r="P50" i="5"/>
  <c r="D48" i="20"/>
  <c r="D25" i="21"/>
  <c r="P25" i="21" s="1"/>
  <c r="AA25" i="21" s="1"/>
  <c r="D14" i="33"/>
  <c r="P14" i="33" s="1"/>
  <c r="D45" i="24"/>
  <c r="D42" i="23"/>
  <c r="D45" i="18"/>
  <c r="Q213" i="6"/>
  <c r="D10" i="16"/>
  <c r="P12" i="15"/>
  <c r="D31" i="24"/>
  <c r="D31" i="18"/>
  <c r="D28" i="23"/>
  <c r="P42" i="5"/>
  <c r="D40" i="20"/>
  <c r="Q18" i="6"/>
  <c r="D20" i="14"/>
  <c r="D20" i="10"/>
  <c r="D55" i="24"/>
  <c r="D52" i="23"/>
  <c r="D55" i="18"/>
  <c r="Q12" i="6"/>
  <c r="E78" i="6"/>
  <c r="E213" i="6"/>
  <c r="K23" i="27"/>
  <c r="G23" i="27"/>
  <c r="M23" i="27"/>
  <c r="K57" i="27"/>
  <c r="G210" i="6"/>
  <c r="F29" i="27"/>
  <c r="D41" i="27"/>
  <c r="N210" i="6"/>
  <c r="K41" i="27"/>
  <c r="E41" i="27"/>
  <c r="D57" i="27"/>
  <c r="I41" i="27"/>
  <c r="D37" i="27"/>
  <c r="P37" i="27" s="1"/>
  <c r="P28" i="10"/>
  <c r="M28" i="27"/>
  <c r="H41" i="27"/>
  <c r="F210" i="6"/>
  <c r="E29" i="27"/>
  <c r="H210" i="6"/>
  <c r="G29" i="27"/>
  <c r="P38" i="10"/>
  <c r="D38" i="5"/>
  <c r="D38" i="14"/>
  <c r="P38" i="14" s="1"/>
  <c r="D47" i="27"/>
  <c r="P47" i="27" s="1"/>
  <c r="H23" i="27"/>
  <c r="J41" i="27"/>
  <c r="F41" i="27"/>
  <c r="D29" i="27"/>
  <c r="K210" i="6"/>
  <c r="J29" i="27"/>
  <c r="M21" i="27"/>
  <c r="L28" i="27"/>
  <c r="L83" i="27" s="1"/>
  <c r="I210" i="6"/>
  <c r="H29" i="27"/>
  <c r="G41" i="27"/>
  <c r="D23" i="27"/>
  <c r="C32" i="10"/>
  <c r="C81" i="10" s="1"/>
  <c r="C41" i="27"/>
  <c r="C83" i="27" s="1"/>
  <c r="D51" i="27"/>
  <c r="P51" i="27" s="1"/>
  <c r="P42" i="10"/>
  <c r="L210" i="6"/>
  <c r="K29" i="27"/>
  <c r="J210" i="6"/>
  <c r="I29" i="27"/>
  <c r="M210" i="6"/>
  <c r="B17" i="18"/>
  <c r="B27" i="21"/>
  <c r="B17" i="24"/>
  <c r="C17" i="24"/>
  <c r="C27" i="21"/>
  <c r="C17" i="18"/>
  <c r="D17" i="18"/>
  <c r="B83" i="28"/>
  <c r="K21" i="27"/>
  <c r="B41" i="27"/>
  <c r="B83" i="27" s="1"/>
  <c r="B32" i="14"/>
  <c r="B80" i="14" s="1"/>
  <c r="B32" i="10"/>
  <c r="D78" i="6"/>
  <c r="D32" i="5"/>
  <c r="B32" i="5"/>
  <c r="C78" i="6"/>
  <c r="C79" i="6" s="1"/>
  <c r="D32" i="14"/>
  <c r="P32" i="14" s="1"/>
  <c r="C32" i="5"/>
  <c r="D14" i="5"/>
  <c r="P14" i="5" s="1"/>
  <c r="C80" i="14"/>
  <c r="C12" i="16"/>
  <c r="C12" i="23" s="1"/>
  <c r="B10" i="16"/>
  <c r="B10" i="23" s="1"/>
  <c r="B79" i="15"/>
  <c r="C10" i="16"/>
  <c r="C10" i="23" s="1"/>
  <c r="C79" i="15"/>
  <c r="B12" i="16"/>
  <c r="B12" i="23" s="1"/>
  <c r="Q80" i="33" l="1"/>
  <c r="Q82" i="33" s="1"/>
  <c r="D19" i="5"/>
  <c r="D80" i="5" s="1"/>
  <c r="E79" i="6"/>
  <c r="E210" i="6"/>
  <c r="P79" i="15"/>
  <c r="D82" i="16"/>
  <c r="D19" i="10"/>
  <c r="D81" i="10" s="1"/>
  <c r="P81" i="10" s="1"/>
  <c r="D29" i="24"/>
  <c r="D26" i="23"/>
  <c r="D29" i="18"/>
  <c r="P32" i="5"/>
  <c r="D30" i="20"/>
  <c r="D43" i="24"/>
  <c r="D40" i="23"/>
  <c r="D43" i="18"/>
  <c r="P14" i="15"/>
  <c r="P81" i="15" s="1"/>
  <c r="D12" i="16"/>
  <c r="D12" i="23" s="1"/>
  <c r="D15" i="24" s="1"/>
  <c r="P38" i="5"/>
  <c r="D36" i="20"/>
  <c r="D10" i="23"/>
  <c r="D13" i="24" s="1"/>
  <c r="D51" i="24"/>
  <c r="D48" i="23"/>
  <c r="D51" i="18"/>
  <c r="D19" i="14"/>
  <c r="D80" i="14" s="1"/>
  <c r="P80" i="14" s="1"/>
  <c r="P57" i="27"/>
  <c r="P48" i="10"/>
  <c r="M83" i="27"/>
  <c r="P20" i="14"/>
  <c r="P23" i="27"/>
  <c r="P21" i="27"/>
  <c r="P14" i="10"/>
  <c r="I28" i="27"/>
  <c r="I83" i="27" s="1"/>
  <c r="D28" i="27"/>
  <c r="G28" i="27"/>
  <c r="G83" i="27" s="1"/>
  <c r="J28" i="27"/>
  <c r="J83" i="27" s="1"/>
  <c r="Q78" i="6"/>
  <c r="K28" i="27"/>
  <c r="K83" i="27" s="1"/>
  <c r="H28" i="27"/>
  <c r="H83" i="27" s="1"/>
  <c r="F28" i="27"/>
  <c r="F83" i="27" s="1"/>
  <c r="P29" i="27"/>
  <c r="E28" i="27"/>
  <c r="E83" i="27" s="1"/>
  <c r="P20" i="10"/>
  <c r="P41" i="27"/>
  <c r="P83" i="28"/>
  <c r="P17" i="24"/>
  <c r="J79" i="6"/>
  <c r="P32" i="10"/>
  <c r="P12" i="5"/>
  <c r="P17" i="18"/>
  <c r="B80" i="5"/>
  <c r="N79" i="6"/>
  <c r="B13" i="24"/>
  <c r="B23" i="21"/>
  <c r="B13" i="18"/>
  <c r="C15" i="24"/>
  <c r="C25" i="21"/>
  <c r="C15" i="18"/>
  <c r="B15" i="24"/>
  <c r="B25" i="21"/>
  <c r="B15" i="18"/>
  <c r="C13" i="24"/>
  <c r="C23" i="21"/>
  <c r="C13" i="18"/>
  <c r="L79" i="6"/>
  <c r="I79" i="6"/>
  <c r="F79" i="6"/>
  <c r="K79" i="6"/>
  <c r="G79" i="6"/>
  <c r="B81" i="10"/>
  <c r="D79" i="6"/>
  <c r="H79" i="6"/>
  <c r="M79" i="6"/>
  <c r="C80" i="5"/>
  <c r="B77" i="16"/>
  <c r="C75" i="16"/>
  <c r="C77" i="16" s="1"/>
  <c r="S17" i="15" l="1"/>
  <c r="S79" i="15" s="1"/>
  <c r="D17" i="23"/>
  <c r="P19" i="5"/>
  <c r="P80" i="5" s="1"/>
  <c r="D39" i="24"/>
  <c r="D36" i="23"/>
  <c r="D39" i="18"/>
  <c r="D13" i="18"/>
  <c r="D33" i="24"/>
  <c r="D30" i="23"/>
  <c r="D33" i="18"/>
  <c r="D78" i="16"/>
  <c r="D80" i="16" s="1"/>
  <c r="P19" i="14"/>
  <c r="P81" i="14" s="1"/>
  <c r="P28" i="27"/>
  <c r="P19" i="10"/>
  <c r="D83" i="27"/>
  <c r="P83" i="27" s="1"/>
  <c r="D31" i="21" l="1"/>
  <c r="P31" i="21" s="1"/>
  <c r="AA31" i="21" s="1"/>
  <c r="D78" i="23"/>
  <c r="D15" i="18"/>
  <c r="P92" i="21" l="1"/>
  <c r="O92" i="21" s="1"/>
  <c r="D91" i="21"/>
  <c r="P91" i="21" s="1"/>
  <c r="P15" i="24"/>
  <c r="P15" i="18"/>
  <c r="P13" i="18"/>
  <c r="P13" i="24"/>
  <c r="D18" i="20"/>
  <c r="D79" i="20" s="1"/>
  <c r="D80" i="23" s="1"/>
  <c r="C62" i="20"/>
  <c r="C62" i="23" s="1"/>
  <c r="B54" i="20"/>
  <c r="B57" i="24" s="1"/>
  <c r="B66" i="20"/>
  <c r="B58" i="20"/>
  <c r="B61" i="24" s="1"/>
  <c r="B60" i="20"/>
  <c r="B63" i="18" s="1"/>
  <c r="B68" i="20"/>
  <c r="B71" i="18" s="1"/>
  <c r="B70" i="20"/>
  <c r="B64" i="20"/>
  <c r="B38" i="20"/>
  <c r="B38" i="23" s="1"/>
  <c r="C56" i="20"/>
  <c r="C59" i="24" s="1"/>
  <c r="C32" i="20"/>
  <c r="C35" i="18" s="1"/>
  <c r="C50" i="20"/>
  <c r="B62" i="20"/>
  <c r="B65" i="24" s="1"/>
  <c r="C64" i="20"/>
  <c r="C67" i="18" s="1"/>
  <c r="C60" i="20"/>
  <c r="C68" i="20"/>
  <c r="C71" i="24" s="1"/>
  <c r="B42" i="20"/>
  <c r="B45" i="24" s="1"/>
  <c r="C58" i="20"/>
  <c r="B28" i="20"/>
  <c r="B31" i="24" s="1"/>
  <c r="B48" i="20"/>
  <c r="B50" i="20"/>
  <c r="B50" i="23" s="1"/>
  <c r="B44" i="20"/>
  <c r="B44" i="23" s="1"/>
  <c r="C54" i="20"/>
  <c r="C57" i="24" s="1"/>
  <c r="C42" i="20"/>
  <c r="C45" i="18" s="1"/>
  <c r="C66" i="20"/>
  <c r="C69" i="18" s="1"/>
  <c r="B52" i="20"/>
  <c r="B52" i="23" s="1"/>
  <c r="C48" i="20"/>
  <c r="C51" i="18" s="1"/>
  <c r="B24" i="20"/>
  <c r="B40" i="20"/>
  <c r="B43" i="24" s="1"/>
  <c r="B46" i="20"/>
  <c r="B49" i="24" s="1"/>
  <c r="C52" i="20"/>
  <c r="C52" i="23" s="1"/>
  <c r="C38" i="20"/>
  <c r="C41" i="18" s="1"/>
  <c r="C34" i="20"/>
  <c r="C37" i="24" s="1"/>
  <c r="C36" i="20"/>
  <c r="C39" i="24" s="1"/>
  <c r="C40" i="20"/>
  <c r="C43" i="24" s="1"/>
  <c r="C22" i="20"/>
  <c r="C22" i="23" s="1"/>
  <c r="B34" i="20"/>
  <c r="C26" i="20"/>
  <c r="C29" i="24" s="1"/>
  <c r="C46" i="20"/>
  <c r="C49" i="24" s="1"/>
  <c r="D20" i="18"/>
  <c r="D21" i="18" s="1"/>
  <c r="D81" i="18" s="1"/>
  <c r="P82" i="18" s="1"/>
  <c r="C70" i="20"/>
  <c r="B32" i="20"/>
  <c r="B32" i="23" s="1"/>
  <c r="C28" i="20"/>
  <c r="C28" i="23" s="1"/>
  <c r="D23" i="24"/>
  <c r="B22" i="20"/>
  <c r="B22" i="23" s="1"/>
  <c r="B36" i="20"/>
  <c r="B39" i="24" s="1"/>
  <c r="C44" i="20"/>
  <c r="C44" i="23" s="1"/>
  <c r="B20" i="20"/>
  <c r="B23" i="24" s="1"/>
  <c r="C24" i="20"/>
  <c r="C24" i="23" s="1"/>
  <c r="C20" i="20"/>
  <c r="C23" i="18" s="1"/>
  <c r="B18" i="20"/>
  <c r="B18" i="23" s="1"/>
  <c r="D20" i="24"/>
  <c r="B56" i="20"/>
  <c r="C30" i="20"/>
  <c r="C33" i="24" s="1"/>
  <c r="B30" i="20"/>
  <c r="B30" i="23" s="1"/>
  <c r="C18" i="20"/>
  <c r="C79" i="20" s="1"/>
  <c r="B26" i="20"/>
  <c r="Q94" i="37" l="1"/>
  <c r="AA91" i="21"/>
  <c r="C37" i="21"/>
  <c r="B51" i="21"/>
  <c r="C75" i="21"/>
  <c r="B45" i="21"/>
  <c r="B43" i="21"/>
  <c r="C57" i="21"/>
  <c r="C65" i="21"/>
  <c r="B65" i="21"/>
  <c r="B57" i="21"/>
  <c r="C41" i="21"/>
  <c r="B63" i="21"/>
  <c r="B35" i="21"/>
  <c r="C35" i="21"/>
  <c r="B47" i="18"/>
  <c r="C48" i="23"/>
  <c r="C30" i="23"/>
  <c r="B71" i="24"/>
  <c r="B68" i="23"/>
  <c r="C66" i="23"/>
  <c r="C42" i="23"/>
  <c r="C34" i="23"/>
  <c r="C18" i="23"/>
  <c r="C78" i="23" s="1"/>
  <c r="C80" i="23" s="1"/>
  <c r="C68" i="23"/>
  <c r="C40" i="23"/>
  <c r="B45" i="18"/>
  <c r="B54" i="23"/>
  <c r="B65" i="18"/>
  <c r="B62" i="23"/>
  <c r="C64" i="23"/>
  <c r="C32" i="23"/>
  <c r="B28" i="23"/>
  <c r="B42" i="23"/>
  <c r="B58" i="23"/>
  <c r="C65" i="18"/>
  <c r="K79" i="20"/>
  <c r="B23" i="18"/>
  <c r="C65" i="24"/>
  <c r="B79" i="20"/>
  <c r="B36" i="23"/>
  <c r="C49" i="18"/>
  <c r="O79" i="20"/>
  <c r="C46" i="23"/>
  <c r="C26" i="23"/>
  <c r="C29" i="18"/>
  <c r="B53" i="24"/>
  <c r="C51" i="24"/>
  <c r="B31" i="18"/>
  <c r="C23" i="24"/>
  <c r="H79" i="20"/>
  <c r="B41" i="24"/>
  <c r="B61" i="18"/>
  <c r="C67" i="24"/>
  <c r="C20" i="23"/>
  <c r="C36" i="23"/>
  <c r="B53" i="18"/>
  <c r="D21" i="24"/>
  <c r="D80" i="24" s="1"/>
  <c r="P80" i="24" s="1"/>
  <c r="B21" i="24"/>
  <c r="B80" i="24" s="1"/>
  <c r="B31" i="21"/>
  <c r="B78" i="23"/>
  <c r="B59" i="18"/>
  <c r="B59" i="24"/>
  <c r="N79" i="20"/>
  <c r="B20" i="23"/>
  <c r="B25" i="18"/>
  <c r="B25" i="24"/>
  <c r="C61" i="18"/>
  <c r="C58" i="23"/>
  <c r="C61" i="24"/>
  <c r="B37" i="24"/>
  <c r="B34" i="23"/>
  <c r="B37" i="18"/>
  <c r="I79" i="20"/>
  <c r="B29" i="24"/>
  <c r="B29" i="18"/>
  <c r="B33" i="18"/>
  <c r="B33" i="24"/>
  <c r="B35" i="24"/>
  <c r="B35" i="18"/>
  <c r="C47" i="24"/>
  <c r="C47" i="18"/>
  <c r="C73" i="18"/>
  <c r="C73" i="24"/>
  <c r="C70" i="23"/>
  <c r="G79" i="20"/>
  <c r="M79" i="20"/>
  <c r="J79" i="20"/>
  <c r="B46" i="23"/>
  <c r="B49" i="18"/>
  <c r="C41" i="24"/>
  <c r="B51" i="18"/>
  <c r="B51" i="24"/>
  <c r="B48" i="23"/>
  <c r="B67" i="24"/>
  <c r="B67" i="18"/>
  <c r="B64" i="23"/>
  <c r="F79" i="20"/>
  <c r="C25" i="18"/>
  <c r="C25" i="24"/>
  <c r="C55" i="18"/>
  <c r="C55" i="24"/>
  <c r="C33" i="18"/>
  <c r="C57" i="18"/>
  <c r="C54" i="23"/>
  <c r="L79" i="20"/>
  <c r="C38" i="23"/>
  <c r="B40" i="23"/>
  <c r="B43" i="18"/>
  <c r="C63" i="18"/>
  <c r="C63" i="24"/>
  <c r="C60" i="23"/>
  <c r="E79" i="20"/>
  <c r="B26" i="23"/>
  <c r="B56" i="23"/>
  <c r="C27" i="18"/>
  <c r="C27" i="24"/>
  <c r="C31" i="24"/>
  <c r="C31" i="18"/>
  <c r="B27" i="18"/>
  <c r="B24" i="23"/>
  <c r="B27" i="24"/>
  <c r="B39" i="18"/>
  <c r="P47" i="18"/>
  <c r="B55" i="24"/>
  <c r="B55" i="18"/>
  <c r="C69" i="24"/>
  <c r="C37" i="18"/>
  <c r="C50" i="23"/>
  <c r="C53" i="24"/>
  <c r="P27" i="24"/>
  <c r="B47" i="24"/>
  <c r="C43" i="18"/>
  <c r="C45" i="24"/>
  <c r="C53" i="18"/>
  <c r="B73" i="24"/>
  <c r="B73" i="18"/>
  <c r="B70" i="23"/>
  <c r="C71" i="18"/>
  <c r="C39" i="18"/>
  <c r="B69" i="18"/>
  <c r="B66" i="23"/>
  <c r="B69" i="24"/>
  <c r="C59" i="18"/>
  <c r="C56" i="23"/>
  <c r="P45" i="24"/>
  <c r="B41" i="18"/>
  <c r="B60" i="23"/>
  <c r="B63" i="24"/>
  <c r="B57" i="18"/>
  <c r="C35" i="24"/>
  <c r="B80" i="23" l="1"/>
  <c r="B67" i="21"/>
  <c r="B83" i="21"/>
  <c r="B39" i="21"/>
  <c r="B71" i="21"/>
  <c r="C71" i="21"/>
  <c r="C79" i="21"/>
  <c r="C59" i="21"/>
  <c r="B77" i="21"/>
  <c r="C53" i="21"/>
  <c r="C73" i="21"/>
  <c r="B33" i="21"/>
  <c r="B49" i="21"/>
  <c r="B41" i="21"/>
  <c r="C81" i="21"/>
  <c r="C61" i="21"/>
  <c r="B53" i="21"/>
  <c r="B69" i="21"/>
  <c r="B81" i="21"/>
  <c r="C63" i="21"/>
  <c r="B59" i="21"/>
  <c r="B47" i="21"/>
  <c r="C49" i="21"/>
  <c r="C45" i="21"/>
  <c r="C31" i="21"/>
  <c r="C51" i="21"/>
  <c r="C67" i="21"/>
  <c r="B79" i="21"/>
  <c r="B61" i="21"/>
  <c r="C33" i="21"/>
  <c r="C77" i="21"/>
  <c r="C47" i="21"/>
  <c r="B73" i="21"/>
  <c r="C39" i="21"/>
  <c r="C69" i="21"/>
  <c r="B37" i="21"/>
  <c r="B55" i="21"/>
  <c r="C43" i="21"/>
  <c r="C83" i="21"/>
  <c r="B75" i="21"/>
  <c r="C55" i="21"/>
  <c r="C21" i="24"/>
  <c r="C80" i="24" s="1"/>
  <c r="P33" i="18"/>
  <c r="P67" i="24"/>
  <c r="P55" i="18"/>
  <c r="P35" i="18"/>
  <c r="P20" i="24"/>
  <c r="P53" i="18"/>
  <c r="P37" i="24"/>
  <c r="P35" i="24"/>
  <c r="P67" i="18"/>
  <c r="P47" i="24"/>
  <c r="P25" i="18"/>
  <c r="F78" i="23"/>
  <c r="F80" i="23" s="1"/>
  <c r="P31" i="24"/>
  <c r="P49" i="18"/>
  <c r="P65" i="24"/>
  <c r="K78" i="23"/>
  <c r="K80" i="23" s="1"/>
  <c r="P33" i="24"/>
  <c r="P43" i="18"/>
  <c r="P63" i="18"/>
  <c r="L78" i="23"/>
  <c r="L80" i="23" s="1"/>
  <c r="P69" i="24"/>
  <c r="O78" i="23"/>
  <c r="O80" i="23" s="1"/>
  <c r="P65" i="18"/>
  <c r="N78" i="23"/>
  <c r="N80" i="23" s="1"/>
  <c r="P43" i="24"/>
  <c r="P51" i="18"/>
  <c r="P53" i="24"/>
  <c r="C81" i="18"/>
  <c r="P73" i="24"/>
  <c r="M78" i="23"/>
  <c r="M80" i="23" s="1"/>
  <c r="P57" i="24"/>
  <c r="E78" i="23"/>
  <c r="E80" i="23" s="1"/>
  <c r="P31" i="18"/>
  <c r="P39" i="24"/>
  <c r="P20" i="18"/>
  <c r="P23" i="18"/>
  <c r="P41" i="24"/>
  <c r="P39" i="18"/>
  <c r="P71" i="18"/>
  <c r="P69" i="18"/>
  <c r="P73" i="18"/>
  <c r="P41" i="18"/>
  <c r="P29" i="18"/>
  <c r="J78" i="23"/>
  <c r="J80" i="23" s="1"/>
  <c r="I78" i="23"/>
  <c r="I80" i="23" s="1"/>
  <c r="P55" i="24"/>
  <c r="P23" i="24"/>
  <c r="P63" i="24"/>
  <c r="P45" i="18"/>
  <c r="P57" i="18"/>
  <c r="P59" i="24"/>
  <c r="P29" i="24"/>
  <c r="P61" i="24"/>
  <c r="B81" i="18"/>
  <c r="P71" i="24"/>
  <c r="P59" i="18"/>
  <c r="P61" i="18"/>
  <c r="H78" i="23"/>
  <c r="H80" i="23" s="1"/>
  <c r="P25" i="24"/>
  <c r="G78" i="23"/>
  <c r="G80" i="23" s="1"/>
  <c r="P51" i="24"/>
  <c r="P49" i="24"/>
  <c r="P27" i="18"/>
  <c r="P37" i="18"/>
  <c r="S3" i="5" l="1"/>
  <c r="P21" i="24"/>
  <c r="P21" i="18"/>
  <c r="D80" i="33"/>
  <c r="P80" i="33" s="1"/>
  <c r="H82" i="35"/>
  <c r="L82" i="35"/>
  <c r="E82" i="35"/>
  <c r="I82" i="35"/>
  <c r="M82" i="35"/>
  <c r="K82" i="35"/>
  <c r="G82" i="35"/>
  <c r="J82" i="35"/>
  <c r="F82" i="35"/>
  <c r="P81" i="18" l="1"/>
  <c r="P8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tc={F6C77D86-3CE7-4C0B-A953-92CE93D9082A}</author>
  </authors>
  <commentList>
    <comment ref="L8" authorId="0" shapeId="0" xr:uid="{F6C77D86-3CE7-4C0B-A953-92CE93D9082A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account for Rockport split. Expired effective on 12/9/22 Rate was in effect for 10/31 days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K15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on peak</t>
        </r>
      </text>
    </comment>
    <comment ref="M15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includes
 min demands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s322036</author>
  </authors>
  <commentList>
    <comment ref="A8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s322036:</t>
        </r>
        <r>
          <rPr>
            <sz val="9"/>
            <color indexed="81"/>
            <rFont val="Tahoma"/>
            <family val="2"/>
          </rPr>
          <t xml:space="preserve">
this says check figure but whats it checking </t>
        </r>
      </text>
    </comment>
  </commentList>
</comments>
</file>

<file path=xl/sharedStrings.xml><?xml version="1.0" encoding="utf-8"?>
<sst xmlns="http://schemas.openxmlformats.org/spreadsheetml/2006/main" count="2350" uniqueCount="318">
  <si>
    <t>Total</t>
  </si>
  <si>
    <t>MW (540)</t>
  </si>
  <si>
    <t>SL (528)</t>
  </si>
  <si>
    <t>LGS Tran (250)</t>
  </si>
  <si>
    <t>LGS Sub (248)</t>
  </si>
  <si>
    <t>LGS Pri Total</t>
  </si>
  <si>
    <t>LGSLMTOD (251)</t>
  </si>
  <si>
    <t>LGS Sec Total</t>
  </si>
  <si>
    <t>MGS Sub (236)</t>
  </si>
  <si>
    <t>MGS Pri Total</t>
  </si>
  <si>
    <t>MGSTOD (229)</t>
  </si>
  <si>
    <t>MGSLMTOD (223)</t>
  </si>
  <si>
    <t>MGS Sec Total</t>
  </si>
  <si>
    <t>MGS RL (214)</t>
  </si>
  <si>
    <t>SGS NM Total</t>
  </si>
  <si>
    <t>EXP SGS TOD (227)</t>
  </si>
  <si>
    <t>SGS TOD (225)</t>
  </si>
  <si>
    <t>SGS (211)</t>
  </si>
  <si>
    <t>OL</t>
  </si>
  <si>
    <t>RS-TOD (036)</t>
  </si>
  <si>
    <t>RSLMTOD Total</t>
  </si>
  <si>
    <t>RS Total</t>
  </si>
  <si>
    <t>Tariff</t>
  </si>
  <si>
    <t>011 RSW-LMWH</t>
  </si>
  <si>
    <t>012 RSW-A</t>
  </si>
  <si>
    <t>013 RSW-B</t>
  </si>
  <si>
    <t>015 RS</t>
  </si>
  <si>
    <t>017 RS EMP</t>
  </si>
  <si>
    <t>022 RSW-RS</t>
  </si>
  <si>
    <t>028 AORH-W ON</t>
  </si>
  <si>
    <t>030 RSW-ONPK</t>
  </si>
  <si>
    <t>032 RS LM-ON</t>
  </si>
  <si>
    <t>034 AORH-ON</t>
  </si>
  <si>
    <t>036 RS TOD</t>
  </si>
  <si>
    <t>027 RS TOD 2</t>
  </si>
  <si>
    <t>211 SGS</t>
  </si>
  <si>
    <t>212 SGS - M</t>
  </si>
  <si>
    <t>SGS Metered Total</t>
  </si>
  <si>
    <t>225 SGSTOD ON</t>
  </si>
  <si>
    <t>204 SGS-MTRD</t>
  </si>
  <si>
    <t>213 SGS-UMR</t>
  </si>
  <si>
    <t>227 EXP SGS TOD</t>
  </si>
  <si>
    <t>214 MGS - AF</t>
  </si>
  <si>
    <t>215 MGS SEC</t>
  </si>
  <si>
    <t>216 MGSCC SEC</t>
  </si>
  <si>
    <t>218 MGS M SEC</t>
  </si>
  <si>
    <t>223 MGS LM ON</t>
  </si>
  <si>
    <t>229 MGS-TOD</t>
  </si>
  <si>
    <t>217 MGS PRI</t>
  </si>
  <si>
    <t>220 MGSCC PRI</t>
  </si>
  <si>
    <t>240 LGS SEC</t>
  </si>
  <si>
    <t>242 LGS M SEC</t>
  </si>
  <si>
    <t>251 LGS-LM-TD</t>
  </si>
  <si>
    <t>244 LGS PRI</t>
  </si>
  <si>
    <t>246 LGS M PRI</t>
  </si>
  <si>
    <t>093 OL 175 MV</t>
  </si>
  <si>
    <t>094 OL 100 HP</t>
  </si>
  <si>
    <t>095 OL 400 MV</t>
  </si>
  <si>
    <t>097 OL 200 HP</t>
  </si>
  <si>
    <t>098 OL 400 HP</t>
  </si>
  <si>
    <t>099 OL175 MVP</t>
  </si>
  <si>
    <t>107 OL 200HPF</t>
  </si>
  <si>
    <t>109 OL400 HPF</t>
  </si>
  <si>
    <t>110 OL 250 MH</t>
  </si>
  <si>
    <t>111 OL100 HPP</t>
  </si>
  <si>
    <t>113 OL 150 HP</t>
  </si>
  <si>
    <t>116 OL 400 MH</t>
  </si>
  <si>
    <t>120 OL 250 HPP</t>
  </si>
  <si>
    <t>122 OL150 HPP</t>
  </si>
  <si>
    <t>131 OL 1000MH</t>
  </si>
  <si>
    <t>KENTUCKY POWER BILLING ANALYSIS</t>
  </si>
  <si>
    <t>PER BOOKS</t>
  </si>
  <si>
    <t>236 MGS-Sub</t>
  </si>
  <si>
    <t>248 LGS Sub</t>
  </si>
  <si>
    <t>250 LGS Tran</t>
  </si>
  <si>
    <t>528 SL</t>
  </si>
  <si>
    <t>540 MW</t>
  </si>
  <si>
    <t>BILLED, ACCRUED AND ESTIMATED KWH BY TARIFF</t>
  </si>
  <si>
    <t>CheckSum</t>
  </si>
  <si>
    <t>BILLED, ACCRUED AND ESTIMATED REVENUES BY TARIFF</t>
  </si>
  <si>
    <t>Summary</t>
  </si>
  <si>
    <t/>
  </si>
  <si>
    <t>FUEL ADJUSTMENT CHARGE RIDER</t>
  </si>
  <si>
    <t>SYSTEM SALES CLAUSE RIDER</t>
  </si>
  <si>
    <t>Residential</t>
  </si>
  <si>
    <t>These kWh are subjected to the Commercial DSM Charge</t>
  </si>
  <si>
    <t>CAPACITY CHARGE RIDER</t>
  </si>
  <si>
    <t>Residential Rate</t>
  </si>
  <si>
    <t>Commercial Rate</t>
  </si>
  <si>
    <t>DEMAND SIDE MANAGEMENT RIDER</t>
  </si>
  <si>
    <t>BILLED, ACCRUED,  ESTIMATED AND DSM REVENUES BY TARIFF</t>
  </si>
  <si>
    <t>ENVIRONMENTAL SURCHARGE</t>
  </si>
  <si>
    <t>All Other</t>
  </si>
  <si>
    <t>256 LGSSECTOD</t>
  </si>
  <si>
    <t>260 PS SEC</t>
  </si>
  <si>
    <t>264 PS PRI</t>
  </si>
  <si>
    <t>CS-IRP</t>
  </si>
  <si>
    <t>CS-IRP ST</t>
  </si>
  <si>
    <t>356 IGS SEC</t>
  </si>
  <si>
    <t>358 IGS PRI</t>
  </si>
  <si>
    <t>359 IGS-Sub</t>
  </si>
  <si>
    <t>371 IGS</t>
  </si>
  <si>
    <t>IGS Sub Total</t>
  </si>
  <si>
    <t>360 IGS</t>
  </si>
  <si>
    <t>372 IGS</t>
  </si>
  <si>
    <t>IGS Tran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</si>
  <si>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</si>
  <si>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</si>
  <si>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</si>
  <si>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</si>
  <si>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</si>
  <si>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</si>
  <si>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</si>
  <si>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</si>
  <si>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</si>
  <si>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</si>
  <si>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</si>
  <si>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</si>
  <si>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LGSSECTOD (256)</t>
  </si>
  <si>
    <t>PS Sec (260)</t>
  </si>
  <si>
    <t>PS Pri (264)</t>
  </si>
  <si>
    <t>CS IRP (321)</t>
  </si>
  <si>
    <t>CS IRP (331)</t>
  </si>
  <si>
    <t>IGS Sec (356)</t>
  </si>
  <si>
    <t>IGS Pri (358)</t>
  </si>
  <si>
    <t>IGS Sub Total (359,371)</t>
  </si>
  <si>
    <t>IGS Tran Total (360,372)</t>
  </si>
  <si>
    <t xml:space="preserve">Source: </t>
  </si>
  <si>
    <t>IGS Rate</t>
  </si>
  <si>
    <t>All Other Rate</t>
  </si>
  <si>
    <t>RS don't take out fuel</t>
  </si>
  <si>
    <t>($/kWh)</t>
  </si>
  <si>
    <t>MGS</t>
  </si>
  <si>
    <t>PS</t>
  </si>
  <si>
    <t>LGSLMTOD</t>
  </si>
  <si>
    <t>MW</t>
  </si>
  <si>
    <t>SL</t>
  </si>
  <si>
    <t>MGS RL LMTOD TOD</t>
  </si>
  <si>
    <t>RS RSLMTOD TOD</t>
  </si>
  <si>
    <t>LGS LGSTOD</t>
  </si>
  <si>
    <t>SGS SGSTOD</t>
  </si>
  <si>
    <t>IGS CSIRP</t>
  </si>
  <si>
    <t>BIG SANDY UNIT 1 OPERATION RIDER</t>
  </si>
  <si>
    <t>($/kW)</t>
  </si>
  <si>
    <t>(% of Tot Revenue - RS, % of Non-Fuel Revenue - C&amp;I)</t>
  </si>
  <si>
    <t>(028,030,032,034)</t>
  </si>
  <si>
    <t>(093-131)</t>
  </si>
  <si>
    <t>(204, 213)</t>
  </si>
  <si>
    <t>(215, 218)</t>
  </si>
  <si>
    <t>(217, 220)</t>
  </si>
  <si>
    <t>(240, 242)</t>
  </si>
  <si>
    <t>(244, 246)</t>
  </si>
  <si>
    <t>(011,012,013,015,017,22)</t>
  </si>
  <si>
    <t>BILLED, ACCRUED AND ESTIMATED COMMERCIAL REVENUE CLASS KWH BY TARIFF</t>
  </si>
  <si>
    <t>Base Fuel</t>
  </si>
  <si>
    <t>/kWh</t>
  </si>
  <si>
    <t>Environmental Surcharge</t>
  </si>
  <si>
    <t>BILLED, ACCRUED,  ESTIMATED AND DSM REVENUES BY TARIFF  (Excludes Base Fuel, Fuel Adjustment, Enviromental Surcharge, Big Sandy Retirement Rider and Purchased Power Adjustment revenues)</t>
  </si>
  <si>
    <t>BILLED, ACCRUED,  ESTIMATED AND DSM REVENUES BY TARIFF (Excludes Enviromental Surcharge, Big Sandy Retirement Rider and Purchased Power Adjustment revenues)</t>
  </si>
  <si>
    <t>Check - Total Fuel</t>
  </si>
  <si>
    <t>All Tariffs do not take out base fuel or FAC</t>
  </si>
  <si>
    <t>PURCHASED POWER ADJUSTMENT</t>
  </si>
  <si>
    <t>BIG SANDY RETIREMENT RIDER</t>
  </si>
  <si>
    <t>c</t>
  </si>
  <si>
    <t>checked</t>
  </si>
  <si>
    <t>356 min demand</t>
  </si>
  <si>
    <t>358 min demand</t>
  </si>
  <si>
    <t>359 371 min demand</t>
  </si>
  <si>
    <t>372 min demand</t>
  </si>
  <si>
    <t>12 M Feb 2017</t>
  </si>
  <si>
    <t xml:space="preserve">Tariff Ratio File </t>
  </si>
  <si>
    <t>BILLED, ACCRUED AND ESTIMATED KW BY TARIFF (UI Billing data ratio to B&amp;A - from tariff ratio file)</t>
  </si>
  <si>
    <t>OL - Residential</t>
  </si>
  <si>
    <t>Check</t>
  </si>
  <si>
    <t>OL - All Other</t>
  </si>
  <si>
    <t>Get B&amp;A kW data from UI kW data ratio to B&amp;A - updated 3/27/2017</t>
  </si>
  <si>
    <t>RS</t>
  </si>
  <si>
    <t>SGS</t>
  </si>
  <si>
    <t>LGS</t>
  </si>
  <si>
    <t>IGS</t>
  </si>
  <si>
    <t>12 M March 2020</t>
  </si>
  <si>
    <t xml:space="preserve">Residential Energy Assistance </t>
  </si>
  <si>
    <t>Federal Tax Cut</t>
  </si>
  <si>
    <t>Kentucky economic development</t>
  </si>
  <si>
    <t>RS, RS-LM-TOD, RS-TOD, RS-TOD2, RSD</t>
  </si>
  <si>
    <t>GS, SGS-TOD, MGS-TOD</t>
  </si>
  <si>
    <t>LGS, LGS-TOD kWh</t>
  </si>
  <si>
    <t>LGS, LGS-TOD kW</t>
  </si>
  <si>
    <t>LGS-LM-TOD kWh</t>
  </si>
  <si>
    <t>LGS-LM-TOD Kw</t>
  </si>
  <si>
    <t>IGS, CS-IRP kWh</t>
  </si>
  <si>
    <t>IGS, CS-IRP kW</t>
  </si>
  <si>
    <t>MW kWh</t>
  </si>
  <si>
    <t>OL kWh</t>
  </si>
  <si>
    <t>SL kWh</t>
  </si>
  <si>
    <t>Commercial Only Rate</t>
  </si>
  <si>
    <t>RS-TOD-ON</t>
  </si>
  <si>
    <t>RSW-LMWH</t>
  </si>
  <si>
    <t>RSW-A</t>
  </si>
  <si>
    <t>RSW-B</t>
  </si>
  <si>
    <t>RSW-C</t>
  </si>
  <si>
    <t>RS EMP</t>
  </si>
  <si>
    <t>RSW-RS</t>
  </si>
  <si>
    <t>AORH-W ON</t>
  </si>
  <si>
    <t>RSW-ONPK</t>
  </si>
  <si>
    <t>RS LM-ON</t>
  </si>
  <si>
    <t>AORH-ON</t>
  </si>
  <si>
    <t>OL 175 MV</t>
  </si>
  <si>
    <t>OL 100 HP</t>
  </si>
  <si>
    <t>OL 400 MV</t>
  </si>
  <si>
    <t>OL 200 HP</t>
  </si>
  <si>
    <t>OL 400 HP</t>
  </si>
  <si>
    <t>OL175 MVP</t>
  </si>
  <si>
    <t>OL 250 HP</t>
  </si>
  <si>
    <t>OL 200HPF</t>
  </si>
  <si>
    <t>OL400 HPF</t>
  </si>
  <si>
    <t>OL 250 MH</t>
  </si>
  <si>
    <t>OL100 HPP</t>
  </si>
  <si>
    <t>OL 150 HP</t>
  </si>
  <si>
    <t>OL 400 MH</t>
  </si>
  <si>
    <t>OL 250HPP</t>
  </si>
  <si>
    <t>OL150 HPP</t>
  </si>
  <si>
    <t>OL 400HPP</t>
  </si>
  <si>
    <t>OL 250MON</t>
  </si>
  <si>
    <t>OL 1000MH</t>
  </si>
  <si>
    <t>OL 400MON</t>
  </si>
  <si>
    <t>GSTOD ON</t>
  </si>
  <si>
    <t>GS SEC</t>
  </si>
  <si>
    <t>EXPGSTOD</t>
  </si>
  <si>
    <t>GS-MTRD</t>
  </si>
  <si>
    <t>GS-UMR</t>
  </si>
  <si>
    <t>GS NM Total</t>
  </si>
  <si>
    <t>LGSPRITOD</t>
  </si>
  <si>
    <t>CS-IRP PR</t>
  </si>
  <si>
    <t>CS-IRP TR</t>
  </si>
  <si>
    <t>IGS PRI</t>
  </si>
  <si>
    <t>IGS SUB</t>
  </si>
  <si>
    <t>IGS SUB Total</t>
  </si>
  <si>
    <t>source totals</t>
  </si>
  <si>
    <t>check</t>
  </si>
  <si>
    <t>formula above</t>
  </si>
  <si>
    <t>lgspritod 257</t>
  </si>
  <si>
    <t>CS IRP (330)</t>
  </si>
  <si>
    <t>CS IRP (332)</t>
  </si>
  <si>
    <t>CS IRP (333)</t>
  </si>
  <si>
    <t>source check</t>
  </si>
  <si>
    <t>214 GS - AF</t>
  </si>
  <si>
    <t>215 GS SEC</t>
  </si>
  <si>
    <t>218 GS M SEC</t>
  </si>
  <si>
    <t>GS Sec Total</t>
  </si>
  <si>
    <t>223 GS LM ON</t>
  </si>
  <si>
    <t>229 GS-TOD</t>
  </si>
  <si>
    <t>217 GS PRI</t>
  </si>
  <si>
    <t>220 GSCC PRI</t>
  </si>
  <si>
    <t>GS Pri Total</t>
  </si>
  <si>
    <t>236 GSCC-Sub</t>
  </si>
  <si>
    <t>OL Total</t>
  </si>
  <si>
    <t>total</t>
  </si>
  <si>
    <t>SOURCE</t>
  </si>
  <si>
    <t>B&amp;a</t>
  </si>
  <si>
    <t>DSM</t>
  </si>
  <si>
    <t>CHECK</t>
  </si>
  <si>
    <t>ba+DSM</t>
  </si>
  <si>
    <t>fac</t>
  </si>
  <si>
    <t>ba kwh</t>
  </si>
  <si>
    <t>Decommisioning</t>
  </si>
  <si>
    <t>BILLED AND ACCRUED NO. OF CUSTOMERS</t>
  </si>
  <si>
    <t xml:space="preserve">KW </t>
  </si>
  <si>
    <t>B&amp;A kWh</t>
  </si>
  <si>
    <t>B&amp;A kWh check formula</t>
  </si>
  <si>
    <t>LGSpritod 257</t>
  </si>
  <si>
    <t>B&amp;A +dsm- fuel</t>
  </si>
  <si>
    <t>B&amp;A customer by month</t>
  </si>
  <si>
    <t>Decommissioning</t>
  </si>
  <si>
    <t>below total check</t>
  </si>
  <si>
    <t>check overal</t>
  </si>
  <si>
    <t>Source total from katy email</t>
  </si>
  <si>
    <t>kwh</t>
  </si>
  <si>
    <t>IGS   (371)</t>
  </si>
  <si>
    <t>IGS   (359)</t>
  </si>
  <si>
    <t>IGS Sub TOTAL (359 &amp; 371)</t>
  </si>
  <si>
    <t>IGS Tran  (360,)</t>
  </si>
  <si>
    <t>IGS Tran Total (372)</t>
  </si>
  <si>
    <t>LGS Pri (244)</t>
  </si>
  <si>
    <t>LGS Pri (246)</t>
  </si>
  <si>
    <t>formula check</t>
  </si>
  <si>
    <t xml:space="preserve">source </t>
  </si>
  <si>
    <t>Pri</t>
  </si>
  <si>
    <t>sub</t>
  </si>
  <si>
    <t>tran</t>
  </si>
  <si>
    <t>12 M Mar23</t>
  </si>
  <si>
    <t>TEST YEAR ENDED March 31, 2023</t>
  </si>
  <si>
    <t>12 M Mar 23</t>
  </si>
  <si>
    <t>12 M Mar 2023</t>
  </si>
  <si>
    <t>12 M March 2023</t>
  </si>
  <si>
    <t>55W LEDOL</t>
  </si>
  <si>
    <t>12 M mar 2023</t>
  </si>
  <si>
    <t>55W</t>
  </si>
  <si>
    <t>175WLEDOL</t>
  </si>
  <si>
    <t>65W LEDOL</t>
  </si>
  <si>
    <t>297WLEDOL</t>
  </si>
  <si>
    <t>FLEXOLOPT</t>
  </si>
  <si>
    <t>212 GS-SEC M</t>
  </si>
  <si>
    <t>GS-SEC</t>
  </si>
  <si>
    <t>\\oh0co007\eprs\pricing\Rate Cases\KPCo\2023 Base Case\Tariff Summaries</t>
  </si>
  <si>
    <t>300WLEDOL</t>
  </si>
  <si>
    <t>IGS PRI Total</t>
  </si>
  <si>
    <t>100WLEDOL</t>
  </si>
  <si>
    <t>AVG</t>
  </si>
  <si>
    <t>\\oh0co007\eprs\pricing\Rate Cases\KPCo\2023 Base Case\Revenue\Cognos Query</t>
  </si>
  <si>
    <t>LGS Sec Total (240,242)</t>
  </si>
  <si>
    <t>LGSPRITOD 257</t>
  </si>
  <si>
    <t>LGS Dec</t>
  </si>
  <si>
    <t>IGS Dec</t>
  </si>
  <si>
    <t>LGS Pri Total (244, 246)</t>
  </si>
  <si>
    <t>pro-rated</t>
  </si>
  <si>
    <t>prorate</t>
  </si>
  <si>
    <t>IGS Pri (358,370)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</si>
</sst>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yyyy"/>
    <numFmt numFmtId="165" formatCode="&quot;$&quot;#,##0.00"/>
    <numFmt numFmtId="166" formatCode="&quot;$&quot;#,##0.00000_);[Red]\(&quot;$&quot;#,##0.00000\)"/>
    <numFmt numFmtId="167" formatCode="&quot;$&quot;#,##0.000000_);[Red]\(&quot;$&quot;#,##0.000000\)"/>
    <numFmt numFmtId="168" formatCode="0.0000%"/>
    <numFmt numFmtId="169" formatCode="&quot;$&quot;#,##0.0000000_);[Red]\(&quot;$&quot;#,##0.0000000\)"/>
    <numFmt numFmtId="170" formatCode="&quot;$&quot;#,##0"/>
    <numFmt numFmtId="171" formatCode="0.00000"/>
    <numFmt numFmtId="172" formatCode="_(* #,##0_);_(* \(#,##0\);_(* &quot;-&quot;??_);_(@_)"/>
    <numFmt numFmtId="173" formatCode="_(&quot;$&quot;* #,##0_);_(&quot;$&quot;* \(#,##0\);_(&quot;$&quot;* &quot;-&quot;??_);_(@_)"/>
    <numFmt numFmtId="174" formatCode="_(* #,##0.000000_);_(* \(#,##0.000000\);_(* &quot;-&quot;??_);_(@_)"/>
    <numFmt numFmtId="175" formatCode="0.00_);[Red]\(0.00\)"/>
    <numFmt numFmtId="176" formatCode="_(* #,##0.00000_);_(* \(#,##0.00000\);_(* &quot;-&quot;??_);_(@_)"/>
    <numFmt numFmtId="177" formatCode="0.00000_);[Red]\(0.00000\)"/>
    <numFmt numFmtId="178" formatCode="&quot;$&quot;#,##0.0000"/>
    <numFmt numFmtId="179" formatCode="0.0000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u/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name val="Calibri"/>
      <family val="2"/>
      <scheme val="minor"/>
    </font>
    <font>
      <sz val="11"/>
      <color rgb="FFFF0000"/>
      <name val="Arial"/>
      <family val="2"/>
    </font>
    <font>
      <b/>
      <sz val="11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u/>
      <sz val="1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497D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b/>
      <sz val="10"/>
      <name val="MS Sans Serif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ahoma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auto="1"/>
      </bottom>
      <diagonal/>
    </border>
    <border>
      <left style="thick">
        <color theme="0"/>
      </left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auto="1"/>
      </bottom>
      <diagonal/>
    </border>
    <border>
      <left/>
      <right style="thick">
        <color theme="0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37">
    <xf numFmtId="0" fontId="0" fillId="0" borderId="0"/>
    <xf numFmtId="0" fontId="10" fillId="0" borderId="0"/>
    <xf numFmtId="44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0" applyNumberFormat="0" applyBorder="0" applyAlignment="0" applyProtection="0"/>
    <xf numFmtId="0" fontId="39" fillId="6" borderId="8" applyNumberFormat="0" applyAlignment="0" applyProtection="0"/>
    <xf numFmtId="0" fontId="40" fillId="7" borderId="9" applyNumberFormat="0" applyAlignment="0" applyProtection="0"/>
    <xf numFmtId="0" fontId="41" fillId="7" borderId="8" applyNumberFormat="0" applyAlignment="0" applyProtection="0"/>
    <xf numFmtId="0" fontId="42" fillId="0" borderId="10" applyNumberFormat="0" applyFill="0" applyAlignment="0" applyProtection="0"/>
    <xf numFmtId="0" fontId="43" fillId="8" borderId="11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7" fillId="33" borderId="0" applyNumberFormat="0" applyBorder="0" applyAlignment="0" applyProtection="0"/>
    <xf numFmtId="0" fontId="4" fillId="0" borderId="0"/>
    <xf numFmtId="0" fontId="4" fillId="9" borderId="12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/>
    <xf numFmtId="44" fontId="4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38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52" borderId="0" applyNumberFormat="0" applyBorder="0" applyAlignment="0" applyProtection="0"/>
    <xf numFmtId="0" fontId="56" fillId="36" borderId="0" applyNumberFormat="0" applyBorder="0" applyAlignment="0" applyProtection="0"/>
    <xf numFmtId="0" fontId="57" fillId="53" borderId="21" applyNumberFormat="0" applyAlignment="0" applyProtection="0"/>
    <xf numFmtId="0" fontId="58" fillId="54" borderId="22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37" borderId="0" applyNumberFormat="0" applyBorder="0" applyAlignment="0" applyProtection="0"/>
    <xf numFmtId="0" fontId="61" fillId="0" borderId="23" applyNumberFormat="0" applyFill="0" applyAlignment="0" applyProtection="0"/>
    <xf numFmtId="0" fontId="62" fillId="0" borderId="24" applyNumberFormat="0" applyFill="0" applyAlignment="0" applyProtection="0"/>
    <xf numFmtId="0" fontId="63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64" fillId="40" borderId="21" applyNumberFormat="0" applyAlignment="0" applyProtection="0"/>
    <xf numFmtId="0" fontId="65" fillId="0" borderId="26" applyNumberFormat="0" applyFill="0" applyAlignment="0" applyProtection="0"/>
    <xf numFmtId="0" fontId="66" fillId="55" borderId="0" applyNumberFormat="0" applyBorder="0" applyAlignment="0" applyProtection="0"/>
    <xf numFmtId="0" fontId="53" fillId="0" borderId="0"/>
    <xf numFmtId="0" fontId="53" fillId="0" borderId="0"/>
    <xf numFmtId="0" fontId="51" fillId="0" borderId="0"/>
    <xf numFmtId="0" fontId="51" fillId="0" borderId="0"/>
    <xf numFmtId="0" fontId="53" fillId="0" borderId="0"/>
    <xf numFmtId="0" fontId="11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2" fillId="0" borderId="0"/>
    <xf numFmtId="0" fontId="2" fillId="0" borderId="0"/>
    <xf numFmtId="0" fontId="51" fillId="0" borderId="0"/>
    <xf numFmtId="0" fontId="71" fillId="0" borderId="0"/>
    <xf numFmtId="0" fontId="2" fillId="0" borderId="0"/>
    <xf numFmtId="0" fontId="71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0" borderId="0"/>
    <xf numFmtId="0" fontId="51" fillId="0" borderId="0"/>
    <xf numFmtId="0" fontId="53" fillId="0" borderId="0"/>
    <xf numFmtId="0" fontId="53" fillId="0" borderId="0"/>
    <xf numFmtId="0" fontId="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56" borderId="27" applyNumberFormat="0" applyFont="0" applyAlignment="0" applyProtection="0"/>
    <xf numFmtId="0" fontId="67" fillId="53" borderId="28" applyNumberFormat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51" fillId="57" borderId="0" applyNumberFormat="0" applyFont="0" applyBorder="0" applyAlignment="0" applyProtection="0"/>
    <xf numFmtId="0" fontId="68" fillId="0" borderId="0" applyNumberFormat="0" applyFill="0" applyBorder="0" applyAlignment="0" applyProtection="0"/>
    <xf numFmtId="0" fontId="69" fillId="0" borderId="30" applyNumberFormat="0" applyFill="0" applyAlignment="0" applyProtection="0"/>
    <xf numFmtId="0" fontId="70" fillId="0" borderId="0" applyNumberFormat="0" applyFill="0" applyBorder="0" applyAlignment="0" applyProtection="0"/>
    <xf numFmtId="0" fontId="73" fillId="0" borderId="0"/>
    <xf numFmtId="43" fontId="73" fillId="0" borderId="0" applyFont="0" applyFill="0" applyBorder="0" applyAlignment="0" applyProtection="0"/>
  </cellStyleXfs>
  <cellXfs count="169">
    <xf numFmtId="0" fontId="0" fillId="0" borderId="0" xfId="0"/>
    <xf numFmtId="0" fontId="10" fillId="0" borderId="0" xfId="1"/>
    <xf numFmtId="37" fontId="12" fillId="0" borderId="0" xfId="1" applyNumberFormat="1" applyFont="1"/>
    <xf numFmtId="0" fontId="19" fillId="0" borderId="0" xfId="1" applyFont="1"/>
    <xf numFmtId="0" fontId="20" fillId="0" borderId="0" xfId="1" applyFont="1"/>
    <xf numFmtId="164" fontId="11" fillId="0" borderId="0" xfId="0" applyNumberFormat="1" applyFont="1" applyAlignment="1">
      <alignment horizontal="right"/>
    </xf>
    <xf numFmtId="0" fontId="19" fillId="0" borderId="0" xfId="1" applyFont="1" applyAlignment="1">
      <alignment horizontal="right"/>
    </xf>
    <xf numFmtId="166" fontId="19" fillId="0" borderId="0" xfId="1" applyNumberFormat="1" applyFont="1"/>
    <xf numFmtId="165" fontId="19" fillId="0" borderId="0" xfId="1" applyNumberFormat="1" applyFont="1"/>
    <xf numFmtId="0" fontId="19" fillId="2" borderId="0" xfId="1" applyFont="1" applyFill="1"/>
    <xf numFmtId="0" fontId="19" fillId="0" borderId="1" xfId="1" applyFont="1" applyBorder="1"/>
    <xf numFmtId="0" fontId="19" fillId="0" borderId="2" xfId="1" applyFont="1" applyBorder="1"/>
    <xf numFmtId="37" fontId="9" fillId="0" borderId="0" xfId="1" applyNumberFormat="1" applyFont="1"/>
    <xf numFmtId="165" fontId="19" fillId="0" borderId="0" xfId="1" applyNumberFormat="1" applyFont="1" applyFill="1"/>
    <xf numFmtId="171" fontId="19" fillId="0" borderId="0" xfId="1" applyNumberFormat="1" applyFont="1"/>
    <xf numFmtId="0" fontId="25" fillId="0" borderId="0" xfId="1" applyFont="1"/>
    <xf numFmtId="165" fontId="19" fillId="2" borderId="0" xfId="1" applyNumberFormat="1" applyFont="1" applyFill="1"/>
    <xf numFmtId="0" fontId="19" fillId="2" borderId="2" xfId="1" applyFont="1" applyFill="1" applyBorder="1"/>
    <xf numFmtId="0" fontId="10" fillId="2" borderId="0" xfId="1" applyFill="1"/>
    <xf numFmtId="3" fontId="0" fillId="0" borderId="2" xfId="0" applyNumberFormat="1" applyFill="1" applyBorder="1"/>
    <xf numFmtId="172" fontId="29" fillId="0" borderId="0" xfId="3" applyNumberFormat="1" applyFont="1" applyFill="1"/>
    <xf numFmtId="0" fontId="18" fillId="34" borderId="0" xfId="0" applyFont="1" applyFill="1"/>
    <xf numFmtId="0" fontId="19" fillId="0" borderId="3" xfId="1" applyFont="1" applyBorder="1"/>
    <xf numFmtId="0" fontId="3" fillId="0" borderId="0" xfId="1" applyFont="1"/>
    <xf numFmtId="0" fontId="10" fillId="0" borderId="0" xfId="1" applyFill="1"/>
    <xf numFmtId="3" fontId="18" fillId="0" borderId="2" xfId="0" applyNumberFormat="1" applyFont="1" applyFill="1" applyBorder="1"/>
    <xf numFmtId="0" fontId="19" fillId="0" borderId="0" xfId="1" applyFont="1" applyFill="1"/>
    <xf numFmtId="0" fontId="19" fillId="0" borderId="2" xfId="1" applyFont="1" applyFill="1" applyBorder="1"/>
    <xf numFmtId="0" fontId="19" fillId="0" borderId="3" xfId="1" applyFont="1" applyFill="1" applyBorder="1"/>
    <xf numFmtId="175" fontId="9" fillId="0" borderId="14" xfId="0" applyNumberFormat="1" applyFont="1" applyFill="1" applyBorder="1" applyAlignment="1">
      <alignment wrapText="1"/>
    </xf>
    <xf numFmtId="174" fontId="9" fillId="0" borderId="0" xfId="3" applyNumberFormat="1" applyFont="1" applyFill="1" applyBorder="1" applyAlignment="1">
      <alignment wrapText="1"/>
    </xf>
    <xf numFmtId="3" fontId="18" fillId="0" borderId="0" xfId="0" applyNumberFormat="1" applyFont="1" applyFill="1"/>
    <xf numFmtId="0" fontId="18" fillId="0" borderId="0" xfId="0" applyFont="1" applyFill="1"/>
    <xf numFmtId="37" fontId="18" fillId="0" borderId="0" xfId="0" applyNumberFormat="1" applyFont="1" applyFill="1"/>
    <xf numFmtId="0" fontId="18" fillId="0" borderId="0" xfId="0" applyFont="1" applyFill="1" applyAlignment="1">
      <alignment horizontal="left"/>
    </xf>
    <xf numFmtId="3" fontId="18" fillId="0" borderId="0" xfId="0" applyNumberFormat="1" applyFont="1" applyFill="1" applyBorder="1"/>
    <xf numFmtId="0" fontId="18" fillId="0" borderId="15" xfId="0" applyFont="1" applyFill="1" applyBorder="1"/>
    <xf numFmtId="37" fontId="18" fillId="0" borderId="15" xfId="0" applyNumberFormat="1" applyFont="1" applyFill="1" applyBorder="1"/>
    <xf numFmtId="0" fontId="18" fillId="0" borderId="16" xfId="0" applyFont="1" applyFill="1" applyBorder="1"/>
    <xf numFmtId="37" fontId="18" fillId="0" borderId="16" xfId="0" applyNumberFormat="1" applyFont="1" applyFill="1" applyBorder="1"/>
    <xf numFmtId="0" fontId="18" fillId="0" borderId="0" xfId="0" applyFont="1" applyFill="1" applyBorder="1"/>
    <xf numFmtId="37" fontId="18" fillId="0" borderId="0" xfId="0" applyNumberFormat="1" applyFont="1" applyFill="1" applyBorder="1"/>
    <xf numFmtId="37" fontId="18" fillId="0" borderId="0" xfId="0" quotePrefix="1" applyNumberFormat="1" applyFont="1" applyFill="1"/>
    <xf numFmtId="0" fontId="3" fillId="0" borderId="0" xfId="1" applyFont="1" applyFill="1"/>
    <xf numFmtId="165" fontId="19" fillId="0" borderId="16" xfId="1" applyNumberFormat="1" applyFont="1" applyFill="1" applyBorder="1"/>
    <xf numFmtId="0" fontId="13" fillId="0" borderId="0" xfId="0" applyFont="1" applyFill="1"/>
    <xf numFmtId="0" fontId="14" fillId="0" borderId="0" xfId="0" applyFont="1" applyFill="1"/>
    <xf numFmtId="170" fontId="18" fillId="0" borderId="0" xfId="0" applyNumberFormat="1" applyFont="1" applyFill="1"/>
    <xf numFmtId="170" fontId="23" fillId="0" borderId="18" xfId="0" applyNumberFormat="1" applyFont="1" applyFill="1" applyBorder="1"/>
    <xf numFmtId="174" fontId="19" fillId="0" borderId="0" xfId="3" applyNumberFormat="1" applyFont="1" applyFill="1" applyBorder="1"/>
    <xf numFmtId="37" fontId="0" fillId="0" borderId="0" xfId="0" applyNumberFormat="1" applyFill="1"/>
    <xf numFmtId="0" fontId="0" fillId="0" borderId="0" xfId="0" applyFill="1"/>
    <xf numFmtId="0" fontId="9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Border="1"/>
    <xf numFmtId="37" fontId="9" fillId="0" borderId="0" xfId="0" applyNumberFormat="1" applyFont="1" applyFill="1"/>
    <xf numFmtId="37" fontId="9" fillId="0" borderId="1" xfId="0" applyNumberFormat="1" applyFont="1" applyFill="1" applyBorder="1"/>
    <xf numFmtId="37" fontId="18" fillId="0" borderId="0" xfId="0" applyNumberFormat="1" applyFont="1" applyFill="1" applyAlignment="1">
      <alignment horizontal="right"/>
    </xf>
    <xf numFmtId="37" fontId="18" fillId="0" borderId="1" xfId="0" applyNumberFormat="1" applyFont="1" applyFill="1" applyBorder="1"/>
    <xf numFmtId="164" fontId="11" fillId="0" borderId="0" xfId="0" applyNumberFormat="1" applyFont="1" applyFill="1" applyAlignment="1">
      <alignment horizontal="right"/>
    </xf>
    <xf numFmtId="174" fontId="19" fillId="0" borderId="0" xfId="3" applyNumberFormat="1" applyFont="1" applyFill="1"/>
    <xf numFmtId="172" fontId="0" fillId="0" borderId="0" xfId="3" applyNumberFormat="1" applyFont="1" applyFill="1"/>
    <xf numFmtId="0" fontId="0" fillId="0" borderId="0" xfId="0" applyFill="1" applyBorder="1"/>
    <xf numFmtId="0" fontId="9" fillId="0" borderId="0" xfId="0" applyFont="1" applyFill="1"/>
    <xf numFmtId="178" fontId="14" fillId="0" borderId="0" xfId="0" applyNumberFormat="1" applyFont="1" applyFill="1"/>
    <xf numFmtId="168" fontId="19" fillId="0" borderId="0" xfId="1" applyNumberFormat="1" applyFont="1" applyFill="1"/>
    <xf numFmtId="0" fontId="19" fillId="0" borderId="0" xfId="1" applyFont="1" applyFill="1" applyBorder="1"/>
    <xf numFmtId="165" fontId="19" fillId="0" borderId="0" xfId="1" applyNumberFormat="1" applyFont="1" applyFill="1" applyBorder="1"/>
    <xf numFmtId="177" fontId="9" fillId="0" borderId="0" xfId="0" applyNumberFormat="1" applyFont="1" applyFill="1" applyBorder="1" applyAlignment="1">
      <alignment wrapText="1"/>
    </xf>
    <xf numFmtId="176" fontId="19" fillId="0" borderId="0" xfId="3" applyNumberFormat="1" applyFont="1" applyFill="1" applyBorder="1"/>
    <xf numFmtId="174" fontId="72" fillId="0" borderId="0" xfId="3" applyNumberFormat="1" applyFont="1" applyFill="1" applyBorder="1" applyAlignment="1">
      <alignment wrapText="1"/>
    </xf>
    <xf numFmtId="174" fontId="24" fillId="0" borderId="0" xfId="3" applyNumberFormat="1" applyFont="1" applyFill="1" applyBorder="1" applyAlignment="1">
      <alignment wrapText="1"/>
    </xf>
    <xf numFmtId="177" fontId="24" fillId="0" borderId="0" xfId="0" applyNumberFormat="1" applyFont="1" applyFill="1" applyBorder="1" applyAlignment="1">
      <alignment wrapText="1"/>
    </xf>
    <xf numFmtId="173" fontId="19" fillId="0" borderId="0" xfId="2" applyNumberFormat="1" applyFont="1" applyFill="1"/>
    <xf numFmtId="37" fontId="12" fillId="0" borderId="0" xfId="1" applyNumberFormat="1" applyFont="1" applyFill="1"/>
    <xf numFmtId="37" fontId="11" fillId="0" borderId="0" xfId="1" applyNumberFormat="1" applyFont="1" applyFill="1"/>
    <xf numFmtId="0" fontId="6" fillId="0" borderId="0" xfId="1" quotePrefix="1" applyFont="1" applyFill="1"/>
    <xf numFmtId="0" fontId="7" fillId="0" borderId="0" xfId="1" quotePrefix="1" applyFont="1" applyFill="1"/>
    <xf numFmtId="0" fontId="22" fillId="0" borderId="0" xfId="0" applyFont="1" applyFill="1"/>
    <xf numFmtId="0" fontId="23" fillId="0" borderId="0" xfId="0" applyFont="1" applyFill="1"/>
    <xf numFmtId="164" fontId="18" fillId="0" borderId="0" xfId="0" applyNumberFormat="1" applyFont="1" applyFill="1" applyAlignment="1">
      <alignment horizontal="right"/>
    </xf>
    <xf numFmtId="0" fontId="8" fillId="0" borderId="1" xfId="1" applyFont="1" applyFill="1" applyBorder="1"/>
    <xf numFmtId="0" fontId="18" fillId="0" borderId="2" xfId="0" applyFont="1" applyFill="1" applyBorder="1"/>
    <xf numFmtId="0" fontId="18" fillId="0" borderId="17" xfId="0" applyFont="1" applyFill="1" applyBorder="1"/>
    <xf numFmtId="0" fontId="8" fillId="0" borderId="0" xfId="1" applyFont="1" applyFill="1"/>
    <xf numFmtId="3" fontId="18" fillId="0" borderId="16" xfId="0" applyNumberFormat="1" applyFont="1" applyFill="1" applyBorder="1"/>
    <xf numFmtId="0" fontId="18" fillId="0" borderId="0" xfId="0" applyFont="1" applyFill="1" applyAlignment="1">
      <alignment horizontal="right"/>
    </xf>
    <xf numFmtId="1" fontId="18" fillId="0" borderId="0" xfId="0" applyNumberFormat="1" applyFont="1" applyFill="1"/>
    <xf numFmtId="3" fontId="18" fillId="0" borderId="1" xfId="0" applyNumberFormat="1" applyFont="1" applyFill="1" applyBorder="1"/>
    <xf numFmtId="3" fontId="18" fillId="0" borderId="3" xfId="0" applyNumberFormat="1" applyFont="1" applyFill="1" applyBorder="1"/>
    <xf numFmtId="172" fontId="18" fillId="0" borderId="0" xfId="3" applyNumberFormat="1" applyFont="1" applyFill="1"/>
    <xf numFmtId="172" fontId="18" fillId="0" borderId="0" xfId="3" applyNumberFormat="1" applyFont="1" applyFill="1" applyBorder="1"/>
    <xf numFmtId="43" fontId="18" fillId="0" borderId="0" xfId="3" applyFont="1" applyFill="1"/>
    <xf numFmtId="0" fontId="13" fillId="0" borderId="0" xfId="0" applyFont="1" applyFill="1" applyBorder="1"/>
    <xf numFmtId="3" fontId="18" fillId="0" borderId="15" xfId="0" applyNumberFormat="1" applyFont="1" applyFill="1" applyBorder="1"/>
    <xf numFmtId="43" fontId="18" fillId="0" borderId="0" xfId="0" applyNumberFormat="1" applyFont="1" applyFill="1"/>
    <xf numFmtId="38" fontId="18" fillId="0" borderId="0" xfId="0" applyNumberFormat="1" applyFont="1" applyFill="1"/>
    <xf numFmtId="0" fontId="17" fillId="0" borderId="0" xfId="0" applyFont="1" applyFill="1"/>
    <xf numFmtId="37" fontId="14" fillId="0" borderId="0" xfId="0" applyNumberFormat="1" applyFont="1" applyFill="1"/>
    <xf numFmtId="0" fontId="15" fillId="0" borderId="0" xfId="0" applyFont="1" applyFill="1"/>
    <xf numFmtId="164" fontId="0" fillId="0" borderId="0" xfId="0" applyNumberFormat="1" applyFill="1" applyAlignment="1">
      <alignment horizontal="right"/>
    </xf>
    <xf numFmtId="165" fontId="0" fillId="0" borderId="0" xfId="0" applyNumberFormat="1" applyFill="1"/>
    <xf numFmtId="0" fontId="5" fillId="0" borderId="0" xfId="1" applyFont="1" applyFill="1"/>
    <xf numFmtId="0" fontId="10" fillId="0" borderId="1" xfId="1" applyFill="1" applyBorder="1"/>
    <xf numFmtId="165" fontId="0" fillId="0" borderId="4" xfId="0" applyNumberFormat="1" applyFill="1" applyBorder="1"/>
    <xf numFmtId="0" fontId="30" fillId="0" borderId="0" xfId="0" applyFont="1" applyFill="1"/>
    <xf numFmtId="168" fontId="5" fillId="0" borderId="0" xfId="1" applyNumberFormat="1" applyFont="1" applyFill="1"/>
    <xf numFmtId="164" fontId="14" fillId="0" borderId="0" xfId="0" applyNumberFormat="1" applyFont="1" applyFill="1" applyAlignment="1">
      <alignment horizontal="right"/>
    </xf>
    <xf numFmtId="165" fontId="14" fillId="0" borderId="0" xfId="0" applyNumberFormat="1" applyFont="1" applyFill="1"/>
    <xf numFmtId="0" fontId="5" fillId="0" borderId="1" xfId="1" applyFont="1" applyFill="1" applyBorder="1"/>
    <xf numFmtId="165" fontId="14" fillId="0" borderId="4" xfId="0" applyNumberFormat="1" applyFont="1" applyFill="1" applyBorder="1"/>
    <xf numFmtId="165" fontId="14" fillId="0" borderId="0" xfId="0" quotePrefix="1" applyNumberFormat="1" applyFont="1" applyFill="1"/>
    <xf numFmtId="0" fontId="10" fillId="0" borderId="0" xfId="1" applyFill="1" applyBorder="1"/>
    <xf numFmtId="165" fontId="0" fillId="0" borderId="0" xfId="0" applyNumberFormat="1" applyFill="1" applyBorder="1"/>
    <xf numFmtId="43" fontId="0" fillId="0" borderId="0" xfId="3" applyFont="1" applyFill="1"/>
    <xf numFmtId="0" fontId="24" fillId="0" borderId="0" xfId="0" applyFont="1" applyFill="1"/>
    <xf numFmtId="0" fontId="20" fillId="0" borderId="0" xfId="0" applyFont="1" applyFill="1"/>
    <xf numFmtId="37" fontId="24" fillId="0" borderId="0" xfId="0" applyNumberFormat="1" applyFont="1" applyFill="1"/>
    <xf numFmtId="170" fontId="18" fillId="0" borderId="0" xfId="2" applyNumberFormat="1" applyFont="1" applyFill="1"/>
    <xf numFmtId="0" fontId="8" fillId="0" borderId="0" xfId="1" applyFont="1" applyFill="1" applyBorder="1"/>
    <xf numFmtId="170" fontId="18" fillId="0" borderId="0" xfId="2" applyNumberFormat="1" applyFont="1" applyFill="1" applyBorder="1"/>
    <xf numFmtId="0" fontId="23" fillId="0" borderId="18" xfId="0" applyFont="1" applyFill="1" applyBorder="1"/>
    <xf numFmtId="170" fontId="23" fillId="0" borderId="18" xfId="2" applyNumberFormat="1" applyFont="1" applyFill="1" applyBorder="1"/>
    <xf numFmtId="0" fontId="14" fillId="0" borderId="16" xfId="0" applyFont="1" applyFill="1" applyBorder="1"/>
    <xf numFmtId="43" fontId="18" fillId="0" borderId="16" xfId="3" applyFont="1" applyFill="1" applyBorder="1"/>
    <xf numFmtId="40" fontId="18" fillId="0" borderId="0" xfId="0" applyNumberFormat="1" applyFont="1" applyFill="1"/>
    <xf numFmtId="43" fontId="14" fillId="0" borderId="0" xfId="3" applyFont="1" applyFill="1"/>
    <xf numFmtId="43" fontId="14" fillId="0" borderId="0" xfId="0" applyNumberFormat="1" applyFont="1" applyFill="1"/>
    <xf numFmtId="0" fontId="29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37" fontId="13" fillId="0" borderId="0" xfId="0" applyNumberFormat="1" applyFont="1" applyFill="1"/>
    <xf numFmtId="3" fontId="0" fillId="0" borderId="0" xfId="0" applyNumberFormat="1" applyFill="1"/>
    <xf numFmtId="0" fontId="0" fillId="0" borderId="0" xfId="0" applyFill="1" applyAlignment="1">
      <alignment horizontal="right"/>
    </xf>
    <xf numFmtId="37" fontId="0" fillId="0" borderId="1" xfId="0" applyNumberFormat="1" applyFill="1" applyBorder="1"/>
    <xf numFmtId="3" fontId="0" fillId="0" borderId="1" xfId="0" applyNumberFormat="1" applyFill="1" applyBorder="1"/>
    <xf numFmtId="37" fontId="0" fillId="0" borderId="0" xfId="0" quotePrefix="1" applyNumberFormat="1" applyFill="1"/>
    <xf numFmtId="172" fontId="0" fillId="0" borderId="0" xfId="3" applyNumberFormat="1" applyFont="1" applyFill="1" applyBorder="1"/>
    <xf numFmtId="172" fontId="0" fillId="0" borderId="4" xfId="3" applyNumberFormat="1" applyFont="1" applyFill="1" applyBorder="1"/>
    <xf numFmtId="172" fontId="0" fillId="0" borderId="19" xfId="3" applyNumberFormat="1" applyFont="1" applyFill="1" applyBorder="1"/>
    <xf numFmtId="172" fontId="0" fillId="0" borderId="16" xfId="3" applyNumberFormat="1" applyFont="1" applyFill="1" applyBorder="1"/>
    <xf numFmtId="37" fontId="0" fillId="0" borderId="0" xfId="0" applyNumberFormat="1" applyFill="1" applyBorder="1"/>
    <xf numFmtId="3" fontId="0" fillId="0" borderId="20" xfId="0" applyNumberFormat="1" applyFill="1" applyBorder="1"/>
    <xf numFmtId="3" fontId="0" fillId="0" borderId="3" xfId="0" applyNumberFormat="1" applyFill="1" applyBorder="1"/>
    <xf numFmtId="172" fontId="0" fillId="0" borderId="15" xfId="3" applyNumberFormat="1" applyFont="1" applyFill="1" applyBorder="1"/>
    <xf numFmtId="172" fontId="0" fillId="0" borderId="1" xfId="3" applyNumberFormat="1" applyFont="1" applyFill="1" applyBorder="1"/>
    <xf numFmtId="0" fontId="0" fillId="0" borderId="1" xfId="0" applyFill="1" applyBorder="1"/>
    <xf numFmtId="172" fontId="0" fillId="0" borderId="0" xfId="0" applyNumberFormat="1" applyFill="1"/>
    <xf numFmtId="0" fontId="1" fillId="0" borderId="0" xfId="1" applyFont="1" applyFill="1"/>
    <xf numFmtId="0" fontId="18" fillId="0" borderId="0" xfId="0" applyFont="1" applyFill="1" applyAlignment="1">
      <alignment wrapText="1"/>
    </xf>
    <xf numFmtId="0" fontId="18" fillId="0" borderId="3" xfId="0" applyFont="1" applyFill="1" applyBorder="1"/>
    <xf numFmtId="0" fontId="20" fillId="0" borderId="0" xfId="1" applyFont="1" applyFill="1"/>
    <xf numFmtId="0" fontId="19" fillId="0" borderId="0" xfId="1" applyFont="1" applyFill="1" applyAlignment="1">
      <alignment horizontal="right"/>
    </xf>
    <xf numFmtId="0" fontId="19" fillId="0" borderId="16" xfId="1" applyFont="1" applyFill="1" applyBorder="1"/>
    <xf numFmtId="0" fontId="48" fillId="0" borderId="0" xfId="0" applyFont="1" applyFill="1" applyAlignment="1">
      <alignment vertical="center" wrapText="1"/>
    </xf>
    <xf numFmtId="37" fontId="21" fillId="0" borderId="0" xfId="1" applyNumberFormat="1" applyFont="1" applyFill="1"/>
    <xf numFmtId="167" fontId="19" fillId="0" borderId="0" xfId="1" applyNumberFormat="1" applyFont="1" applyFill="1"/>
    <xf numFmtId="0" fontId="19" fillId="0" borderId="18" xfId="1" applyFont="1" applyFill="1" applyBorder="1"/>
    <xf numFmtId="165" fontId="19" fillId="0" borderId="18" xfId="1" applyNumberFormat="1" applyFont="1" applyFill="1" applyBorder="1"/>
    <xf numFmtId="0" fontId="19" fillId="0" borderId="1" xfId="1" applyFont="1" applyFill="1" applyBorder="1"/>
    <xf numFmtId="43" fontId="19" fillId="0" borderId="0" xfId="3" applyFont="1" applyFill="1"/>
    <xf numFmtId="179" fontId="19" fillId="0" borderId="0" xfId="1" applyNumberFormat="1" applyFont="1" applyFill="1"/>
    <xf numFmtId="168" fontId="19" fillId="0" borderId="0" xfId="1" applyNumberFormat="1" applyFont="1" applyFill="1" applyBorder="1"/>
    <xf numFmtId="43" fontId="19" fillId="0" borderId="0" xfId="3" applyFont="1" applyFill="1" applyBorder="1"/>
    <xf numFmtId="171" fontId="19" fillId="0" borderId="0" xfId="1" applyNumberFormat="1" applyFont="1" applyFill="1"/>
    <xf numFmtId="176" fontId="19" fillId="0" borderId="0" xfId="3" applyNumberFormat="1" applyFont="1" applyFill="1"/>
    <xf numFmtId="9" fontId="19" fillId="0" borderId="0" xfId="51" applyFont="1" applyFill="1"/>
    <xf numFmtId="43" fontId="19" fillId="0" borderId="0" xfId="1" applyNumberFormat="1" applyFont="1" applyFill="1"/>
    <xf numFmtId="169" fontId="19" fillId="0" borderId="0" xfId="1" applyNumberFormat="1" applyFont="1" applyFill="1"/>
    <xf numFmtId="166" fontId="19" fillId="0" borderId="0" xfId="1" applyNumberFormat="1" applyFont="1" applyFill="1"/>
  </cellXfs>
  <cellStyles count="837">
    <cellStyle name="20% - Accent1" xfId="21" builtinId="30" customBuiltin="1"/>
    <cellStyle name="20% - Accent1 2" xfId="52" xr:uid="{58362D6E-DA6C-4DB0-B8A6-0DAB13ADED09}"/>
    <cellStyle name="20% - Accent2" xfId="25" builtinId="34" customBuiltin="1"/>
    <cellStyle name="20% - Accent2 2" xfId="53" xr:uid="{C07AB9C7-F158-4F57-ACED-0939BB63FF51}"/>
    <cellStyle name="20% - Accent3" xfId="29" builtinId="38" customBuiltin="1"/>
    <cellStyle name="20% - Accent3 2" xfId="54" xr:uid="{3A0BC555-4F63-4BBF-A06D-4217C8FF546C}"/>
    <cellStyle name="20% - Accent4" xfId="33" builtinId="42" customBuiltin="1"/>
    <cellStyle name="20% - Accent4 2" xfId="55" xr:uid="{57AFC608-B4C5-4DBD-B6E7-D3C8C13B00BA}"/>
    <cellStyle name="20% - Accent5" xfId="37" builtinId="46" customBuiltin="1"/>
    <cellStyle name="20% - Accent5 2" xfId="56" xr:uid="{2A6B7412-FCD1-48A2-B6BA-D1124371F855}"/>
    <cellStyle name="20% - Accent6" xfId="41" builtinId="50" customBuiltin="1"/>
    <cellStyle name="20% - Accent6 2" xfId="57" xr:uid="{AA639904-EA6F-422F-8791-E06192BA23EA}"/>
    <cellStyle name="40% - Accent1" xfId="22" builtinId="31" customBuiltin="1"/>
    <cellStyle name="40% - Accent1 2" xfId="58" xr:uid="{1CD46298-3A56-4E31-9E06-F7E0F256B78F}"/>
    <cellStyle name="40% - Accent2" xfId="26" builtinId="35" customBuiltin="1"/>
    <cellStyle name="40% - Accent2 2" xfId="59" xr:uid="{D3F6FCD3-59CD-4AB2-9700-F024C43763BB}"/>
    <cellStyle name="40% - Accent3" xfId="30" builtinId="39" customBuiltin="1"/>
    <cellStyle name="40% - Accent3 2" xfId="60" xr:uid="{554F576B-AE0D-44B5-A2B9-41810D5A321E}"/>
    <cellStyle name="40% - Accent4" xfId="34" builtinId="43" customBuiltin="1"/>
    <cellStyle name="40% - Accent4 2" xfId="61" xr:uid="{38BE3F39-235F-4609-A690-ECFFAEF7FB8B}"/>
    <cellStyle name="40% - Accent5" xfId="38" builtinId="47" customBuiltin="1"/>
    <cellStyle name="40% - Accent5 2" xfId="62" xr:uid="{F1D896ED-766E-485B-9325-808714A25B79}"/>
    <cellStyle name="40% - Accent6" xfId="42" builtinId="51" customBuiltin="1"/>
    <cellStyle name="40% - Accent6 2" xfId="63" xr:uid="{2D82D267-E491-43F1-B286-0F00E3A8A2D3}"/>
    <cellStyle name="60% - Accent1" xfId="23" builtinId="32" customBuiltin="1"/>
    <cellStyle name="60% - Accent1 2" xfId="64" xr:uid="{37DA8F2A-0130-401B-8CD4-22EC150BA1EF}"/>
    <cellStyle name="60% - Accent2" xfId="27" builtinId="36" customBuiltin="1"/>
    <cellStyle name="60% - Accent2 2" xfId="65" xr:uid="{6ADCF5CB-47FE-4551-91EC-8552F123FE48}"/>
    <cellStyle name="60% - Accent3" xfId="31" builtinId="40" customBuiltin="1"/>
    <cellStyle name="60% - Accent3 2" xfId="66" xr:uid="{34A77076-CB3E-4B8F-82E5-6D49EC1AD34F}"/>
    <cellStyle name="60% - Accent4" xfId="35" builtinId="44" customBuiltin="1"/>
    <cellStyle name="60% - Accent4 2" xfId="67" xr:uid="{418CE515-787E-4541-9A0E-FE8FDD1DA4E7}"/>
    <cellStyle name="60% - Accent5" xfId="39" builtinId="48" customBuiltin="1"/>
    <cellStyle name="60% - Accent5 2" xfId="68" xr:uid="{783D511A-EC14-4932-8898-F616C83A6D0C}"/>
    <cellStyle name="60% - Accent6" xfId="43" builtinId="52" customBuiltin="1"/>
    <cellStyle name="60% - Accent6 2" xfId="69" xr:uid="{F7B16836-C9FC-47F7-BD06-782F286E4020}"/>
    <cellStyle name="Accent1" xfId="20" builtinId="29" customBuiltin="1"/>
    <cellStyle name="Accent1 2" xfId="70" xr:uid="{375A0950-004D-4B38-B77A-7D131ACBAD56}"/>
    <cellStyle name="Accent2" xfId="24" builtinId="33" customBuiltin="1"/>
    <cellStyle name="Accent2 2" xfId="71" xr:uid="{911D054F-7513-476A-A7BE-0BB3B1B77B2A}"/>
    <cellStyle name="Accent3" xfId="28" builtinId="37" customBuiltin="1"/>
    <cellStyle name="Accent3 2" xfId="72" xr:uid="{C4F3E0E2-AC4A-4D3C-8CF5-348264C828EA}"/>
    <cellStyle name="Accent4" xfId="32" builtinId="41" customBuiltin="1"/>
    <cellStyle name="Accent4 2" xfId="73" xr:uid="{9FC7ADEF-80B6-4000-B172-A30741D3BB82}"/>
    <cellStyle name="Accent5" xfId="36" builtinId="45" customBuiltin="1"/>
    <cellStyle name="Accent5 2" xfId="74" xr:uid="{BD124515-12BC-4CD3-A40A-7C4630807CAA}"/>
    <cellStyle name="Accent6" xfId="40" builtinId="49" customBuiltin="1"/>
    <cellStyle name="Accent6 2" xfId="75" xr:uid="{173905A6-389A-40DF-8B22-B2054927405A}"/>
    <cellStyle name="Bad" xfId="10" builtinId="27" customBuiltin="1"/>
    <cellStyle name="Bad 2" xfId="76" xr:uid="{40D69ACB-2EFA-4CF3-8CB0-502EB027F8D5}"/>
    <cellStyle name="Calculation" xfId="14" builtinId="22" customBuiltin="1"/>
    <cellStyle name="Calculation 2" xfId="77" xr:uid="{CCA2702F-1CD2-4C4E-91B2-CAD02C897368}"/>
    <cellStyle name="Check Cell" xfId="16" builtinId="23" customBuiltin="1"/>
    <cellStyle name="Check Cell 2" xfId="78" xr:uid="{4806CDE1-34E6-45F3-9B9D-56D1383BF76C}"/>
    <cellStyle name="Comma" xfId="3" builtinId="3"/>
    <cellStyle name="Comma 10" xfId="79" xr:uid="{FA8D52E3-592A-4EC5-9467-75053A99D033}"/>
    <cellStyle name="Comma 10 2" xfId="80" xr:uid="{924F1A19-D574-4D09-BAC4-A61A7F241F64}"/>
    <cellStyle name="Comma 10 3" xfId="81" xr:uid="{EC166605-3746-424A-8DFA-822804B19470}"/>
    <cellStyle name="Comma 10 3 2" xfId="82" xr:uid="{E1B6B2D2-6A41-462E-8A17-56EEC6535C49}"/>
    <cellStyle name="Comma 10 3 3" xfId="83" xr:uid="{85EFAAFD-35E5-446B-95F6-4C6942B862C6}"/>
    <cellStyle name="Comma 10 4" xfId="84" xr:uid="{76B0704A-9E9A-4E54-B0CD-5CDF783DDC80}"/>
    <cellStyle name="Comma 10 4 2" xfId="85" xr:uid="{0B66813F-241A-4B96-ACF8-F125EDB4DE0F}"/>
    <cellStyle name="Comma 10 4 3" xfId="86" xr:uid="{F076A25F-C589-4152-BC3D-6CBE99264E1F}"/>
    <cellStyle name="Comma 10 4 4" xfId="87" xr:uid="{B4A561AF-2E07-4A6A-BFEB-EC4AC8D9084B}"/>
    <cellStyle name="Comma 10 5" xfId="88" xr:uid="{48A6A7A5-1A69-4F71-A139-CFED0B0AD3BA}"/>
    <cellStyle name="Comma 10 5 2" xfId="89" xr:uid="{98E30CD0-1F12-490D-B0B7-E83549F97377}"/>
    <cellStyle name="Comma 10 5 2 2" xfId="90" xr:uid="{40218ABC-E9DB-4273-BE3B-92084609FE4D}"/>
    <cellStyle name="Comma 10 5 2 3" xfId="91" xr:uid="{1129AD91-AA53-411A-8CEF-352CF56DB729}"/>
    <cellStyle name="Comma 10 5 2 3 2" xfId="92" xr:uid="{302A4410-D74B-45B0-818D-3999F102F005}"/>
    <cellStyle name="Comma 10 5 3" xfId="93" xr:uid="{DC364115-8D63-4CEF-B1AC-A15F9B10F6D2}"/>
    <cellStyle name="Comma 10 6" xfId="94" xr:uid="{2391186D-6B67-44EC-8F9C-5EA1D880F463}"/>
    <cellStyle name="Comma 10 6 2" xfId="95" xr:uid="{C130C878-52D6-455F-8DA0-A8ABD4B228BA}"/>
    <cellStyle name="Comma 10 6 3" xfId="96" xr:uid="{BE1F8FD7-88AB-4944-A282-CB2D9BCB7E17}"/>
    <cellStyle name="Comma 10 6 3 2" xfId="97" xr:uid="{67608D45-94FA-4BDD-AF86-8E2F667CE510}"/>
    <cellStyle name="Comma 10 7" xfId="98" xr:uid="{AA126160-757D-4E45-BAE2-00151A635960}"/>
    <cellStyle name="Comma 10 8" xfId="99" xr:uid="{2DA1A18D-526E-4056-8AEF-0D580845BD58}"/>
    <cellStyle name="Comma 10 8 2" xfId="100" xr:uid="{82432125-94B8-4FA7-BA92-EFCE2A7E692E}"/>
    <cellStyle name="Comma 11" xfId="101" xr:uid="{3143E1F2-A24D-4538-A936-81C833A30FB2}"/>
    <cellStyle name="Comma 11 10" xfId="102" xr:uid="{40302D9E-86A8-4419-9AE8-9DBE07E1891F}"/>
    <cellStyle name="Comma 11 11" xfId="103" xr:uid="{7E571EC0-6714-4D22-B72C-352A2EEDA3E4}"/>
    <cellStyle name="Comma 11 11 2" xfId="104" xr:uid="{10372FF5-8D46-41F2-A96C-06DB09712F88}"/>
    <cellStyle name="Comma 11 11 2 2" xfId="105" xr:uid="{976DBB9E-22EA-41D8-8D7D-EBF9AF13B32B}"/>
    <cellStyle name="Comma 11 11 2 3" xfId="106" xr:uid="{10064659-54FF-49DC-B560-1248D8DA6F15}"/>
    <cellStyle name="Comma 11 11 2 3 2" xfId="107" xr:uid="{C41FF54B-4F4F-423F-8594-6F6DA2C967AC}"/>
    <cellStyle name="Comma 11 12" xfId="108" xr:uid="{AAD50B9F-0725-4F12-B832-A207F769528A}"/>
    <cellStyle name="Comma 11 13" xfId="109" xr:uid="{4D572A49-294F-41E9-A5D5-2A5E9BEF8222}"/>
    <cellStyle name="Comma 11 13 2" xfId="110" xr:uid="{A5BB34B5-1573-418D-A02D-E450F4805E02}"/>
    <cellStyle name="Comma 11 13 2 2" xfId="111" xr:uid="{679D024A-52BF-41DB-BC9B-7ACE2D2267B6}"/>
    <cellStyle name="Comma 11 13 2 3" xfId="112" xr:uid="{CA39D1FA-F095-49F9-AD4E-4512084022A9}"/>
    <cellStyle name="Comma 11 13 2 3 2" xfId="113" xr:uid="{2B854CA3-55D6-4A78-A010-402C67B20FFE}"/>
    <cellStyle name="Comma 11 2" xfId="114" xr:uid="{F878FCAC-B22F-4370-8979-F3E52BA7F58D}"/>
    <cellStyle name="Comma 11 3" xfId="115" xr:uid="{CC2B9253-CDA5-42E5-BA34-100D144C09C2}"/>
    <cellStyle name="Comma 11 4" xfId="116" xr:uid="{E23A143A-4840-467B-A516-A5C5B3255960}"/>
    <cellStyle name="Comma 11 5" xfId="117" xr:uid="{77020E86-EF59-497A-9592-98EFCA67823C}"/>
    <cellStyle name="Comma 11 6" xfId="118" xr:uid="{866D6720-A75A-4FED-AA4A-CD4F1E0E8B40}"/>
    <cellStyle name="Comma 11 7" xfId="119" xr:uid="{AE555F47-5875-4A80-9D99-A0A3B62AE7FA}"/>
    <cellStyle name="Comma 11 7 2" xfId="120" xr:uid="{242EBE7E-7C6F-4ED1-BB7D-58492570BF87}"/>
    <cellStyle name="Comma 11 7 2 2" xfId="121" xr:uid="{43D4CAC5-2895-40D2-B7FF-DC8D03FC077A}"/>
    <cellStyle name="Comma 11 7 2 3" xfId="122" xr:uid="{D13E0B0D-00E6-4E1E-A220-2AEEE6646339}"/>
    <cellStyle name="Comma 11 8" xfId="123" xr:uid="{0F898CAA-3A26-4A21-A967-A1978BB074D4}"/>
    <cellStyle name="Comma 11 9" xfId="124" xr:uid="{78AD414A-C55B-4335-98C4-CA3629D10422}"/>
    <cellStyle name="Comma 12" xfId="125" xr:uid="{9DA85D6C-2FBE-42CC-82D0-0422396E7308}"/>
    <cellStyle name="Comma 12 10" xfId="126" xr:uid="{59FC7404-5CD7-420B-BB7C-E9EA4B2C9223}"/>
    <cellStyle name="Comma 12 10 2" xfId="127" xr:uid="{93121FBC-262C-4A24-B8C3-84CB70DEFAE8}"/>
    <cellStyle name="Comma 12 10 2 2" xfId="128" xr:uid="{66C4C611-4A9A-4513-A678-68ED11B48664}"/>
    <cellStyle name="Comma 12 10 2 3" xfId="129" xr:uid="{11855B94-3FA8-437F-96B9-682C80860778}"/>
    <cellStyle name="Comma 12 10 2 3 2" xfId="130" xr:uid="{5EE8730E-FCB4-4112-A6E7-6EAFC1C0ED01}"/>
    <cellStyle name="Comma 12 11" xfId="131" xr:uid="{35A16C42-6B35-4884-A11C-F91B9510FFC0}"/>
    <cellStyle name="Comma 12 12" xfId="132" xr:uid="{62A96070-C3FF-4D67-96C2-7B734783E71D}"/>
    <cellStyle name="Comma 12 12 2" xfId="133" xr:uid="{17D3E88A-5F73-43A3-900E-DF0789ED7AA0}"/>
    <cellStyle name="Comma 12 12 2 2" xfId="134" xr:uid="{3314C726-5DDB-4533-BED4-BCD5FA4EBE89}"/>
    <cellStyle name="Comma 12 12 2 3" xfId="135" xr:uid="{E5BB4889-F9CB-461D-AA1E-2C69BE9BBD14}"/>
    <cellStyle name="Comma 12 12 2 3 2" xfId="136" xr:uid="{4698CD72-07B3-4886-B1F4-424B858357DC}"/>
    <cellStyle name="Comma 12 2" xfId="137" xr:uid="{56006B26-466F-48F4-A856-774988F4C0FC}"/>
    <cellStyle name="Comma 12 3" xfId="138" xr:uid="{3EAC4D5C-D79B-42B1-AFFD-62562AB3AB9B}"/>
    <cellStyle name="Comma 12 4" xfId="139" xr:uid="{C943DAA8-14E7-41C1-8E28-F4722500E0FC}"/>
    <cellStyle name="Comma 12 5" xfId="140" xr:uid="{A8E3311C-EC6B-488C-8372-D041CB5CF061}"/>
    <cellStyle name="Comma 12 6" xfId="141" xr:uid="{D58420C3-959B-4298-A512-D3850C801357}"/>
    <cellStyle name="Comma 12 6 2" xfId="142" xr:uid="{F288C3B0-A3B3-438B-B13E-E2138910E163}"/>
    <cellStyle name="Comma 12 6 2 2" xfId="143" xr:uid="{38FF14A4-C1DD-4F37-AA82-B9298FAF39E2}"/>
    <cellStyle name="Comma 12 6 2 3" xfId="144" xr:uid="{4FC67B97-1D6F-4F8A-A74E-71D11851FC13}"/>
    <cellStyle name="Comma 12 7" xfId="145" xr:uid="{9BB5E395-EA44-4716-8ABB-86FABC18F6BA}"/>
    <cellStyle name="Comma 12 8" xfId="146" xr:uid="{E8966410-F926-4F21-9DE9-4B2ABD6AF9DB}"/>
    <cellStyle name="Comma 12 9" xfId="147" xr:uid="{0A95C5D0-47B4-4ADB-9170-C9C24C0BCF4E}"/>
    <cellStyle name="Comma 13" xfId="148" xr:uid="{FF5B601A-543E-4047-8BFD-15FB64CCCECB}"/>
    <cellStyle name="Comma 13 2" xfId="149" xr:uid="{9ED490C5-DC24-463F-9989-1F31DC4EBD5F}"/>
    <cellStyle name="Comma 13 3" xfId="150" xr:uid="{51CE9EEF-28D9-466F-8B05-D6BF870C3FFB}"/>
    <cellStyle name="Comma 13 4" xfId="151" xr:uid="{A2AADC32-2C0B-4EC8-AB4E-B9E86A633061}"/>
    <cellStyle name="Comma 13 5" xfId="152" xr:uid="{B91F739F-F640-4D51-914B-906AC290BC4F}"/>
    <cellStyle name="Comma 13 6" xfId="153" xr:uid="{BD18BDA4-416A-4C30-BB95-97EBEB806951}"/>
    <cellStyle name="Comma 14" xfId="154" xr:uid="{59CC0420-A397-4197-ADA5-63FBCFF12603}"/>
    <cellStyle name="Comma 14 2" xfId="155" xr:uid="{F8D1440A-A294-488F-A16D-F44ADC614450}"/>
    <cellStyle name="Comma 14 3" xfId="156" xr:uid="{EF9CAB1A-1F2C-4B1A-944D-1A3F569850F1}"/>
    <cellStyle name="Comma 14 4" xfId="157" xr:uid="{294BC003-AD05-4F16-9D5C-D5F3B3779BEC}"/>
    <cellStyle name="Comma 14 5" xfId="158" xr:uid="{3360F2F3-0430-4457-89BE-4C0281A278F5}"/>
    <cellStyle name="Comma 15" xfId="159" xr:uid="{EB4C5D58-7063-425A-BC6B-4C37DEFE5B77}"/>
    <cellStyle name="Comma 15 2" xfId="160" xr:uid="{2B494830-8587-41C8-A7DE-43C34063F354}"/>
    <cellStyle name="Comma 15 3" xfId="161" xr:uid="{466311DC-B411-4911-A101-C041D52EAFCF}"/>
    <cellStyle name="Comma 15 4" xfId="162" xr:uid="{63DFB24E-FA51-4EC4-AF7E-82DAE29787F6}"/>
    <cellStyle name="Comma 15 5" xfId="163" xr:uid="{E264822C-7F67-4469-B160-169BC2B9AF41}"/>
    <cellStyle name="Comma 16" xfId="164" xr:uid="{FF2FA588-F314-4249-BB34-0FFF7C926363}"/>
    <cellStyle name="Comma 16 2" xfId="165" xr:uid="{F5602FCB-2158-479B-A51B-BDD925B8C07D}"/>
    <cellStyle name="Comma 16 3" xfId="166" xr:uid="{E6CA798E-10C0-4EE8-9CC3-9F1DD01825AD}"/>
    <cellStyle name="Comma 16 3 2" xfId="167" xr:uid="{60E859F3-731B-4AC3-9C3F-ADA0D7CA6566}"/>
    <cellStyle name="Comma 16 3 3" xfId="168" xr:uid="{09FB2261-5F0F-4A12-9D31-5E6D56ED48AE}"/>
    <cellStyle name="Comma 16 3 3 2" xfId="169" xr:uid="{BA9A1A59-779B-452C-A2B8-B5BE7490658B}"/>
    <cellStyle name="Comma 17" xfId="170" xr:uid="{639996CB-5AB0-4DBC-88AD-87F47634B01A}"/>
    <cellStyle name="Comma 17 2" xfId="171" xr:uid="{CE88580A-4C83-4EBC-B577-7347C2E13843}"/>
    <cellStyle name="Comma 17 3" xfId="172" xr:uid="{3A7F48F5-0055-4DB2-88C3-85513B827760}"/>
    <cellStyle name="Comma 17 3 2" xfId="173" xr:uid="{FAA66110-E50A-44D7-9A9B-65A82822B626}"/>
    <cellStyle name="Comma 18" xfId="174" xr:uid="{2E691C13-2AA1-48A7-9454-98D7BAA50CE1}"/>
    <cellStyle name="Comma 18 2" xfId="175" xr:uid="{24953A63-3421-4125-B273-A8749BA0F3F1}"/>
    <cellStyle name="Comma 18 3" xfId="176" xr:uid="{95131674-31BF-4885-B4EC-1FB6ED87F192}"/>
    <cellStyle name="Comma 18 3 2" xfId="177" xr:uid="{98A3268D-9530-40A4-89EA-39FB2B755ABA}"/>
    <cellStyle name="Comma 19" xfId="178" xr:uid="{137101C5-C306-4C9E-BB54-D082B3C2EF45}"/>
    <cellStyle name="Comma 19 2" xfId="179" xr:uid="{4AACC2B5-F68B-417C-B31C-ACA2FC139CAD}"/>
    <cellStyle name="Comma 19 3" xfId="180" xr:uid="{9C9B7461-9923-464D-A302-C862B0AD2FD2}"/>
    <cellStyle name="Comma 19 3 2" xfId="181" xr:uid="{F359D89D-7E0E-4271-8727-64845A49ACE5}"/>
    <cellStyle name="Comma 2" xfId="47" xr:uid="{00000000-0005-0000-0000-00001C000000}"/>
    <cellStyle name="Comma 2 2" xfId="182" xr:uid="{F8453EA8-AE4E-423D-BC60-7ADFC47E69BF}"/>
    <cellStyle name="Comma 2 2 2" xfId="183" xr:uid="{A7D9CC3E-7F97-408D-AED1-D267BCC57356}"/>
    <cellStyle name="Comma 2 2 3" xfId="184" xr:uid="{ECF339FA-DF7E-42AF-91A7-7A53A28CE032}"/>
    <cellStyle name="Comma 2 2 4" xfId="185" xr:uid="{D92B08FF-7394-4165-8762-9306DB367453}"/>
    <cellStyle name="Comma 2 2 5" xfId="186" xr:uid="{F52225C9-A183-449A-AD8D-BA9527A879D0}"/>
    <cellStyle name="Comma 2 3" xfId="187" xr:uid="{7BCE4902-B575-44F0-93E0-7542FB250D79}"/>
    <cellStyle name="Comma 2 3 2" xfId="188" xr:uid="{EEEC44C0-3522-4907-A443-1CC95F606171}"/>
    <cellStyle name="Comma 2 3 3" xfId="189" xr:uid="{EB960E5D-A472-407D-9B13-FF4D87CCD336}"/>
    <cellStyle name="Comma 2 3 4" xfId="190" xr:uid="{99A66A20-73F0-4A55-B5E0-3C60E9F5996C}"/>
    <cellStyle name="Comma 2 3 4 2" xfId="191" xr:uid="{86B97F64-7B0F-4A64-9173-D28779039DDB}"/>
    <cellStyle name="Comma 2 3 4 2 2" xfId="192" xr:uid="{697B16C4-C89E-4436-B6B4-6F437E1DA081}"/>
    <cellStyle name="Comma 2 3 4 3" xfId="193" xr:uid="{D92BD68A-E815-40FD-9871-EEC9717CF3DB}"/>
    <cellStyle name="Comma 2 3 4 4" xfId="194" xr:uid="{F1605922-4D57-4F5D-86C0-DF0E3F63AAE8}"/>
    <cellStyle name="Comma 2 3 4 5" xfId="195" xr:uid="{AF2F409C-2678-4DAD-8C92-9462C761B1DD}"/>
    <cellStyle name="Comma 2 3 4 5 2" xfId="196" xr:uid="{9F93163A-1DD3-4B98-8CD2-D1DBB5566653}"/>
    <cellStyle name="Comma 2 3 5" xfId="197" xr:uid="{DABCE8EC-1F37-4B4D-BA18-7199A3CCDF15}"/>
    <cellStyle name="Comma 2 4" xfId="198" xr:uid="{117FAC14-ACE6-4DB0-8D62-DAD38218A5A5}"/>
    <cellStyle name="Comma 2 5" xfId="199" xr:uid="{C36832BB-DB0F-400F-9559-57D936C2658E}"/>
    <cellStyle name="Comma 20" xfId="200" xr:uid="{ACD9B609-E670-4330-A258-921E34BCD8A8}"/>
    <cellStyle name="Comma 20 2" xfId="201" xr:uid="{09D1E5EF-573D-40CF-830A-7CE8B2AAEA63}"/>
    <cellStyle name="Comma 20 3" xfId="202" xr:uid="{3D5432FA-D21A-46F0-BE28-9B485464E782}"/>
    <cellStyle name="Comma 20 3 2" xfId="203" xr:uid="{DCE4B589-D15D-4D04-9D74-09402327DCB0}"/>
    <cellStyle name="Comma 21" xfId="204" xr:uid="{7EECE3AA-F22D-47D7-BCE8-48F5491ACB07}"/>
    <cellStyle name="Comma 21 2" xfId="205" xr:uid="{B41590AF-6822-4A8E-B3A3-04E4ED79567D}"/>
    <cellStyle name="Comma 21 3" xfId="206" xr:uid="{5BFA4FE3-6FA0-4FE0-B432-35B19E5703C8}"/>
    <cellStyle name="Comma 21 3 2" xfId="207" xr:uid="{B6A58215-B671-486A-9289-70D50C49F87E}"/>
    <cellStyle name="Comma 22" xfId="208" xr:uid="{6950CC2F-D345-4FF5-920D-D60B358E93E0}"/>
    <cellStyle name="Comma 22 2" xfId="209" xr:uid="{A26AEFEC-BE4D-4134-B569-60F301C52CE1}"/>
    <cellStyle name="Comma 22 3" xfId="210" xr:uid="{72A45F85-2749-446D-9A8D-438B7B92E14C}"/>
    <cellStyle name="Comma 22 3 2" xfId="211" xr:uid="{F9E41F1A-E99C-4AB3-878F-EB83BF90F790}"/>
    <cellStyle name="Comma 23" xfId="212" xr:uid="{524325B7-17B6-45CC-9D9B-857CC124375E}"/>
    <cellStyle name="Comma 23 2" xfId="213" xr:uid="{0F2A5B35-0CB5-4650-86A7-CF96803BD1B9}"/>
    <cellStyle name="Comma 23 3" xfId="214" xr:uid="{74BCEC05-ED30-4312-B798-1AC5366FC9FA}"/>
    <cellStyle name="Comma 23 3 2" xfId="215" xr:uid="{1EB47AB6-48D1-44BC-A6A1-A56BB5B4FA91}"/>
    <cellStyle name="Comma 24" xfId="216" xr:uid="{DC906FA8-879D-44D9-B1F5-C5A03F276BB1}"/>
    <cellStyle name="Comma 24 2" xfId="217" xr:uid="{86DBFFB4-1402-4757-9DE6-ACFEDB64EC87}"/>
    <cellStyle name="Comma 24 3" xfId="218" xr:uid="{B0A9328C-DDEE-4719-8EFD-F58F4B75E291}"/>
    <cellStyle name="Comma 24 3 2" xfId="219" xr:uid="{B1C084B6-A899-48E5-8DE8-6DA0411B76B7}"/>
    <cellStyle name="Comma 25" xfId="220" xr:uid="{380E3AB4-555C-4F31-9ED8-C4671C210469}"/>
    <cellStyle name="Comma 25 2" xfId="221" xr:uid="{51E7CFEC-FBB5-4C91-BD8B-5478E327CB50}"/>
    <cellStyle name="Comma 25 3" xfId="222" xr:uid="{12A90B65-179B-4218-A1D5-6FB64481382C}"/>
    <cellStyle name="Comma 25 3 2" xfId="223" xr:uid="{CBE54075-2F65-48ED-946F-65138FBE91EB}"/>
    <cellStyle name="Comma 26" xfId="224" xr:uid="{A24E7D85-6F0A-4509-879C-C6E7C09C2989}"/>
    <cellStyle name="Comma 26 2" xfId="225" xr:uid="{C3C4C804-C723-41A0-A5B9-C8513318E41F}"/>
    <cellStyle name="Comma 26 3" xfId="226" xr:uid="{B0C7F399-B4C6-4C17-8D30-16F8548A588B}"/>
    <cellStyle name="Comma 26 3 2" xfId="227" xr:uid="{5FDBA7A8-EF3D-443B-9EEE-D69054479779}"/>
    <cellStyle name="Comma 27" xfId="228" xr:uid="{E182BBA5-8B1F-400D-B884-E349A7B4C243}"/>
    <cellStyle name="Comma 27 2" xfId="229" xr:uid="{1943D5D1-078E-4C6C-A2F6-733F8BD6970D}"/>
    <cellStyle name="Comma 27 3" xfId="230" xr:uid="{BA2FB02F-AB58-489B-9A0A-64EBFA24E38C}"/>
    <cellStyle name="Comma 27 3 2" xfId="231" xr:uid="{F1177124-BEA0-496B-B89F-DB6D135F9482}"/>
    <cellStyle name="Comma 28" xfId="232" xr:uid="{BDADD40E-83F9-4CB7-8AAD-1EDD5242DB80}"/>
    <cellStyle name="Comma 28 2" xfId="233" xr:uid="{A3A03CD2-DEDD-46F7-AFA1-3714E6743307}"/>
    <cellStyle name="Comma 29" xfId="234" xr:uid="{21BDA130-3711-47B1-A59A-C1E15D1077C8}"/>
    <cellStyle name="Comma 29 2" xfId="235" xr:uid="{A1E806E6-187D-443D-8AE7-EA81CEBBF6C3}"/>
    <cellStyle name="Comma 3" xfId="236" xr:uid="{E5408923-3D98-4326-B4D3-668364B8DDC5}"/>
    <cellStyle name="Comma 3 2" xfId="237" xr:uid="{4FF76783-03A2-4263-8AB3-EDB2233D5106}"/>
    <cellStyle name="Comma 3 3" xfId="238" xr:uid="{3E4C1A34-C61E-4DCC-B025-89EDD5BB3731}"/>
    <cellStyle name="Comma 3 4" xfId="239" xr:uid="{23D8AEEA-F965-4D4B-A2C8-596D17D57FA8}"/>
    <cellStyle name="Comma 30" xfId="240" xr:uid="{F22F7BE8-4EBD-4CB4-8571-9BF31F147BDE}"/>
    <cellStyle name="Comma 31" xfId="241" xr:uid="{CA589989-A7F6-4B6B-991E-422BFE1616B1}"/>
    <cellStyle name="Comma 31 2" xfId="242" xr:uid="{6703DE5F-12D6-4630-9A63-524F0CBB96DD}"/>
    <cellStyle name="Comma 31 3" xfId="243" xr:uid="{36783157-7888-4542-961A-B4754EDB903A}"/>
    <cellStyle name="Comma 31 3 2" xfId="244" xr:uid="{E9AC74CC-6342-4EA5-A399-092F42CDEB6D}"/>
    <cellStyle name="Comma 32" xfId="245" xr:uid="{F0A1E847-F22A-479F-AC2F-53F58E33356F}"/>
    <cellStyle name="Comma 32 2" xfId="246" xr:uid="{C648C081-68AD-44D3-8B96-F20DA12A6379}"/>
    <cellStyle name="Comma 32 2 2" xfId="247" xr:uid="{EBBFF84E-0F78-4E49-8367-3EB729E3D722}"/>
    <cellStyle name="Comma 32 3" xfId="248" xr:uid="{18C63E41-6BB2-48D4-B8C3-31A6D1B61D44}"/>
    <cellStyle name="Comma 32 4" xfId="249" xr:uid="{15C753CA-9369-43D3-82C8-7BA03ED05258}"/>
    <cellStyle name="Comma 32 4 2" xfId="250" xr:uid="{60CED182-100A-4131-9EA6-E629E6F744C7}"/>
    <cellStyle name="Comma 33" xfId="251" xr:uid="{05BC1CBD-FE66-4367-AE45-61226E2844DC}"/>
    <cellStyle name="Comma 33 2" xfId="252" xr:uid="{9329828C-8219-4C7D-9CD6-A663D64B5612}"/>
    <cellStyle name="Comma 33 3" xfId="253" xr:uid="{83F8ECEA-6E1A-4D35-9BA0-2CD4BE73E85D}"/>
    <cellStyle name="Comma 33 3 2" xfId="254" xr:uid="{10A557F1-F8C0-4DC8-BB34-AEA7B3F95244}"/>
    <cellStyle name="Comma 34" xfId="255" xr:uid="{036DC5B0-58DF-44A5-8171-CDA7B43B2C90}"/>
    <cellStyle name="Comma 35" xfId="256" xr:uid="{BA233659-C996-4B46-A4B1-EE0F0C4005D9}"/>
    <cellStyle name="Comma 35 2" xfId="257" xr:uid="{EA142EBA-E312-49E2-9605-C8651A574DCE}"/>
    <cellStyle name="Comma 36" xfId="258" xr:uid="{24D0860B-46AF-422A-82C2-FD8B6F0FCF28}"/>
    <cellStyle name="Comma 37" xfId="259" xr:uid="{C687F7BE-1DC9-4241-8F8F-47BA8B307210}"/>
    <cellStyle name="Comma 38" xfId="260" xr:uid="{0FD50393-304B-4C23-BE74-F9F7740A23C8}"/>
    <cellStyle name="Comma 39" xfId="836" xr:uid="{E8B23C1B-FFD4-41E6-9B64-CADDDB4F0306}"/>
    <cellStyle name="Comma 4" xfId="261" xr:uid="{64C0A892-28B0-49C1-BE3F-764AB0DAD983}"/>
    <cellStyle name="Comma 4 2" xfId="262" xr:uid="{525C53D6-7DE6-433C-9A8A-C95A2E85C721}"/>
    <cellStyle name="Comma 4 3" xfId="263" xr:uid="{D2704A57-DED7-454A-B402-8A1E003EC64A}"/>
    <cellStyle name="Comma 4 4" xfId="264" xr:uid="{0A9D71C2-45BE-4F3A-AFE5-4C6F5DBE5911}"/>
    <cellStyle name="Comma 4 5" xfId="265" xr:uid="{AD414C84-9CB1-4521-83BF-C1095C3B8B46}"/>
    <cellStyle name="Comma 5" xfId="266" xr:uid="{B151C577-F0EC-453A-93D7-A6A9293C1B25}"/>
    <cellStyle name="Comma 5 2" xfId="267" xr:uid="{290A0CE0-63DA-4784-A014-9A355F5BC8B3}"/>
    <cellStyle name="Comma 5 3" xfId="268" xr:uid="{180B8CB0-DF5A-4564-925A-E70A2580A455}"/>
    <cellStyle name="Comma 5 4" xfId="269" xr:uid="{F20039F8-559D-4300-BA10-66CD4EA890DF}"/>
    <cellStyle name="Comma 5 5" xfId="270" xr:uid="{77BA6827-B5C9-4029-A413-40FA3256A1BA}"/>
    <cellStyle name="Comma 5 6" xfId="271" xr:uid="{998454A8-8B6B-4C35-8D56-D04EBA8C657A}"/>
    <cellStyle name="Comma 6" xfId="272" xr:uid="{F117CBE0-9880-4F49-92A9-A70FF4C440E6}"/>
    <cellStyle name="Comma 6 2" xfId="273" xr:uid="{07208479-59FD-4F4B-ADD9-945FF4B449B9}"/>
    <cellStyle name="Comma 6 3" xfId="274" xr:uid="{5CAB272F-4FAE-4B64-B8A0-87327E78D629}"/>
    <cellStyle name="Comma 6 4" xfId="275" xr:uid="{DD1F23A6-75EF-41F2-9051-029423539BCB}"/>
    <cellStyle name="Comma 6 4 2" xfId="276" xr:uid="{6240CAC0-025F-446F-B2AA-A288108B92DA}"/>
    <cellStyle name="Comma 6 4 2 2" xfId="277" xr:uid="{978D84C3-A5AF-411B-90DC-A057DBA95B38}"/>
    <cellStyle name="Comma 6 4 3" xfId="278" xr:uid="{0D084D1F-7884-4547-9FF8-A882E36548F2}"/>
    <cellStyle name="Comma 6 4 4" xfId="279" xr:uid="{04B4F2DF-65D6-45A3-83C6-BE8C7404944B}"/>
    <cellStyle name="Comma 6 4 5" xfId="280" xr:uid="{31B45DA3-6517-4BE2-81C0-86446AEC63AD}"/>
    <cellStyle name="Comma 6 4 5 2" xfId="281" xr:uid="{766EBC51-729D-495C-AA67-9A48FFD0105C}"/>
    <cellStyle name="Comma 6 5" xfId="282" xr:uid="{586B62FC-F009-4E94-A132-4F674331C096}"/>
    <cellStyle name="Comma 7" xfId="283" xr:uid="{4F0BE8A4-8293-48F7-A4BA-4B2D72333BF7}"/>
    <cellStyle name="Comma 7 2" xfId="284" xr:uid="{9E0F8C75-9FC3-46D2-8BFC-E84FE67381EE}"/>
    <cellStyle name="Comma 7 2 2" xfId="285" xr:uid="{4FD1D176-031E-41EF-9A83-233890111049}"/>
    <cellStyle name="Comma 7 2 2 2" xfId="286" xr:uid="{F121304D-09F8-4E0B-BB19-7D4CA27DA302}"/>
    <cellStyle name="Comma 7 2 2 2 2" xfId="287" xr:uid="{4D8DF8F3-5550-433D-BA3E-E01308517C4C}"/>
    <cellStyle name="Comma 7 2 2 3" xfId="288" xr:uid="{9F8ADD52-AD30-4EC5-A0EA-AA3D5ECE3A69}"/>
    <cellStyle name="Comma 7 2 2 3 2" xfId="289" xr:uid="{C45FE96E-11E5-4B95-BBE8-FB29370EDE60}"/>
    <cellStyle name="Comma 7 2 2 3 2 2" xfId="290" xr:uid="{0976FC0E-379C-43AE-8A83-C332F0E8F445}"/>
    <cellStyle name="Comma 7 2 2 3 3" xfId="291" xr:uid="{3E62FA17-8A43-463B-B3F1-1827CA2F7E44}"/>
    <cellStyle name="Comma 7 2 2 4" xfId="292" xr:uid="{D9109889-B812-4041-8ECD-4049BC82B731}"/>
    <cellStyle name="Comma 7 2 3" xfId="293" xr:uid="{F25BD7F9-5690-4FB2-BE9C-AC3BA3C3C6D5}"/>
    <cellStyle name="Comma 7 3" xfId="294" xr:uid="{D600A9DD-0C03-4108-95B0-EB97D9980DE7}"/>
    <cellStyle name="Comma 7 3 2" xfId="295" xr:uid="{BD577E7F-B654-4183-A1A9-28B8EF06142E}"/>
    <cellStyle name="Comma 7 3 2 2" xfId="296" xr:uid="{BA510FB7-0E29-46DC-9496-7410ADDD366F}"/>
    <cellStyle name="Comma 7 3 3" xfId="297" xr:uid="{2906321A-4165-48C9-89DA-90A6BE2775DA}"/>
    <cellStyle name="Comma 7 3 3 2" xfId="298" xr:uid="{D2DDC756-F8FC-42DA-8697-D3B177AB2FCC}"/>
    <cellStyle name="Comma 7 3 3 2 2" xfId="299" xr:uid="{D0C602E0-1FA0-4532-B1A4-196149B83E8B}"/>
    <cellStyle name="Comma 7 3 3 3" xfId="300" xr:uid="{0F6CF5D4-22DB-4C9D-AEBB-0B1452542852}"/>
    <cellStyle name="Comma 7 3 4" xfId="301" xr:uid="{D21900EA-4B4A-4D12-AADB-C1AF2F879FA0}"/>
    <cellStyle name="Comma 7 4" xfId="302" xr:uid="{E743462D-5DDD-4656-8FCB-F2BC25400999}"/>
    <cellStyle name="Comma 7 4 2" xfId="303" xr:uid="{9AE75C07-B043-4DCD-BEA8-C23B35C6E664}"/>
    <cellStyle name="Comma 7 5" xfId="304" xr:uid="{8F9B2E9D-8BE5-4CA0-9BB1-3A1164847944}"/>
    <cellStyle name="Comma 7 5 2" xfId="305" xr:uid="{820798C0-8188-41FF-8699-53B6C01AB939}"/>
    <cellStyle name="Comma 7 5 2 2" xfId="306" xr:uid="{7CE116E3-F4A1-4ECE-B21C-BBBD20AC396D}"/>
    <cellStyle name="Comma 7 5 3" xfId="307" xr:uid="{CCA17B66-674F-4785-8285-C869BC97EB1C}"/>
    <cellStyle name="Comma 7 6" xfId="308" xr:uid="{8A12C80D-DE5B-4546-B7D1-045FC4CFC9D6}"/>
    <cellStyle name="Comma 8" xfId="309" xr:uid="{BC94CEF7-5217-4221-A3B5-691C4F57E654}"/>
    <cellStyle name="Comma 8 2" xfId="310" xr:uid="{E0E44522-2222-4755-87F8-4C8F1E4AE829}"/>
    <cellStyle name="Comma 8 2 2" xfId="311" xr:uid="{918A87D1-9D4A-48B9-924F-6CF6ECFC3848}"/>
    <cellStyle name="Comma 8 2 3" xfId="312" xr:uid="{E6928BE3-7D0E-4190-BA26-A7A6093EEFBD}"/>
    <cellStyle name="Comma 8 2 4" xfId="313" xr:uid="{D2CE0D79-236F-410F-B293-BDADCB6191A9}"/>
    <cellStyle name="Comma 8 2 4 10" xfId="314" xr:uid="{621FC133-6960-4D3F-B058-33C2E4CDBD3E}"/>
    <cellStyle name="Comma 8 2 4 11" xfId="315" xr:uid="{2D9FFD7A-3CC9-4DD0-AE09-1ADCDC153583}"/>
    <cellStyle name="Comma 8 2 4 11 2" xfId="316" xr:uid="{1B6C5E41-B659-462B-8333-8FB777145B7D}"/>
    <cellStyle name="Comma 8 2 4 11 2 2" xfId="317" xr:uid="{2B1ABF44-4EA4-49BC-8F22-4EFFB38DC008}"/>
    <cellStyle name="Comma 8 2 4 11 2 3" xfId="318" xr:uid="{05DB7A33-2C23-43B2-846B-336D80E57B7F}"/>
    <cellStyle name="Comma 8 2 4 11 2 3 2" xfId="319" xr:uid="{195207B9-EFA2-40A3-A2C8-BDAC5445739C}"/>
    <cellStyle name="Comma 8 2 4 2" xfId="320" xr:uid="{197A9B93-A6FC-4085-BDA7-24B32BE67699}"/>
    <cellStyle name="Comma 8 2 4 3" xfId="321" xr:uid="{9F195F9A-F3E3-4152-90DC-2612F745FDC1}"/>
    <cellStyle name="Comma 8 2 4 4" xfId="322" xr:uid="{B9BBE578-35BB-4A6F-8D02-F2D0AECC19A9}"/>
    <cellStyle name="Comma 8 2 4 5" xfId="323" xr:uid="{02D15515-F394-4B2A-947A-BEDA8D1D5236}"/>
    <cellStyle name="Comma 8 2 4 5 2" xfId="324" xr:uid="{C6FF68DF-F2D4-44E3-A013-36D2B4B0299E}"/>
    <cellStyle name="Comma 8 2 4 5 2 2" xfId="325" xr:uid="{DE9AB18E-4E93-49A8-A650-FF541AC958F9}"/>
    <cellStyle name="Comma 8 2 4 5 2 3" xfId="326" xr:uid="{99629C8D-339E-499F-BD0B-663A7199B08F}"/>
    <cellStyle name="Comma 8 2 4 6" xfId="327" xr:uid="{3C98B3D9-1245-458C-ABFC-A0EB28FD70E3}"/>
    <cellStyle name="Comma 8 2 4 7" xfId="328" xr:uid="{CFF71FF4-943D-43CC-8FEC-097A0BB2936B}"/>
    <cellStyle name="Comma 8 2 4 8" xfId="329" xr:uid="{DAC64AAA-3E1F-4A9C-8722-39559A9DA475}"/>
    <cellStyle name="Comma 8 2 4 9" xfId="330" xr:uid="{37050CF8-8E9B-423D-94C1-5B411CDF65C3}"/>
    <cellStyle name="Comma 8 2 4 9 2" xfId="331" xr:uid="{3B5F68AF-369F-4DF5-A092-55EC9D616FC1}"/>
    <cellStyle name="Comma 8 2 4 9 2 2" xfId="332" xr:uid="{D60CFC73-B276-4A1B-AA50-B85A44DF6E5C}"/>
    <cellStyle name="Comma 8 2 4 9 2 3" xfId="333" xr:uid="{9395ECC6-EEC5-4755-ADED-197A66CC3B89}"/>
    <cellStyle name="Comma 8 2 4 9 2 3 2" xfId="334" xr:uid="{F0D64248-AF52-497E-BE5C-A77B2BE239FB}"/>
    <cellStyle name="Comma 8 2 5" xfId="335" xr:uid="{53EAD551-9A49-4352-847D-0CA10B9ECFD4}"/>
    <cellStyle name="Comma 8 2 5 2" xfId="336" xr:uid="{476E16AE-40F6-4DE3-AEC7-25B15A64FBE9}"/>
    <cellStyle name="Comma 8 2 5 3" xfId="337" xr:uid="{D5463914-62D6-4D74-BA99-74B81C5343F2}"/>
    <cellStyle name="Comma 8 2 5 4" xfId="338" xr:uid="{0AD610E0-F55F-4FFB-AB23-8A7924B48BE5}"/>
    <cellStyle name="Comma 8 2 6" xfId="339" xr:uid="{C606BC5F-C636-4A72-A6FE-3FB880452DC3}"/>
    <cellStyle name="Comma 8 2 6 2" xfId="340" xr:uid="{8E66E991-92A0-4987-9501-C708B41BDF82}"/>
    <cellStyle name="Comma 8 2 6 2 2" xfId="341" xr:uid="{E8B8EC10-92E6-4FA4-A0B4-75F3AADC4F01}"/>
    <cellStyle name="Comma 8 2 6 2 3" xfId="342" xr:uid="{EB5AC7CF-71A3-4A8C-9938-A91C211ED4D9}"/>
    <cellStyle name="Comma 8 2 6 2 3 2" xfId="343" xr:uid="{838CE0F0-8DD3-4243-AB7D-14A89A472AFF}"/>
    <cellStyle name="Comma 8 2 6 3" xfId="344" xr:uid="{68E1D2B2-76C7-4B82-867C-69B6521A0621}"/>
    <cellStyle name="Comma 8 2 7" xfId="345" xr:uid="{0A72B79B-A79F-45EE-930F-C185662EF017}"/>
    <cellStyle name="Comma 8 2 7 2" xfId="346" xr:uid="{C3A509FB-6B04-4034-AAC9-83748953BF02}"/>
    <cellStyle name="Comma 8 2 7 3" xfId="347" xr:uid="{15E3CA8F-AFFF-4AF7-B98F-A73425AD6769}"/>
    <cellStyle name="Comma 8 2 7 3 2" xfId="348" xr:uid="{9E34DDE9-731F-42B4-A00C-37C9FCBE7285}"/>
    <cellStyle name="Comma 8 2 8" xfId="349" xr:uid="{1065961F-A32A-455C-8CC4-21E3A372D780}"/>
    <cellStyle name="Comma 8 2 9" xfId="350" xr:uid="{A9C8DBD4-64DE-4E33-8848-0D6CD80DC311}"/>
    <cellStyle name="Comma 8 2 9 2" xfId="351" xr:uid="{4D9C1EEB-D3F0-4A94-880B-693EF7954717}"/>
    <cellStyle name="Comma 8 3" xfId="352" xr:uid="{56833007-EBF5-47FC-895D-41BBB5B29782}"/>
    <cellStyle name="Comma 8 4" xfId="353" xr:uid="{8DD36387-313B-49B9-B942-656F2928F1D3}"/>
    <cellStyle name="Comma 8 5" xfId="354" xr:uid="{617FC95E-A454-4CCA-A36C-05AE521112B0}"/>
    <cellStyle name="Comma 8 5 2" xfId="355" xr:uid="{F2F07213-CCF9-4695-9DCA-E207011E9256}"/>
    <cellStyle name="Comma 8 6" xfId="356" xr:uid="{91BD1611-7621-486C-9F5E-EF988A6CB9A8}"/>
    <cellStyle name="Comma 8 6 2" xfId="357" xr:uid="{AE6D5DF0-01EF-4889-9A10-4BAD29100AEC}"/>
    <cellStyle name="Comma 9" xfId="358" xr:uid="{BD12A681-E9B8-4809-89F1-2D530716AFAF}"/>
    <cellStyle name="Comma 9 2" xfId="359" xr:uid="{A37A1E6F-9213-41B4-B4DC-BDC1CCB759BA}"/>
    <cellStyle name="Comma 9 2 2" xfId="360" xr:uid="{0ECBBF2B-08B2-4F10-BCEC-493A073C0A18}"/>
    <cellStyle name="Comma 9 2 3" xfId="361" xr:uid="{7DCB7CD8-429E-484E-A770-BCCBA36CEBF2}"/>
    <cellStyle name="Comma 9 2 3 2" xfId="362" xr:uid="{A8135297-B835-4C6A-B561-FB03D6EE4D29}"/>
    <cellStyle name="Comma 9 2 3 3" xfId="363" xr:uid="{9080B44D-69CF-4F95-9C5E-EDEE20AAF624}"/>
    <cellStyle name="Comma 9 2 3 4" xfId="364" xr:uid="{2AC10E45-3D6B-4FC1-9B0A-ADE58B178A42}"/>
    <cellStyle name="Comma 9 2 4" xfId="365" xr:uid="{876279EA-58BE-4EAE-B8C5-6B5774ACADE7}"/>
    <cellStyle name="Comma 9 2 4 2" xfId="366" xr:uid="{655F74C8-BC08-41D6-8606-71F1C1F2CB91}"/>
    <cellStyle name="Comma 9 2 4 2 2" xfId="367" xr:uid="{861C9120-01A2-4A5C-97F3-6FE687801BA7}"/>
    <cellStyle name="Comma 9 2 4 2 3" xfId="368" xr:uid="{84FF72FF-1FE8-4C84-90DB-3809A1DC6AB8}"/>
    <cellStyle name="Comma 9 2 4 2 3 2" xfId="369" xr:uid="{CB50673E-7AB2-44A7-AA8A-3B94AAC1AE5A}"/>
    <cellStyle name="Comma 9 2 4 3" xfId="370" xr:uid="{6C51B43A-80E1-49AE-8CB1-4166211EA8DE}"/>
    <cellStyle name="Comma 9 2 5" xfId="371" xr:uid="{491E5D51-B621-43CA-A22F-A0ABD3BC81CE}"/>
    <cellStyle name="Comma 9 2 5 2" xfId="372" xr:uid="{42BEEC31-CB6B-4DF5-9267-B7E95C62F8D1}"/>
    <cellStyle name="Comma 9 2 5 3" xfId="373" xr:uid="{F4E13784-1F52-490B-9F60-1BF9210C115F}"/>
    <cellStyle name="Comma 9 2 5 3 2" xfId="374" xr:uid="{46B68B61-8D20-409A-A6D2-F61FF1183BCB}"/>
    <cellStyle name="Comma 9 2 6" xfId="375" xr:uid="{256C5ADB-AC4B-4039-924A-C0873BD64467}"/>
    <cellStyle name="Comma 9 2 7" xfId="376" xr:uid="{089C0828-7E28-4766-87D1-4A12935448AA}"/>
    <cellStyle name="Comma 9 2 7 2" xfId="377" xr:uid="{75C7A189-3528-412A-BB3A-98162CD4A8A9}"/>
    <cellStyle name="Comma 9 3" xfId="378" xr:uid="{1642ECF3-DC1B-445B-B6AF-F17989C55D28}"/>
    <cellStyle name="Comma 9 4" xfId="379" xr:uid="{B849FE61-3BAC-47D1-9020-24C234B91C16}"/>
    <cellStyle name="Comma 9 5" xfId="380" xr:uid="{54625D2A-04FD-46C3-8BCE-74A4AC9F13D3}"/>
    <cellStyle name="Comma 9 6" xfId="381" xr:uid="{0BA98321-0B0A-4B77-8787-038423D96EF6}"/>
    <cellStyle name="Comma 9 6 10" xfId="382" xr:uid="{F3C2DA77-22F2-4803-AD9D-B7B947E65C2B}"/>
    <cellStyle name="Comma 9 6 11" xfId="383" xr:uid="{C688D375-2EF1-430F-9EA7-1F4813F4088E}"/>
    <cellStyle name="Comma 9 6 11 2" xfId="384" xr:uid="{B9C904A3-4731-4D43-9F7C-E003E726BD6F}"/>
    <cellStyle name="Comma 9 6 11 2 2" xfId="385" xr:uid="{794E8F5F-5AD5-445E-A128-072E7721B25A}"/>
    <cellStyle name="Comma 9 6 11 2 3" xfId="386" xr:uid="{4DF1FF1E-3E47-4520-8B44-1F91DE530676}"/>
    <cellStyle name="Comma 9 6 11 2 3 2" xfId="387" xr:uid="{EE224529-7E17-4947-BC51-9673700BF588}"/>
    <cellStyle name="Comma 9 6 2" xfId="388" xr:uid="{C20CFE7D-0725-4AEB-B6FD-A351AEB2D918}"/>
    <cellStyle name="Comma 9 6 3" xfId="389" xr:uid="{AB4E2A2E-A5D7-448D-9E16-B5421B927EFD}"/>
    <cellStyle name="Comma 9 6 4" xfId="390" xr:uid="{D3ACAA1C-D366-4B29-8472-A2AEF0C758D5}"/>
    <cellStyle name="Comma 9 6 5" xfId="391" xr:uid="{FF6AB611-5ED0-4C25-AF1D-1FAE9AE71AEC}"/>
    <cellStyle name="Comma 9 6 5 2" xfId="392" xr:uid="{A73119E3-61D5-4F7B-A51F-C882900357AA}"/>
    <cellStyle name="Comma 9 6 5 2 2" xfId="393" xr:uid="{F70ADFA7-356C-45C6-A00E-1F459448A3D2}"/>
    <cellStyle name="Comma 9 6 5 2 3" xfId="394" xr:uid="{B719105B-68F4-400D-BC7D-6C9847A1FF65}"/>
    <cellStyle name="Comma 9 6 6" xfId="395" xr:uid="{EA2259B0-B361-4C09-8159-91B88D3B08E8}"/>
    <cellStyle name="Comma 9 6 7" xfId="396" xr:uid="{9A67A643-61F6-4B98-8616-59D93BAAE7BA}"/>
    <cellStyle name="Comma 9 6 8" xfId="397" xr:uid="{E548B9DF-81D4-49DE-B91F-BBE560E19184}"/>
    <cellStyle name="Comma 9 6 9" xfId="398" xr:uid="{2DD642A2-C314-439B-8C75-EBB5279A0E82}"/>
    <cellStyle name="Comma 9 6 9 2" xfId="399" xr:uid="{6B0DA945-185F-432E-9AAB-0ED98D564797}"/>
    <cellStyle name="Comma 9 6 9 2 2" xfId="400" xr:uid="{AD1C7C43-F133-4EE1-8343-8AC5D261D501}"/>
    <cellStyle name="Comma 9 6 9 2 3" xfId="401" xr:uid="{89BB2C02-5B4F-45DE-B3B2-A4B5E6279B0F}"/>
    <cellStyle name="Comma 9 6 9 2 3 2" xfId="402" xr:uid="{5D62F3E7-BFB6-49BD-B59C-1C571051CBC7}"/>
    <cellStyle name="Currency" xfId="2" builtinId="4"/>
    <cellStyle name="Currency 2" xfId="50" xr:uid="{00000000-0005-0000-0000-00001E000000}"/>
    <cellStyle name="Currency 2 2" xfId="404" xr:uid="{4B9F0365-41A0-4C3F-80EF-B4850771D7B0}"/>
    <cellStyle name="Currency 3" xfId="405" xr:uid="{A318F509-E4EB-496A-BE77-B8ADBD83A7FE}"/>
    <cellStyle name="Currency 4" xfId="406" xr:uid="{0D4A408B-912F-4C12-B130-E3E321F9EE05}"/>
    <cellStyle name="Currency 4 2" xfId="407" xr:uid="{4981A51B-A735-421C-9602-A509D0CA2DD4}"/>
    <cellStyle name="Currency 4 3" xfId="408" xr:uid="{FCC53D49-8C9E-4263-9B92-72A22AB1562B}"/>
    <cellStyle name="Currency 4 3 2" xfId="409" xr:uid="{281B0063-6BF8-49F5-A02A-747CF076D306}"/>
    <cellStyle name="Currency 5" xfId="410" xr:uid="{FBBD1770-FB1F-4DF9-BF7B-A3B111218B35}"/>
    <cellStyle name="Currency 5 2" xfId="411" xr:uid="{1B2CB9F3-36AA-48DA-912B-DD09A9FAE5F0}"/>
    <cellStyle name="Currency 5 3" xfId="412" xr:uid="{EA40F4BD-DC3B-4F1E-9159-9CAB726EBFAB}"/>
    <cellStyle name="Currency 5 3 2" xfId="413" xr:uid="{03D49191-171F-4B43-9915-E4B5DA136B23}"/>
    <cellStyle name="Currency 6" xfId="414" xr:uid="{38B900F5-D79A-4BF0-BAC5-DBB363687E78}"/>
    <cellStyle name="Currency 7" xfId="415" xr:uid="{E3C64190-551E-4AF5-B4E5-C2A5A169C925}"/>
    <cellStyle name="Currency 7 2" xfId="416" xr:uid="{50946282-A263-46BC-A50D-EE4649C364C6}"/>
    <cellStyle name="Currency 8" xfId="403" xr:uid="{2EFEC9D4-6A23-4CD6-B2CE-67C234BE8BE8}"/>
    <cellStyle name="Explanatory Text" xfId="18" builtinId="53" customBuiltin="1"/>
    <cellStyle name="Explanatory Text 2" xfId="417" xr:uid="{0C460EC3-32BA-4EFE-86DF-C211CBF1399F}"/>
    <cellStyle name="Good" xfId="9" builtinId="26" customBuiltin="1"/>
    <cellStyle name="Good 2" xfId="418" xr:uid="{78C5E298-37E9-4C9C-8DC9-07816FC653C3}"/>
    <cellStyle name="Heading 1" xfId="5" builtinId="16" customBuiltin="1"/>
    <cellStyle name="Heading 1 2" xfId="419" xr:uid="{DFA8E1A3-7A20-4EF6-AAFD-1215037C9A2F}"/>
    <cellStyle name="Heading 2" xfId="6" builtinId="17" customBuiltin="1"/>
    <cellStyle name="Heading 2 2" xfId="420" xr:uid="{64E59FB5-5F64-4564-AA46-4102CB6AC812}"/>
    <cellStyle name="Heading 3" xfId="7" builtinId="18" customBuiltin="1"/>
    <cellStyle name="Heading 3 2" xfId="421" xr:uid="{9CEDC2C3-5A07-4D33-BB2E-A91BA4F1817E}"/>
    <cellStyle name="Heading 4" xfId="8" builtinId="19" customBuiltin="1"/>
    <cellStyle name="Heading 4 2" xfId="422" xr:uid="{9DFF91C4-FCA2-4172-9FDA-6698B24E0497}"/>
    <cellStyle name="Input" xfId="12" builtinId="20" customBuiltin="1"/>
    <cellStyle name="Input 2" xfId="423" xr:uid="{58DAA158-862D-42C2-9569-7D543216EF66}"/>
    <cellStyle name="Linked Cell" xfId="15" builtinId="24" customBuiltin="1"/>
    <cellStyle name="Linked Cell 2" xfId="424" xr:uid="{94E7BEBA-C1DA-43EB-9F4A-D0EA4EF14840}"/>
    <cellStyle name="Neutral" xfId="11" builtinId="28" customBuiltin="1"/>
    <cellStyle name="Neutral 2" xfId="425" xr:uid="{E9A7F5BE-D045-49F5-8BA4-359B741F5E89}"/>
    <cellStyle name="Normal" xfId="0" builtinId="0"/>
    <cellStyle name="Normal 10" xfId="426" xr:uid="{CA0D5B2E-A73D-4F5C-9BE4-501C13F36992}"/>
    <cellStyle name="Normal 11" xfId="427" xr:uid="{81DC2C48-1CC7-4E74-9219-46BA9392601C}"/>
    <cellStyle name="Normal 12" xfId="428" xr:uid="{4C74D31E-D8C3-428C-8C16-598883C3E0DE}"/>
    <cellStyle name="Normal 13" xfId="429" xr:uid="{49D8E1FA-C001-46A4-9442-69D5324979E5}"/>
    <cellStyle name="Normal 14" xfId="430" xr:uid="{8B6F1256-8DEE-47E3-8B62-1280E81098B4}"/>
    <cellStyle name="Normal 15" xfId="835" xr:uid="{550785C3-D8BB-41A9-BF53-9125F063156D}"/>
    <cellStyle name="Normal 2" xfId="1" xr:uid="{00000000-0005-0000-0000-000029000000}"/>
    <cellStyle name="Normal 2 2" xfId="46" xr:uid="{00000000-0005-0000-0000-00002A000000}"/>
    <cellStyle name="Normal 2 2 2" xfId="433" xr:uid="{89F84BB8-0048-438F-861D-66C6E8DFA2FD}"/>
    <cellStyle name="Normal 2 2 3" xfId="434" xr:uid="{5A51BDB0-7B21-41C2-944C-FD5C6957EA11}"/>
    <cellStyle name="Normal 2 2 4" xfId="435" xr:uid="{6DC8CDAE-5305-4748-BAFF-6CCF365E2F81}"/>
    <cellStyle name="Normal 2 2 4 2" xfId="436" xr:uid="{0B91E72C-AACF-48F9-A607-E855D57BFDAD}"/>
    <cellStyle name="Normal 2 2 4 2 2" xfId="437" xr:uid="{8DE208E3-E7B3-41A4-ABBF-91450D7C05EE}"/>
    <cellStyle name="Normal 2 2 4 3" xfId="438" xr:uid="{57072497-16F3-4004-B4EE-2FA093EA8B2C}"/>
    <cellStyle name="Normal 2 2 4 4" xfId="439" xr:uid="{328BB5A9-FCBF-4D1E-A992-33D702414E59}"/>
    <cellStyle name="Normal 2 2 4 5" xfId="440" xr:uid="{6692BA38-692F-4642-B299-FC0B041E08EE}"/>
    <cellStyle name="Normal 2 2 4 5 2" xfId="441" xr:uid="{619ED010-0431-4ECA-9AE0-3573DE0D31F8}"/>
    <cellStyle name="Normal 2 2 5" xfId="442" xr:uid="{C43126BD-C8D5-4D83-ACF2-48A4718DC0A7}"/>
    <cellStyle name="Normal 2 2 6" xfId="443" xr:uid="{D5B1D591-B381-49C1-A4C1-D50D0E33A774}"/>
    <cellStyle name="Normal 2 2 7" xfId="432" xr:uid="{A50AC037-1405-442D-BD45-43E519D8DF3E}"/>
    <cellStyle name="Normal 2 3" xfId="444" xr:uid="{CF874489-A201-4D34-B17E-395044DCF043}"/>
    <cellStyle name="Normal 2 4" xfId="445" xr:uid="{D1F3961C-1311-43DB-BDBC-495B576F2C1F}"/>
    <cellStyle name="Normal 2 5" xfId="431" xr:uid="{894ABFF3-8645-4065-9D40-E9E55544FD1A}"/>
    <cellStyle name="Normal 3" xfId="49" xr:uid="{00000000-0005-0000-0000-00002B000000}"/>
    <cellStyle name="Normal 3 2" xfId="447" xr:uid="{9E52A70C-3101-4094-B08C-F8C7C4077FBB}"/>
    <cellStyle name="Normal 3 2 2" xfId="448" xr:uid="{75415DB6-ABB9-4D81-96F6-CF1B99980886}"/>
    <cellStyle name="Normal 3 3" xfId="449" xr:uid="{72FF389A-6F2C-4A63-BD74-B23F7739BC7A}"/>
    <cellStyle name="Normal 3 3 2" xfId="450" xr:uid="{5C36E044-2A99-46A2-A7C3-C191CE8110A7}"/>
    <cellStyle name="Normal 3 4" xfId="451" xr:uid="{24893EBA-09F6-4722-9D65-5D87A00878E2}"/>
    <cellStyle name="Normal 3 5" xfId="446" xr:uid="{FE9F398C-15F9-4709-98A7-717286D5B298}"/>
    <cellStyle name="Normal 4" xfId="44" xr:uid="{00000000-0005-0000-0000-00002C000000}"/>
    <cellStyle name="Normal 4 2" xfId="453" xr:uid="{41ED703F-6EAD-4D32-82C4-6539BA80C784}"/>
    <cellStyle name="Normal 4 3" xfId="454" xr:uid="{4F04E7E9-3390-47F8-A76D-AB14C68A3B4A}"/>
    <cellStyle name="Normal 4 3 2" xfId="455" xr:uid="{4E3FA8FD-1C66-46CE-94F1-27B8D8156ED1}"/>
    <cellStyle name="Normal 4 3 3" xfId="456" xr:uid="{5A51DFE9-41E7-45E4-8223-60C4C6E5AD26}"/>
    <cellStyle name="Normal 4 4" xfId="452" xr:uid="{E1E0322C-8C54-45CF-AB5E-3924378F6711}"/>
    <cellStyle name="Normal 5" xfId="457" xr:uid="{03ED10EB-3A24-4A96-B0E9-A216214DAE3F}"/>
    <cellStyle name="Normal 5 2" xfId="458" xr:uid="{766DFAF8-67FA-4B3C-A109-4753A94A96A1}"/>
    <cellStyle name="Normal 5 2 2" xfId="459" xr:uid="{47B05AC6-A89B-4540-B397-7F6652BDA748}"/>
    <cellStyle name="Normal 5 2 3" xfId="460" xr:uid="{7CBBF384-BF5B-46C9-89FB-7B66ABA141DE}"/>
    <cellStyle name="Normal 5 2 3 2" xfId="461" xr:uid="{F88ADA04-3C58-4C3C-9F25-94BF5A11BD2B}"/>
    <cellStyle name="Normal 5 3" xfId="462" xr:uid="{51D33497-78CA-4F60-B1CE-D7E1516F222E}"/>
    <cellStyle name="Normal 5 4" xfId="463" xr:uid="{316350C0-8689-4FF9-A494-F83FF0117FFE}"/>
    <cellStyle name="Normal 6" xfId="464" xr:uid="{1CB1AE6F-D959-447D-8A8C-B940BBF5B89C}"/>
    <cellStyle name="Normal 6 2" xfId="465" xr:uid="{87720CBA-6180-4858-862B-D370DCCCC89D}"/>
    <cellStyle name="Normal 7" xfId="466" xr:uid="{BC503DC7-EF11-4462-B205-525A92DC90A0}"/>
    <cellStyle name="Normal 7 2" xfId="467" xr:uid="{F959AE98-DAE5-41E6-BEE9-D286A69FAAED}"/>
    <cellStyle name="Normal 7 3" xfId="468" xr:uid="{2326ACB9-77FC-4983-931E-BDD67DF48708}"/>
    <cellStyle name="Normal 7 3 2" xfId="469" xr:uid="{F2D46D7C-DCCF-4AE6-BC21-286815AC1623}"/>
    <cellStyle name="Normal 7 4" xfId="470" xr:uid="{B6E8057D-19A3-4D61-ADA4-DE97542ABB84}"/>
    <cellStyle name="Normal 8" xfId="471" xr:uid="{E18779FF-FFCE-4B58-9F60-A3A83C8E4B76}"/>
    <cellStyle name="Normal 9" xfId="472" xr:uid="{22782FAB-DFA8-4074-A126-F3FECC70679B}"/>
    <cellStyle name="Normal 9 2" xfId="473" xr:uid="{EAF4B968-6747-4091-929E-65A3A9A896AF}"/>
    <cellStyle name="Note 2" xfId="45" xr:uid="{00000000-0005-0000-0000-00002D000000}"/>
    <cellStyle name="Note 2 2" xfId="474" xr:uid="{F0A7F2D6-98C8-4993-93F7-56DDEF15282A}"/>
    <cellStyle name="Output" xfId="13" builtinId="21" customBuiltin="1"/>
    <cellStyle name="Output 2" xfId="475" xr:uid="{B23543B3-B835-4FA4-B579-5897F51D1BF9}"/>
    <cellStyle name="Percent" xfId="51" builtinId="5"/>
    <cellStyle name="Percent 10" xfId="477" xr:uid="{27E80B8D-9EC4-4574-8E28-9088AFE22A08}"/>
    <cellStyle name="Percent 10 2" xfId="478" xr:uid="{E6BE9D49-E770-40F7-8EBD-2DBC89D07CFD}"/>
    <cellStyle name="Percent 10 3" xfId="479" xr:uid="{B2633BDE-F8A1-4303-A4B2-796701517C41}"/>
    <cellStyle name="Percent 10 3 2" xfId="480" xr:uid="{AEC20960-2423-4280-B0B2-8958B6F3C9BE}"/>
    <cellStyle name="Percent 10 3 3" xfId="481" xr:uid="{CD3E6B27-442C-415B-87F7-15662CD50C4A}"/>
    <cellStyle name="Percent 10 3 3 2" xfId="482" xr:uid="{FBEBAA77-50D0-40E4-8A9D-2B43C228FFE6}"/>
    <cellStyle name="Percent 11" xfId="483" xr:uid="{48082D9A-3A13-4121-B25B-BBABD00D55C3}"/>
    <cellStyle name="Percent 11 2" xfId="484" xr:uid="{5F9B11FE-8CE8-49A0-8BB8-C2224589A161}"/>
    <cellStyle name="Percent 11 3" xfId="485" xr:uid="{C3F3BC26-410F-4962-9A86-D446FD6BDB50}"/>
    <cellStyle name="Percent 11 3 2" xfId="486" xr:uid="{59F1B865-4853-4AD2-807B-482CD05C8982}"/>
    <cellStyle name="Percent 12" xfId="487" xr:uid="{9DCFD01E-E5EC-46A4-82EF-2BE6E576EEB2}"/>
    <cellStyle name="Percent 12 2" xfId="488" xr:uid="{5230EECB-B3CE-48BC-977E-A4530DAEE674}"/>
    <cellStyle name="Percent 12 3" xfId="489" xr:uid="{D9A81195-521B-43B5-B054-AD7FCDC3F297}"/>
    <cellStyle name="Percent 12 3 2" xfId="490" xr:uid="{41B68ABF-616E-415F-AA2C-289591ECDD06}"/>
    <cellStyle name="Percent 13" xfId="491" xr:uid="{18A6DBBE-D92E-497F-91C1-0987D364A505}"/>
    <cellStyle name="Percent 13 2" xfId="492" xr:uid="{7CB7170F-1155-42BB-98FF-3C406D5E4430}"/>
    <cellStyle name="Percent 13 3" xfId="493" xr:uid="{7CB61ED6-A2E7-4BEE-A1CB-1979A1D70C77}"/>
    <cellStyle name="Percent 13 3 2" xfId="494" xr:uid="{BDC4A373-F32A-41AC-A99A-EB7B6E8F8F15}"/>
    <cellStyle name="Percent 14" xfId="495" xr:uid="{4A60BF71-8022-4370-92B8-D14E98ACB713}"/>
    <cellStyle name="Percent 14 2" xfId="496" xr:uid="{77412AE1-1746-4570-803B-FBD70271FB90}"/>
    <cellStyle name="Percent 14 3" xfId="497" xr:uid="{36A1C5C6-5AF8-4EB6-A3DD-3A200C5371DB}"/>
    <cellStyle name="Percent 14 3 2" xfId="498" xr:uid="{29625EEF-61AA-4812-91F2-0AB4BF836AC6}"/>
    <cellStyle name="Percent 15" xfId="499" xr:uid="{DF7E5910-B2CF-4B8C-A1F7-313CF5C10B88}"/>
    <cellStyle name="Percent 15 2" xfId="500" xr:uid="{ECE86250-2C9D-45E3-95DE-BC1FBAE77892}"/>
    <cellStyle name="Percent 15 3" xfId="501" xr:uid="{C2B98687-FE94-4E94-8247-3EEBB630DB51}"/>
    <cellStyle name="Percent 15 3 2" xfId="502" xr:uid="{445C64C6-4D3E-46E4-9C4A-EBF88C802D35}"/>
    <cellStyle name="Percent 16" xfId="503" xr:uid="{493BD2B1-E0DA-4C78-B634-F8024619571B}"/>
    <cellStyle name="Percent 16 2" xfId="504" xr:uid="{D9FEAC73-4BB6-47CB-B226-835B5A29CD5D}"/>
    <cellStyle name="Percent 16 3" xfId="505" xr:uid="{91C19A93-689A-4A77-9F3A-B5C38A81E503}"/>
    <cellStyle name="Percent 16 3 2" xfId="506" xr:uid="{A9444A75-E409-4E21-A946-FAAAC72FC02B}"/>
    <cellStyle name="Percent 17" xfId="507" xr:uid="{2C6EA3D7-2FEA-44E8-BEED-533D9647BA71}"/>
    <cellStyle name="Percent 17 2" xfId="508" xr:uid="{940D6C92-31AC-4FDF-B4C4-AB3DC38EC665}"/>
    <cellStyle name="Percent 17 3" xfId="509" xr:uid="{7C0BA1D5-7387-45ED-B6BD-0274E4D359CA}"/>
    <cellStyle name="Percent 17 3 2" xfId="510" xr:uid="{7827C39F-C72B-4E6B-BFBF-B72018EB5DD2}"/>
    <cellStyle name="Percent 18" xfId="511" xr:uid="{5CCE0BDF-825D-440A-9B20-2867EE309F42}"/>
    <cellStyle name="Percent 18 2" xfId="512" xr:uid="{FD016AAA-E601-4114-9D0F-04CD2792B379}"/>
    <cellStyle name="Percent 18 3" xfId="513" xr:uid="{91BC9898-6B61-42C0-A0B8-BC6FEC294EE5}"/>
    <cellStyle name="Percent 18 3 2" xfId="514" xr:uid="{C251509F-E2A7-417F-88E1-97373B792741}"/>
    <cellStyle name="Percent 19" xfId="515" xr:uid="{91A06578-302A-4D23-BE1A-6FA4521C5915}"/>
    <cellStyle name="Percent 19 2" xfId="516" xr:uid="{616A29E0-708A-424E-AF7E-9E88ABCE95B4}"/>
    <cellStyle name="Percent 19 3" xfId="517" xr:uid="{1DBFC07A-8EB9-4906-9C81-C1312056D81A}"/>
    <cellStyle name="Percent 19 3 2" xfId="518" xr:uid="{0FE837E3-9975-4B04-8474-48E04C2270BE}"/>
    <cellStyle name="Percent 2" xfId="48" xr:uid="{00000000-0005-0000-0000-000030000000}"/>
    <cellStyle name="Percent 2 2" xfId="519" xr:uid="{8A80B7E5-4791-4EC8-88F8-7F3EEA56A834}"/>
    <cellStyle name="Percent 2 2 2" xfId="520" xr:uid="{3EAD4F3B-CA51-4A85-865C-DEED39396CF9}"/>
    <cellStyle name="Percent 2 2 2 2" xfId="521" xr:uid="{288EC0D5-D15F-4BF4-AA77-55DBFE1FEDA0}"/>
    <cellStyle name="Percent 2 2 2 3" xfId="522" xr:uid="{A640E20D-73EC-4967-95C7-6DA4FD5804E0}"/>
    <cellStyle name="Percent 2 2 2 3 2" xfId="523" xr:uid="{EEBE980A-FE58-4FC9-86EC-FDE411858F91}"/>
    <cellStyle name="Percent 2 2 2 3 3" xfId="524" xr:uid="{F3C9ABDB-C58F-4EE2-AE7D-DAD3FBECA496}"/>
    <cellStyle name="Percent 2 2 2 3 3 2" xfId="525" xr:uid="{C318B6D4-D262-44EB-9598-6E4F22AC6D1B}"/>
    <cellStyle name="Percent 2 2 2 3 3 3" xfId="526" xr:uid="{9EE36EBD-D531-4DEA-BD40-78217E26BC93}"/>
    <cellStyle name="Percent 2 2 2 3 3 4" xfId="527" xr:uid="{0240E646-7A09-43B3-ACC4-14AD819E24D0}"/>
    <cellStyle name="Percent 2 2 2 3 4" xfId="528" xr:uid="{3D6C0509-B3C3-448E-A830-D52395A0FAE2}"/>
    <cellStyle name="Percent 2 2 2 3 4 2" xfId="529" xr:uid="{F513AF91-B1C2-461C-9151-D328AF334EBA}"/>
    <cellStyle name="Percent 2 2 2 3 4 2 2" xfId="530" xr:uid="{2C94C4A2-2A01-4D7A-80CD-CF9B28B9C548}"/>
    <cellStyle name="Percent 2 2 2 3 4 2 3" xfId="531" xr:uid="{B75BA797-1CFE-415B-9031-8EB9173A9A4F}"/>
    <cellStyle name="Percent 2 2 2 3 4 2 3 2" xfId="532" xr:uid="{DB9EE342-2322-4053-A712-9BAF644D288B}"/>
    <cellStyle name="Percent 2 2 2 3 4 3" xfId="533" xr:uid="{4D33EE9E-B1E0-43CF-B48E-AA1CFDDE5B9F}"/>
    <cellStyle name="Percent 2 2 2 3 5" xfId="534" xr:uid="{05A2B891-83BB-4730-89C3-8D0DFED072A0}"/>
    <cellStyle name="Percent 2 2 2 3 5 2" xfId="535" xr:uid="{B0E9F891-D22A-4E6C-9817-61D575191AF7}"/>
    <cellStyle name="Percent 2 2 2 3 5 3" xfId="536" xr:uid="{8B2F690C-F0EC-4E33-A7F0-1F1039D033CA}"/>
    <cellStyle name="Percent 2 2 2 3 5 3 2" xfId="537" xr:uid="{4F1490EC-CC8E-485D-83CE-717A2979C422}"/>
    <cellStyle name="Percent 2 2 2 3 6" xfId="538" xr:uid="{EC103C0B-27C9-45CE-895A-CC0E4E0E443C}"/>
    <cellStyle name="Percent 2 2 2 3 7" xfId="539" xr:uid="{77D9FC0A-98B7-4688-AE25-B7CA4D089E75}"/>
    <cellStyle name="Percent 2 2 2 3 7 2" xfId="540" xr:uid="{BA9DFD7B-7FA3-497F-8B6A-F71F7B1A7E07}"/>
    <cellStyle name="Percent 2 2 2 4" xfId="541" xr:uid="{9AB41F65-9507-483B-A789-CC0AE8AA06E7}"/>
    <cellStyle name="Percent 2 2 2 4 2" xfId="542" xr:uid="{4D482047-34A9-44F0-B8F6-35BA80718E64}"/>
    <cellStyle name="Percent 2 2 2 4 2 2" xfId="543" xr:uid="{4588BAC7-BF59-477F-942F-28D47157623C}"/>
    <cellStyle name="Percent 2 2 2 4 2 3" xfId="544" xr:uid="{CAC09EB1-13AA-451C-B071-1F2FCA38EA5A}"/>
    <cellStyle name="Percent 2 2 2 4 2 3 2" xfId="545" xr:uid="{435FA3B9-10D4-4161-A406-698CD296E722}"/>
    <cellStyle name="Percent 2 2 2 4 3" xfId="546" xr:uid="{9B866850-B054-49B2-A292-6775E5E63D5C}"/>
    <cellStyle name="Percent 2 2 2 5" xfId="547" xr:uid="{F87DE0A6-F900-496B-BACD-BBA5D073A96B}"/>
    <cellStyle name="Percent 2 2 2 5 2" xfId="548" xr:uid="{55EB5083-B404-4C05-951D-35545359B621}"/>
    <cellStyle name="Percent 2 2 2 5 3" xfId="549" xr:uid="{3CC39E9A-9344-4AC9-BDA1-AA3C448546D2}"/>
    <cellStyle name="Percent 2 2 2 5 3 2" xfId="550" xr:uid="{48CD00A0-3A6C-459F-8FAA-86938BB943DC}"/>
    <cellStyle name="Percent 2 2 2 6" xfId="551" xr:uid="{522D26E0-E004-4155-AC6A-2928D25AE405}"/>
    <cellStyle name="Percent 2 2 2 6 2" xfId="552" xr:uid="{814CDF7C-73D9-4930-BA0C-EF7C6359468F}"/>
    <cellStyle name="Percent 2 2 3" xfId="553" xr:uid="{A8C1DA90-F5B1-49CA-96F9-9BD9061BB3CC}"/>
    <cellStyle name="Percent 2 2 3 2" xfId="554" xr:uid="{C957C1AB-4629-4A29-AF2D-ECF3FF95CB2B}"/>
    <cellStyle name="Percent 2 2 3 3" xfId="555" xr:uid="{3B443BA1-4125-4A58-9460-103643B99C00}"/>
    <cellStyle name="Percent 2 2 3 4" xfId="556" xr:uid="{5284370A-CE7D-4914-9601-36AE23F4FF6C}"/>
    <cellStyle name="Percent 2 3" xfId="557" xr:uid="{36128852-4AD5-4ED3-8905-21847EABE61E}"/>
    <cellStyle name="Percent 2 4" xfId="558" xr:uid="{713F6D65-A648-42D7-A741-8D9011533C4E}"/>
    <cellStyle name="Percent 2 4 10" xfId="559" xr:uid="{AFB78D8B-102F-40CC-B17B-86CEEC6592C9}"/>
    <cellStyle name="Percent 2 4 11" xfId="560" xr:uid="{FB47D450-62E0-4AB9-81E2-D004940B90C4}"/>
    <cellStyle name="Percent 2 4 11 2" xfId="561" xr:uid="{593EDB2A-CF0D-4E44-B8E7-904A4A27E032}"/>
    <cellStyle name="Percent 2 4 11 2 2" xfId="562" xr:uid="{CBF77807-DC55-4453-BB7E-3D02EC42543C}"/>
    <cellStyle name="Percent 2 4 11 2 3" xfId="563" xr:uid="{72A254BE-E542-41EB-A8B3-B9646E014D37}"/>
    <cellStyle name="Percent 2 4 11 2 3 2" xfId="564" xr:uid="{A9ED4DB2-F2F1-4C0E-BE92-9CE6BBE5A3D2}"/>
    <cellStyle name="Percent 2 4 2" xfId="565" xr:uid="{FD0F18A1-5D89-457D-BE0B-FC7B87D6E839}"/>
    <cellStyle name="Percent 2 4 3" xfId="566" xr:uid="{55A72B58-2528-4463-8FB3-89481A0430B4}"/>
    <cellStyle name="Percent 2 4 4" xfId="567" xr:uid="{14E657E7-D69F-49FE-96ED-EF76A37D739F}"/>
    <cellStyle name="Percent 2 4 5" xfId="568" xr:uid="{29E6E97C-7943-494E-90A7-2728E7824EF2}"/>
    <cellStyle name="Percent 2 4 5 2" xfId="569" xr:uid="{0ABF3431-7FD2-466B-B814-FE1FF97B50AA}"/>
    <cellStyle name="Percent 2 4 5 2 2" xfId="570" xr:uid="{AC427DA7-5526-41EB-9C0C-8E43DE3A7B3D}"/>
    <cellStyle name="Percent 2 4 5 2 3" xfId="571" xr:uid="{C44860C9-789F-4C9D-9F36-EB56B0665904}"/>
    <cellStyle name="Percent 2 4 6" xfId="572" xr:uid="{D552082F-F0BD-498C-969A-66F3779364AB}"/>
    <cellStyle name="Percent 2 4 7" xfId="573" xr:uid="{0B15D758-4F8A-41EE-953C-C1D6B804450E}"/>
    <cellStyle name="Percent 2 4 8" xfId="574" xr:uid="{FF4CAEB1-CC54-4185-A862-41279071E8CA}"/>
    <cellStyle name="Percent 2 4 9" xfId="575" xr:uid="{191EC52D-E9F6-448C-B2FD-F6DC35A4F567}"/>
    <cellStyle name="Percent 2 4 9 2" xfId="576" xr:uid="{2EF65460-F0DD-4181-909E-8BE78AA9359C}"/>
    <cellStyle name="Percent 2 4 9 2 2" xfId="577" xr:uid="{C16B5DA2-9631-416F-9FA8-D8EFDFCC3AF1}"/>
    <cellStyle name="Percent 2 4 9 2 3" xfId="578" xr:uid="{8DE196F0-E44B-49BF-96D4-510D9CB71EF2}"/>
    <cellStyle name="Percent 2 4 9 2 3 2" xfId="579" xr:uid="{2238C9EC-D416-42F5-B124-CA534064BC8E}"/>
    <cellStyle name="Percent 2 5" xfId="580" xr:uid="{315A6660-79ED-47BE-867E-AA5144AA9198}"/>
    <cellStyle name="Percent 20" xfId="581" xr:uid="{FDC652E8-358D-4726-B88B-642B809C7F19}"/>
    <cellStyle name="Percent 20 2" xfId="582" xr:uid="{B53D5863-6AFA-4B87-BB5A-BD36F01B8D4D}"/>
    <cellStyle name="Percent 20 3" xfId="583" xr:uid="{B66E70A6-AA90-4FD4-ABEA-ADBDF4C4F767}"/>
    <cellStyle name="Percent 20 3 2" xfId="584" xr:uid="{DBA0E8E1-F541-457A-99AE-CEBEFF85AB33}"/>
    <cellStyle name="Percent 21" xfId="585" xr:uid="{4C6811F7-3920-4237-8613-A25800E2EB37}"/>
    <cellStyle name="Percent 21 2" xfId="586" xr:uid="{0406A189-54C7-499E-B990-0B42B9E9F0BF}"/>
    <cellStyle name="Percent 21 3" xfId="587" xr:uid="{D7625E90-5266-4CA6-A805-BABFA9C26AC8}"/>
    <cellStyle name="Percent 21 3 2" xfId="588" xr:uid="{34358E54-F1A6-445A-B964-89A081001332}"/>
    <cellStyle name="Percent 22" xfId="589" xr:uid="{B531CF8A-12C7-4300-BD90-C872E07735F6}"/>
    <cellStyle name="Percent 22 2" xfId="590" xr:uid="{1500157D-F92E-4A61-9A58-434D75FC1FEA}"/>
    <cellStyle name="Percent 23" xfId="591" xr:uid="{5C2455CC-C9AB-42E7-A0AA-82374F3623F2}"/>
    <cellStyle name="Percent 23 2" xfId="592" xr:uid="{DFF70D91-71DA-468B-9344-2129B73605A3}"/>
    <cellStyle name="Percent 24" xfId="593" xr:uid="{863D7EA3-15A1-4F9B-9A97-6A9F75CDFFDF}"/>
    <cellStyle name="Percent 25" xfId="594" xr:uid="{BDD0FB39-0AA2-4F67-AFAD-3AC2E39DFF98}"/>
    <cellStyle name="Percent 25 2" xfId="595" xr:uid="{1796A756-03B8-476F-AAA2-2D570B5C2D0C}"/>
    <cellStyle name="Percent 25 3" xfId="596" xr:uid="{7DA17EE6-11BA-40C0-9204-79F1892DBBE7}"/>
    <cellStyle name="Percent 25 3 2" xfId="597" xr:uid="{C57CC9B9-0723-4DDF-81CC-F4996B35F473}"/>
    <cellStyle name="Percent 26" xfId="598" xr:uid="{FAA51AC5-6056-42BC-AC40-9CC636277736}"/>
    <cellStyle name="Percent 27" xfId="599" xr:uid="{1E76C2DF-6233-446A-9EE7-86CAACB6AA65}"/>
    <cellStyle name="Percent 27 2" xfId="600" xr:uid="{1DD4D7C8-D39C-4C3A-9A9E-EFB7E2E35B3C}"/>
    <cellStyle name="Percent 28" xfId="476" xr:uid="{336D7CA8-1C65-43CB-AFC5-86B62D06EEBB}"/>
    <cellStyle name="Percent 3" xfId="601" xr:uid="{8D021101-CB0C-4E7A-9153-D5328B5608AA}"/>
    <cellStyle name="Percent 3 2" xfId="602" xr:uid="{56CBDD2D-AC14-4C34-BB06-F9EFAB8483D6}"/>
    <cellStyle name="Percent 3 2 2" xfId="603" xr:uid="{2AF70813-250A-4C86-8AD0-04D4E185C9AA}"/>
    <cellStyle name="Percent 3 2 3" xfId="604" xr:uid="{15C4208C-133F-42AC-AF6E-2C8858D86149}"/>
    <cellStyle name="Percent 3 2 3 2" xfId="605" xr:uid="{2DDBF348-8450-40D2-9963-EBB0AC3918D5}"/>
    <cellStyle name="Percent 3 2 3 3" xfId="606" xr:uid="{BE990D9C-B95F-4812-A1B7-5C20718E354E}"/>
    <cellStyle name="Percent 3 2 3 4" xfId="607" xr:uid="{A585AFDA-404E-4670-9619-ADD34C2A157C}"/>
    <cellStyle name="Percent 3 2 4" xfId="608" xr:uid="{00565E74-27F3-4CB3-B193-8851C6ADD308}"/>
    <cellStyle name="Percent 3 2 4 2" xfId="609" xr:uid="{88A40144-38B7-4ACA-961F-ED306F9E5635}"/>
    <cellStyle name="Percent 3 2 4 2 2" xfId="610" xr:uid="{24444FC6-2F56-493F-812F-81FDCE49E087}"/>
    <cellStyle name="Percent 3 2 4 2 3" xfId="611" xr:uid="{7ABCC7ED-B4B0-45C2-A607-CD9FD0D4844A}"/>
    <cellStyle name="Percent 3 2 4 2 3 2" xfId="612" xr:uid="{166524DF-ED00-4148-BD2E-BEDDE52D7CE6}"/>
    <cellStyle name="Percent 3 2 4 3" xfId="613" xr:uid="{9A5C1E7D-B176-42CF-86E2-3B2BDE50D6BF}"/>
    <cellStyle name="Percent 3 2 5" xfId="614" xr:uid="{CC368EC4-1667-4E30-B624-5A996A1FEF16}"/>
    <cellStyle name="Percent 3 2 5 2" xfId="615" xr:uid="{7E5D6D01-66BD-4F37-8499-315C8247E557}"/>
    <cellStyle name="Percent 3 2 5 3" xfId="616" xr:uid="{FCB917B3-54BD-4584-A94A-5AD1286E81D6}"/>
    <cellStyle name="Percent 3 2 5 3 2" xfId="617" xr:uid="{DFD4F540-EDCE-4DF4-86F6-A5677DDD4354}"/>
    <cellStyle name="Percent 3 2 6" xfId="618" xr:uid="{1AD9ABBC-A9D4-47C7-BC59-4C8D3DDF9D50}"/>
    <cellStyle name="Percent 3 2 7" xfId="619" xr:uid="{40FBAE78-CD22-4E24-B8F1-58A6FC2C9B9C}"/>
    <cellStyle name="Percent 3 2 7 2" xfId="620" xr:uid="{7830E035-AC20-4513-9F12-387B6408F643}"/>
    <cellStyle name="Percent 3 3" xfId="621" xr:uid="{89E52048-694A-4CB5-BA3F-C186CBE1F0E0}"/>
    <cellStyle name="Percent 3 4" xfId="622" xr:uid="{4C0C074B-32EB-41C7-9B7F-9B9891EFE027}"/>
    <cellStyle name="Percent 3 5" xfId="623" xr:uid="{7D104416-11E5-4A66-9D65-7AC10B3E714D}"/>
    <cellStyle name="Percent 3 5 2" xfId="624" xr:uid="{001E4A1E-6FFC-4155-8169-C40F104E6715}"/>
    <cellStyle name="Percent 3 5 3" xfId="625" xr:uid="{0A6DAAB8-9130-4C6A-A05A-AAEEA27D6E7F}"/>
    <cellStyle name="Percent 3 5 4" xfId="626" xr:uid="{AD434B07-6C8D-4E83-A02F-4E4255D28C9A}"/>
    <cellStyle name="Percent 4" xfId="627" xr:uid="{EDB9D977-63B1-4903-91AD-66F5DF6CC803}"/>
    <cellStyle name="Percent 4 2" xfId="628" xr:uid="{7B172032-DA30-4CFD-853F-EC60D542968C}"/>
    <cellStyle name="Percent 4 3" xfId="629" xr:uid="{64F77B83-0EA7-45E8-A4E3-ABDE71840B51}"/>
    <cellStyle name="Percent 4 3 2" xfId="630" xr:uid="{69F0CD13-CD1E-4645-B856-E5CF1C61ACEC}"/>
    <cellStyle name="Percent 4 3 3" xfId="631" xr:uid="{8D6DB68E-B8B9-4DC7-81F8-C8C413019DC9}"/>
    <cellStyle name="Percent 4 3 4" xfId="632" xr:uid="{8101D00F-2CB7-48B0-9160-7F1846B92FC8}"/>
    <cellStyle name="Percent 4 4" xfId="633" xr:uid="{2CB86003-F58F-4733-AA34-79EB071F2DF7}"/>
    <cellStyle name="Percent 4 4 2" xfId="634" xr:uid="{981F3CDC-E7DF-4088-8A1B-CA39AD7BD238}"/>
    <cellStyle name="Percent 4 4 2 2" xfId="635" xr:uid="{ADE4E9B9-587A-4EEC-B556-2B975DA96A85}"/>
    <cellStyle name="Percent 4 4 2 3" xfId="636" xr:uid="{CE2947DC-F825-4DE2-A438-E487A270BB98}"/>
    <cellStyle name="Percent 4 4 2 3 2" xfId="637" xr:uid="{4F9C2F80-FABC-4BEB-BC6C-028D2C8206F7}"/>
    <cellStyle name="Percent 4 4 3" xfId="638" xr:uid="{4A40989A-12F0-4BC0-90DA-8ED709444D12}"/>
    <cellStyle name="Percent 4 5" xfId="639" xr:uid="{2E2B7CD8-716D-4185-B136-F8BAEC093D80}"/>
    <cellStyle name="Percent 4 5 2" xfId="640" xr:uid="{C1013B92-3E06-4764-84D7-C5F6EF4DED33}"/>
    <cellStyle name="Percent 4 5 3" xfId="641" xr:uid="{AC074C2F-EE01-49C5-BA0A-D0868924FECA}"/>
    <cellStyle name="Percent 4 5 3 2" xfId="642" xr:uid="{6E35884D-F868-4EEB-BBD4-83143A5557AB}"/>
    <cellStyle name="Percent 4 6" xfId="643" xr:uid="{F1B3F1B2-7DC4-4C87-99BF-3149F6FC9DB7}"/>
    <cellStyle name="Percent 4 7" xfId="644" xr:uid="{F32F7D03-FDB1-409D-9CBE-0925D11EC420}"/>
    <cellStyle name="Percent 4 7 2" xfId="645" xr:uid="{BA1AE785-02C1-4A00-A4D6-F5793768F24A}"/>
    <cellStyle name="Percent 5" xfId="646" xr:uid="{83E878CC-0153-4D38-9E13-E7C9FA6CB7A8}"/>
    <cellStyle name="Percent 5 2" xfId="647" xr:uid="{C9BF7970-0040-4095-9766-10EC6902639B}"/>
    <cellStyle name="Percent 5 3" xfId="648" xr:uid="{56985180-0128-4ECD-BD24-6B0651B65525}"/>
    <cellStyle name="Percent 5 3 2" xfId="649" xr:uid="{37F05230-66C2-484F-86F1-4C8FB39B2609}"/>
    <cellStyle name="Percent 5 3 3" xfId="650" xr:uid="{742E0D99-92B0-40DC-9F4F-2A2E6615C684}"/>
    <cellStyle name="Percent 5 4" xfId="651" xr:uid="{5139B834-3CE9-4626-BDEF-FA606B9478CC}"/>
    <cellStyle name="Percent 5 4 2" xfId="652" xr:uid="{E3F67232-35F1-4230-8673-4E58738478E4}"/>
    <cellStyle name="Percent 5 4 3" xfId="653" xr:uid="{7A22205A-03FF-4786-838A-10077AEE47F6}"/>
    <cellStyle name="Percent 5 4 4" xfId="654" xr:uid="{FCBD1D76-F65C-4DDF-B845-6DE4ADE5D728}"/>
    <cellStyle name="Percent 5 5" xfId="655" xr:uid="{AC9EE5E9-D2E9-4DDB-A7D4-ECC6221D9AC2}"/>
    <cellStyle name="Percent 5 5 2" xfId="656" xr:uid="{A9E0A32C-DEFE-4637-9720-565955F6657A}"/>
    <cellStyle name="Percent 5 5 2 2" xfId="657" xr:uid="{0EE6075C-08CD-4428-BE84-9C9D7F916533}"/>
    <cellStyle name="Percent 5 5 2 3" xfId="658" xr:uid="{CB080F0C-E037-496F-A10F-A7DA79468C28}"/>
    <cellStyle name="Percent 5 5 2 3 2" xfId="659" xr:uid="{46D29D47-928B-4535-ABAF-EF73D49906E8}"/>
    <cellStyle name="Percent 5 5 3" xfId="660" xr:uid="{8E585F07-2E5C-44DE-83DE-F66D3C51F7A5}"/>
    <cellStyle name="Percent 5 6" xfId="661" xr:uid="{DE051CBB-B8FE-463C-A37F-A44F902A8787}"/>
    <cellStyle name="Percent 5 6 2" xfId="662" xr:uid="{93AD4B08-ECC8-455B-BA72-842ED759AC7E}"/>
    <cellStyle name="Percent 5 6 3" xfId="663" xr:uid="{ED07BEA9-5B25-4EEE-A359-71F0CF0BFC8F}"/>
    <cellStyle name="Percent 5 6 3 2" xfId="664" xr:uid="{E1CCE650-5C21-42C8-AFE9-7A9ED58C6C98}"/>
    <cellStyle name="Percent 5 7" xfId="665" xr:uid="{E9BFEE2A-A367-4A86-99DD-3ADF379F365B}"/>
    <cellStyle name="Percent 5 8" xfId="666" xr:uid="{F8034279-7E1F-4D07-8745-C4E73C29F325}"/>
    <cellStyle name="Percent 5 8 2" xfId="667" xr:uid="{4647AABB-0FED-4CF1-9F97-58431FDB86AE}"/>
    <cellStyle name="Percent 5 9" xfId="668" xr:uid="{DEE938FE-E171-4D0B-B93E-45227E68969C}"/>
    <cellStyle name="Percent 5 9 2" xfId="669" xr:uid="{1889E452-17F6-4D60-9241-1A3152BB261C}"/>
    <cellStyle name="Percent 5 9 3" xfId="670" xr:uid="{73AB6F80-FC6B-4148-929A-12DE3A813F64}"/>
    <cellStyle name="Percent 5 9 3 2" xfId="671" xr:uid="{1AE9F177-5800-4E4C-B05D-C194BEAAFBF2}"/>
    <cellStyle name="Percent 6" xfId="672" xr:uid="{894D5877-CA0A-450D-8ED4-97281B4E7729}"/>
    <cellStyle name="Percent 6 10" xfId="673" xr:uid="{165CC547-B486-4356-B35F-77D82E2A492B}"/>
    <cellStyle name="Percent 6 11" xfId="674" xr:uid="{DA24DF85-CA7C-460C-92DB-42B2708D4C04}"/>
    <cellStyle name="Percent 6 11 2" xfId="675" xr:uid="{71859B51-A58A-41B0-AC08-B03C1C294117}"/>
    <cellStyle name="Percent 6 11 2 2" xfId="676" xr:uid="{7E6958E1-7FD2-4AA4-B3FB-7065EFDA3B7A}"/>
    <cellStyle name="Percent 6 11 2 3" xfId="677" xr:uid="{8B6FBE3D-DB0F-4DA2-A522-2003BC7ACC64}"/>
    <cellStyle name="Percent 6 11 2 3 2" xfId="678" xr:uid="{F69D8AA5-CC03-4C66-BB30-A7AE40AA636D}"/>
    <cellStyle name="Percent 6 12" xfId="679" xr:uid="{226D60FC-DB19-459A-98FE-4BC923C4EE06}"/>
    <cellStyle name="Percent 6 13" xfId="680" xr:uid="{F28FFC15-5A0D-4ABC-AB1C-35F9BB264BF9}"/>
    <cellStyle name="Percent 6 13 2" xfId="681" xr:uid="{AF7F50F6-2F51-4717-9E54-E5EE95F7A3E7}"/>
    <cellStyle name="Percent 6 13 2 2" xfId="682" xr:uid="{FAAD86DE-8A85-449A-BB2D-96C1EFB2A3B9}"/>
    <cellStyle name="Percent 6 13 2 3" xfId="683" xr:uid="{E0883222-38AE-4BB5-9D61-4936D47DBD96}"/>
    <cellStyle name="Percent 6 13 2 3 2" xfId="684" xr:uid="{256964F8-16F1-4A3B-BEF5-9B91B1380B93}"/>
    <cellStyle name="Percent 6 14" xfId="685" xr:uid="{A172F76F-E84C-430A-AD79-14C3F82521C3}"/>
    <cellStyle name="Percent 6 14 2" xfId="686" xr:uid="{38548D45-37F7-4618-AB11-2E5C2D2D8C8E}"/>
    <cellStyle name="Percent 6 15" xfId="687" xr:uid="{C07A8F54-8909-4511-8721-4CE78B4A7EA9}"/>
    <cellStyle name="Percent 6 16" xfId="688" xr:uid="{21211261-0E86-4423-8D07-2155DDA23D73}"/>
    <cellStyle name="Percent 6 16 2" xfId="689" xr:uid="{E7DACE06-DC81-4F36-A3F3-720BB32EC3A8}"/>
    <cellStyle name="Percent 6 2" xfId="690" xr:uid="{E4216483-9694-4B97-97A8-23FFE6EB8EE8}"/>
    <cellStyle name="Percent 6 3" xfId="691" xr:uid="{E6C1D3F1-9D2B-4303-BB74-7C1DB5D77CD2}"/>
    <cellStyle name="Percent 6 4" xfId="692" xr:uid="{E030307D-91E1-484A-8204-188AE23CCD8E}"/>
    <cellStyle name="Percent 6 5" xfId="693" xr:uid="{9AD37445-7C30-4878-BA28-CAF3D8626D44}"/>
    <cellStyle name="Percent 6 6" xfId="694" xr:uid="{8783800F-6138-4BE5-B111-E7A9ED88124E}"/>
    <cellStyle name="Percent 6 7" xfId="695" xr:uid="{82D911B7-FB4D-4866-9A47-AC652F98B133}"/>
    <cellStyle name="Percent 6 7 2" xfId="696" xr:uid="{60875657-E85A-4674-B89E-6343E3840E52}"/>
    <cellStyle name="Percent 6 7 2 2" xfId="697" xr:uid="{225DED0D-52B5-4066-85A3-C79B562B8372}"/>
    <cellStyle name="Percent 6 7 2 3" xfId="698" xr:uid="{7DE1BA83-11E4-49DA-ADA0-7192976C66FA}"/>
    <cellStyle name="Percent 6 8" xfId="699" xr:uid="{A9848B9C-11E5-4AD1-B9FE-1F35A3D5F3D8}"/>
    <cellStyle name="Percent 6 9" xfId="700" xr:uid="{3D246A76-332F-4A13-87EB-63D8CDD87EF8}"/>
    <cellStyle name="Percent 7" xfId="701" xr:uid="{11DE55EF-7632-47A7-B77F-59BB546D2322}"/>
    <cellStyle name="Percent 7 10" xfId="702" xr:uid="{56F32E30-2264-4AC5-8E2D-DD40F84E8DF0}"/>
    <cellStyle name="Percent 7 11" xfId="703" xr:uid="{6D19ACE2-912F-46E4-A655-6C0AFC8A2115}"/>
    <cellStyle name="Percent 7 11 2" xfId="704" xr:uid="{8A5CF0F1-DB8B-4CA9-849C-636D4794D7A6}"/>
    <cellStyle name="Percent 7 11 2 2" xfId="705" xr:uid="{7A1836FD-636E-4C92-90F5-FB0312AC407B}"/>
    <cellStyle name="Percent 7 11 2 3" xfId="706" xr:uid="{2F4C39BA-8AAF-4032-942F-F07931F416C1}"/>
    <cellStyle name="Percent 7 11 2 3 2" xfId="707" xr:uid="{D8274EB1-0426-471E-B638-38B360EC404B}"/>
    <cellStyle name="Percent 7 12" xfId="708" xr:uid="{29B92932-0FFF-46A6-B3EE-C4C94D1C2443}"/>
    <cellStyle name="Percent 7 12 2" xfId="709" xr:uid="{8DD02CC5-A3CB-4B2F-8A31-9F463529E3BB}"/>
    <cellStyle name="Percent 7 13" xfId="710" xr:uid="{AF62AA3B-B3DE-4BEC-AF8E-1E4C290D7387}"/>
    <cellStyle name="Percent 7 14" xfId="711" xr:uid="{2AA35533-18C5-414B-9A67-9F7EDA19922D}"/>
    <cellStyle name="Percent 7 14 2" xfId="712" xr:uid="{571A0CA7-BEAA-435C-8DBA-10E3ACC92067}"/>
    <cellStyle name="Percent 7 2" xfId="713" xr:uid="{D40FAF6C-9C9D-4BE8-A075-A462B5ACA7B1}"/>
    <cellStyle name="Percent 7 3" xfId="714" xr:uid="{F4603B13-5356-45D1-B054-0ADB3457DCA2}"/>
    <cellStyle name="Percent 7 4" xfId="715" xr:uid="{57827E16-EBE4-4552-B74A-BBD94ACC5F5C}"/>
    <cellStyle name="Percent 7 5" xfId="716" xr:uid="{7D02E97B-2D6C-4B58-B245-CB6D1979D5B2}"/>
    <cellStyle name="Percent 7 5 2" xfId="717" xr:uid="{74062FCD-990A-4A9D-A57B-AC5A1CD60BFE}"/>
    <cellStyle name="Percent 7 5 2 2" xfId="718" xr:uid="{5FE9D31A-50E9-4E5C-BD0D-71B2427193B3}"/>
    <cellStyle name="Percent 7 5 2 3" xfId="719" xr:uid="{61AA120F-7B65-4BC6-8E3B-1E8B48CA12F4}"/>
    <cellStyle name="Percent 7 5 2 4" xfId="720" xr:uid="{492ED16C-6EB7-4A55-A47D-DDDC90E4F172}"/>
    <cellStyle name="Percent 7 6" xfId="721" xr:uid="{E55D130A-D12A-4C06-8305-2060F33BC4E1}"/>
    <cellStyle name="Percent 7 7" xfId="722" xr:uid="{B672198F-8813-4A3C-9308-54D7FA8808C0}"/>
    <cellStyle name="Percent 7 8" xfId="723" xr:uid="{156C0335-AD5B-4866-ACD7-C5C71D80FBC4}"/>
    <cellStyle name="Percent 7 9" xfId="724" xr:uid="{03237139-AA0D-4146-AFBB-D31D4C8BF865}"/>
    <cellStyle name="Percent 7 9 2" xfId="725" xr:uid="{6157A4B0-1582-49D7-92B0-6518C96B6845}"/>
    <cellStyle name="Percent 7 9 2 2" xfId="726" xr:uid="{36F604E8-7303-4B61-AF2A-F8BE795AC965}"/>
    <cellStyle name="Percent 7 9 2 3" xfId="727" xr:uid="{8BA42A9D-3D86-467F-B054-B4EEE7D9FE43}"/>
    <cellStyle name="Percent 7 9 2 3 2" xfId="728" xr:uid="{BA0B83A8-0F1E-40E2-A84A-5B123081980D}"/>
    <cellStyle name="Percent 8" xfId="729" xr:uid="{E2007865-D40F-4FAD-9C19-C513E01AB17C}"/>
    <cellStyle name="Percent 8 2" xfId="730" xr:uid="{76EF781B-186C-41E7-AD82-8E36C5A87253}"/>
    <cellStyle name="Percent 8 3" xfId="731" xr:uid="{3263E725-ADDE-438B-B591-1D20A738FFC4}"/>
    <cellStyle name="Percent 8 4" xfId="732" xr:uid="{881DE841-1C3F-4807-8B9B-81588C1C56FC}"/>
    <cellStyle name="Percent 8 5" xfId="733" xr:uid="{4555EF77-62BB-4401-997D-BD9DA0FAF61A}"/>
    <cellStyle name="Percent 9" xfId="734" xr:uid="{D524F5E5-7C72-48E3-8E0D-85E7796B646C}"/>
    <cellStyle name="Percent 9 2" xfId="735" xr:uid="{40F41812-66C4-4D05-A767-C569A6EE8157}"/>
    <cellStyle name="Percent 9 3" xfId="736" xr:uid="{ACB679DB-7B56-473F-9FFE-E10C16C26D8C}"/>
    <cellStyle name="Percent 9 4" xfId="737" xr:uid="{23E5C57E-D084-45C7-B689-0E3A848509F8}"/>
    <cellStyle name="Percent 9 5" xfId="738" xr:uid="{25BE485D-0608-44F9-AF9E-DA96AAF45A0A}"/>
    <cellStyle name="PSChar" xfId="739" xr:uid="{BBF7B547-2063-4209-B822-5AEC7DB874E2}"/>
    <cellStyle name="PSChar 2" xfId="740" xr:uid="{260DC4F0-1C22-4AB0-88AE-9E25E960D4AF}"/>
    <cellStyle name="PSChar 2 2" xfId="741" xr:uid="{4ACE1104-03D7-4171-A7A3-8535C18CC9A5}"/>
    <cellStyle name="PSChar 2 2 2" xfId="742" xr:uid="{696B8A8B-80B2-4178-9BC3-00BEAB70302E}"/>
    <cellStyle name="PSChar 3" xfId="743" xr:uid="{C49CF945-CD35-474A-AFD3-C4319C815E16}"/>
    <cellStyle name="PSChar 3 2" xfId="744" xr:uid="{BF5E93F1-EA7B-41CD-B56E-C171E00A0D82}"/>
    <cellStyle name="PSChar 4" xfId="745" xr:uid="{279F97CB-EE4B-4842-8746-6652EB770093}"/>
    <cellStyle name="PSChar 4 2" xfId="746" xr:uid="{A52DF6A9-AA0C-4AE0-94A2-22E128772909}"/>
    <cellStyle name="PSChar 5" xfId="747" xr:uid="{61A6D778-CF6B-46AC-BFCF-A00F85E9C281}"/>
    <cellStyle name="PSChar 5 2" xfId="748" xr:uid="{1704CE79-0B04-4946-9C46-D86FF50052FD}"/>
    <cellStyle name="PSChar 5 3" xfId="749" xr:uid="{A194830E-5DE0-47E5-B2C7-2E33D8AFEA67}"/>
    <cellStyle name="PSChar 5 3 2" xfId="750" xr:uid="{F1D91D77-1E43-4108-BF99-603E6C87A553}"/>
    <cellStyle name="PSChar 6" xfId="751" xr:uid="{E0AC900A-36FC-4278-B4A0-E5A64F455D0F}"/>
    <cellStyle name="PSChar 6 2" xfId="752" xr:uid="{88DEEAA3-D632-488F-8BCD-942D7D05BC84}"/>
    <cellStyle name="PSChar 7" xfId="753" xr:uid="{54DD2B67-0C79-4439-8B39-54BF78F22828}"/>
    <cellStyle name="PSChar 8" xfId="754" xr:uid="{6D35274E-54A8-4FB3-B347-1DA379A4E759}"/>
    <cellStyle name="PSChar 9" xfId="755" xr:uid="{27CE8A6E-04A7-4652-AD60-21765A46EEEB}"/>
    <cellStyle name="PSDate" xfId="756" xr:uid="{5A1505AB-27F6-473B-A85C-1D891E50C35D}"/>
    <cellStyle name="PSDate 2" xfId="757" xr:uid="{EB07454E-72B9-42A4-A2F3-BC976E5C1C6B}"/>
    <cellStyle name="PSDate 2 2" xfId="758" xr:uid="{463D0748-E848-48E1-B63A-FE711F3787CB}"/>
    <cellStyle name="PSDate 2 2 2" xfId="759" xr:uid="{DA8B379A-A1BA-4398-9A16-FFAF85BC4D3C}"/>
    <cellStyle name="PSDate 3" xfId="760" xr:uid="{EE355479-DD9F-47B9-B761-8F4C77992A78}"/>
    <cellStyle name="PSDate 3 2" xfId="761" xr:uid="{AF9D3677-938D-4C46-AE91-5BE8388877E6}"/>
    <cellStyle name="PSDate 4" xfId="762" xr:uid="{1148EDFF-17E5-4ABF-A43A-0A4946E545BA}"/>
    <cellStyle name="PSDate 4 2" xfId="763" xr:uid="{7AF0F68F-A821-47C6-9F38-73A06FD8BA77}"/>
    <cellStyle name="PSDate 5" xfId="764" xr:uid="{4B2BC8C8-AF9F-4895-85C3-8F3AFC565AF1}"/>
    <cellStyle name="PSDate 5 2" xfId="765" xr:uid="{C2BCAB2F-FB5E-491E-91C3-EBE185A330A7}"/>
    <cellStyle name="PSDate 5 3" xfId="766" xr:uid="{DD33F5B6-6783-4805-98CF-F5DF38BB2292}"/>
    <cellStyle name="PSDate 5 3 2" xfId="767" xr:uid="{278C0C9D-27CF-4B4E-AB96-06F1B355746C}"/>
    <cellStyle name="PSDate 6" xfId="768" xr:uid="{A9D47E9D-4DBC-414D-9BEC-5BE4E32E2F7D}"/>
    <cellStyle name="PSDate 6 2" xfId="769" xr:uid="{AC28BFE0-FFF7-4642-A347-664CEC56397C}"/>
    <cellStyle name="PSDate 7" xfId="770" xr:uid="{506E8FAA-1035-4EB5-8338-521A1170B293}"/>
    <cellStyle name="PSDate 8" xfId="771" xr:uid="{020B7FA6-7E1F-4E57-A0F3-ED2866A95E1E}"/>
    <cellStyle name="PSDec" xfId="772" xr:uid="{9C3C2909-8B53-45A2-9A71-7A06FB8E5CF0}"/>
    <cellStyle name="PSDec 2" xfId="773" xr:uid="{0BE0EC4F-9D11-4FCF-A2B5-E3E9990D2551}"/>
    <cellStyle name="PSDec 2 2" xfId="774" xr:uid="{29E3FDF3-A483-4FBB-A267-57E0FB2901AB}"/>
    <cellStyle name="PSDec 2 2 2" xfId="775" xr:uid="{177C34D4-1992-4A48-B249-8862EA374836}"/>
    <cellStyle name="PSDec 3" xfId="776" xr:uid="{573B114E-D0A7-4DC9-9F6E-4EB8E1EE44BA}"/>
    <cellStyle name="PSDec 3 2" xfId="777" xr:uid="{B7007892-7DE0-4267-9FEF-E9619931E589}"/>
    <cellStyle name="PSDec 4" xfId="778" xr:uid="{A2D28E50-B9D2-4E25-A1B7-2AE7FE9D88EC}"/>
    <cellStyle name="PSDec 4 2" xfId="779" xr:uid="{500F0F04-7510-4663-AF8B-9D20891314D1}"/>
    <cellStyle name="PSDec 5" xfId="780" xr:uid="{7C191575-A3F2-48F9-82B1-A189B653BFC1}"/>
    <cellStyle name="PSDec 5 2" xfId="781" xr:uid="{F95C05FD-4668-4851-ADB7-78F5873DBE5C}"/>
    <cellStyle name="PSDec 5 3" xfId="782" xr:uid="{9E1F101F-AF1A-4F5A-8900-AB3A22E6E334}"/>
    <cellStyle name="PSDec 5 3 2" xfId="783" xr:uid="{CFCD74FE-E4C4-4E01-88F0-5FF93E71FED7}"/>
    <cellStyle name="PSDec 6" xfId="784" xr:uid="{26FA245E-89CD-4B21-9FBE-EBE0B3062CD3}"/>
    <cellStyle name="PSDec 6 2" xfId="785" xr:uid="{6560DE5A-70D5-4015-ACB1-4D46D395AA7E}"/>
    <cellStyle name="PSDec 7" xfId="786" xr:uid="{200551CA-D3FE-4D73-A11D-6BAA1C8A7D0A}"/>
    <cellStyle name="PSDec 8" xfId="787" xr:uid="{650D5360-F29B-4E47-8560-1CEF50F63159}"/>
    <cellStyle name="PSDec 9" xfId="788" xr:uid="{7DFAB8F3-9BBB-499C-8F70-F845BBA1C6CA}"/>
    <cellStyle name="PSHeading" xfId="789" xr:uid="{02C51862-FFAF-49B4-9957-2A1EAEB01344}"/>
    <cellStyle name="PSHeading 2" xfId="790" xr:uid="{00464144-258A-4DC8-B8F6-9F30EED40AC0}"/>
    <cellStyle name="PSHeading 2 2" xfId="791" xr:uid="{2658BDCF-8B46-4F81-979F-4E7DBB3CF642}"/>
    <cellStyle name="PSHeading 2 2 2" xfId="792" xr:uid="{53FE72E8-16C5-48DA-803C-C697FBED38B1}"/>
    <cellStyle name="PSHeading 2 2 3" xfId="793" xr:uid="{836BAC4C-F636-4325-BB55-EF6F31CB7101}"/>
    <cellStyle name="PSHeading 3" xfId="794" xr:uid="{0F1C86AE-22F0-4315-833D-3F4F71515527}"/>
    <cellStyle name="PSHeading 3 2" xfId="795" xr:uid="{85A81979-9405-4A7F-9F8E-9A0A39BD65BA}"/>
    <cellStyle name="PSHeading 3 3" xfId="796" xr:uid="{966C73F3-3A54-44DC-AFE3-3CE47CDB7CBF}"/>
    <cellStyle name="PSHeading 3 3 2" xfId="797" xr:uid="{C078A0D9-A5E4-441F-9E4B-385ACBF6D08A}"/>
    <cellStyle name="PSHeading 4" xfId="798" xr:uid="{D3AEC289-8B16-4CC5-B51A-38D30D68085D}"/>
    <cellStyle name="PSHeading 5" xfId="799" xr:uid="{1AAFD9F6-EF21-49E4-B4FB-2B4FA2C7FABC}"/>
    <cellStyle name="PSInt" xfId="800" xr:uid="{8CA12091-B5E8-4982-A42D-A729013BF5D9}"/>
    <cellStyle name="PSInt 2" xfId="801" xr:uid="{1160F6B5-FAD7-4B69-8626-B506199E3213}"/>
    <cellStyle name="PSInt 2 2" xfId="802" xr:uid="{9349B0AA-6B6F-40E9-90E5-CCC04ECB80D3}"/>
    <cellStyle name="PSInt 2 2 2" xfId="803" xr:uid="{04143626-E7EC-4403-AAA0-4DA94A765763}"/>
    <cellStyle name="PSInt 3" xfId="804" xr:uid="{946014D8-165B-4E8F-B54C-4F9726C971DE}"/>
    <cellStyle name="PSInt 3 2" xfId="805" xr:uid="{9E64A2AC-18A6-496A-BCFC-89DA5E2008A1}"/>
    <cellStyle name="PSInt 4" xfId="806" xr:uid="{99F82048-7ACF-457E-AD70-58F7AE7387E0}"/>
    <cellStyle name="PSInt 4 2" xfId="807" xr:uid="{78AA309B-3D81-4E6B-AEF2-351E57DAA963}"/>
    <cellStyle name="PSInt 5" xfId="808" xr:uid="{D913C1CD-B4D4-410F-9937-DA8A131DED2A}"/>
    <cellStyle name="PSInt 5 2" xfId="809" xr:uid="{90E9E63B-6CE6-4F12-921D-BB9F5CAA5449}"/>
    <cellStyle name="PSInt 5 3" xfId="810" xr:uid="{8FD77DB4-F852-4E7F-A22C-0DA1E96F373F}"/>
    <cellStyle name="PSInt 5 3 2" xfId="811" xr:uid="{215DB49F-CF6B-423C-AE1A-BB217518B063}"/>
    <cellStyle name="PSInt 6" xfId="812" xr:uid="{06D3FF74-6AA7-46A3-A28F-4B7BEBF83A16}"/>
    <cellStyle name="PSInt 6 2" xfId="813" xr:uid="{214989A4-9F7F-4FA7-BC35-936BB991F0A3}"/>
    <cellStyle name="PSInt 7" xfId="814" xr:uid="{9C9586AD-747C-4B45-B6E7-E41F44FF7A50}"/>
    <cellStyle name="PSInt 8" xfId="815" xr:uid="{9DC00238-85BC-40D7-B738-1B4F7201967E}"/>
    <cellStyle name="PSInt 9" xfId="816" xr:uid="{14C68B3E-8F30-4E57-8827-9678CC8D91C7}"/>
    <cellStyle name="PSSpacer" xfId="817" xr:uid="{78BB8F45-B117-4A11-947B-63F90A76366C}"/>
    <cellStyle name="PSSpacer 2" xfId="818" xr:uid="{AB2D6909-A3F4-484C-AAAC-676A976E0E01}"/>
    <cellStyle name="PSSpacer 2 2" xfId="819" xr:uid="{A83C4F08-DBC7-44C1-9C11-D7F7B8A91F58}"/>
    <cellStyle name="PSSpacer 3" xfId="820" xr:uid="{EA1C3616-CA51-4F32-ACF2-4BB30CFA9886}"/>
    <cellStyle name="PSSpacer 3 2" xfId="821" xr:uid="{013720F9-3B01-4990-A4F6-9E7F00A926F3}"/>
    <cellStyle name="PSSpacer 4" xfId="822" xr:uid="{F5B2808A-5546-4D50-8E84-E67828EC5090}"/>
    <cellStyle name="PSSpacer 4 2" xfId="823" xr:uid="{7EB3C0D0-C308-47D9-89C7-A44C079CCBAB}"/>
    <cellStyle name="PSSpacer 5" xfId="824" xr:uid="{730772FE-8B44-4F59-B814-F0143C7DC91B}"/>
    <cellStyle name="PSSpacer 5 2" xfId="825" xr:uid="{ADBA13ED-7FE2-413C-B78B-1E1DE11E6244}"/>
    <cellStyle name="PSSpacer 5 3" xfId="826" xr:uid="{509D0C59-B680-4823-AC7F-E298BDF901E0}"/>
    <cellStyle name="PSSpacer 5 3 2" xfId="827" xr:uid="{34DFE681-9BBB-4007-99BD-9C9F18CBFB0C}"/>
    <cellStyle name="PSSpacer 6" xfId="828" xr:uid="{240DFFBD-8DF4-4B0D-AD93-EADC71B690E6}"/>
    <cellStyle name="PSSpacer 6 2" xfId="829" xr:uid="{0FC93D72-62DB-4D6F-84CD-6E8A2CB6774D}"/>
    <cellStyle name="PSSpacer 7" xfId="830" xr:uid="{5F780EC4-B909-437A-BF72-13AA2B3E9E67}"/>
    <cellStyle name="PSSpacer 8" xfId="831" xr:uid="{E0F5E2CC-7E15-4212-AD69-E64326712F17}"/>
    <cellStyle name="Title" xfId="4" builtinId="15" customBuiltin="1"/>
    <cellStyle name="Title 2" xfId="832" xr:uid="{191901C9-1214-4402-AB36-9F8275AADD67}"/>
    <cellStyle name="Total" xfId="19" builtinId="25" customBuiltin="1"/>
    <cellStyle name="Total 2" xfId="833" xr:uid="{972A28F4-AD23-4D64-8766-F395EBA87447}"/>
    <cellStyle name="Warning Text" xfId="17" builtinId="11" customBuiltin="1"/>
    <cellStyle name="Warning Text 2" xfId="834" xr:uid="{40FFC2A7-472A-4CFE-82F9-5AEB8F3630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</xdr:row>
          <xdr:rowOff>0</xdr:rowOff>
        </xdr:from>
        <xdr:to>
          <xdr:col>0</xdr:col>
          <xdr:colOff>762000</xdr:colOff>
          <xdr:row>98</xdr:row>
          <xdr:rowOff>114300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5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icole M Coon" id="{CF7A0176-180F-4AEA-9239-817608972FF5}" userId="S::s311735@corp.aepsc.com::889da77e-6d3d-45ee-96be-9d9be17b002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8" dT="2023-01-06T19:51:58.82" personId="{CF7A0176-180F-4AEA-9239-817608972FF5}" id="{F6C77D86-3CE7-4C0B-A953-92CE93D9082A}">
    <text>Need to account for Rockport split. Expired effective on 12/9/22 Rate was in effect for 10/31 days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87"/>
  <sheetViews>
    <sheetView tabSelected="1" zoomScale="87" zoomScaleNormal="87" workbookViewId="0">
      <pane xSplit="1" ySplit="9" topLeftCell="G10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J20" sqref="J20"/>
    </sheetView>
  </sheetViews>
  <sheetFormatPr defaultColWidth="9.140625" defaultRowHeight="15.75" outlineLevelCol="1" x14ac:dyDescent="0.25"/>
  <cols>
    <col min="1" max="1" width="36.7109375" style="26" bestFit="1" customWidth="1"/>
    <col min="2" max="2" width="20.42578125" style="26" hidden="1" customWidth="1" outlineLevel="1"/>
    <col min="3" max="3" width="10.28515625" style="26" hidden="1" customWidth="1" outlineLevel="1"/>
    <col min="4" max="5" width="13.85546875" style="26" bestFit="1" customWidth="1" outlineLevel="1"/>
    <col min="6" max="8" width="15.140625" style="26" bestFit="1" customWidth="1" outlineLevel="1"/>
    <col min="9" max="9" width="13.85546875" style="26" bestFit="1" customWidth="1" outlineLevel="1"/>
    <col min="10" max="14" width="15.140625" style="26" bestFit="1" customWidth="1" outlineLevel="1"/>
    <col min="15" max="15" width="14.7109375" style="26" bestFit="1" customWidth="1" outlineLevel="1"/>
    <col min="16" max="16" width="16.140625" style="26" bestFit="1" customWidth="1"/>
    <col min="17" max="17" width="9.140625" style="26"/>
    <col min="18" max="18" width="24" style="26" bestFit="1" customWidth="1"/>
    <col min="19" max="19" width="14.5703125" style="26" bestFit="1" customWidth="1"/>
    <col min="20" max="16384" width="9.140625" style="26"/>
  </cols>
  <sheetData>
    <row r="1" spans="1:19" x14ac:dyDescent="0.25">
      <c r="A1" s="26" t="s">
        <v>70</v>
      </c>
      <c r="N1" s="150"/>
    </row>
    <row r="2" spans="1:19" x14ac:dyDescent="0.25">
      <c r="A2" s="26" t="s">
        <v>71</v>
      </c>
    </row>
    <row r="3" spans="1:19" x14ac:dyDescent="0.25">
      <c r="A3" s="26" t="str">
        <f>'B&amp;A kWh'!B3</f>
        <v>TEST YEAR ENDED March 31, 2023</v>
      </c>
      <c r="R3" s="26">
        <v>331</v>
      </c>
      <c r="S3" s="13">
        <f>P62+'System Sales'!P62+'Capacity Charge'!P62+Environmental!P63+PPA!P73+'PPA KW'!P73+'Decommissioning rider'!P63</f>
        <v>4105268.1234838711</v>
      </c>
    </row>
    <row r="4" spans="1:19" x14ac:dyDescent="0.25">
      <c r="A4" s="26" t="s">
        <v>81</v>
      </c>
    </row>
    <row r="5" spans="1:19" x14ac:dyDescent="0.25">
      <c r="A5" s="26" t="s">
        <v>82</v>
      </c>
    </row>
    <row r="6" spans="1:19" x14ac:dyDescent="0.25">
      <c r="A6" s="26" t="s">
        <v>131</v>
      </c>
    </row>
    <row r="7" spans="1:19" x14ac:dyDescent="0.25">
      <c r="D7" s="26">
        <v>2022</v>
      </c>
      <c r="O7" s="26">
        <v>2023</v>
      </c>
      <c r="P7" s="32" t="s">
        <v>290</v>
      </c>
    </row>
    <row r="8" spans="1:19" x14ac:dyDescent="0.25">
      <c r="A8" s="74" t="s">
        <v>22</v>
      </c>
      <c r="B8" s="59" t="s">
        <v>106</v>
      </c>
      <c r="C8" s="59" t="s">
        <v>107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19" x14ac:dyDescent="0.25">
      <c r="A9" s="75"/>
      <c r="B9" s="168">
        <v>0</v>
      </c>
      <c r="C9" s="168">
        <v>0</v>
      </c>
      <c r="D9" s="60">
        <v>1.0240000000000001E-2</v>
      </c>
      <c r="E9" s="60">
        <v>1.729E-2</v>
      </c>
      <c r="F9" s="60">
        <v>2.9899999999999999E-2</v>
      </c>
      <c r="G9" s="60">
        <v>3.2259999999999997E-2</v>
      </c>
      <c r="H9" s="60">
        <v>3.193E-2</v>
      </c>
      <c r="I9" s="60">
        <v>1.528E-2</v>
      </c>
      <c r="J9" s="60">
        <v>2.7380000000000002E-2</v>
      </c>
      <c r="K9" s="60">
        <v>4.1300000000000003E-2</v>
      </c>
      <c r="L9" s="60">
        <v>4.1939999999999998E-2</v>
      </c>
      <c r="M9" s="60">
        <v>3.7830000000000003E-2</v>
      </c>
      <c r="N9" s="60">
        <v>5.1130000000000002E-2</v>
      </c>
      <c r="O9" s="60">
        <v>-1.8880000000000001E-2</v>
      </c>
    </row>
    <row r="11" spans="1:19" x14ac:dyDescent="0.25">
      <c r="R11" s="26" t="s">
        <v>269</v>
      </c>
      <c r="S11" s="26" t="s">
        <v>268</v>
      </c>
    </row>
    <row r="12" spans="1:19" x14ac:dyDescent="0.25">
      <c r="A12" s="24" t="s">
        <v>21</v>
      </c>
      <c r="B12" s="13">
        <f>ROUND(B$9*'B&amp;A kWh'!C10,2)</f>
        <v>0</v>
      </c>
      <c r="C12" s="13">
        <f>ROUND(C$9*'B&amp;A kWh'!D10,2)</f>
        <v>0</v>
      </c>
      <c r="D12" s="13">
        <f>ROUND(D$9*'B&amp;A kWh'!E10,2)</f>
        <v>1285929.6100000001</v>
      </c>
      <c r="E12" s="13">
        <f>ROUND(E$9*'B&amp;A kWh'!F10,2)</f>
        <v>1965209.03</v>
      </c>
      <c r="F12" s="13">
        <f>ROUND(F$9*'B&amp;A kWh'!G10,2)</f>
        <v>4268716.32</v>
      </c>
      <c r="G12" s="13">
        <f>ROUND(G$9*'B&amp;A kWh'!H10,2)</f>
        <v>5311508.4800000004</v>
      </c>
      <c r="H12" s="13">
        <f>ROUND(H$9*'B&amp;A kWh'!I10,2)</f>
        <v>5155906.5199999996</v>
      </c>
      <c r="I12" s="13">
        <f>ROUND(I$9*'B&amp;A kWh'!J10,2)</f>
        <v>1841747.66</v>
      </c>
      <c r="J12" s="13">
        <f>ROUND(J$9*'B&amp;A kWh'!K10,2)</f>
        <v>3150368.37</v>
      </c>
      <c r="K12" s="13">
        <f>ROUND(K$9*'B&amp;A kWh'!L10,2)</f>
        <v>6047252.3099999996</v>
      </c>
      <c r="L12" s="13">
        <f>ROUND(L$9*'B&amp;A kWh'!M10,2)</f>
        <v>9299438.4900000002</v>
      </c>
      <c r="M12" s="13">
        <f>ROUND(M$9*'B&amp;A kWh'!N10,2)</f>
        <v>8115165.9699999997</v>
      </c>
      <c r="N12" s="13">
        <f>ROUND(N$9*'B&amp;A kWh'!O10,2)</f>
        <v>8211051.6299999999</v>
      </c>
      <c r="O12" s="13">
        <f>ROUND(O$9*'B&amp;A kWh'!P10,2)</f>
        <v>-2876867.22</v>
      </c>
      <c r="P12" s="13">
        <f>SUM(D12:O12)</f>
        <v>51775427.170000002</v>
      </c>
      <c r="R12" s="26" t="s">
        <v>21</v>
      </c>
      <c r="S12" s="26">
        <v>10</v>
      </c>
    </row>
    <row r="13" spans="1:19" x14ac:dyDescent="0.25">
      <c r="A13" s="24"/>
      <c r="S13" s="26">
        <v>11</v>
      </c>
    </row>
    <row r="14" spans="1:19" x14ac:dyDescent="0.25">
      <c r="A14" s="24" t="s">
        <v>20</v>
      </c>
      <c r="B14" s="13">
        <f>ROUND(B$9*'B&amp;A kWh'!C12,2)</f>
        <v>0</v>
      </c>
      <c r="C14" s="13">
        <f>ROUND(C$9*'B&amp;A kWh'!D12,2)</f>
        <v>0</v>
      </c>
      <c r="D14" s="13">
        <f>ROUND(D$9*'B&amp;A kWh'!E12,2)</f>
        <v>1808.23</v>
      </c>
      <c r="E14" s="13">
        <f>ROUND(E$9*'B&amp;A kWh'!F12,2)</f>
        <v>2753.23</v>
      </c>
      <c r="F14" s="13">
        <f>ROUND(F$9*'B&amp;A kWh'!G12,2)</f>
        <v>5995.97</v>
      </c>
      <c r="G14" s="13">
        <f>ROUND(G$9*'B&amp;A kWh'!H12,2)</f>
        <v>7803.27</v>
      </c>
      <c r="H14" s="13">
        <f>ROUND(H$9*'B&amp;A kWh'!I12,2)</f>
        <v>7340.32</v>
      </c>
      <c r="I14" s="13">
        <f>ROUND(I$9*'B&amp;A kWh'!J12,2)</f>
        <v>2888.85</v>
      </c>
      <c r="J14" s="13">
        <f>ROUND(J$9*'B&amp;A kWh'!K12,2)</f>
        <v>4398.3500000000004</v>
      </c>
      <c r="K14" s="13">
        <f>ROUND(K$9*'B&amp;A kWh'!L12,2)</f>
        <v>8261.7800000000007</v>
      </c>
      <c r="L14" s="13">
        <f>ROUND(L$9*'B&amp;A kWh'!M12,2)</f>
        <v>15163.24</v>
      </c>
      <c r="M14" s="13">
        <f>ROUND(M$9*'B&amp;A kWh'!N12,2)</f>
        <v>14381.68</v>
      </c>
      <c r="N14" s="13">
        <f>ROUND(N$9*'B&amp;A kWh'!O12,2)</f>
        <v>12361.85</v>
      </c>
      <c r="O14" s="13">
        <f>ROUND(O$9*'B&amp;A kWh'!P12,2)</f>
        <v>-4019.57</v>
      </c>
      <c r="P14" s="13">
        <f t="shared" ref="P14" si="0">SUM(D14:O14)</f>
        <v>79137.2</v>
      </c>
      <c r="R14" s="26" t="s">
        <v>20</v>
      </c>
      <c r="S14" s="26">
        <v>12</v>
      </c>
    </row>
    <row r="15" spans="1:19" x14ac:dyDescent="0.25">
      <c r="A15" s="24"/>
      <c r="S15" s="26">
        <v>13</v>
      </c>
    </row>
    <row r="16" spans="1:19" x14ac:dyDescent="0.25">
      <c r="A16" s="24" t="s">
        <v>19</v>
      </c>
      <c r="B16" s="13">
        <f>ROUND(B$9*'B&amp;A kWh'!C14,2)</f>
        <v>0</v>
      </c>
      <c r="C16" s="13">
        <f>ROUND(C$9*'B&amp;A kWh'!D14,2)</f>
        <v>0</v>
      </c>
      <c r="D16" s="13">
        <f>ROUND(D$9*'B&amp;A kWh'!E14,2)</f>
        <v>54.13</v>
      </c>
      <c r="E16" s="13">
        <f>ROUND(E$9*'B&amp;A kWh'!F14,2)</f>
        <v>80.95</v>
      </c>
      <c r="F16" s="13">
        <f>ROUND(F$9*'B&amp;A kWh'!G14,2)</f>
        <v>198.39</v>
      </c>
      <c r="G16" s="13">
        <f>ROUND(G$9*'B&amp;A kWh'!H14,2)</f>
        <v>248.5</v>
      </c>
      <c r="H16" s="13">
        <f>ROUND(H$9*'B&amp;A kWh'!I14,2)</f>
        <v>292.16000000000003</v>
      </c>
      <c r="I16" s="13">
        <f>ROUND(I$9*'B&amp;A kWh'!J14,2)</f>
        <v>120.31</v>
      </c>
      <c r="J16" s="13">
        <f>ROUND(J$9*'B&amp;A kWh'!K14,2)</f>
        <v>207.9</v>
      </c>
      <c r="K16" s="13">
        <f>ROUND(K$9*'B&amp;A kWh'!L14,2)</f>
        <v>183.83</v>
      </c>
      <c r="L16" s="13">
        <f>ROUND(L$9*'B&amp;A kWh'!M14,2)</f>
        <v>699.06</v>
      </c>
      <c r="M16" s="13">
        <f>ROUND(M$9*'B&amp;A kWh'!N14,2)</f>
        <v>672.62</v>
      </c>
      <c r="N16" s="13">
        <f>ROUND(N$9*'B&amp;A kWh'!O14,2)</f>
        <v>620.87</v>
      </c>
      <c r="O16" s="13">
        <f>ROUND(O$9*'B&amp;A kWh'!P14,2)</f>
        <v>-189.74</v>
      </c>
      <c r="P16" s="13">
        <f t="shared" ref="P16" si="1">SUM(D16:O16)</f>
        <v>3188.9799999999996</v>
      </c>
      <c r="R16" s="26" t="s">
        <v>19</v>
      </c>
      <c r="S16" s="26">
        <v>14</v>
      </c>
    </row>
    <row r="17" spans="1:19" x14ac:dyDescent="0.25">
      <c r="A17" s="24"/>
      <c r="S17" s="26">
        <v>15</v>
      </c>
    </row>
    <row r="18" spans="1:19" x14ac:dyDescent="0.25">
      <c r="A18" s="43" t="s">
        <v>172</v>
      </c>
      <c r="D18" s="13">
        <f>ROUND(D$9*'B&amp;A kWh'!E16,2)</f>
        <v>0</v>
      </c>
      <c r="E18" s="13">
        <f>ROUND(E$9*'B&amp;A kWh'!F16,2)</f>
        <v>0</v>
      </c>
      <c r="F18" s="13">
        <f>ROUND(F$9*'B&amp;A kWh'!G16,2)</f>
        <v>0</v>
      </c>
      <c r="G18" s="13">
        <f>ROUND(G$9*'B&amp;A kWh'!H16,2)</f>
        <v>0</v>
      </c>
      <c r="H18" s="13">
        <f>ROUND(H$9*'B&amp;A kWh'!I16,2)</f>
        <v>0</v>
      </c>
      <c r="I18" s="13">
        <f>ROUND(I$9*'B&amp;A kWh'!J16,2)</f>
        <v>0</v>
      </c>
      <c r="J18" s="13">
        <f>ROUND(J$9*'B&amp;A kWh'!K16,2)</f>
        <v>0</v>
      </c>
      <c r="K18" s="13">
        <f>ROUND(K$9*'B&amp;A kWh'!L16,2)</f>
        <v>0</v>
      </c>
      <c r="L18" s="13">
        <f>ROUND(L$9*'B&amp;A kWh'!M16,2)</f>
        <v>0</v>
      </c>
      <c r="M18" s="13">
        <f>ROUND(M$9*'B&amp;A kWh'!N16,2)</f>
        <v>0</v>
      </c>
      <c r="N18" s="13">
        <f>ROUND(N$9*'B&amp;A kWh'!O16,2)</f>
        <v>0</v>
      </c>
      <c r="O18" s="13">
        <f>ROUND(O$9*'B&amp;A kWh'!P16,2)</f>
        <v>0</v>
      </c>
      <c r="P18" s="13">
        <f t="shared" ref="P18" si="2">SUM(D18:O18)</f>
        <v>0</v>
      </c>
      <c r="R18" s="26" t="s">
        <v>172</v>
      </c>
      <c r="S18" s="26">
        <v>16</v>
      </c>
    </row>
    <row r="19" spans="1:19" x14ac:dyDescent="0.25">
      <c r="A19" s="43" t="s">
        <v>174</v>
      </c>
      <c r="D19" s="13">
        <f>D20-D18</f>
        <v>27737.55</v>
      </c>
      <c r="E19" s="13">
        <f t="shared" ref="E19:O19" si="3">E20-E18</f>
        <v>47440.53</v>
      </c>
      <c r="F19" s="13">
        <f t="shared" si="3"/>
        <v>67388.08</v>
      </c>
      <c r="G19" s="13">
        <f t="shared" si="3"/>
        <v>77609.72</v>
      </c>
      <c r="H19" s="13">
        <f t="shared" si="3"/>
        <v>95370.76</v>
      </c>
      <c r="I19" s="13">
        <f t="shared" si="3"/>
        <v>44580.29</v>
      </c>
      <c r="J19" s="13">
        <f t="shared" si="3"/>
        <v>115389.31</v>
      </c>
      <c r="K19" s="13">
        <f t="shared" si="3"/>
        <v>188565.35</v>
      </c>
      <c r="L19" s="13">
        <f t="shared" si="3"/>
        <v>157220.14000000001</v>
      </c>
      <c r="M19" s="13">
        <f t="shared" si="3"/>
        <v>110366.34</v>
      </c>
      <c r="N19" s="13">
        <f t="shared" si="3"/>
        <v>142603.1</v>
      </c>
      <c r="O19" s="13">
        <f t="shared" si="3"/>
        <v>-68293.87</v>
      </c>
      <c r="P19" s="13">
        <f>SUM(D19:O19)</f>
        <v>1005977.2999999999</v>
      </c>
      <c r="R19" s="26" t="s">
        <v>174</v>
      </c>
      <c r="S19" s="26">
        <v>17</v>
      </c>
    </row>
    <row r="20" spans="1:19" x14ac:dyDescent="0.25">
      <c r="A20" s="24" t="s">
        <v>18</v>
      </c>
      <c r="B20" s="13">
        <f>ROUND(B$9*'B&amp;A kWh'!C18,2)</f>
        <v>0</v>
      </c>
      <c r="C20" s="13">
        <f>ROUND(C$9*'B&amp;A kWh'!D18,2)</f>
        <v>0</v>
      </c>
      <c r="D20" s="13">
        <f>ROUND(D$9*'B&amp;A kWh'!E18,2)</f>
        <v>27737.55</v>
      </c>
      <c r="E20" s="13">
        <f>ROUND(E$9*'B&amp;A kWh'!F18,2)</f>
        <v>47440.53</v>
      </c>
      <c r="F20" s="13">
        <f>ROUND(F$9*'B&amp;A kWh'!G18,2)</f>
        <v>67388.08</v>
      </c>
      <c r="G20" s="13">
        <f>ROUND(G$9*'B&amp;A kWh'!H18,2)</f>
        <v>77609.72</v>
      </c>
      <c r="H20" s="13">
        <f>ROUND(H$9*'B&amp;A kWh'!I18,2)</f>
        <v>95370.76</v>
      </c>
      <c r="I20" s="13">
        <f>ROUND(I$9*'B&amp;A kWh'!J18,2)</f>
        <v>44580.29</v>
      </c>
      <c r="J20" s="13">
        <f>ROUND(J$9*'B&amp;A kWh'!K18,2)</f>
        <v>115389.31</v>
      </c>
      <c r="K20" s="13">
        <f>ROUND(K$9*'B&amp;A kWh'!L18,2)</f>
        <v>188565.35</v>
      </c>
      <c r="L20" s="13">
        <f>ROUND(L$9*'B&amp;A kWh'!M18,2)</f>
        <v>157220.14000000001</v>
      </c>
      <c r="M20" s="13">
        <f>ROUND(M$9*'B&amp;A kWh'!N18,2)</f>
        <v>110366.34</v>
      </c>
      <c r="N20" s="13">
        <f>ROUND(N$9*'B&amp;A kWh'!O18,2)</f>
        <v>142603.1</v>
      </c>
      <c r="O20" s="13">
        <f>ROUND(O$9*'B&amp;A kWh'!P18,2)</f>
        <v>-68293.87</v>
      </c>
      <c r="P20" s="13">
        <f t="shared" ref="P20" si="4">SUM(D20:O20)</f>
        <v>1005977.2999999999</v>
      </c>
      <c r="R20" s="26" t="s">
        <v>18</v>
      </c>
      <c r="S20" s="26">
        <v>18</v>
      </c>
    </row>
    <row r="21" spans="1:19" x14ac:dyDescent="0.25">
      <c r="A21" s="24"/>
      <c r="S21" s="26">
        <v>19</v>
      </c>
    </row>
    <row r="22" spans="1:19" x14ac:dyDescent="0.25">
      <c r="A22" s="24" t="s">
        <v>17</v>
      </c>
      <c r="B22" s="13">
        <f>ROUND(B$9*'B&amp;A kWh'!C20,2)</f>
        <v>0</v>
      </c>
      <c r="C22" s="13">
        <f>ROUND(C$9*'B&amp;A kWh'!D20,2)</f>
        <v>0</v>
      </c>
      <c r="D22" s="13">
        <f>ROUND(D$9*'B&amp;A kWh'!E20,2)</f>
        <v>99982.14</v>
      </c>
      <c r="E22" s="13">
        <f>ROUND(E$9*'B&amp;A kWh'!F20,2)</f>
        <v>174672.71</v>
      </c>
      <c r="F22" s="13">
        <f>ROUND(F$9*'B&amp;A kWh'!G20,2)</f>
        <v>348721.88</v>
      </c>
      <c r="G22" s="13">
        <f>ROUND(G$9*'B&amp;A kWh'!H20,2)</f>
        <v>396426.56</v>
      </c>
      <c r="H22" s="13">
        <f>ROUND(H$9*'B&amp;A kWh'!I20,2)</f>
        <v>391309.33</v>
      </c>
      <c r="I22" s="13">
        <f>ROUND(I$9*'B&amp;A kWh'!J20,2)</f>
        <v>157488.71</v>
      </c>
      <c r="J22" s="13">
        <f>ROUND(J$9*'B&amp;A kWh'!K20,2)</f>
        <v>277603.25</v>
      </c>
      <c r="K22" s="13">
        <f>ROUND(K$9*'B&amp;A kWh'!L20,2)</f>
        <v>459201.73</v>
      </c>
      <c r="L22" s="13">
        <f>ROUND(L$9*'B&amp;A kWh'!M20,2)</f>
        <v>608459.77</v>
      </c>
      <c r="M22" s="13">
        <f>ROUND(M$9*'B&amp;A kWh'!N20,2)</f>
        <v>538053.18000000005</v>
      </c>
      <c r="N22" s="13">
        <f>ROUND(N$9*'B&amp;A kWh'!O20,2)</f>
        <v>594845.55000000005</v>
      </c>
      <c r="O22" s="13">
        <f>ROUND(O$9*'B&amp;A kWh'!P20,2)</f>
        <v>-225189.92</v>
      </c>
      <c r="P22" s="13">
        <f t="shared" ref="P22" si="5">SUM(D22:O22)</f>
        <v>3821574.8900000006</v>
      </c>
      <c r="R22" s="26" t="s">
        <v>17</v>
      </c>
      <c r="S22" s="26">
        <v>20</v>
      </c>
    </row>
    <row r="23" spans="1:19" x14ac:dyDescent="0.25">
      <c r="A23" s="24"/>
      <c r="S23" s="26">
        <v>21</v>
      </c>
    </row>
    <row r="24" spans="1:19" x14ac:dyDescent="0.25">
      <c r="A24" s="24" t="s">
        <v>16</v>
      </c>
      <c r="B24" s="13">
        <f>ROUND(B$9*'B&amp;A kWh'!C22,2)</f>
        <v>0</v>
      </c>
      <c r="C24" s="13">
        <f>ROUND(C$9*'B&amp;A kWh'!D22,2)</f>
        <v>0</v>
      </c>
      <c r="D24" s="13">
        <f>ROUND(D$9*'B&amp;A kWh'!E22,2)</f>
        <v>767.17</v>
      </c>
      <c r="E24" s="13">
        <f>ROUND(E$9*'B&amp;A kWh'!F22,2)</f>
        <v>1305.97</v>
      </c>
      <c r="F24" s="13">
        <f>ROUND(F$9*'B&amp;A kWh'!G22,2)</f>
        <v>2311.63</v>
      </c>
      <c r="G24" s="13">
        <f>ROUND(G$9*'B&amp;A kWh'!H22,2)</f>
        <v>2243.94</v>
      </c>
      <c r="H24" s="13">
        <f>ROUND(H$9*'B&amp;A kWh'!I22,2)</f>
        <v>2159.36</v>
      </c>
      <c r="I24" s="13">
        <f>ROUND(I$9*'B&amp;A kWh'!J22,2)</f>
        <v>1075.9000000000001</v>
      </c>
      <c r="J24" s="13">
        <f>ROUND(J$9*'B&amp;A kWh'!K22,2)</f>
        <v>2163.62</v>
      </c>
      <c r="K24" s="13">
        <f>ROUND(K$9*'B&amp;A kWh'!L22,2)</f>
        <v>3323.53</v>
      </c>
      <c r="L24" s="13">
        <f>ROUND(L$9*'B&amp;A kWh'!M22,2)</f>
        <v>3061.49</v>
      </c>
      <c r="M24" s="13">
        <f>ROUND(M$9*'B&amp;A kWh'!N22,2)</f>
        <v>2608.4499999999998</v>
      </c>
      <c r="N24" s="13">
        <f>ROUND(N$9*'B&amp;A kWh'!O22,2)</f>
        <v>3378.16</v>
      </c>
      <c r="O24" s="13">
        <f>ROUND(O$9*'B&amp;A kWh'!P22,2)</f>
        <v>-1447.36</v>
      </c>
      <c r="P24" s="13">
        <f t="shared" ref="P24" si="6">SUM(D24:O24)</f>
        <v>22951.86</v>
      </c>
      <c r="R24" s="26" t="s">
        <v>16</v>
      </c>
      <c r="S24" s="26">
        <v>22</v>
      </c>
    </row>
    <row r="25" spans="1:19" x14ac:dyDescent="0.25">
      <c r="A25" s="24"/>
      <c r="S25" s="26">
        <v>23</v>
      </c>
    </row>
    <row r="26" spans="1:19" x14ac:dyDescent="0.25">
      <c r="A26" s="24" t="s">
        <v>15</v>
      </c>
      <c r="B26" s="13">
        <f>ROUND(B$9*'B&amp;A kWh'!C24,2)</f>
        <v>0</v>
      </c>
      <c r="C26" s="13">
        <f>ROUND(C$9*'B&amp;A kWh'!D24,2)</f>
        <v>0</v>
      </c>
      <c r="D26" s="13">
        <f>ROUND(D$9*'B&amp;A kWh'!E24,2)</f>
        <v>6782.83</v>
      </c>
      <c r="E26" s="13">
        <f>ROUND(E$9*'B&amp;A kWh'!F24,2)</f>
        <v>13235.08</v>
      </c>
      <c r="F26" s="13">
        <f>ROUND(F$9*'B&amp;A kWh'!G24,2)</f>
        <v>23497.599999999999</v>
      </c>
      <c r="G26" s="13">
        <f>ROUND(G$9*'B&amp;A kWh'!H24,2)</f>
        <v>20863.150000000001</v>
      </c>
      <c r="H26" s="13">
        <f>ROUND(H$9*'B&amp;A kWh'!I24,2)</f>
        <v>22077.01</v>
      </c>
      <c r="I26" s="13">
        <f>ROUND(I$9*'B&amp;A kWh'!J24,2)</f>
        <v>9419.74</v>
      </c>
      <c r="J26" s="13">
        <f>ROUND(J$9*'B&amp;A kWh'!K24,2)</f>
        <v>18979.71</v>
      </c>
      <c r="K26" s="13">
        <f>ROUND(K$9*'B&amp;A kWh'!L24,2)</f>
        <v>29127.11</v>
      </c>
      <c r="L26" s="13">
        <f>ROUND(L$9*'B&amp;A kWh'!M24,2)</f>
        <v>26519.79</v>
      </c>
      <c r="M26" s="13">
        <f>ROUND(M$9*'B&amp;A kWh'!N24,2)</f>
        <v>20858.099999999999</v>
      </c>
      <c r="N26" s="13">
        <f>ROUND(N$9*'B&amp;A kWh'!O24,2)</f>
        <v>27357.919999999998</v>
      </c>
      <c r="O26" s="13">
        <f>ROUND(O$9*'B&amp;A kWh'!P24,2)</f>
        <v>-12525.97</v>
      </c>
      <c r="P26" s="13">
        <f t="shared" ref="P26" si="7">SUM(D26:O26)</f>
        <v>206192.06999999998</v>
      </c>
      <c r="R26" s="26" t="s">
        <v>15</v>
      </c>
      <c r="S26" s="26">
        <v>24</v>
      </c>
    </row>
    <row r="27" spans="1:19" x14ac:dyDescent="0.25">
      <c r="A27" s="24"/>
      <c r="S27" s="26">
        <v>25</v>
      </c>
    </row>
    <row r="28" spans="1:19" x14ac:dyDescent="0.25">
      <c r="A28" s="24" t="s">
        <v>14</v>
      </c>
      <c r="B28" s="13">
        <f>ROUND(B$9*'B&amp;A kWh'!C26,2)</f>
        <v>0</v>
      </c>
      <c r="C28" s="13">
        <f>ROUND(C$9*'B&amp;A kWh'!D26,2)</f>
        <v>0</v>
      </c>
      <c r="D28" s="13">
        <f>ROUND(D$9*'B&amp;A kWh'!E26,2)</f>
        <v>2501.87</v>
      </c>
      <c r="E28" s="13">
        <f>ROUND(E$9*'B&amp;A kWh'!F26,2)</f>
        <v>4760.37</v>
      </c>
      <c r="F28" s="13">
        <f>ROUND(F$9*'B&amp;A kWh'!G26,2)</f>
        <v>7552.65</v>
      </c>
      <c r="G28" s="13">
        <f>ROUND(G$9*'B&amp;A kWh'!H26,2)</f>
        <v>7656.72</v>
      </c>
      <c r="H28" s="13">
        <f>ROUND(H$9*'B&amp;A kWh'!I26,2)</f>
        <v>7730.54</v>
      </c>
      <c r="I28" s="13">
        <f>ROUND(I$9*'B&amp;A kWh'!J26,2)</f>
        <v>3413.48</v>
      </c>
      <c r="J28" s="13">
        <f>ROUND(J$9*'B&amp;A kWh'!K26,2)</f>
        <v>7636.39</v>
      </c>
      <c r="K28" s="13">
        <f>ROUND(K$9*'B&amp;A kWh'!L26,2)</f>
        <v>11881.72</v>
      </c>
      <c r="L28" s="13">
        <f>ROUND(L$9*'B&amp;A kWh'!M26,2)</f>
        <v>13084.06</v>
      </c>
      <c r="M28" s="13">
        <f>ROUND(M$9*'B&amp;A kWh'!N26,2)</f>
        <v>17645.310000000001</v>
      </c>
      <c r="N28" s="13">
        <f>ROUND(N$9*'B&amp;A kWh'!O26,2)</f>
        <v>3942.33</v>
      </c>
      <c r="O28" s="13">
        <f>ROUND(O$9*'B&amp;A kWh'!P26,2)</f>
        <v>-5050.12</v>
      </c>
      <c r="P28" s="13">
        <f t="shared" ref="P28" si="8">SUM(D28:O28)</f>
        <v>82755.320000000007</v>
      </c>
      <c r="R28" s="26" t="s">
        <v>14</v>
      </c>
      <c r="S28" s="26">
        <v>26</v>
      </c>
    </row>
    <row r="29" spans="1:19" x14ac:dyDescent="0.25">
      <c r="A29" s="24"/>
      <c r="S29" s="26">
        <v>27</v>
      </c>
    </row>
    <row r="30" spans="1:19" x14ac:dyDescent="0.25">
      <c r="A30" s="24" t="s">
        <v>13</v>
      </c>
      <c r="B30" s="13">
        <f>ROUND(B$9*'B&amp;A kWh'!C28,2)</f>
        <v>0</v>
      </c>
      <c r="C30" s="13">
        <f>ROUND(C$9*'B&amp;A kWh'!D28,2)</f>
        <v>0</v>
      </c>
      <c r="D30" s="13">
        <f>ROUND(D$9*'B&amp;A kWh'!E28,2)</f>
        <v>1893.81</v>
      </c>
      <c r="E30" s="13">
        <f>ROUND(E$9*'B&amp;A kWh'!F28,2)</f>
        <v>2341.5300000000002</v>
      </c>
      <c r="F30" s="13">
        <f>ROUND(F$9*'B&amp;A kWh'!G28,2)</f>
        <v>2258.0500000000002</v>
      </c>
      <c r="G30" s="13">
        <f>ROUND(G$9*'B&amp;A kWh'!H28,2)</f>
        <v>2042.77</v>
      </c>
      <c r="H30" s="13">
        <f>ROUND(H$9*'B&amp;A kWh'!I28,2)</f>
        <v>2694.41</v>
      </c>
      <c r="I30" s="13">
        <f>ROUND(I$9*'B&amp;A kWh'!J28,2)</f>
        <v>1383.47</v>
      </c>
      <c r="J30" s="13">
        <f>ROUND(J$9*'B&amp;A kWh'!K28,2)</f>
        <v>3652.05</v>
      </c>
      <c r="K30" s="13">
        <f>ROUND(K$9*'B&amp;A kWh'!L28,2)</f>
        <v>5285.41</v>
      </c>
      <c r="L30" s="13">
        <f>ROUND(L$9*'B&amp;A kWh'!M28,2)</f>
        <v>4816.8100000000004</v>
      </c>
      <c r="M30" s="13">
        <f>ROUND(M$9*'B&amp;A kWh'!N28,2)</f>
        <v>4136.1400000000003</v>
      </c>
      <c r="N30" s="13">
        <f>ROUND(N$9*'B&amp;A kWh'!O28,2)</f>
        <v>5816.14</v>
      </c>
      <c r="O30" s="13">
        <f>ROUND(O$9*'B&amp;A kWh'!P28,2)</f>
        <v>-3124.05</v>
      </c>
      <c r="P30" s="13">
        <f t="shared" ref="P30" si="9">SUM(D30:O30)</f>
        <v>33196.54</v>
      </c>
      <c r="R30" s="26" t="s">
        <v>13</v>
      </c>
      <c r="S30" s="26">
        <v>28</v>
      </c>
    </row>
    <row r="31" spans="1:19" x14ac:dyDescent="0.25">
      <c r="A31" s="24"/>
      <c r="S31" s="26">
        <v>29</v>
      </c>
    </row>
    <row r="32" spans="1:19" x14ac:dyDescent="0.25">
      <c r="A32" s="24" t="s">
        <v>12</v>
      </c>
      <c r="B32" s="13">
        <f>ROUND(B$9*'B&amp;A kWh'!C30,2)</f>
        <v>0</v>
      </c>
      <c r="C32" s="13">
        <f>ROUND(C$9*'B&amp;A kWh'!D30,2)</f>
        <v>0</v>
      </c>
      <c r="D32" s="13">
        <f>ROUND(D$9*'B&amp;A kWh'!E30,2)</f>
        <v>313252.81</v>
      </c>
      <c r="E32" s="13">
        <f>ROUND(E$9*'B&amp;A kWh'!F30,2)</f>
        <v>596398.01</v>
      </c>
      <c r="F32" s="13">
        <f>ROUND(F$9*'B&amp;A kWh'!G30,2)</f>
        <v>1223954.02</v>
      </c>
      <c r="G32" s="13">
        <f>ROUND(G$9*'B&amp;A kWh'!H30,2)</f>
        <v>1312177.05</v>
      </c>
      <c r="H32" s="13">
        <f>ROUND(H$9*'B&amp;A kWh'!I30,2)</f>
        <v>1336871.04</v>
      </c>
      <c r="I32" s="13">
        <f>ROUND(I$9*'B&amp;A kWh'!J30,2)</f>
        <v>533934.54</v>
      </c>
      <c r="J32" s="13">
        <f>ROUND(J$9*'B&amp;A kWh'!K30,2)</f>
        <v>933023.85</v>
      </c>
      <c r="K32" s="13">
        <f>ROUND(K$9*'B&amp;A kWh'!L30,2)</f>
        <v>1403757.88</v>
      </c>
      <c r="L32" s="13">
        <f>ROUND(L$9*'B&amp;A kWh'!M30,2)</f>
        <v>1697992.74</v>
      </c>
      <c r="M32" s="13">
        <f>ROUND(M$9*'B&amp;A kWh'!N30,2)</f>
        <v>1425934.63</v>
      </c>
      <c r="N32" s="13">
        <f>ROUND(N$9*'B&amp;A kWh'!O30,2)</f>
        <v>1725519.95</v>
      </c>
      <c r="O32" s="13">
        <f>ROUND(O$9*'B&amp;A kWh'!P30,2)</f>
        <v>-670547.5</v>
      </c>
      <c r="P32" s="13">
        <f t="shared" ref="P32:P78" si="10">SUM(D32:O32)</f>
        <v>11832269.02</v>
      </c>
      <c r="R32" s="26" t="s">
        <v>12</v>
      </c>
      <c r="S32" s="26">
        <v>30</v>
      </c>
    </row>
    <row r="33" spans="1:19" x14ac:dyDescent="0.25">
      <c r="A33" s="24"/>
      <c r="S33" s="26">
        <v>31</v>
      </c>
    </row>
    <row r="34" spans="1:19" x14ac:dyDescent="0.25">
      <c r="A34" s="24" t="s">
        <v>11</v>
      </c>
      <c r="B34" s="13">
        <f>ROUND(B$9*'B&amp;A kWh'!C32,2)</f>
        <v>0</v>
      </c>
      <c r="C34" s="13">
        <f>ROUND(C$9*'B&amp;A kWh'!D32,2)</f>
        <v>0</v>
      </c>
      <c r="D34" s="13">
        <f>ROUND(D$9*'B&amp;A kWh'!E32,2)</f>
        <v>561.13</v>
      </c>
      <c r="E34" s="13">
        <f>ROUND(E$9*'B&amp;A kWh'!F32,2)</f>
        <v>527.41</v>
      </c>
      <c r="F34" s="13">
        <f>ROUND(F$9*'B&amp;A kWh'!G32,2)</f>
        <v>1538.59</v>
      </c>
      <c r="G34" s="13">
        <f>ROUND(G$9*'B&amp;A kWh'!H32,2)</f>
        <v>2116.3200000000002</v>
      </c>
      <c r="H34" s="13">
        <f>ROUND(H$9*'B&amp;A kWh'!I32,2)</f>
        <v>1950.48</v>
      </c>
      <c r="I34" s="13">
        <f>ROUND(I$9*'B&amp;A kWh'!J32,2)</f>
        <v>900.86</v>
      </c>
      <c r="J34" s="13">
        <f>ROUND(J$9*'B&amp;A kWh'!K32,2)</f>
        <v>630.53</v>
      </c>
      <c r="K34" s="13">
        <f>ROUND(K$9*'B&amp;A kWh'!L32,2)</f>
        <v>2722.5</v>
      </c>
      <c r="L34" s="13">
        <f>ROUND(L$9*'B&amp;A kWh'!M32,2)</f>
        <v>4826.04</v>
      </c>
      <c r="M34" s="13">
        <f>ROUND(M$9*'B&amp;A kWh'!N32,2)</f>
        <v>4526.32</v>
      </c>
      <c r="N34" s="13">
        <f>ROUND(N$9*'B&amp;A kWh'!O32,2)</f>
        <v>3813.48</v>
      </c>
      <c r="O34" s="13">
        <f>ROUND(O$9*'B&amp;A kWh'!P32,2)</f>
        <v>-1111.82</v>
      </c>
      <c r="P34" s="13">
        <f t="shared" si="10"/>
        <v>23001.84</v>
      </c>
      <c r="R34" s="26" t="s">
        <v>11</v>
      </c>
      <c r="S34" s="26">
        <v>32</v>
      </c>
    </row>
    <row r="35" spans="1:19" x14ac:dyDescent="0.25">
      <c r="A35" s="24"/>
      <c r="S35" s="26">
        <v>33</v>
      </c>
    </row>
    <row r="36" spans="1:19" x14ac:dyDescent="0.25">
      <c r="A36" s="24" t="s">
        <v>10</v>
      </c>
      <c r="B36" s="13">
        <f>ROUND(B$9*'B&amp;A kWh'!C34,2)</f>
        <v>0</v>
      </c>
      <c r="C36" s="13">
        <f>ROUND(C$9*'B&amp;A kWh'!D34,2)</f>
        <v>0</v>
      </c>
      <c r="D36" s="13">
        <f>ROUND(D$9*'B&amp;A kWh'!E34,2)</f>
        <v>6004.92</v>
      </c>
      <c r="E36" s="13">
        <f>ROUND(E$9*'B&amp;A kWh'!F34,2)</f>
        <v>11525.67</v>
      </c>
      <c r="F36" s="13">
        <f>ROUND(F$9*'B&amp;A kWh'!G34,2)</f>
        <v>21845.84</v>
      </c>
      <c r="G36" s="13">
        <f>ROUND(G$9*'B&amp;A kWh'!H34,2)</f>
        <v>23323.24</v>
      </c>
      <c r="H36" s="13">
        <f>ROUND(H$9*'B&amp;A kWh'!I34,2)</f>
        <v>22214.66</v>
      </c>
      <c r="I36" s="13">
        <f>ROUND(I$9*'B&amp;A kWh'!J34,2)</f>
        <v>10053.92</v>
      </c>
      <c r="J36" s="13">
        <f>ROUND(J$9*'B&amp;A kWh'!K34,2)</f>
        <v>18423.259999999998</v>
      </c>
      <c r="K36" s="13">
        <f>ROUND(K$9*'B&amp;A kWh'!L34,2)</f>
        <v>29825.46</v>
      </c>
      <c r="L36" s="13">
        <f>ROUND(L$9*'B&amp;A kWh'!M34,2)</f>
        <v>33592.85</v>
      </c>
      <c r="M36" s="13">
        <f>ROUND(M$9*'B&amp;A kWh'!N34,2)</f>
        <v>29981.3</v>
      </c>
      <c r="N36" s="13">
        <f>ROUND(N$9*'B&amp;A kWh'!O34,2)</f>
        <v>30243.55</v>
      </c>
      <c r="O36" s="13">
        <f>ROUND(O$9*'B&amp;A kWh'!P34,2)</f>
        <v>-13114.9</v>
      </c>
      <c r="P36" s="13">
        <f t="shared" si="10"/>
        <v>223919.77</v>
      </c>
      <c r="R36" s="26" t="s">
        <v>10</v>
      </c>
      <c r="S36" s="26">
        <v>34</v>
      </c>
    </row>
    <row r="37" spans="1:19" x14ac:dyDescent="0.25">
      <c r="A37" s="24"/>
      <c r="S37" s="26">
        <v>35</v>
      </c>
    </row>
    <row r="38" spans="1:19" x14ac:dyDescent="0.25">
      <c r="A38" s="24" t="s">
        <v>9</v>
      </c>
      <c r="B38" s="13">
        <f>ROUND(B$9*'B&amp;A kWh'!C36,2)</f>
        <v>0</v>
      </c>
      <c r="C38" s="13">
        <f>ROUND(C$9*'B&amp;A kWh'!D36,2)</f>
        <v>0</v>
      </c>
      <c r="D38" s="13">
        <f>ROUND(D$9*'B&amp;A kWh'!E36,2)</f>
        <v>7357.41</v>
      </c>
      <c r="E38" s="13">
        <f>ROUND(E$9*'B&amp;A kWh'!F36,2)</f>
        <v>13067.33</v>
      </c>
      <c r="F38" s="13">
        <f>ROUND(F$9*'B&amp;A kWh'!G36,2)</f>
        <v>19741.919999999998</v>
      </c>
      <c r="G38" s="13">
        <f>ROUND(G$9*'B&amp;A kWh'!H36,2)</f>
        <v>15527.29</v>
      </c>
      <c r="H38" s="13">
        <f>ROUND(H$9*'B&amp;A kWh'!I36,2)</f>
        <v>17289.71</v>
      </c>
      <c r="I38" s="13">
        <f>ROUND(I$9*'B&amp;A kWh'!J36,2)</f>
        <v>7371.68</v>
      </c>
      <c r="J38" s="13">
        <f>ROUND(J$9*'B&amp;A kWh'!K36,2)</f>
        <v>20367.22</v>
      </c>
      <c r="K38" s="13">
        <f>ROUND(K$9*'B&amp;A kWh'!L36,2)</f>
        <v>35955.279999999999</v>
      </c>
      <c r="L38" s="13">
        <f>ROUND(L$9*'B&amp;A kWh'!M36,2)</f>
        <v>36014.17</v>
      </c>
      <c r="M38" s="13">
        <f>ROUND(M$9*'B&amp;A kWh'!N36,2)</f>
        <v>25283.79</v>
      </c>
      <c r="N38" s="13">
        <f>ROUND(N$9*'B&amp;A kWh'!O36,2)</f>
        <v>41173.1</v>
      </c>
      <c r="O38" s="13">
        <f>ROUND(O$9*'B&amp;A kWh'!P36,2)</f>
        <v>-10667.28</v>
      </c>
      <c r="P38" s="13">
        <f t="shared" si="10"/>
        <v>228481.62000000002</v>
      </c>
      <c r="R38" s="26" t="s">
        <v>9</v>
      </c>
      <c r="S38" s="26">
        <v>36</v>
      </c>
    </row>
    <row r="39" spans="1:19" x14ac:dyDescent="0.25">
      <c r="A39" s="24"/>
      <c r="S39" s="26">
        <v>37</v>
      </c>
    </row>
    <row r="40" spans="1:19" x14ac:dyDescent="0.25">
      <c r="A40" s="24" t="s">
        <v>8</v>
      </c>
      <c r="B40" s="13">
        <f>ROUND(B$9*'B&amp;A kWh'!C38,2)</f>
        <v>0</v>
      </c>
      <c r="C40" s="13">
        <f>ROUND(C$9*'B&amp;A kWh'!D38,2)</f>
        <v>0</v>
      </c>
      <c r="D40" s="13">
        <f>ROUND(D$9*'B&amp;A kWh'!E38,2)</f>
        <v>598.66999999999996</v>
      </c>
      <c r="E40" s="13">
        <f>ROUND(E$9*'B&amp;A kWh'!F38,2)</f>
        <v>677.68</v>
      </c>
      <c r="F40" s="13">
        <f>ROUND(F$9*'B&amp;A kWh'!G38,2)</f>
        <v>1710.25</v>
      </c>
      <c r="G40" s="13">
        <f>ROUND(G$9*'B&amp;A kWh'!H38,2)</f>
        <v>422.15</v>
      </c>
      <c r="H40" s="13">
        <f>ROUND(H$9*'B&amp;A kWh'!I38,2)</f>
        <v>980.57</v>
      </c>
      <c r="I40" s="13">
        <f>ROUND(I$9*'B&amp;A kWh'!J38,2)</f>
        <v>674.05</v>
      </c>
      <c r="J40" s="13">
        <f>ROUND(J$9*'B&amp;A kWh'!K38,2)</f>
        <v>383.07</v>
      </c>
      <c r="K40" s="13">
        <f>ROUND(K$9*'B&amp;A kWh'!L38,2)</f>
        <v>1331.31</v>
      </c>
      <c r="L40" s="13">
        <f>ROUND(L$9*'B&amp;A kWh'!M38,2)</f>
        <v>2151.4</v>
      </c>
      <c r="M40" s="13">
        <f>ROUND(M$9*'B&amp;A kWh'!N38,2)</f>
        <v>1185.48</v>
      </c>
      <c r="N40" s="13">
        <f>ROUND(N$9*'B&amp;A kWh'!O38,2)</f>
        <v>655.23</v>
      </c>
      <c r="O40" s="13">
        <f>ROUND(O$9*'B&amp;A kWh'!P38,2)</f>
        <v>-524.98</v>
      </c>
      <c r="P40" s="13">
        <f t="shared" si="10"/>
        <v>10244.879999999999</v>
      </c>
      <c r="R40" s="26" t="s">
        <v>8</v>
      </c>
      <c r="S40" s="26">
        <v>38</v>
      </c>
    </row>
    <row r="41" spans="1:19" x14ac:dyDescent="0.25">
      <c r="A41" s="24"/>
      <c r="S41" s="26">
        <v>39</v>
      </c>
    </row>
    <row r="42" spans="1:19" x14ac:dyDescent="0.25">
      <c r="A42" s="24" t="s">
        <v>7</v>
      </c>
      <c r="B42" s="13">
        <f>ROUND(B$9*'B&amp;A kWh'!C40,2)</f>
        <v>0</v>
      </c>
      <c r="C42" s="13">
        <f>ROUND(C$9*'B&amp;A kWh'!D40,2)</f>
        <v>0</v>
      </c>
      <c r="D42" s="13">
        <f>ROUND(D$9*'B&amp;A kWh'!E40,2)</f>
        <v>224940.61</v>
      </c>
      <c r="E42" s="13">
        <f>ROUND(E$9*'B&amp;A kWh'!F40,2)</f>
        <v>441427.77</v>
      </c>
      <c r="F42" s="13">
        <f>ROUND(F$9*'B&amp;A kWh'!G40,2)</f>
        <v>803331.88</v>
      </c>
      <c r="G42" s="13">
        <f>ROUND(G$9*'B&amp;A kWh'!H40,2)</f>
        <v>822099.94</v>
      </c>
      <c r="H42" s="13">
        <f>ROUND(H$9*'B&amp;A kWh'!I40,2)</f>
        <v>846713.8</v>
      </c>
      <c r="I42" s="13">
        <f>ROUND(I$9*'B&amp;A kWh'!J40,2)</f>
        <v>353897.31</v>
      </c>
      <c r="J42" s="13">
        <f>ROUND(J$9*'B&amp;A kWh'!K40,2)</f>
        <v>693265.71</v>
      </c>
      <c r="K42" s="13">
        <f>ROUND(K$9*'B&amp;A kWh'!L40,2)</f>
        <v>1059606.31</v>
      </c>
      <c r="L42" s="13">
        <f>ROUND(L$9*'B&amp;A kWh'!M40,2)</f>
        <v>1065250.8799999999</v>
      </c>
      <c r="M42" s="13">
        <f>ROUND(M$9*'B&amp;A kWh'!N40,2)</f>
        <v>855196.06</v>
      </c>
      <c r="N42" s="13">
        <f>ROUND(N$9*'B&amp;A kWh'!O40,2)</f>
        <v>1138688.21</v>
      </c>
      <c r="O42" s="13">
        <f>ROUND(O$9*'B&amp;A kWh'!P40,2)</f>
        <v>-472707.32</v>
      </c>
      <c r="P42" s="13">
        <f t="shared" si="10"/>
        <v>7831711.1599999992</v>
      </c>
      <c r="R42" s="26" t="s">
        <v>7</v>
      </c>
      <c r="S42" s="26">
        <v>40</v>
      </c>
    </row>
    <row r="43" spans="1:19" x14ac:dyDescent="0.25">
      <c r="A43" s="24"/>
      <c r="S43" s="26">
        <v>41</v>
      </c>
    </row>
    <row r="44" spans="1:19" x14ac:dyDescent="0.25">
      <c r="A44" s="24" t="s">
        <v>6</v>
      </c>
      <c r="B44" s="13">
        <f>ROUND(B$9*'B&amp;A kWh'!C42,2)</f>
        <v>0</v>
      </c>
      <c r="C44" s="13">
        <f>ROUND(C$9*'B&amp;A kWh'!D42,2)</f>
        <v>0</v>
      </c>
      <c r="D44" s="13">
        <f>ROUND(D$9*'B&amp;A kWh'!E42,2)</f>
        <v>727.13</v>
      </c>
      <c r="E44" s="13">
        <f>ROUND(E$9*'B&amp;A kWh'!F42,2)</f>
        <v>2499.4299999999998</v>
      </c>
      <c r="F44" s="13">
        <f>ROUND(F$9*'B&amp;A kWh'!G42,2)</f>
        <v>2428.84</v>
      </c>
      <c r="G44" s="13">
        <f>ROUND(G$9*'B&amp;A kWh'!H42,2)</f>
        <v>5185.25</v>
      </c>
      <c r="H44" s="13">
        <f>ROUND(H$9*'B&amp;A kWh'!I42,2)</f>
        <v>4793.43</v>
      </c>
      <c r="I44" s="13">
        <f>ROUND(I$9*'B&amp;A kWh'!J42,2)</f>
        <v>2526.0100000000002</v>
      </c>
      <c r="J44" s="13">
        <f>ROUND(J$9*'B&amp;A kWh'!K42,2)</f>
        <v>6781.04</v>
      </c>
      <c r="K44" s="13">
        <f>ROUND(K$9*'B&amp;A kWh'!L42,2)</f>
        <v>10837.66</v>
      </c>
      <c r="L44" s="13">
        <f>ROUND(L$9*'B&amp;A kWh'!M42,2)</f>
        <v>9770.01</v>
      </c>
      <c r="M44" s="13">
        <f>ROUND(M$9*'B&amp;A kWh'!N42,2)</f>
        <v>4837.7</v>
      </c>
      <c r="N44" s="13">
        <f>ROUND(N$9*'B&amp;A kWh'!O42,2)</f>
        <v>1234.6400000000001</v>
      </c>
      <c r="O44" s="13">
        <f>ROUND(O$9*'B&amp;A kWh'!P42,2)</f>
        <v>-1411.26</v>
      </c>
      <c r="P44" s="13">
        <f t="shared" si="10"/>
        <v>50209.88</v>
      </c>
      <c r="R44" s="26" t="s">
        <v>6</v>
      </c>
      <c r="S44" s="26">
        <v>42</v>
      </c>
    </row>
    <row r="45" spans="1:19" x14ac:dyDescent="0.25">
      <c r="A45" s="24"/>
      <c r="S45" s="26">
        <v>43</v>
      </c>
    </row>
    <row r="46" spans="1:19" x14ac:dyDescent="0.25">
      <c r="A46" s="24" t="s">
        <v>118</v>
      </c>
      <c r="B46" s="13">
        <f>ROUND(B$9*'B&amp;A kWh'!C44,2)</f>
        <v>0</v>
      </c>
      <c r="C46" s="13">
        <f>ROUND(C$9*'B&amp;A kWh'!D44,2)</f>
        <v>0</v>
      </c>
      <c r="D46" s="13">
        <f>ROUND(D$9*'B&amp;A kWh'!E44,2)</f>
        <v>2329.62</v>
      </c>
      <c r="E46" s="13">
        <f>ROUND(E$9*'B&amp;A kWh'!F44,2)</f>
        <v>10736.02</v>
      </c>
      <c r="F46" s="13">
        <f>ROUND(F$9*'B&amp;A kWh'!G44,2)</f>
        <v>12760.93</v>
      </c>
      <c r="G46" s="13">
        <f>ROUND(G$9*'B&amp;A kWh'!H44,2)</f>
        <v>12274.45</v>
      </c>
      <c r="H46" s="13">
        <f>ROUND(H$9*'B&amp;A kWh'!I44,2)</f>
        <v>13046.44</v>
      </c>
      <c r="I46" s="13">
        <f>ROUND(I$9*'B&amp;A kWh'!J44,2)</f>
        <v>6193.41</v>
      </c>
      <c r="J46" s="13">
        <f>ROUND(J$9*'B&amp;A kWh'!K44,2)</f>
        <v>12200.42</v>
      </c>
      <c r="K46" s="13">
        <f>ROUND(K$9*'B&amp;A kWh'!L44,2)</f>
        <v>18948.03</v>
      </c>
      <c r="L46" s="13">
        <f>ROUND(L$9*'B&amp;A kWh'!M44,2)</f>
        <v>17946.169999999998</v>
      </c>
      <c r="M46" s="13">
        <f>ROUND(M$9*'B&amp;A kWh'!N44,2)</f>
        <v>14251.32</v>
      </c>
      <c r="N46" s="13">
        <f>ROUND(N$9*'B&amp;A kWh'!O44,2)</f>
        <v>19217.47</v>
      </c>
      <c r="O46" s="13">
        <f>ROUND(O$9*'B&amp;A kWh'!P44,2)</f>
        <v>-9064.93</v>
      </c>
      <c r="P46" s="13">
        <f t="shared" si="10"/>
        <v>130839.35</v>
      </c>
      <c r="R46" s="26" t="s">
        <v>118</v>
      </c>
      <c r="S46" s="26">
        <v>44</v>
      </c>
    </row>
    <row r="47" spans="1:19" x14ac:dyDescent="0.25">
      <c r="A47" s="24"/>
      <c r="S47" s="26">
        <v>45</v>
      </c>
    </row>
    <row r="48" spans="1:19" x14ac:dyDescent="0.25">
      <c r="A48" s="26" t="s">
        <v>241</v>
      </c>
      <c r="D48" s="13">
        <f>ROUND(D$9*'B&amp;A kWh'!E46,2)</f>
        <v>2741.13</v>
      </c>
      <c r="E48" s="13">
        <f>ROUND(E$9*'B&amp;A kWh'!F46,2)</f>
        <v>4182.45</v>
      </c>
      <c r="F48" s="13">
        <f>ROUND(F$9*'B&amp;A kWh'!G46,2)</f>
        <v>7375.1</v>
      </c>
      <c r="G48" s="13">
        <f>ROUND(G$9*'B&amp;A kWh'!H46,2)</f>
        <v>6342.83</v>
      </c>
      <c r="H48" s="13">
        <f>ROUND(H$9*'B&amp;A kWh'!I46,2)</f>
        <v>10517.84</v>
      </c>
      <c r="I48" s="13">
        <f>ROUND(I$9*'B&amp;A kWh'!J46,2)</f>
        <v>4791.62</v>
      </c>
      <c r="J48" s="13">
        <f>ROUND(J$9*'B&amp;A kWh'!K46,2)</f>
        <v>8927.6299999999992</v>
      </c>
      <c r="K48" s="13">
        <f>ROUND(K$9*'B&amp;A kWh'!L46,2)</f>
        <v>1589.39</v>
      </c>
      <c r="L48" s="13">
        <f>ROUND(L$9*'B&amp;A kWh'!M46,2)</f>
        <v>3282.39</v>
      </c>
      <c r="M48" s="13">
        <f>ROUND(M$9*'B&amp;A kWh'!N46,2)</f>
        <v>2695.84</v>
      </c>
      <c r="N48" s="13">
        <f>ROUND(N$9*'B&amp;A kWh'!O46,2)</f>
        <v>3581.4</v>
      </c>
      <c r="O48" s="13">
        <f>ROUND(O$9*'B&amp;A kWh'!P46,2)</f>
        <v>-2440.86</v>
      </c>
      <c r="P48" s="13">
        <f t="shared" si="10"/>
        <v>53586.76</v>
      </c>
      <c r="R48" s="26" t="s">
        <v>241</v>
      </c>
      <c r="S48" s="26">
        <v>46</v>
      </c>
    </row>
    <row r="49" spans="1:19" x14ac:dyDescent="0.25">
      <c r="A49" s="24"/>
      <c r="S49" s="26">
        <v>47</v>
      </c>
    </row>
    <row r="50" spans="1:19" x14ac:dyDescent="0.25">
      <c r="A50" s="24" t="s">
        <v>5</v>
      </c>
      <c r="B50" s="13">
        <f>ROUND(B$9*'B&amp;A kWh'!C48,2)</f>
        <v>0</v>
      </c>
      <c r="C50" s="13">
        <f>ROUND(C$9*'B&amp;A kWh'!D48,2)</f>
        <v>0</v>
      </c>
      <c r="D50" s="13">
        <f>ROUND(D$9*'B&amp;A kWh'!E48,2)</f>
        <v>60892.07</v>
      </c>
      <c r="E50" s="13">
        <f>ROUND(E$9*'B&amp;A kWh'!F48,2)</f>
        <v>127241.28</v>
      </c>
      <c r="F50" s="13">
        <f>ROUND(F$9*'B&amp;A kWh'!G48,2)</f>
        <v>188250.64</v>
      </c>
      <c r="G50" s="13">
        <f>ROUND(G$9*'B&amp;A kWh'!H48,2)</f>
        <v>196055.67</v>
      </c>
      <c r="H50" s="13">
        <f>ROUND(H$9*'B&amp;A kWh'!I48,2)</f>
        <v>212204.9</v>
      </c>
      <c r="I50" s="13">
        <f>ROUND(I$9*'B&amp;A kWh'!J48,2)</f>
        <v>94331.02</v>
      </c>
      <c r="J50" s="13">
        <f>ROUND(J$9*'B&amp;A kWh'!K48,2)</f>
        <v>189734.64</v>
      </c>
      <c r="K50" s="13">
        <f>ROUND(K$9*'B&amp;A kWh'!L48,2)</f>
        <v>302128.99</v>
      </c>
      <c r="L50" s="13">
        <f>ROUND(L$9*'B&amp;A kWh'!M48,2)</f>
        <v>308530.52</v>
      </c>
      <c r="M50" s="13">
        <f>ROUND(M$9*'B&amp;A kWh'!N48,2)</f>
        <v>251728.95</v>
      </c>
      <c r="N50" s="13">
        <f>ROUND(N$9*'B&amp;A kWh'!O48,2)</f>
        <v>366985.88</v>
      </c>
      <c r="O50" s="13">
        <f>ROUND(O$9*'B&amp;A kWh'!P48,2)</f>
        <v>-147587.94</v>
      </c>
      <c r="P50" s="13">
        <f t="shared" si="10"/>
        <v>2150496.62</v>
      </c>
      <c r="R50" s="26" t="s">
        <v>5</v>
      </c>
      <c r="S50" s="26">
        <v>48</v>
      </c>
    </row>
    <row r="51" spans="1:19" x14ac:dyDescent="0.25">
      <c r="A51" s="24"/>
      <c r="S51" s="26">
        <v>49</v>
      </c>
    </row>
    <row r="52" spans="1:19" x14ac:dyDescent="0.25">
      <c r="A52" s="24" t="s">
        <v>4</v>
      </c>
      <c r="B52" s="13">
        <f>ROUND(B$9*'B&amp;A kWh'!C50,2)</f>
        <v>0</v>
      </c>
      <c r="C52" s="13">
        <f>ROUND(C$9*'B&amp;A kWh'!D50,2)</f>
        <v>0</v>
      </c>
      <c r="D52" s="13">
        <f>ROUND(D$9*'B&amp;A kWh'!E50,2)</f>
        <v>7649.81</v>
      </c>
      <c r="E52" s="13">
        <f>ROUND(E$9*'B&amp;A kWh'!F50,2)</f>
        <v>24064.27</v>
      </c>
      <c r="F52" s="13">
        <f>ROUND(F$9*'B&amp;A kWh'!G50,2)</f>
        <v>86022.75</v>
      </c>
      <c r="G52" s="13">
        <f>ROUND(G$9*'B&amp;A kWh'!H50,2)</f>
        <v>1843.79</v>
      </c>
      <c r="H52" s="13">
        <f>ROUND(H$9*'B&amp;A kWh'!I50,2)</f>
        <v>37478.6</v>
      </c>
      <c r="I52" s="13">
        <f>ROUND(I$9*'B&amp;A kWh'!J50,2)</f>
        <v>15859.57</v>
      </c>
      <c r="J52" s="13">
        <f>ROUND(J$9*'B&amp;A kWh'!K50,2)</f>
        <v>25441.41</v>
      </c>
      <c r="K52" s="13">
        <f>ROUND(K$9*'B&amp;A kWh'!L50,2)</f>
        <v>43774.49</v>
      </c>
      <c r="L52" s="13">
        <f>ROUND(L$9*'B&amp;A kWh'!M50,2)</f>
        <v>36765.74</v>
      </c>
      <c r="M52" s="13">
        <f>ROUND(M$9*'B&amp;A kWh'!N50,2)</f>
        <v>32172.98</v>
      </c>
      <c r="N52" s="13">
        <f>ROUND(N$9*'B&amp;A kWh'!O50,2)</f>
        <v>45658.12</v>
      </c>
      <c r="O52" s="13">
        <f>ROUND(O$9*'B&amp;A kWh'!P50,2)</f>
        <v>-20437.68</v>
      </c>
      <c r="P52" s="13">
        <f t="shared" si="10"/>
        <v>336293.85</v>
      </c>
      <c r="R52" s="26" t="s">
        <v>4</v>
      </c>
      <c r="S52" s="26">
        <v>50</v>
      </c>
    </row>
    <row r="53" spans="1:19" x14ac:dyDescent="0.25">
      <c r="A53" s="24"/>
      <c r="S53" s="26">
        <v>51</v>
      </c>
    </row>
    <row r="54" spans="1:19" x14ac:dyDescent="0.25">
      <c r="A54" s="24" t="s">
        <v>3</v>
      </c>
      <c r="B54" s="13">
        <f>ROUND(B$9*'B&amp;A kWh'!C52,2)</f>
        <v>0</v>
      </c>
      <c r="C54" s="13">
        <f>ROUND(C$9*'B&amp;A kWh'!D52,2)</f>
        <v>0</v>
      </c>
      <c r="D54" s="13">
        <f>ROUND(D$9*'B&amp;A kWh'!E52,2)</f>
        <v>0</v>
      </c>
      <c r="E54" s="13">
        <f>ROUND(E$9*'B&amp;A kWh'!F52,2)</f>
        <v>0</v>
      </c>
      <c r="F54" s="13">
        <f>ROUND(F$9*'B&amp;A kWh'!G52,2)</f>
        <v>0</v>
      </c>
      <c r="G54" s="13">
        <f>ROUND(G$9*'B&amp;A kWh'!H52,2)</f>
        <v>0</v>
      </c>
      <c r="H54" s="13">
        <f>ROUND(H$9*'B&amp;A kWh'!I52,2)</f>
        <v>0</v>
      </c>
      <c r="I54" s="13">
        <f>ROUND(I$9*'B&amp;A kWh'!J52,2)</f>
        <v>0</v>
      </c>
      <c r="J54" s="13">
        <f>ROUND(J$9*'B&amp;A kWh'!K52,2)</f>
        <v>0</v>
      </c>
      <c r="K54" s="13">
        <f>ROUND(K$9*'B&amp;A kWh'!L52,2)</f>
        <v>0</v>
      </c>
      <c r="L54" s="13">
        <f>ROUND(L$9*'B&amp;A kWh'!M52,2)</f>
        <v>0</v>
      </c>
      <c r="M54" s="13">
        <f>ROUND(M$9*'B&amp;A kWh'!N52,2)</f>
        <v>0</v>
      </c>
      <c r="N54" s="13">
        <f>ROUND(N$9*'B&amp;A kWh'!O52,2)</f>
        <v>0</v>
      </c>
      <c r="O54" s="13">
        <f>ROUND(O$9*'B&amp;A kWh'!P52,2)</f>
        <v>0</v>
      </c>
      <c r="P54" s="13">
        <f t="shared" si="10"/>
        <v>0</v>
      </c>
      <c r="R54" s="26" t="s">
        <v>3</v>
      </c>
      <c r="S54" s="26">
        <v>52</v>
      </c>
    </row>
    <row r="55" spans="1:19" x14ac:dyDescent="0.25">
      <c r="A55" s="24"/>
      <c r="S55" s="26">
        <v>53</v>
      </c>
    </row>
    <row r="56" spans="1:19" x14ac:dyDescent="0.25">
      <c r="A56" s="24" t="s">
        <v>119</v>
      </c>
      <c r="B56" s="13">
        <f>ROUND(B$9*'B&amp;A kWh'!C54,2)</f>
        <v>0</v>
      </c>
      <c r="C56" s="13">
        <f>ROUND(C$9*'B&amp;A kWh'!D54,2)</f>
        <v>0</v>
      </c>
      <c r="D56" s="13">
        <f>ROUND(D$9*'B&amp;A kWh'!E54,2)</f>
        <v>64708.76</v>
      </c>
      <c r="E56" s="13">
        <f>ROUND(E$9*'B&amp;A kWh'!F54,2)</f>
        <v>128809.95</v>
      </c>
      <c r="F56" s="13">
        <f>ROUND(F$9*'B&amp;A kWh'!G54,2)</f>
        <v>226695.04000000001</v>
      </c>
      <c r="G56" s="13">
        <f>ROUND(G$9*'B&amp;A kWh'!H54,2)</f>
        <v>188631.7</v>
      </c>
      <c r="H56" s="13">
        <f>ROUND(H$9*'B&amp;A kWh'!I54,2)</f>
        <v>227983.94</v>
      </c>
      <c r="I56" s="13">
        <f>ROUND(I$9*'B&amp;A kWh'!J54,2)</f>
        <v>117052.07</v>
      </c>
      <c r="J56" s="13">
        <f>ROUND(J$9*'B&amp;A kWh'!K54,2)</f>
        <v>205343.89</v>
      </c>
      <c r="K56" s="13">
        <f>ROUND(K$9*'B&amp;A kWh'!L54,2)</f>
        <v>277444.96999999997</v>
      </c>
      <c r="L56" s="13">
        <f>ROUND(L$9*'B&amp;A kWh'!M54,2)</f>
        <v>325844.78000000003</v>
      </c>
      <c r="M56" s="13">
        <f>ROUND(M$9*'B&amp;A kWh'!N54,2)</f>
        <v>260673.74</v>
      </c>
      <c r="N56" s="13">
        <f>ROUND(N$9*'B&amp;A kWh'!O54,2)</f>
        <v>341790.04</v>
      </c>
      <c r="O56" s="13">
        <f>ROUND(O$9*'B&amp;A kWh'!P54,2)</f>
        <v>-139477.70000000001</v>
      </c>
      <c r="P56" s="13">
        <f t="shared" si="10"/>
        <v>2225501.1799999997</v>
      </c>
      <c r="R56" s="26" t="s">
        <v>119</v>
      </c>
      <c r="S56" s="26">
        <v>54</v>
      </c>
    </row>
    <row r="57" spans="1:19" x14ac:dyDescent="0.25">
      <c r="A57" s="24"/>
      <c r="S57" s="26">
        <v>55</v>
      </c>
    </row>
    <row r="58" spans="1:19" x14ac:dyDescent="0.25">
      <c r="A58" s="24" t="s">
        <v>120</v>
      </c>
      <c r="B58" s="13">
        <f>ROUND(B$9*'B&amp;A kWh'!C56,2)</f>
        <v>0</v>
      </c>
      <c r="C58" s="13">
        <f>ROUND(C$9*'B&amp;A kWh'!D56,2)</f>
        <v>0</v>
      </c>
      <c r="D58" s="13">
        <f>ROUND(D$9*'B&amp;A kWh'!E56,2)</f>
        <v>1104.04</v>
      </c>
      <c r="E58" s="13">
        <f>ROUND(E$9*'B&amp;A kWh'!F56,2)</f>
        <v>1988.51</v>
      </c>
      <c r="F58" s="13">
        <f>ROUND(F$9*'B&amp;A kWh'!G56,2)</f>
        <v>3992.85</v>
      </c>
      <c r="G58" s="13">
        <f>ROUND(G$9*'B&amp;A kWh'!H56,2)</f>
        <v>3497.08</v>
      </c>
      <c r="H58" s="13">
        <f>ROUND(H$9*'B&amp;A kWh'!I56,2)</f>
        <v>3863.91</v>
      </c>
      <c r="I58" s="13">
        <f>ROUND(I$9*'B&amp;A kWh'!J56,2)</f>
        <v>1989.15</v>
      </c>
      <c r="J58" s="13">
        <f>ROUND(J$9*'B&amp;A kWh'!K56,2)</f>
        <v>3678.2</v>
      </c>
      <c r="K58" s="13">
        <f>ROUND(K$9*'B&amp;A kWh'!L56,2)</f>
        <v>5872.36</v>
      </c>
      <c r="L58" s="13">
        <f>ROUND(L$9*'B&amp;A kWh'!M56,2)</f>
        <v>7694.98</v>
      </c>
      <c r="M58" s="13">
        <f>ROUND(M$9*'B&amp;A kWh'!N56,2)</f>
        <v>7404.31</v>
      </c>
      <c r="N58" s="13">
        <f>ROUND(N$9*'B&amp;A kWh'!O56,2)</f>
        <v>9149.82</v>
      </c>
      <c r="O58" s="13">
        <f>ROUND(O$9*'B&amp;A kWh'!P56,2)</f>
        <v>-2481.29</v>
      </c>
      <c r="P58" s="13">
        <f t="shared" si="10"/>
        <v>47753.919999999998</v>
      </c>
      <c r="R58" s="26" t="s">
        <v>120</v>
      </c>
      <c r="S58" s="26">
        <v>56</v>
      </c>
    </row>
    <row r="59" spans="1:19" x14ac:dyDescent="0.25">
      <c r="A59" s="24"/>
      <c r="S59" s="26">
        <v>57</v>
      </c>
    </row>
    <row r="60" spans="1:19" x14ac:dyDescent="0.25">
      <c r="A60" s="26" t="s">
        <v>242</v>
      </c>
      <c r="B60" s="13">
        <f>ROUND(B$9*'B&amp;A kWh'!C58,2)</f>
        <v>0</v>
      </c>
      <c r="C60" s="13">
        <f>ROUND(C$9*'B&amp;A kWh'!D58,2)</f>
        <v>0</v>
      </c>
      <c r="D60" s="13">
        <f>ROUND(D$9*'B&amp;A kWh'!E58,2)</f>
        <v>22142.35</v>
      </c>
      <c r="E60" s="13">
        <f>ROUND(E$9*'B&amp;A kWh'!F58,2)</f>
        <v>39612.1</v>
      </c>
      <c r="F60" s="13">
        <f>ROUND(F$9*'B&amp;A kWh'!G58,2)</f>
        <v>60948.07</v>
      </c>
      <c r="G60" s="13">
        <f>ROUND(G$9*'B&amp;A kWh'!H58,2)</f>
        <v>72445.31</v>
      </c>
      <c r="H60" s="13">
        <f>ROUND(H$9*'B&amp;A kWh'!I58,2)</f>
        <v>76723.89</v>
      </c>
      <c r="I60" s="13">
        <f>ROUND(I$9*'B&amp;A kWh'!J58,2)</f>
        <v>32369.439999999999</v>
      </c>
      <c r="J60" s="13">
        <f>ROUND(J$9*'B&amp;A kWh'!K58,2)</f>
        <v>64113.67</v>
      </c>
      <c r="K60" s="13">
        <f>ROUND(K$9*'B&amp;A kWh'!L58,2)</f>
        <v>114031.08</v>
      </c>
      <c r="L60" s="13">
        <f>ROUND(L$9*'B&amp;A kWh'!M58,2)</f>
        <v>95674.62</v>
      </c>
      <c r="M60" s="13">
        <f>ROUND(M$9*'B&amp;A kWh'!N58,2)</f>
        <v>69535.44</v>
      </c>
      <c r="N60" s="13">
        <f>ROUND(N$9*'B&amp;A kWh'!O58,2)</f>
        <v>98660.35</v>
      </c>
      <c r="O60" s="13">
        <f>ROUND(O$9*'B&amp;A kWh'!P58,2)</f>
        <v>-36479.67</v>
      </c>
      <c r="P60" s="13">
        <f t="shared" si="10"/>
        <v>709776.64999999991</v>
      </c>
      <c r="R60" s="26" t="s">
        <v>242</v>
      </c>
      <c r="S60" s="26">
        <v>58</v>
      </c>
    </row>
    <row r="61" spans="1:19" x14ac:dyDescent="0.25">
      <c r="A61" s="24"/>
      <c r="S61" s="26">
        <v>59</v>
      </c>
    </row>
    <row r="62" spans="1:19" x14ac:dyDescent="0.25">
      <c r="A62" s="24" t="s">
        <v>122</v>
      </c>
      <c r="B62" s="13">
        <f>ROUND(B$9*'B&amp;A kWh'!C60,2)</f>
        <v>0</v>
      </c>
      <c r="C62" s="13">
        <f>ROUND(C$9*'B&amp;A kWh'!D60,2)</f>
        <v>0</v>
      </c>
      <c r="D62" s="13">
        <f>ROUND(D$9*'B&amp;A kWh'!E60,2)</f>
        <v>122634.24000000001</v>
      </c>
      <c r="E62" s="13">
        <f>ROUND(E$9*'B&amp;A kWh'!F60,2)</f>
        <v>216609.12</v>
      </c>
      <c r="F62" s="13">
        <f>ROUND(F$9*'B&amp;A kWh'!G60,2)</f>
        <v>310720.8</v>
      </c>
      <c r="G62" s="13">
        <f>ROUND(G$9*'B&amp;A kWh'!H60,2)</f>
        <v>382474.56</v>
      </c>
      <c r="H62" s="13">
        <f>ROUND(H$9*'B&amp;A kWh'!I60,2)</f>
        <v>387757.92</v>
      </c>
      <c r="I62" s="13">
        <f>ROUND(I$9*'B&amp;A kWh'!J60,2)</f>
        <v>158789.76000000001</v>
      </c>
      <c r="J62" s="13">
        <f>ROUND(J$9*'B&amp;A kWh'!K60,2)</f>
        <v>318046.08000000002</v>
      </c>
      <c r="K62" s="13">
        <f>ROUND(K$9*'B&amp;A kWh'!L60,2)</f>
        <v>403418.4</v>
      </c>
      <c r="L62" s="13">
        <f>ROUND(L$9*'B&amp;A kWh'!M60,2)</f>
        <v>496234.08</v>
      </c>
      <c r="M62" s="13">
        <f>ROUND(M$9*'B&amp;A kWh'!N60,2)</f>
        <v>449420.4</v>
      </c>
      <c r="N62" s="13">
        <f>ROUND(N$9*'B&amp;A kWh'!O60,2)</f>
        <v>531342.96</v>
      </c>
      <c r="O62" s="13">
        <f>ROUND(O$9*'B&amp;A kWh'!P60,2)</f>
        <v>-203450.9</v>
      </c>
      <c r="P62" s="13">
        <f t="shared" si="10"/>
        <v>3573997.42</v>
      </c>
      <c r="R62" s="26" t="s">
        <v>122</v>
      </c>
      <c r="S62" s="26">
        <v>60</v>
      </c>
    </row>
    <row r="63" spans="1:19" x14ac:dyDescent="0.25">
      <c r="A63" s="24"/>
      <c r="S63" s="26">
        <v>61</v>
      </c>
    </row>
    <row r="64" spans="1:19" x14ac:dyDescent="0.25">
      <c r="A64" s="26" t="s">
        <v>243</v>
      </c>
      <c r="D64" s="13">
        <f>ROUND(D$9*'B&amp;A kWh'!E62,2)</f>
        <v>14572.5</v>
      </c>
      <c r="E64" s="13">
        <f>ROUND(E$9*'B&amp;A kWh'!F62,2)</f>
        <v>24956.18</v>
      </c>
      <c r="F64" s="13">
        <f>ROUND(F$9*'B&amp;A kWh'!G62,2)</f>
        <v>38992.199999999997</v>
      </c>
      <c r="G64" s="13">
        <f>ROUND(G$9*'B&amp;A kWh'!H62,2)</f>
        <v>44275.3</v>
      </c>
      <c r="H64" s="13">
        <f>ROUND(H$9*'B&amp;A kWh'!I62,2)</f>
        <v>43669.93</v>
      </c>
      <c r="I64" s="13">
        <f>ROUND(I$9*'B&amp;A kWh'!J62,2)</f>
        <v>16319.99</v>
      </c>
      <c r="J64" s="13">
        <f>ROUND(J$9*'B&amp;A kWh'!K62,2)</f>
        <v>41447.54</v>
      </c>
      <c r="K64" s="13">
        <f>ROUND(K$9*'B&amp;A kWh'!L62,2)</f>
        <v>60000.56</v>
      </c>
      <c r="L64" s="13">
        <f>ROUND(L$9*'B&amp;A kWh'!M62,2)</f>
        <v>69201.42</v>
      </c>
      <c r="M64" s="13">
        <f>ROUND(M$9*'B&amp;A kWh'!N62,2)</f>
        <v>57547.56</v>
      </c>
      <c r="N64" s="13">
        <f>ROUND(N$9*'B&amp;A kWh'!O62,2)</f>
        <v>77381.16</v>
      </c>
      <c r="O64" s="13">
        <f>ROUND(O$9*'B&amp;A kWh'!P62,2)</f>
        <v>-31117.279999999999</v>
      </c>
      <c r="P64" s="13">
        <f t="shared" si="10"/>
        <v>457247.05999999994</v>
      </c>
      <c r="R64" s="26" t="s">
        <v>243</v>
      </c>
      <c r="S64" s="26">
        <v>62</v>
      </c>
    </row>
    <row r="65" spans="1:19" x14ac:dyDescent="0.25">
      <c r="A65" s="24"/>
      <c r="S65" s="26">
        <v>63</v>
      </c>
    </row>
    <row r="66" spans="1:19" x14ac:dyDescent="0.25">
      <c r="A66" s="26" t="s">
        <v>244</v>
      </c>
      <c r="D66" s="13">
        <f>ROUND(D$9*'B&amp;A kWh'!E64,2)</f>
        <v>55820.45</v>
      </c>
      <c r="E66" s="13">
        <f>ROUND(E$9*'B&amp;A kWh'!F64,2)</f>
        <v>77334.97</v>
      </c>
      <c r="F66" s="13">
        <f>ROUND(F$9*'B&amp;A kWh'!G64,2)</f>
        <v>99955.79</v>
      </c>
      <c r="G66" s="13">
        <f>ROUND(G$9*'B&amp;A kWh'!H64,2)</f>
        <v>139582.57</v>
      </c>
      <c r="H66" s="13">
        <f>ROUND(H$9*'B&amp;A kWh'!I64,2)</f>
        <v>125514.4</v>
      </c>
      <c r="I66" s="13">
        <f>ROUND(I$9*'B&amp;A kWh'!J64,2)</f>
        <v>52213.7</v>
      </c>
      <c r="J66" s="13">
        <f>ROUND(J$9*'B&amp;A kWh'!K64,2)</f>
        <v>121155.93</v>
      </c>
      <c r="K66" s="13">
        <f>ROUND(K$9*'B&amp;A kWh'!L64,2)</f>
        <v>196316.95</v>
      </c>
      <c r="L66" s="13">
        <f>ROUND(L$9*'B&amp;A kWh'!M64,2)</f>
        <v>173886.8</v>
      </c>
      <c r="M66" s="13">
        <f>ROUND(M$9*'B&amp;A kWh'!N64,2)</f>
        <v>154514.21</v>
      </c>
      <c r="N66" s="13">
        <f>ROUND(N$9*'B&amp;A kWh'!O64,2)</f>
        <v>225316.41</v>
      </c>
      <c r="O66" s="13">
        <f>ROUND(O$9*'B&amp;A kWh'!P64,2)</f>
        <v>-89289.45</v>
      </c>
      <c r="P66" s="13">
        <f t="shared" si="10"/>
        <v>1332322.7299999997</v>
      </c>
      <c r="R66" s="26" t="s">
        <v>244</v>
      </c>
      <c r="S66" s="26">
        <v>64</v>
      </c>
    </row>
    <row r="67" spans="1:19" x14ac:dyDescent="0.25">
      <c r="A67" s="24"/>
      <c r="S67" s="26">
        <v>65</v>
      </c>
    </row>
    <row r="68" spans="1:19" x14ac:dyDescent="0.25">
      <c r="A68" s="24" t="s">
        <v>123</v>
      </c>
      <c r="B68" s="13">
        <f>ROUND(B$9*'B&amp;A kWh'!C66,2)</f>
        <v>0</v>
      </c>
      <c r="C68" s="13">
        <f>ROUND(C$9*'B&amp;A kWh'!D66,2)</f>
        <v>0</v>
      </c>
      <c r="D68" s="13">
        <f>ROUND(D$9*'B&amp;A kWh'!E66,2)</f>
        <v>12683.46</v>
      </c>
      <c r="E68" s="13">
        <f>ROUND(E$9*'B&amp;A kWh'!F66,2)</f>
        <v>21742.26</v>
      </c>
      <c r="F68" s="13">
        <f>ROUND(F$9*'B&amp;A kWh'!G66,2)</f>
        <v>38138.5</v>
      </c>
      <c r="G68" s="13">
        <f>ROUND(G$9*'B&amp;A kWh'!H66,2)</f>
        <v>38558.25</v>
      </c>
      <c r="H68" s="13">
        <f>ROUND(H$9*'B&amp;A kWh'!I66,2)</f>
        <v>40038.82</v>
      </c>
      <c r="I68" s="13">
        <f>ROUND(I$9*'B&amp;A kWh'!J66,2)</f>
        <v>18180.240000000002</v>
      </c>
      <c r="J68" s="13">
        <f>ROUND(J$9*'B&amp;A kWh'!K66,2)</f>
        <v>37894.519999999997</v>
      </c>
      <c r="K68" s="13">
        <f>ROUND(K$9*'B&amp;A kWh'!L66,2)</f>
        <v>58730</v>
      </c>
      <c r="L68" s="13">
        <f>ROUND(L$9*'B&amp;A kWh'!M66,2)</f>
        <v>61570.98</v>
      </c>
      <c r="M68" s="13">
        <f>ROUND(M$9*'B&amp;A kWh'!N66,2)</f>
        <v>51044.59</v>
      </c>
      <c r="N68" s="13">
        <f>ROUND(N$9*'B&amp;A kWh'!O66,2)</f>
        <v>64716.93</v>
      </c>
      <c r="O68" s="13">
        <f>ROUND(O$9*'B&amp;A kWh'!P66,2)</f>
        <v>-26015.45</v>
      </c>
      <c r="P68" s="13">
        <f t="shared" si="10"/>
        <v>417283.1</v>
      </c>
      <c r="R68" s="26" t="s">
        <v>123</v>
      </c>
      <c r="S68" s="26">
        <v>66</v>
      </c>
    </row>
    <row r="69" spans="1:19" x14ac:dyDescent="0.25">
      <c r="A69" s="24"/>
      <c r="S69" s="26">
        <v>67</v>
      </c>
    </row>
    <row r="70" spans="1:19" x14ac:dyDescent="0.25">
      <c r="A70" s="24" t="s">
        <v>124</v>
      </c>
      <c r="B70" s="13">
        <f>ROUND(B$9*'B&amp;A kWh'!C68,2)</f>
        <v>0</v>
      </c>
      <c r="C70" s="13">
        <f>ROUND(C$9*'B&amp;A kWh'!D68,2)</f>
        <v>0</v>
      </c>
      <c r="D70" s="13">
        <f>ROUND(D$9*'B&amp;A kWh'!E68,2)</f>
        <v>229789.29</v>
      </c>
      <c r="E70" s="13">
        <f>ROUND(E$9*'B&amp;A kWh'!F68,2)</f>
        <v>438103.74</v>
      </c>
      <c r="F70" s="13">
        <f>ROUND(F$9*'B&amp;A kWh'!G68,2)</f>
        <v>760408.25</v>
      </c>
      <c r="G70" s="13">
        <f>ROUND(G$9*'B&amp;A kWh'!H68,2)</f>
        <v>748510.71</v>
      </c>
      <c r="H70" s="13">
        <f>ROUND(H$9*'B&amp;A kWh'!I68,2)</f>
        <v>766604.18</v>
      </c>
      <c r="I70" s="13">
        <f>ROUND(I$9*'B&amp;A kWh'!J68,2)</f>
        <v>336040.92</v>
      </c>
      <c r="J70" s="13">
        <f>ROUND(J$9*'B&amp;A kWh'!K68,2)</f>
        <v>696071.8</v>
      </c>
      <c r="K70" s="13">
        <f>ROUND(K$9*'B&amp;A kWh'!L68,2)</f>
        <v>984013.43</v>
      </c>
      <c r="L70" s="13">
        <f>ROUND(L$9*'B&amp;A kWh'!M68,2)</f>
        <v>914753.89</v>
      </c>
      <c r="M70" s="13">
        <f>ROUND(M$9*'B&amp;A kWh'!N68,2)</f>
        <v>740648.22</v>
      </c>
      <c r="N70" s="13">
        <f>ROUND(N$9*'B&amp;A kWh'!O68,2)</f>
        <v>1065057.79</v>
      </c>
      <c r="O70" s="13">
        <f>ROUND(O$9*'B&amp;A kWh'!P68,2)</f>
        <v>-467802.66</v>
      </c>
      <c r="P70" s="13">
        <f t="shared" si="10"/>
        <v>7212199.5599999996</v>
      </c>
      <c r="R70" s="26" t="s">
        <v>124</v>
      </c>
      <c r="S70" s="26">
        <v>68</v>
      </c>
    </row>
    <row r="71" spans="1:19" x14ac:dyDescent="0.25">
      <c r="A71" s="24"/>
      <c r="S71" s="26">
        <v>69</v>
      </c>
    </row>
    <row r="72" spans="1:19" x14ac:dyDescent="0.25">
      <c r="A72" s="24" t="s">
        <v>125</v>
      </c>
      <c r="B72" s="13">
        <f>ROUND(B$9*'B&amp;A kWh'!C70,2)</f>
        <v>0</v>
      </c>
      <c r="C72" s="13">
        <f>ROUND(C$9*'B&amp;A kWh'!D70,2)</f>
        <v>0</v>
      </c>
      <c r="D72" s="13">
        <f>ROUND(D$9*'B&amp;A kWh'!E70,2)</f>
        <v>1118944.8400000001</v>
      </c>
      <c r="E72" s="13">
        <f>ROUND(E$9*'B&amp;A kWh'!F70,2)</f>
        <v>2953610.09</v>
      </c>
      <c r="F72" s="13">
        <f>ROUND(F$9*'B&amp;A kWh'!G70,2)</f>
        <v>2579757.17</v>
      </c>
      <c r="G72" s="13">
        <f>ROUND(G$9*'B&amp;A kWh'!H70,2)</f>
        <v>4615808.93</v>
      </c>
      <c r="H72" s="13">
        <f>ROUND(H$9*'B&amp;A kWh'!I70,2)</f>
        <v>4606396.8099999996</v>
      </c>
      <c r="I72" s="13">
        <f>ROUND(I$9*'B&amp;A kWh'!J70,2)</f>
        <v>1960012.54</v>
      </c>
      <c r="J72" s="13">
        <f>ROUND(J$9*'B&amp;A kWh'!K70,2)</f>
        <v>3825576.09</v>
      </c>
      <c r="K72" s="13">
        <f>ROUND(K$9*'B&amp;A kWh'!L70,2)</f>
        <v>5475687.1100000003</v>
      </c>
      <c r="L72" s="13">
        <f>ROUND(L$9*'B&amp;A kWh'!M70,2)</f>
        <v>5424753.8300000001</v>
      </c>
      <c r="M72" s="13">
        <f>ROUND(M$9*'B&amp;A kWh'!N70,2)</f>
        <v>4998848.9000000004</v>
      </c>
      <c r="N72" s="13">
        <f>ROUND(N$9*'B&amp;A kWh'!O70,2)</f>
        <v>5579522.2400000002</v>
      </c>
      <c r="O72" s="13">
        <f>ROUND(O$9*'B&amp;A kWh'!P70,2)</f>
        <v>-2495355.7799999998</v>
      </c>
      <c r="P72" s="13">
        <f t="shared" si="10"/>
        <v>40643562.769999996</v>
      </c>
      <c r="R72" s="26" t="s">
        <v>125</v>
      </c>
      <c r="S72" s="26">
        <v>70</v>
      </c>
    </row>
    <row r="73" spans="1:19" x14ac:dyDescent="0.25">
      <c r="A73" s="24"/>
      <c r="S73" s="26">
        <v>71</v>
      </c>
    </row>
    <row r="74" spans="1:19" x14ac:dyDescent="0.25">
      <c r="A74" s="24" t="s">
        <v>126</v>
      </c>
      <c r="B74" s="13">
        <f>ROUND(B$9*'B&amp;A kWh'!C72,2)</f>
        <v>0</v>
      </c>
      <c r="C74" s="13">
        <f>ROUND(C$9*'B&amp;A kWh'!D72,2)</f>
        <v>0</v>
      </c>
      <c r="D74" s="13">
        <f>ROUND(D$9*'B&amp;A kWh'!E72,2)</f>
        <v>194098.64</v>
      </c>
      <c r="E74" s="13">
        <f>ROUND(E$9*'B&amp;A kWh'!F72,2)</f>
        <v>326731.40999999997</v>
      </c>
      <c r="F74" s="13">
        <f>ROUND(F$9*'B&amp;A kWh'!G72,2)</f>
        <v>746545.92</v>
      </c>
      <c r="G74" s="13">
        <f>ROUND(G$9*'B&amp;A kWh'!H72,2)</f>
        <v>620055.52</v>
      </c>
      <c r="H74" s="13">
        <f>ROUND(H$9*'B&amp;A kWh'!I72,2)</f>
        <v>541512.97</v>
      </c>
      <c r="I74" s="13">
        <f>ROUND(I$9*'B&amp;A kWh'!J72,2)</f>
        <v>262672.59999999998</v>
      </c>
      <c r="J74" s="13">
        <f>ROUND(J$9*'B&amp;A kWh'!K72,2)</f>
        <v>594681.17000000004</v>
      </c>
      <c r="K74" s="13">
        <f>ROUND(K$9*'B&amp;A kWh'!L72,2)</f>
        <v>572169.75</v>
      </c>
      <c r="L74" s="13">
        <f>ROUND(L$9*'B&amp;A kWh'!M72,2)</f>
        <v>946402.98</v>
      </c>
      <c r="M74" s="13">
        <f>ROUND(M$9*'B&amp;A kWh'!N72,2)</f>
        <v>562217.09</v>
      </c>
      <c r="N74" s="13">
        <f>ROUND(N$9*'B&amp;A kWh'!O72,2)</f>
        <v>884239</v>
      </c>
      <c r="O74" s="13">
        <f>ROUND(O$9*'B&amp;A kWh'!P72,2)</f>
        <v>-486496.78</v>
      </c>
      <c r="P74" s="13">
        <f t="shared" si="10"/>
        <v>5764830.2699999996</v>
      </c>
      <c r="R74" s="26" t="s">
        <v>126</v>
      </c>
      <c r="S74" s="26">
        <v>72</v>
      </c>
    </row>
    <row r="75" spans="1:19" x14ac:dyDescent="0.25">
      <c r="A75" s="24"/>
      <c r="S75" s="26">
        <v>73</v>
      </c>
    </row>
    <row r="76" spans="1:19" x14ac:dyDescent="0.25">
      <c r="A76" s="24" t="s">
        <v>2</v>
      </c>
      <c r="B76" s="13">
        <f>ROUND(B$9*'B&amp;A kWh'!C74,2)</f>
        <v>0</v>
      </c>
      <c r="C76" s="13">
        <f>ROUND(C$9*'B&amp;A kWh'!D74,2)</f>
        <v>0</v>
      </c>
      <c r="D76" s="13">
        <f>ROUND(D$9*'B&amp;A kWh'!E74,2)</f>
        <v>6530.55</v>
      </c>
      <c r="E76" s="13">
        <f>ROUND(E$9*'B&amp;A kWh'!F74,2)</f>
        <v>9690.6299999999992</v>
      </c>
      <c r="F76" s="13">
        <f>ROUND(F$9*'B&amp;A kWh'!G74,2)</f>
        <v>15126.02</v>
      </c>
      <c r="G76" s="13">
        <f>ROUND(G$9*'B&amp;A kWh'!H74,2)</f>
        <v>17655.12</v>
      </c>
      <c r="H76" s="13">
        <f>ROUND(H$9*'B&amp;A kWh'!I74,2)</f>
        <v>19433.59</v>
      </c>
      <c r="I76" s="13">
        <f>ROUND(I$9*'B&amp;A kWh'!J74,2)</f>
        <v>10192.43</v>
      </c>
      <c r="J76" s="13">
        <f>ROUND(J$9*'B&amp;A kWh'!K74,2)</f>
        <v>21332.5</v>
      </c>
      <c r="K76" s="13">
        <f>ROUND(K$9*'B&amp;A kWh'!L74,2)</f>
        <v>35208.910000000003</v>
      </c>
      <c r="L76" s="13">
        <f>ROUND(L$9*'B&amp;A kWh'!M74,2)</f>
        <v>38133.65</v>
      </c>
      <c r="M76" s="13">
        <f>ROUND(M$9*'B&amp;A kWh'!N74,2)</f>
        <v>33101.480000000003</v>
      </c>
      <c r="N76" s="13">
        <f>ROUND(N$9*'B&amp;A kWh'!O74,2)</f>
        <v>37896.43</v>
      </c>
      <c r="O76" s="13">
        <f>ROUND(O$9*'B&amp;A kWh'!P74,2)</f>
        <v>-14017.19</v>
      </c>
      <c r="P76" s="13">
        <f t="shared" si="10"/>
        <v>230284.12</v>
      </c>
      <c r="R76" s="26" t="s">
        <v>2</v>
      </c>
      <c r="S76" s="26">
        <v>74</v>
      </c>
    </row>
    <row r="77" spans="1:19" x14ac:dyDescent="0.25">
      <c r="A77" s="24"/>
      <c r="S77" s="26">
        <v>75</v>
      </c>
    </row>
    <row r="78" spans="1:19" x14ac:dyDescent="0.25">
      <c r="A78" s="24" t="s">
        <v>1</v>
      </c>
      <c r="B78" s="13">
        <f>ROUND(B$9*'B&amp;A kWh'!C76,2)</f>
        <v>0</v>
      </c>
      <c r="C78" s="13">
        <f>ROUND(C$9*'B&amp;A kWh'!D76,2)</f>
        <v>0</v>
      </c>
      <c r="D78" s="13">
        <f>ROUND(D$9*'B&amp;A kWh'!E76,2)</f>
        <v>1359.03</v>
      </c>
      <c r="E78" s="13">
        <f>ROUND(E$9*'B&amp;A kWh'!F76,2)</f>
        <v>2684.72</v>
      </c>
      <c r="F78" s="13">
        <f>ROUND(F$9*'B&amp;A kWh'!G76,2)</f>
        <v>5156.2</v>
      </c>
      <c r="G78" s="13">
        <f>ROUND(G$9*'B&amp;A kWh'!H76,2)</f>
        <v>4690.47</v>
      </c>
      <c r="H78" s="13">
        <f>ROUND(H$9*'B&amp;A kWh'!I76,2)</f>
        <v>4808.2700000000004</v>
      </c>
      <c r="I78" s="13">
        <f>ROUND(I$9*'B&amp;A kWh'!J76,2)</f>
        <v>2039.96</v>
      </c>
      <c r="J78" s="13">
        <f>ROUND(J$9*'B&amp;A kWh'!K76,2)</f>
        <v>4618.49</v>
      </c>
      <c r="K78" s="13">
        <f>ROUND(K$9*'B&amp;A kWh'!L76,2)</f>
        <v>5764.16</v>
      </c>
      <c r="L78" s="13">
        <f>ROUND(L$9*'B&amp;A kWh'!M76,2)</f>
        <v>6326.77</v>
      </c>
      <c r="M78" s="13">
        <f>ROUND(M$9*'B&amp;A kWh'!N76,2)</f>
        <v>4709.34</v>
      </c>
      <c r="N78" s="13">
        <f>ROUND(N$9*'B&amp;A kWh'!O76,2)</f>
        <v>6955.01</v>
      </c>
      <c r="O78" s="13">
        <f>ROUND(O$9*'B&amp;A kWh'!P76,2)</f>
        <v>-2915.28</v>
      </c>
      <c r="P78" s="13">
        <f t="shared" si="10"/>
        <v>46197.140000000007</v>
      </c>
      <c r="R78" s="26" t="s">
        <v>1</v>
      </c>
      <c r="S78" s="26">
        <v>76</v>
      </c>
    </row>
    <row r="79" spans="1:19" x14ac:dyDescent="0.25">
      <c r="A79" s="158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</row>
    <row r="80" spans="1:19" x14ac:dyDescent="0.25">
      <c r="A80" s="26" t="s">
        <v>0</v>
      </c>
      <c r="B80" s="13">
        <f>SUM(B12:B78)</f>
        <v>0</v>
      </c>
      <c r="C80" s="13">
        <f t="shared" ref="C80" si="11">SUM(C12:C78)</f>
        <v>0</v>
      </c>
      <c r="D80" s="13">
        <f t="shared" ref="D80:J80" si="12">SUM(D12:D78)-D20</f>
        <v>3898900.8000000007</v>
      </c>
      <c r="E80" s="13">
        <f t="shared" si="12"/>
        <v>7686020.4000000004</v>
      </c>
      <c r="F80" s="13">
        <f t="shared" si="12"/>
        <v>11982038.139999997</v>
      </c>
      <c r="G80" s="13">
        <f t="shared" si="12"/>
        <v>15099956.610000001</v>
      </c>
      <c r="H80" s="13">
        <f t="shared" si="12"/>
        <v>15033250.510000002</v>
      </c>
      <c r="I80" s="13">
        <f t="shared" si="12"/>
        <v>6060525.1999999993</v>
      </c>
      <c r="J80" s="13">
        <f t="shared" si="12"/>
        <v>11423537.609999998</v>
      </c>
      <c r="K80" s="13">
        <f t="shared" ref="K80:N80" si="13">SUM(K12:K78)-K20</f>
        <v>17852217.75</v>
      </c>
      <c r="L80" s="13">
        <f t="shared" si="13"/>
        <v>21905064.539999999</v>
      </c>
      <c r="M80" s="13">
        <f t="shared" si="13"/>
        <v>18861347.440000001</v>
      </c>
      <c r="N80" s="13">
        <f t="shared" si="13"/>
        <v>21300776.720000003</v>
      </c>
      <c r="O80" s="13">
        <f>SUM(O12:O78)-O20</f>
        <v>-8541223.7200000007</v>
      </c>
      <c r="P80" s="13">
        <f>SUM(P12:P78)-P20</f>
        <v>142562411.99999997</v>
      </c>
    </row>
    <row r="82" spans="16:16" x14ac:dyDescent="0.25">
      <c r="P82" s="13"/>
    </row>
    <row r="83" spans="16:16" x14ac:dyDescent="0.25">
      <c r="P83" s="13"/>
    </row>
    <row r="84" spans="16:16" x14ac:dyDescent="0.25">
      <c r="P84" s="13"/>
    </row>
    <row r="87" spans="16:16" x14ac:dyDescent="0.25">
      <c r="P87" s="13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P87"/>
  <sheetViews>
    <sheetView zoomScale="90" zoomScaleNormal="90" workbookViewId="0">
      <pane xSplit="1" ySplit="19" topLeftCell="B20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ColWidth="9.140625" defaultRowHeight="15.75" outlineLevelCol="1" x14ac:dyDescent="0.25"/>
  <cols>
    <col min="1" max="1" width="18.42578125" style="3" bestFit="1" customWidth="1"/>
    <col min="2" max="3" width="1.28515625" style="3" customWidth="1" outlineLevel="1"/>
    <col min="4" max="4" width="12.85546875" style="3" customWidth="1" outlineLevel="1"/>
    <col min="5" max="5" width="12.7109375" style="3" customWidth="1" outlineLevel="1"/>
    <col min="6" max="7" width="13.5703125" style="3" customWidth="1" outlineLevel="1"/>
    <col min="8" max="8" width="15" style="3" bestFit="1" customWidth="1" outlineLevel="1"/>
    <col min="9" max="11" width="14.28515625" style="3" bestFit="1" customWidth="1" outlineLevel="1"/>
    <col min="12" max="15" width="12.7109375" style="3" customWidth="1" outlineLevel="1"/>
    <col min="16" max="16" width="15" style="3" bestFit="1" customWidth="1"/>
    <col min="17" max="16384" width="9.140625" style="3"/>
  </cols>
  <sheetData>
    <row r="1" spans="1:16" x14ac:dyDescent="0.25">
      <c r="A1" s="3" t="s">
        <v>70</v>
      </c>
      <c r="J1" s="4" t="s">
        <v>175</v>
      </c>
    </row>
    <row r="2" spans="1:16" x14ac:dyDescent="0.25">
      <c r="A2" s="3" t="s">
        <v>71</v>
      </c>
    </row>
    <row r="3" spans="1:16" x14ac:dyDescent="0.25">
      <c r="A3" s="3" t="str">
        <f>'B&amp;A kWh'!B3</f>
        <v>TEST YEAR ENDED March 31, 2023</v>
      </c>
    </row>
    <row r="4" spans="1:16" x14ac:dyDescent="0.25">
      <c r="A4" s="3" t="s">
        <v>81</v>
      </c>
    </row>
    <row r="5" spans="1:16" x14ac:dyDescent="0.25">
      <c r="A5" s="3" t="s">
        <v>142</v>
      </c>
    </row>
    <row r="6" spans="1:16" x14ac:dyDescent="0.25">
      <c r="A6" s="15" t="s">
        <v>143</v>
      </c>
    </row>
    <row r="7" spans="1:16" x14ac:dyDescent="0.25">
      <c r="D7" s="3">
        <v>2016</v>
      </c>
      <c r="N7" s="3">
        <v>2017</v>
      </c>
      <c r="P7" s="21" t="s">
        <v>169</v>
      </c>
    </row>
    <row r="8" spans="1:16" x14ac:dyDescent="0.25">
      <c r="A8" s="2" t="s">
        <v>22</v>
      </c>
      <c r="B8" s="5" t="s">
        <v>106</v>
      </c>
      <c r="C8" s="5" t="s">
        <v>107</v>
      </c>
      <c r="D8" s="5" t="s">
        <v>108</v>
      </c>
      <c r="E8" s="5" t="s">
        <v>109</v>
      </c>
      <c r="F8" s="5" t="s">
        <v>110</v>
      </c>
      <c r="G8" s="5" t="s">
        <v>111</v>
      </c>
      <c r="H8" s="5" t="s">
        <v>112</v>
      </c>
      <c r="I8" s="5" t="s">
        <v>113</v>
      </c>
      <c r="J8" s="5" t="s">
        <v>114</v>
      </c>
      <c r="K8" s="5" t="s">
        <v>115</v>
      </c>
      <c r="L8" s="5" t="s">
        <v>116</v>
      </c>
      <c r="M8" s="5" t="s">
        <v>117</v>
      </c>
      <c r="N8" s="5" t="s">
        <v>106</v>
      </c>
      <c r="O8" s="5" t="s">
        <v>107</v>
      </c>
      <c r="P8" s="6" t="s">
        <v>0</v>
      </c>
    </row>
    <row r="9" spans="1:16" x14ac:dyDescent="0.25">
      <c r="A9" s="12" t="s">
        <v>138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</row>
    <row r="10" spans="1:16" x14ac:dyDescent="0.25">
      <c r="A10" s="3" t="s">
        <v>140</v>
      </c>
    </row>
    <row r="11" spans="1:16" x14ac:dyDescent="0.25">
      <c r="A11" s="3" t="s">
        <v>132</v>
      </c>
      <c r="B11" s="3">
        <v>0.34</v>
      </c>
      <c r="C11" s="3">
        <v>0.34</v>
      </c>
      <c r="D11" s="3">
        <v>0.34</v>
      </c>
      <c r="E11" s="3">
        <v>0.34</v>
      </c>
      <c r="F11" s="3">
        <v>0.34</v>
      </c>
      <c r="G11" s="3">
        <v>0.34</v>
      </c>
      <c r="H11" s="3">
        <v>0.34</v>
      </c>
      <c r="I11" s="3">
        <v>0.72</v>
      </c>
      <c r="J11" s="3">
        <v>0.72</v>
      </c>
      <c r="K11" s="3">
        <v>0.72</v>
      </c>
      <c r="L11" s="3">
        <v>0.72</v>
      </c>
      <c r="M11" s="3">
        <v>0.72</v>
      </c>
      <c r="N11" s="3">
        <v>0.72</v>
      </c>
      <c r="O11" s="3">
        <v>0.72</v>
      </c>
    </row>
    <row r="12" spans="1:16" x14ac:dyDescent="0.25">
      <c r="A12" s="3" t="s">
        <v>137</v>
      </c>
    </row>
    <row r="13" spans="1:16" x14ac:dyDescent="0.25">
      <c r="A13" s="3" t="s">
        <v>139</v>
      </c>
      <c r="B13" s="3">
        <v>0.45</v>
      </c>
      <c r="C13" s="3">
        <v>0.45</v>
      </c>
      <c r="D13" s="3">
        <v>0.45</v>
      </c>
      <c r="E13" s="3">
        <v>0.45</v>
      </c>
      <c r="F13" s="3">
        <v>0.45</v>
      </c>
      <c r="G13" s="3">
        <v>0.45</v>
      </c>
      <c r="H13" s="3">
        <v>0.45</v>
      </c>
      <c r="I13" s="3">
        <v>0.92</v>
      </c>
      <c r="J13" s="3">
        <v>0.92</v>
      </c>
      <c r="K13" s="3">
        <v>0.92</v>
      </c>
      <c r="L13" s="3">
        <v>0.92</v>
      </c>
      <c r="M13" s="3">
        <v>0.92</v>
      </c>
      <c r="N13" s="3">
        <v>0.92</v>
      </c>
      <c r="O13" s="3">
        <v>0.92</v>
      </c>
    </row>
    <row r="14" spans="1:16" x14ac:dyDescent="0.25">
      <c r="A14" s="3" t="s">
        <v>133</v>
      </c>
      <c r="B14" s="3">
        <v>0.45</v>
      </c>
      <c r="C14" s="3">
        <v>0.45</v>
      </c>
      <c r="D14" s="3">
        <v>0.45</v>
      </c>
      <c r="E14" s="3">
        <v>0.45</v>
      </c>
      <c r="F14" s="3">
        <v>0.45</v>
      </c>
      <c r="G14" s="3">
        <v>0.45</v>
      </c>
      <c r="H14" s="3">
        <v>0.45</v>
      </c>
      <c r="I14" s="3">
        <v>0.92</v>
      </c>
      <c r="J14" s="3">
        <v>0.92</v>
      </c>
      <c r="K14" s="3">
        <v>0.92</v>
      </c>
      <c r="L14" s="3">
        <v>0.92</v>
      </c>
      <c r="M14" s="3">
        <v>0.92</v>
      </c>
      <c r="N14" s="3">
        <v>0.92</v>
      </c>
      <c r="O14" s="3">
        <v>0.92</v>
      </c>
    </row>
    <row r="15" spans="1:16" x14ac:dyDescent="0.25">
      <c r="A15" s="3" t="s">
        <v>134</v>
      </c>
    </row>
    <row r="16" spans="1:16" x14ac:dyDescent="0.25">
      <c r="A16" s="3" t="s">
        <v>141</v>
      </c>
      <c r="B16" s="3">
        <v>0.55000000000000004</v>
      </c>
      <c r="C16" s="3">
        <v>0.55000000000000004</v>
      </c>
      <c r="D16" s="3">
        <v>0.55000000000000004</v>
      </c>
      <c r="E16" s="3">
        <v>0.55000000000000004</v>
      </c>
      <c r="F16" s="3">
        <v>0.55000000000000004</v>
      </c>
      <c r="G16" s="3">
        <v>0.55000000000000004</v>
      </c>
      <c r="H16" s="3">
        <v>0.55000000000000004</v>
      </c>
      <c r="I16" s="3">
        <v>1.1399999999999999</v>
      </c>
      <c r="J16" s="3">
        <v>1.1399999999999999</v>
      </c>
      <c r="K16" s="3">
        <v>1.1399999999999999</v>
      </c>
      <c r="L16" s="3">
        <v>1.1399999999999999</v>
      </c>
      <c r="M16" s="3">
        <v>1.1399999999999999</v>
      </c>
      <c r="N16" s="3">
        <v>1.1399999999999999</v>
      </c>
      <c r="O16" s="3">
        <v>1.1399999999999999</v>
      </c>
    </row>
    <row r="17" spans="1:16" x14ac:dyDescent="0.25">
      <c r="A17" s="3" t="s">
        <v>135</v>
      </c>
      <c r="I17" s="14"/>
      <c r="J17" s="14"/>
      <c r="K17" s="14"/>
      <c r="L17" s="14"/>
      <c r="M17" s="14"/>
      <c r="N17" s="14"/>
      <c r="O17" s="14"/>
    </row>
    <row r="18" spans="1:16" x14ac:dyDescent="0.25">
      <c r="A18" s="3" t="s">
        <v>18</v>
      </c>
    </row>
    <row r="19" spans="1:16" x14ac:dyDescent="0.25">
      <c r="A19" s="3" t="s">
        <v>136</v>
      </c>
      <c r="I19" s="14"/>
      <c r="J19" s="14"/>
      <c r="K19" s="14"/>
      <c r="L19" s="14"/>
      <c r="M19" s="14"/>
      <c r="N19" s="14"/>
      <c r="O19" s="14"/>
    </row>
    <row r="20" spans="1:16" x14ac:dyDescent="0.25">
      <c r="D20" s="4" t="s">
        <v>175</v>
      </c>
    </row>
    <row r="21" spans="1:16" x14ac:dyDescent="0.25">
      <c r="A21" s="1" t="s">
        <v>21</v>
      </c>
      <c r="B21" s="16">
        <f>ROUND(B$9*'B&amp;A KW'!C10,2)</f>
        <v>0</v>
      </c>
      <c r="C21" s="16">
        <f>ROUND(C$9*'B&amp;A KW'!D10,2)</f>
        <v>0</v>
      </c>
      <c r="D21" s="13">
        <f>ROUND(D$9*'B&amp;A KW'!E10,2)</f>
        <v>0</v>
      </c>
      <c r="E21" s="13">
        <f>ROUND(E$9*'B&amp;A KW'!F10,2)</f>
        <v>0</v>
      </c>
      <c r="F21" s="13">
        <f>ROUND(F$9*'B&amp;A KW'!G10,2)</f>
        <v>0</v>
      </c>
      <c r="G21" s="13">
        <f>ROUND(G$9*'B&amp;A KW'!H10,2)</f>
        <v>0</v>
      </c>
      <c r="H21" s="13">
        <f>ROUND(H$9*'B&amp;A KW'!I10,2)</f>
        <v>0</v>
      </c>
      <c r="I21" s="13">
        <f>ROUND(I$9*'B&amp;A KW'!J10,2)</f>
        <v>0</v>
      </c>
      <c r="J21" s="13">
        <f>ROUND(J$9*'B&amp;A KW'!K10,2)</f>
        <v>0</v>
      </c>
      <c r="K21" s="13">
        <f>ROUND(K$9*'B&amp;A KW'!L10,2)</f>
        <v>0</v>
      </c>
      <c r="L21" s="13">
        <f>ROUND(L$9*'B&amp;A KW'!M10,2)</f>
        <v>0</v>
      </c>
      <c r="M21" s="13">
        <f>ROUND(M$9*'B&amp;A KW'!N10,2)</f>
        <v>0</v>
      </c>
      <c r="N21" s="13">
        <f>ROUND(N$9*'B&amp;A KW'!O10,2)</f>
        <v>0</v>
      </c>
      <c r="O21" s="13">
        <f>ROUND(O$9*'B&amp;A KW'!P10,2)</f>
        <v>0</v>
      </c>
      <c r="P21" s="13">
        <f>SUM(D21:O21)</f>
        <v>0</v>
      </c>
    </row>
    <row r="22" spans="1:16" x14ac:dyDescent="0.25">
      <c r="A22" s="1"/>
      <c r="B22" s="9"/>
      <c r="C22" s="9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</row>
    <row r="23" spans="1:16" x14ac:dyDescent="0.25">
      <c r="A23" s="1" t="s">
        <v>20</v>
      </c>
      <c r="B23" s="16">
        <f>ROUND(B$9*'B&amp;A KW'!C12,2)</f>
        <v>0</v>
      </c>
      <c r="C23" s="16">
        <f>ROUND(C$9*'B&amp;A KW'!D12,2)</f>
        <v>0</v>
      </c>
      <c r="D23" s="13">
        <f>ROUND(D$9*'B&amp;A KW'!E12,2)</f>
        <v>0</v>
      </c>
      <c r="E23" s="13">
        <f>ROUND(E$9*'B&amp;A KW'!F12,2)</f>
        <v>0</v>
      </c>
      <c r="F23" s="13">
        <f>ROUND(F$9*'B&amp;A KW'!G12,2)</f>
        <v>0</v>
      </c>
      <c r="G23" s="13">
        <f>ROUND(G$9*'B&amp;A KW'!H12,2)</f>
        <v>0</v>
      </c>
      <c r="H23" s="13">
        <f>ROUND(H$9*'B&amp;A KW'!I12,2)</f>
        <v>0</v>
      </c>
      <c r="I23" s="13">
        <f>ROUND(I$9*'B&amp;A KW'!J12,2)</f>
        <v>0</v>
      </c>
      <c r="J23" s="13">
        <f>ROUND(J$9*'B&amp;A KW'!K12,2)</f>
        <v>0</v>
      </c>
      <c r="K23" s="13">
        <f>ROUND(K$9*'B&amp;A KW'!L12,2)</f>
        <v>0</v>
      </c>
      <c r="L23" s="13">
        <f>ROUND(L$9*'B&amp;A KW'!M12,2)</f>
        <v>0</v>
      </c>
      <c r="M23" s="13">
        <f>ROUND(M$9*'B&amp;A KW'!N12,2)</f>
        <v>0</v>
      </c>
      <c r="N23" s="13">
        <f>ROUND(N$9*'B&amp;A KW'!O12,2)</f>
        <v>0</v>
      </c>
      <c r="O23" s="13">
        <f>ROUND(O$9*'B&amp;A KW'!P12,2)</f>
        <v>0</v>
      </c>
      <c r="P23" s="13">
        <f t="shared" ref="P23" si="0">SUM(D23:O23)</f>
        <v>0</v>
      </c>
    </row>
    <row r="24" spans="1:16" x14ac:dyDescent="0.25">
      <c r="A24" s="1"/>
      <c r="B24" s="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</row>
    <row r="25" spans="1:16" x14ac:dyDescent="0.25">
      <c r="A25" s="1" t="s">
        <v>19</v>
      </c>
      <c r="B25" s="16">
        <f>ROUND(B$9*'B&amp;A KW'!C14,2)</f>
        <v>0</v>
      </c>
      <c r="C25" s="16">
        <f>ROUND(C$9*'B&amp;A KW'!D14,2)</f>
        <v>0</v>
      </c>
      <c r="D25" s="13">
        <f>ROUND(D$9*'B&amp;A KW'!E14,2)</f>
        <v>0</v>
      </c>
      <c r="E25" s="13">
        <f>ROUND(E$9*'B&amp;A KW'!F14,2)</f>
        <v>0</v>
      </c>
      <c r="F25" s="13">
        <f>ROUND(F$9*'B&amp;A KW'!G14,2)</f>
        <v>0</v>
      </c>
      <c r="G25" s="13">
        <f>ROUND(G$9*'B&amp;A KW'!H14,2)</f>
        <v>0</v>
      </c>
      <c r="H25" s="13">
        <f>ROUND(H$9*'B&amp;A KW'!I14,2)</f>
        <v>0</v>
      </c>
      <c r="I25" s="13">
        <f>ROUND(I$9*'B&amp;A KW'!J14,2)</f>
        <v>0</v>
      </c>
      <c r="J25" s="13">
        <f>ROUND(J$9*'B&amp;A KW'!K14,2)</f>
        <v>0</v>
      </c>
      <c r="K25" s="13">
        <f>ROUND(K$9*'B&amp;A KW'!L14,2)</f>
        <v>0</v>
      </c>
      <c r="L25" s="13">
        <f>ROUND(L$9*'B&amp;A KW'!M14,2)</f>
        <v>0</v>
      </c>
      <c r="M25" s="13">
        <f>ROUND(M$9*'B&amp;A KW'!N14,2)</f>
        <v>0</v>
      </c>
      <c r="N25" s="13">
        <f>ROUND(N$9*'B&amp;A KW'!O14,2)</f>
        <v>0</v>
      </c>
      <c r="O25" s="13">
        <f>ROUND(O$9*'B&amp;A KW'!P14,2)</f>
        <v>0</v>
      </c>
      <c r="P25" s="13">
        <f t="shared" ref="P25" si="1">SUM(D25:O25)</f>
        <v>0</v>
      </c>
    </row>
    <row r="26" spans="1:16" x14ac:dyDescent="0.25">
      <c r="A26" s="1"/>
      <c r="B26" s="9"/>
      <c r="C26" s="9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</row>
    <row r="27" spans="1:16" x14ac:dyDescent="0.25">
      <c r="A27" s="23" t="s">
        <v>172</v>
      </c>
      <c r="B27" s="9"/>
      <c r="C27" s="9"/>
      <c r="D27" s="13">
        <f>ROUND(D$18*'B&amp;A KW'!E16,2)</f>
        <v>0</v>
      </c>
      <c r="E27" s="13">
        <f>ROUND(E$18*'B&amp;A KW'!F16,2)</f>
        <v>0</v>
      </c>
      <c r="F27" s="13">
        <f>ROUND(F$18*'B&amp;A KW'!G16,2)</f>
        <v>0</v>
      </c>
      <c r="G27" s="13">
        <f>ROUND(G$18*'B&amp;A KW'!H16,2)</f>
        <v>0</v>
      </c>
      <c r="H27" s="13">
        <f>ROUND(H$18*'B&amp;A KW'!I16,2)</f>
        <v>0</v>
      </c>
      <c r="I27" s="13">
        <f>ROUND(I$18*'B&amp;A KW'!J16,2)</f>
        <v>0</v>
      </c>
      <c r="J27" s="13">
        <f>ROUND(J$18*'B&amp;A KW'!K16,2)</f>
        <v>0</v>
      </c>
      <c r="K27" s="13">
        <f>ROUND(K$18*'B&amp;A KW'!L16,2)</f>
        <v>0</v>
      </c>
      <c r="L27" s="13">
        <f>ROUND(L$18*'B&amp;A KW'!M16,2)</f>
        <v>0</v>
      </c>
      <c r="M27" s="13">
        <f>ROUND(M$18*'B&amp;A KW'!N16,2)</f>
        <v>0</v>
      </c>
      <c r="N27" s="13">
        <f>ROUND(N$18*'B&amp;A KW'!O16,2)</f>
        <v>0</v>
      </c>
      <c r="O27" s="13">
        <f>ROUND(O$18*'B&amp;A KW'!P16,2)</f>
        <v>0</v>
      </c>
      <c r="P27" s="13">
        <f t="shared" ref="P27:P29" si="2">SUM(D27:O27)</f>
        <v>0</v>
      </c>
    </row>
    <row r="28" spans="1:16" x14ac:dyDescent="0.25">
      <c r="A28" s="23" t="s">
        <v>174</v>
      </c>
      <c r="B28" s="9"/>
      <c r="C28" s="9"/>
      <c r="D28" s="13">
        <f>D29-D27</f>
        <v>0</v>
      </c>
      <c r="E28" s="13">
        <f t="shared" ref="E28:O28" si="3">E29-E27</f>
        <v>0</v>
      </c>
      <c r="F28" s="13">
        <f t="shared" si="3"/>
        <v>0</v>
      </c>
      <c r="G28" s="13">
        <f t="shared" si="3"/>
        <v>0</v>
      </c>
      <c r="H28" s="13">
        <f t="shared" si="3"/>
        <v>0</v>
      </c>
      <c r="I28" s="13">
        <f t="shared" si="3"/>
        <v>0</v>
      </c>
      <c r="J28" s="13">
        <f t="shared" si="3"/>
        <v>0</v>
      </c>
      <c r="K28" s="13">
        <f t="shared" si="3"/>
        <v>0</v>
      </c>
      <c r="L28" s="13">
        <f t="shared" si="3"/>
        <v>0</v>
      </c>
      <c r="M28" s="13">
        <f t="shared" si="3"/>
        <v>0</v>
      </c>
      <c r="N28" s="13">
        <f t="shared" si="3"/>
        <v>0</v>
      </c>
      <c r="O28" s="13">
        <f t="shared" si="3"/>
        <v>0</v>
      </c>
      <c r="P28" s="13">
        <f t="shared" si="2"/>
        <v>0</v>
      </c>
    </row>
    <row r="29" spans="1:16" x14ac:dyDescent="0.25">
      <c r="A29" s="1" t="s">
        <v>18</v>
      </c>
      <c r="B29" s="16">
        <f>ROUND(B$18*'B&amp;A KW'!C18,2)</f>
        <v>0</v>
      </c>
      <c r="C29" s="16">
        <f>ROUND(C$18*'B&amp;A KW'!D18,2)</f>
        <v>0</v>
      </c>
      <c r="D29" s="13">
        <f>ROUND(D$18*'B&amp;A KW'!E18,2)</f>
        <v>0</v>
      </c>
      <c r="E29" s="13">
        <f>ROUND(E$18*'B&amp;A KW'!F18,2)</f>
        <v>0</v>
      </c>
      <c r="F29" s="13">
        <f>ROUND(F$18*'B&amp;A KW'!G18,2)</f>
        <v>0</v>
      </c>
      <c r="G29" s="13">
        <f>ROUND(G$18*'B&amp;A KW'!H18,2)</f>
        <v>0</v>
      </c>
      <c r="H29" s="13">
        <f>ROUND(H$18*'B&amp;A KW'!I18,2)</f>
        <v>0</v>
      </c>
      <c r="I29" s="13">
        <f>ROUND(I$18*'B&amp;A KW'!J18,2)</f>
        <v>0</v>
      </c>
      <c r="J29" s="13">
        <f>ROUND(J$18*'B&amp;A KW'!K18,2)</f>
        <v>0</v>
      </c>
      <c r="K29" s="13">
        <f>ROUND(K$18*'B&amp;A KW'!L18,2)</f>
        <v>0</v>
      </c>
      <c r="L29" s="13">
        <f>ROUND(L$18*'B&amp;A KW'!M18,2)</f>
        <v>0</v>
      </c>
      <c r="M29" s="13">
        <f>ROUND(M$18*'B&amp;A KW'!N18,2)</f>
        <v>0</v>
      </c>
      <c r="N29" s="13">
        <f>ROUND(N$18*'B&amp;A KW'!O18,2)</f>
        <v>0</v>
      </c>
      <c r="O29" s="13">
        <f>ROUND(O$18*'B&amp;A KW'!P18,2)</f>
        <v>0</v>
      </c>
      <c r="P29" s="13">
        <f t="shared" si="2"/>
        <v>0</v>
      </c>
    </row>
    <row r="30" spans="1:16" x14ac:dyDescent="0.25">
      <c r="A30" s="1"/>
      <c r="B30" s="9"/>
      <c r="C30" s="9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</row>
    <row r="31" spans="1:16" x14ac:dyDescent="0.25">
      <c r="A31" s="1" t="s">
        <v>17</v>
      </c>
      <c r="B31" s="16">
        <f>ROUND(B$10*'B&amp;A KW'!C20,2)</f>
        <v>0</v>
      </c>
      <c r="C31" s="16">
        <f>ROUND(C$10*'B&amp;A KW'!D20,2)</f>
        <v>0</v>
      </c>
      <c r="D31" s="13">
        <f>ROUND(D$10*'B&amp;A KW'!E20,2)</f>
        <v>0</v>
      </c>
      <c r="E31" s="13">
        <f>ROUND(E$10*'B&amp;A KW'!F20,2)</f>
        <v>0</v>
      </c>
      <c r="F31" s="13">
        <f>ROUND(F$10*'B&amp;A KW'!G20,2)</f>
        <v>0</v>
      </c>
      <c r="G31" s="13">
        <f>ROUND(G$10*'B&amp;A KW'!H20,2)</f>
        <v>0</v>
      </c>
      <c r="H31" s="13">
        <f>ROUND(H$10*'B&amp;A KW'!I20,2)</f>
        <v>0</v>
      </c>
      <c r="I31" s="13">
        <f>ROUND(I$10*'B&amp;A KW'!J20,2)</f>
        <v>0</v>
      </c>
      <c r="J31" s="13">
        <f>ROUND(J$10*'B&amp;A KW'!K20,2)</f>
        <v>0</v>
      </c>
      <c r="K31" s="13">
        <f>ROUND(K$10*'B&amp;A KW'!L20,2)</f>
        <v>0</v>
      </c>
      <c r="L31" s="13">
        <f>ROUND(L$10*'B&amp;A KW'!M20,2)</f>
        <v>0</v>
      </c>
      <c r="M31" s="13">
        <f>ROUND(M$10*'B&amp;A KW'!N20,2)</f>
        <v>0</v>
      </c>
      <c r="N31" s="13">
        <f>ROUND(N$10*'B&amp;A KW'!O20,2)</f>
        <v>0</v>
      </c>
      <c r="O31" s="13">
        <f>ROUND(O$10*'B&amp;A KW'!P20,2)</f>
        <v>0</v>
      </c>
      <c r="P31" s="13">
        <f t="shared" ref="P31" si="4">SUM(D31:O31)</f>
        <v>0</v>
      </c>
    </row>
    <row r="32" spans="1:16" x14ac:dyDescent="0.25">
      <c r="A32" s="1"/>
      <c r="B32" s="9"/>
      <c r="C32" s="9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</row>
    <row r="33" spans="1:16" x14ac:dyDescent="0.25">
      <c r="A33" s="1" t="s">
        <v>16</v>
      </c>
      <c r="B33" s="16">
        <f>ROUND(B$10*'B&amp;A KW'!C22,2)</f>
        <v>0</v>
      </c>
      <c r="C33" s="16">
        <f>ROUND(C$10*'B&amp;A KW'!D22,2)</f>
        <v>0</v>
      </c>
      <c r="D33" s="13">
        <f>ROUND(D$10*'B&amp;A KW'!E22,2)</f>
        <v>0</v>
      </c>
      <c r="E33" s="13">
        <f>ROUND(E$10*'B&amp;A KW'!F22,2)</f>
        <v>0</v>
      </c>
      <c r="F33" s="13">
        <f>ROUND(F$10*'B&amp;A KW'!G22,2)</f>
        <v>0</v>
      </c>
      <c r="G33" s="13">
        <f>ROUND(G$10*'B&amp;A KW'!H22,2)</f>
        <v>0</v>
      </c>
      <c r="H33" s="13">
        <f>ROUND(H$10*'B&amp;A KW'!I22,2)</f>
        <v>0</v>
      </c>
      <c r="I33" s="13">
        <f>ROUND(I$10*'B&amp;A KW'!J22,2)</f>
        <v>0</v>
      </c>
      <c r="J33" s="13">
        <f>ROUND(J$10*'B&amp;A KW'!K22,2)</f>
        <v>0</v>
      </c>
      <c r="K33" s="13">
        <f>ROUND(K$10*'B&amp;A KW'!L22,2)</f>
        <v>0</v>
      </c>
      <c r="L33" s="13">
        <f>ROUND(L$10*'B&amp;A KW'!M22,2)</f>
        <v>0</v>
      </c>
      <c r="M33" s="13">
        <f>ROUND(M$10*'B&amp;A KW'!N22,2)</f>
        <v>0</v>
      </c>
      <c r="N33" s="13">
        <f>ROUND(N$10*'B&amp;A KW'!O22,2)</f>
        <v>0</v>
      </c>
      <c r="O33" s="13">
        <f>ROUND(O$10*'B&amp;A KW'!P22,2)</f>
        <v>0</v>
      </c>
      <c r="P33" s="13">
        <f t="shared" ref="P33" si="5">SUM(D33:O33)</f>
        <v>0</v>
      </c>
    </row>
    <row r="34" spans="1:16" x14ac:dyDescent="0.25">
      <c r="A34" s="1"/>
      <c r="B34" s="9"/>
      <c r="C34" s="9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</row>
    <row r="35" spans="1:16" x14ac:dyDescent="0.25">
      <c r="A35" s="1" t="s">
        <v>15</v>
      </c>
      <c r="B35" s="16">
        <f>ROUND(B$10*'B&amp;A KW'!C24,2)</f>
        <v>0</v>
      </c>
      <c r="C35" s="16">
        <f>ROUND(C$10*'B&amp;A KW'!D24,2)</f>
        <v>0</v>
      </c>
      <c r="D35" s="13">
        <f>ROUND(D$10*'B&amp;A KW'!E24,2)</f>
        <v>0</v>
      </c>
      <c r="E35" s="13">
        <f>ROUND(E$10*'B&amp;A KW'!F24,2)</f>
        <v>0</v>
      </c>
      <c r="F35" s="13">
        <f>ROUND(F$10*'B&amp;A KW'!G24,2)</f>
        <v>0</v>
      </c>
      <c r="G35" s="13">
        <f>ROUND(G$10*'B&amp;A KW'!H24,2)</f>
        <v>0</v>
      </c>
      <c r="H35" s="13">
        <f>ROUND(H$10*'B&amp;A KW'!I24,2)</f>
        <v>0</v>
      </c>
      <c r="I35" s="13">
        <f>ROUND(I$10*'B&amp;A KW'!J24,2)</f>
        <v>0</v>
      </c>
      <c r="J35" s="13">
        <f>ROUND(J$10*'B&amp;A KW'!K24,2)</f>
        <v>0</v>
      </c>
      <c r="K35" s="13">
        <f>ROUND(K$10*'B&amp;A KW'!L24,2)</f>
        <v>0</v>
      </c>
      <c r="L35" s="13">
        <f>ROUND(L$10*'B&amp;A KW'!M24,2)</f>
        <v>0</v>
      </c>
      <c r="M35" s="13">
        <f>ROUND(M$10*'B&amp;A KW'!N24,2)</f>
        <v>0</v>
      </c>
      <c r="N35" s="13">
        <f>ROUND(N$10*'B&amp;A KW'!O24,2)</f>
        <v>0</v>
      </c>
      <c r="O35" s="13">
        <f>ROUND(O$10*'B&amp;A KW'!P24,2)</f>
        <v>0</v>
      </c>
      <c r="P35" s="13">
        <f t="shared" ref="P35" si="6">SUM(D35:O35)</f>
        <v>0</v>
      </c>
    </row>
    <row r="36" spans="1:16" x14ac:dyDescent="0.25">
      <c r="A36" s="1"/>
      <c r="B36" s="9"/>
      <c r="C36" s="9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</row>
    <row r="37" spans="1:16" x14ac:dyDescent="0.25">
      <c r="A37" s="1" t="s">
        <v>14</v>
      </c>
      <c r="B37" s="16">
        <f>ROUND(B$10*'B&amp;A KW'!C26,2)</f>
        <v>0</v>
      </c>
      <c r="C37" s="16">
        <f>ROUND(C$10*'B&amp;A KW'!D26,2)</f>
        <v>0</v>
      </c>
      <c r="D37" s="13">
        <f>ROUND(D$10*'B&amp;A KW'!E26,2)</f>
        <v>0</v>
      </c>
      <c r="E37" s="13">
        <f>ROUND(E$10*'B&amp;A KW'!F26,2)</f>
        <v>0</v>
      </c>
      <c r="F37" s="13">
        <f>ROUND(F$10*'B&amp;A KW'!G26,2)</f>
        <v>0</v>
      </c>
      <c r="G37" s="13">
        <f>ROUND(G$10*'B&amp;A KW'!H26,2)</f>
        <v>0</v>
      </c>
      <c r="H37" s="13">
        <f>ROUND(H$10*'B&amp;A KW'!I26,2)</f>
        <v>0</v>
      </c>
      <c r="I37" s="13">
        <f>ROUND(I$10*'B&amp;A KW'!J26,2)</f>
        <v>0</v>
      </c>
      <c r="J37" s="13">
        <f>ROUND(J$10*'B&amp;A KW'!K26,2)</f>
        <v>0</v>
      </c>
      <c r="K37" s="13">
        <f>ROUND(K$10*'B&amp;A KW'!L26,2)</f>
        <v>0</v>
      </c>
      <c r="L37" s="13">
        <f>ROUND(L$10*'B&amp;A KW'!M26,2)</f>
        <v>0</v>
      </c>
      <c r="M37" s="13">
        <f>ROUND(M$10*'B&amp;A KW'!N26,2)</f>
        <v>0</v>
      </c>
      <c r="N37" s="13">
        <f>ROUND(N$10*'B&amp;A KW'!O26,2)</f>
        <v>0</v>
      </c>
      <c r="O37" s="13">
        <f>ROUND(O$10*'B&amp;A KW'!P26,2)</f>
        <v>0</v>
      </c>
      <c r="P37" s="13">
        <f t="shared" ref="P37" si="7">SUM(D37:O37)</f>
        <v>0</v>
      </c>
    </row>
    <row r="38" spans="1:16" x14ac:dyDescent="0.25">
      <c r="A38" s="1"/>
      <c r="B38" s="9"/>
      <c r="C38" s="9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</row>
    <row r="39" spans="1:16" x14ac:dyDescent="0.25">
      <c r="A39" s="1" t="s">
        <v>13</v>
      </c>
      <c r="B39" s="16">
        <f>ROUND(B$12*'B&amp;A KW'!C28,2)</f>
        <v>0</v>
      </c>
      <c r="C39" s="16">
        <f>ROUND(C$12*'B&amp;A KW'!D28,2)</f>
        <v>0</v>
      </c>
      <c r="D39" s="13">
        <f>ROUND(D$12*'B&amp;A KW'!E28,2)</f>
        <v>0</v>
      </c>
      <c r="E39" s="13">
        <f>ROUND(E$12*'B&amp;A KW'!F28,2)</f>
        <v>0</v>
      </c>
      <c r="F39" s="13">
        <f>ROUND(F$12*'B&amp;A KW'!G28,2)</f>
        <v>0</v>
      </c>
      <c r="G39" s="13">
        <f>ROUND(G$12*'B&amp;A KW'!H28,2)</f>
        <v>0</v>
      </c>
      <c r="H39" s="13">
        <f>ROUND(H$12*'B&amp;A KW'!I28,2)</f>
        <v>0</v>
      </c>
      <c r="I39" s="13">
        <f>ROUND(I$12*'B&amp;A KW'!J28,2)</f>
        <v>0</v>
      </c>
      <c r="J39" s="13">
        <f>ROUND(J$12*'B&amp;A KW'!K28,2)</f>
        <v>0</v>
      </c>
      <c r="K39" s="13">
        <f>ROUND(K$12*'B&amp;A KW'!L28,2)</f>
        <v>0</v>
      </c>
      <c r="L39" s="13">
        <f>ROUND(L$12*'B&amp;A KW'!M28,2)</f>
        <v>0</v>
      </c>
      <c r="M39" s="13">
        <f>ROUND(M$12*'B&amp;A KW'!N28,2)</f>
        <v>0</v>
      </c>
      <c r="N39" s="13">
        <f>ROUND(N$12*'B&amp;A KW'!O28,2)</f>
        <v>0</v>
      </c>
      <c r="O39" s="13">
        <f>ROUND(O$12*'B&amp;A KW'!P28,2)</f>
        <v>0</v>
      </c>
      <c r="P39" s="13">
        <f t="shared" ref="P39" si="8">SUM(D39:O39)</f>
        <v>0</v>
      </c>
    </row>
    <row r="40" spans="1:16" x14ac:dyDescent="0.25">
      <c r="A40" s="1"/>
      <c r="B40" s="9"/>
      <c r="C40" s="9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</row>
    <row r="41" spans="1:16" x14ac:dyDescent="0.25">
      <c r="A41" s="1" t="s">
        <v>12</v>
      </c>
      <c r="B41" s="16">
        <f>ROUND(B$11*'B&amp;A KW'!C30,2)</f>
        <v>0</v>
      </c>
      <c r="C41" s="16">
        <f>ROUND(C$11*'B&amp;A KW'!D30,2)</f>
        <v>0</v>
      </c>
      <c r="D41" s="13">
        <f>ROUND(D$11*'B&amp;A KW'!E30,2)</f>
        <v>0</v>
      </c>
      <c r="E41" s="13">
        <f>ROUND(E$11*'B&amp;A KW'!F30,2)</f>
        <v>0</v>
      </c>
      <c r="F41" s="13">
        <f>ROUND(F$11*'B&amp;A KW'!G30,2)</f>
        <v>0</v>
      </c>
      <c r="G41" s="13">
        <f>ROUND(G$11*'B&amp;A KW'!H30,2)</f>
        <v>0</v>
      </c>
      <c r="H41" s="13">
        <f>ROUND(H$11*'B&amp;A KW'!I30,2)</f>
        <v>0</v>
      </c>
      <c r="I41" s="13">
        <f>ROUND(I$11*'B&amp;A KW'!J30,2)</f>
        <v>0</v>
      </c>
      <c r="J41" s="13">
        <f>ROUND(J$11*'B&amp;A KW'!K30,2)</f>
        <v>0</v>
      </c>
      <c r="K41" s="13">
        <f>ROUND(K$11*'B&amp;A KW'!L30,2)</f>
        <v>0</v>
      </c>
      <c r="L41" s="13">
        <f>ROUND(L$11*'B&amp;A KW'!M30,2)</f>
        <v>0</v>
      </c>
      <c r="M41" s="13">
        <f>ROUND(M$11*'B&amp;A KW'!N30,2)</f>
        <v>0</v>
      </c>
      <c r="N41" s="13">
        <f>ROUND(N$11*'B&amp;A KW'!O30,2)</f>
        <v>0</v>
      </c>
      <c r="O41" s="13">
        <f>ROUND(O$11*'B&amp;A KW'!P30,2)</f>
        <v>0</v>
      </c>
      <c r="P41" s="13">
        <f t="shared" ref="P41" si="9">SUM(D41:O41)</f>
        <v>0</v>
      </c>
    </row>
    <row r="42" spans="1:16" x14ac:dyDescent="0.25">
      <c r="A42" s="1"/>
      <c r="B42" s="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</row>
    <row r="43" spans="1:16" x14ac:dyDescent="0.25">
      <c r="A43" s="1" t="s">
        <v>11</v>
      </c>
      <c r="B43" s="16">
        <f>ROUND(B$12*'B&amp;A KW'!C32,2)</f>
        <v>0</v>
      </c>
      <c r="C43" s="16">
        <f>ROUND(C$12*'B&amp;A KW'!D32,2)</f>
        <v>0</v>
      </c>
      <c r="D43" s="13">
        <f>ROUND(D$12*'B&amp;A KW'!E32,2)</f>
        <v>0</v>
      </c>
      <c r="E43" s="13">
        <f>ROUND(E$12*'B&amp;A KW'!F32,2)</f>
        <v>0</v>
      </c>
      <c r="F43" s="13">
        <f>ROUND(F$12*'B&amp;A KW'!G32,2)</f>
        <v>0</v>
      </c>
      <c r="G43" s="13">
        <f>ROUND(G$12*'B&amp;A KW'!H32,2)</f>
        <v>0</v>
      </c>
      <c r="H43" s="13">
        <f>ROUND(H$12*'B&amp;A KW'!I32,2)</f>
        <v>0</v>
      </c>
      <c r="I43" s="13">
        <f>ROUND(I$12*'B&amp;A KW'!J32,2)</f>
        <v>0</v>
      </c>
      <c r="J43" s="13">
        <f>ROUND(J$12*'B&amp;A KW'!K32,2)</f>
        <v>0</v>
      </c>
      <c r="K43" s="13">
        <f>ROUND(K$12*'B&amp;A KW'!L32,2)</f>
        <v>0</v>
      </c>
      <c r="L43" s="13">
        <f>ROUND(L$12*'B&amp;A KW'!M32,2)</f>
        <v>0</v>
      </c>
      <c r="M43" s="13">
        <f>ROUND(M$12*'B&amp;A KW'!N32,2)</f>
        <v>0</v>
      </c>
      <c r="N43" s="13">
        <f>ROUND(N$12*'B&amp;A KW'!O32,2)</f>
        <v>0</v>
      </c>
      <c r="O43" s="13">
        <f>ROUND(O$12*'B&amp;A KW'!P32,2)</f>
        <v>0</v>
      </c>
      <c r="P43" s="13">
        <f t="shared" ref="P43" si="10">SUM(D43:O43)</f>
        <v>0</v>
      </c>
    </row>
    <row r="44" spans="1:16" x14ac:dyDescent="0.25">
      <c r="A44" s="1"/>
      <c r="B44" s="9"/>
      <c r="C44" s="9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</row>
    <row r="45" spans="1:16" x14ac:dyDescent="0.25">
      <c r="A45" s="1" t="s">
        <v>10</v>
      </c>
      <c r="B45" s="16">
        <f>ROUND(B$12*'B&amp;A KW'!C34,2)</f>
        <v>0</v>
      </c>
      <c r="C45" s="16">
        <f>ROUND(C$12*'B&amp;A KW'!D34,2)</f>
        <v>0</v>
      </c>
      <c r="D45" s="13">
        <f>ROUND(D$12*'B&amp;A KW'!E34,2)</f>
        <v>0</v>
      </c>
      <c r="E45" s="13">
        <f>ROUND(E$12*'B&amp;A KW'!F34,2)</f>
        <v>0</v>
      </c>
      <c r="F45" s="13">
        <f>ROUND(F$12*'B&amp;A KW'!G34,2)</f>
        <v>0</v>
      </c>
      <c r="G45" s="13">
        <f>ROUND(G$12*'B&amp;A KW'!H34,2)</f>
        <v>0</v>
      </c>
      <c r="H45" s="13">
        <f>ROUND(H$12*'B&amp;A KW'!I34,2)</f>
        <v>0</v>
      </c>
      <c r="I45" s="13">
        <f>ROUND(I$12*'B&amp;A KW'!J34,2)</f>
        <v>0</v>
      </c>
      <c r="J45" s="13">
        <f>ROUND(J$12*'B&amp;A KW'!K34,2)</f>
        <v>0</v>
      </c>
      <c r="K45" s="13">
        <f>ROUND(K$12*'B&amp;A KW'!L34,2)</f>
        <v>0</v>
      </c>
      <c r="L45" s="13">
        <f>ROUND(L$12*'B&amp;A KW'!M34,2)</f>
        <v>0</v>
      </c>
      <c r="M45" s="13">
        <f>ROUND(M$12*'B&amp;A KW'!N34,2)</f>
        <v>0</v>
      </c>
      <c r="N45" s="13">
        <f>ROUND(N$12*'B&amp;A KW'!O34,2)</f>
        <v>0</v>
      </c>
      <c r="O45" s="13">
        <f>ROUND(O$12*'B&amp;A KW'!P34,2)</f>
        <v>0</v>
      </c>
      <c r="P45" s="13">
        <f t="shared" ref="P45" si="11">SUM(D45:O45)</f>
        <v>0</v>
      </c>
    </row>
    <row r="46" spans="1:16" x14ac:dyDescent="0.25">
      <c r="A46" s="1"/>
      <c r="B46" s="9"/>
      <c r="C46" s="9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</row>
    <row r="47" spans="1:16" x14ac:dyDescent="0.25">
      <c r="A47" s="1" t="s">
        <v>9</v>
      </c>
      <c r="B47" s="16">
        <f>ROUND(B$11*'B&amp;A KW'!C36,2)</f>
        <v>0</v>
      </c>
      <c r="C47" s="16">
        <f>ROUND(C$11*'B&amp;A KW'!D36,2)</f>
        <v>0</v>
      </c>
      <c r="D47" s="13">
        <f>ROUND(D$11*'B&amp;A KW'!E36,2)</f>
        <v>0</v>
      </c>
      <c r="E47" s="13">
        <f>ROUND(E$11*'B&amp;A KW'!F36,2)</f>
        <v>0</v>
      </c>
      <c r="F47" s="13">
        <f>ROUND(F$11*'B&amp;A KW'!G36,2)</f>
        <v>0</v>
      </c>
      <c r="G47" s="13">
        <f>ROUND(G$11*'B&amp;A KW'!H36,2)</f>
        <v>0</v>
      </c>
      <c r="H47" s="13">
        <f>ROUND(H$11*'B&amp;A KW'!I36,2)</f>
        <v>0</v>
      </c>
      <c r="I47" s="13">
        <f>ROUND(I$11*'B&amp;A KW'!J36,2)</f>
        <v>0</v>
      </c>
      <c r="J47" s="13">
        <f>ROUND(J$11*'B&amp;A KW'!K36,2)</f>
        <v>0</v>
      </c>
      <c r="K47" s="13">
        <f>ROUND(K$11*'B&amp;A KW'!L36,2)</f>
        <v>0</v>
      </c>
      <c r="L47" s="13">
        <f>ROUND(L$11*'B&amp;A KW'!M36,2)</f>
        <v>0</v>
      </c>
      <c r="M47" s="13">
        <f>ROUND(M$11*'B&amp;A KW'!N36,2)</f>
        <v>0</v>
      </c>
      <c r="N47" s="13">
        <f>ROUND(N$11*'B&amp;A KW'!O36,2)</f>
        <v>0</v>
      </c>
      <c r="O47" s="13">
        <f>ROUND(O$11*'B&amp;A KW'!P36,2)</f>
        <v>0</v>
      </c>
      <c r="P47" s="13">
        <f t="shared" ref="P47" si="12">SUM(D47:O47)</f>
        <v>0</v>
      </c>
    </row>
    <row r="48" spans="1:16" x14ac:dyDescent="0.25">
      <c r="A48" s="1"/>
      <c r="B48" s="9"/>
      <c r="C48" s="9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</row>
    <row r="49" spans="1:16" x14ac:dyDescent="0.25">
      <c r="A49" s="1" t="s">
        <v>8</v>
      </c>
      <c r="B49" s="16">
        <f>ROUND(B$11*'B&amp;A KW'!C38,2)</f>
        <v>0</v>
      </c>
      <c r="C49" s="16">
        <f>ROUND(C$11*'B&amp;A KW'!D38,2)</f>
        <v>0</v>
      </c>
      <c r="D49" s="13">
        <f>ROUND(D$11*'B&amp;A KW'!E38,2)</f>
        <v>0</v>
      </c>
      <c r="E49" s="13">
        <f>ROUND(E$11*'B&amp;A KW'!F38,2)</f>
        <v>0</v>
      </c>
      <c r="F49" s="13">
        <f>ROUND(F$11*'B&amp;A KW'!G38,2)</f>
        <v>0</v>
      </c>
      <c r="G49" s="13">
        <f>ROUND(G$11*'B&amp;A KW'!H38,2)</f>
        <v>0</v>
      </c>
      <c r="H49" s="13">
        <f>ROUND(H$11*'B&amp;A KW'!I38,2)</f>
        <v>0</v>
      </c>
      <c r="I49" s="13">
        <f>ROUND(I$11*'B&amp;A KW'!J38,2)</f>
        <v>0</v>
      </c>
      <c r="J49" s="13">
        <f>ROUND(J$11*'B&amp;A KW'!K38,2)</f>
        <v>0</v>
      </c>
      <c r="K49" s="13">
        <f>ROUND(K$11*'B&amp;A KW'!L38,2)</f>
        <v>0</v>
      </c>
      <c r="L49" s="13">
        <f>ROUND(L$11*'B&amp;A KW'!M38,2)</f>
        <v>0</v>
      </c>
      <c r="M49" s="13">
        <f>ROUND(M$11*'B&amp;A KW'!N38,2)</f>
        <v>0</v>
      </c>
      <c r="N49" s="13">
        <f>ROUND(N$11*'B&amp;A KW'!O38,2)</f>
        <v>0</v>
      </c>
      <c r="O49" s="13">
        <f>ROUND(O$11*'B&amp;A KW'!P38,2)</f>
        <v>0</v>
      </c>
      <c r="P49" s="13">
        <f t="shared" ref="P49" si="13">SUM(D49:O49)</f>
        <v>0</v>
      </c>
    </row>
    <row r="50" spans="1:16" x14ac:dyDescent="0.25">
      <c r="A50" s="1"/>
      <c r="B50" s="9"/>
      <c r="C50" s="9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</row>
    <row r="51" spans="1:16" x14ac:dyDescent="0.25">
      <c r="A51" s="1" t="s">
        <v>7</v>
      </c>
      <c r="B51" s="16">
        <f>ROUND(B$13*'B&amp;A KW'!C40,2)</f>
        <v>0</v>
      </c>
      <c r="C51" s="16">
        <f>ROUND(C$13*'B&amp;A KW'!D40,2)</f>
        <v>0</v>
      </c>
      <c r="D51" s="13">
        <f>ROUND(D$13*'B&amp;A KW'!E40,2)</f>
        <v>30588.75</v>
      </c>
      <c r="E51" s="13">
        <f>ROUND(E$13*'B&amp;A KW'!F40,2)</f>
        <v>29946.15</v>
      </c>
      <c r="F51" s="13">
        <f>ROUND(F$13*'B&amp;A KW'!G40,2)</f>
        <v>30709.8</v>
      </c>
      <c r="G51" s="13">
        <f>ROUND(G$13*'B&amp;A KW'!H40,2)</f>
        <v>31864.05</v>
      </c>
      <c r="H51" s="13">
        <f>ROUND(H$13*'B&amp;A KW'!I40,2)</f>
        <v>31072.05</v>
      </c>
      <c r="I51" s="13">
        <f>ROUND(I$13*'B&amp;A KW'!J40,2)</f>
        <v>63356.72</v>
      </c>
      <c r="J51" s="13">
        <f>ROUND(J$13*'B&amp;A KW'!K40,2)</f>
        <v>61329.04</v>
      </c>
      <c r="K51" s="13">
        <f>ROUND(K$13*'B&amp;A KW'!L40,2)</f>
        <v>60618.8</v>
      </c>
      <c r="L51" s="13">
        <f>ROUND(L$13*'B&amp;A KW'!M40,2)</f>
        <v>63589.48</v>
      </c>
      <c r="M51" s="13">
        <f>ROUND(M$13*'B&amp;A KW'!N40,2)</f>
        <v>65947.44</v>
      </c>
      <c r="N51" s="13">
        <f>ROUND(N$13*'B&amp;A KW'!O40,2)</f>
        <v>63355.8</v>
      </c>
      <c r="O51" s="13">
        <f>ROUND(O$13*'B&amp;A KW'!P40,2)</f>
        <v>62870.04</v>
      </c>
      <c r="P51" s="13">
        <f t="shared" ref="P51" si="14">SUM(D51:O51)</f>
        <v>595248.12</v>
      </c>
    </row>
    <row r="52" spans="1:16" x14ac:dyDescent="0.25">
      <c r="A52" s="1"/>
      <c r="B52" s="9"/>
      <c r="C52" s="9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</row>
    <row r="53" spans="1:16" x14ac:dyDescent="0.25">
      <c r="A53" s="1" t="s">
        <v>6</v>
      </c>
      <c r="B53" s="16">
        <f>ROUND(B$15*'B&amp;A KW'!C42,2)</f>
        <v>0</v>
      </c>
      <c r="C53" s="16">
        <f>ROUND(C$15*'B&amp;A KW'!D42,2)</f>
        <v>0</v>
      </c>
      <c r="D53" s="13">
        <f>ROUND(D$15*'B&amp;A KW'!E42,2)</f>
        <v>0</v>
      </c>
      <c r="E53" s="13">
        <f>ROUND(E$15*'B&amp;A KW'!F42,2)</f>
        <v>0</v>
      </c>
      <c r="F53" s="13">
        <f>ROUND(F$15*'B&amp;A KW'!G42,2)</f>
        <v>0</v>
      </c>
      <c r="G53" s="13">
        <f>ROUND(G$15*'B&amp;A KW'!H42,2)</f>
        <v>0</v>
      </c>
      <c r="H53" s="13">
        <f>ROUND(H$15*'B&amp;A KW'!I42,2)</f>
        <v>0</v>
      </c>
      <c r="I53" s="13">
        <f>ROUND(I$15*'B&amp;A KW'!J42,2)</f>
        <v>0</v>
      </c>
      <c r="J53" s="13">
        <f>ROUND(J$15*'B&amp;A KW'!K42,2)</f>
        <v>0</v>
      </c>
      <c r="K53" s="13">
        <f>ROUND(K$15*'B&amp;A KW'!L42,2)</f>
        <v>0</v>
      </c>
      <c r="L53" s="13">
        <f>ROUND(L$15*'B&amp;A KW'!M42,2)</f>
        <v>0</v>
      </c>
      <c r="M53" s="13">
        <f>ROUND(M$15*'B&amp;A KW'!N42,2)</f>
        <v>0</v>
      </c>
      <c r="N53" s="13">
        <f>ROUND(N$15*'B&amp;A KW'!O42,2)</f>
        <v>0</v>
      </c>
      <c r="O53" s="13">
        <f>ROUND(O$15*'B&amp;A KW'!P42,2)</f>
        <v>0</v>
      </c>
      <c r="P53" s="13">
        <f t="shared" ref="P53" si="15">SUM(D53:O53)</f>
        <v>0</v>
      </c>
    </row>
    <row r="54" spans="1:16" x14ac:dyDescent="0.25">
      <c r="A54" s="1"/>
      <c r="B54" s="9"/>
      <c r="C54" s="9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</row>
    <row r="55" spans="1:16" x14ac:dyDescent="0.25">
      <c r="A55" s="18" t="s">
        <v>118</v>
      </c>
      <c r="B55" s="16">
        <f>ROUND(B$13*'B&amp;A KW'!C44,2)</f>
        <v>0</v>
      </c>
      <c r="C55" s="16">
        <f>ROUND(C$13*'B&amp;A KW'!D44,2)</f>
        <v>0</v>
      </c>
      <c r="D55" s="13">
        <f>ROUND(D$13*'B&amp;A KW'!E44,2)</f>
        <v>231.75</v>
      </c>
      <c r="E55" s="13">
        <f>ROUND(E$13*'B&amp;A KW'!F44,2)</f>
        <v>461.25</v>
      </c>
      <c r="F55" s="13">
        <f>ROUND(F$13*'B&amp;A KW'!G44,2)</f>
        <v>330.75</v>
      </c>
      <c r="G55" s="13">
        <f>ROUND(G$13*'B&amp;A KW'!H44,2)</f>
        <v>325.35000000000002</v>
      </c>
      <c r="H55" s="13">
        <f>ROUND(H$13*'B&amp;A KW'!I44,2)</f>
        <v>349.65</v>
      </c>
      <c r="I55" s="13">
        <f>ROUND(I$13*'B&amp;A KW'!J44,2)</f>
        <v>669.76</v>
      </c>
      <c r="J55" s="13">
        <f>ROUND(J$13*'B&amp;A KW'!K44,2)</f>
        <v>674.36</v>
      </c>
      <c r="K55" s="13">
        <f>ROUND(K$13*'B&amp;A KW'!L44,2)</f>
        <v>670.68</v>
      </c>
      <c r="L55" s="13">
        <f>ROUND(L$13*'B&amp;A KW'!M44,2)</f>
        <v>688.16</v>
      </c>
      <c r="M55" s="13">
        <f>ROUND(M$13*'B&amp;A KW'!N44,2)</f>
        <v>716.68</v>
      </c>
      <c r="N55" s="13">
        <f>ROUND(N$13*'B&amp;A KW'!O44,2)</f>
        <v>794.88</v>
      </c>
      <c r="O55" s="13">
        <f>ROUND(O$13*'B&amp;A KW'!P44,2)</f>
        <v>790.28</v>
      </c>
      <c r="P55" s="13">
        <f t="shared" ref="P55" si="16">SUM(D55:O55)</f>
        <v>6703.55</v>
      </c>
    </row>
    <row r="56" spans="1:16" x14ac:dyDescent="0.25">
      <c r="A56" s="1"/>
      <c r="B56" s="9"/>
      <c r="C56" s="9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</row>
    <row r="57" spans="1:16" x14ac:dyDescent="0.25">
      <c r="A57" s="1" t="s">
        <v>5</v>
      </c>
      <c r="B57" s="16">
        <f>ROUND(B$13*'B&amp;A KW'!C51,2)</f>
        <v>0</v>
      </c>
      <c r="C57" s="16">
        <f>ROUND(C$13*'B&amp;A KW'!D51,2)</f>
        <v>0</v>
      </c>
      <c r="D57" s="13">
        <f>ROUND(D$13*'B&amp;A KW'!E51,2)</f>
        <v>10343.25</v>
      </c>
      <c r="E57" s="13">
        <f>ROUND(E$13*'B&amp;A KW'!F51,2)</f>
        <v>11450.7</v>
      </c>
      <c r="F57" s="13">
        <f>ROUND(F$13*'B&amp;A KW'!G51,2)</f>
        <v>10377.450000000001</v>
      </c>
      <c r="G57" s="13">
        <f>ROUND(G$13*'B&amp;A KW'!H51,2)</f>
        <v>11517.75</v>
      </c>
      <c r="H57" s="13">
        <f>ROUND(H$13*'B&amp;A KW'!I51,2)</f>
        <v>12154.05</v>
      </c>
      <c r="I57" s="13">
        <f>ROUND(I$13*'B&amp;A KW'!J51,2)</f>
        <v>23943.919999999998</v>
      </c>
      <c r="J57" s="13">
        <f>ROUND(J$13*'B&amp;A KW'!K51,2)</f>
        <v>24360.68</v>
      </c>
      <c r="K57" s="13">
        <f>ROUND(K$13*'B&amp;A KW'!L51,2)</f>
        <v>25028.6</v>
      </c>
      <c r="L57" s="13">
        <f>ROUND(L$13*'B&amp;A KW'!M51,2)</f>
        <v>25040.560000000001</v>
      </c>
      <c r="M57" s="13">
        <f>ROUND(M$13*'B&amp;A KW'!N51,2)</f>
        <v>27543.88</v>
      </c>
      <c r="N57" s="13">
        <f>ROUND(N$13*'B&amp;A KW'!O51,2)</f>
        <v>27173.119999999999</v>
      </c>
      <c r="O57" s="13">
        <f>ROUND(O$13*'B&amp;A KW'!P51,2)</f>
        <v>25878.68</v>
      </c>
      <c r="P57" s="13">
        <f t="shared" ref="P57" si="17">SUM(D57:O57)</f>
        <v>234812.63999999998</v>
      </c>
    </row>
    <row r="58" spans="1:16" x14ac:dyDescent="0.25">
      <c r="A58" s="1"/>
      <c r="B58" s="9"/>
      <c r="C58" s="9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</row>
    <row r="59" spans="1:16" x14ac:dyDescent="0.25">
      <c r="A59" s="1" t="s">
        <v>4</v>
      </c>
      <c r="B59" s="16">
        <f>ROUND(B$13*'B&amp;A KW'!C53,2)</f>
        <v>0</v>
      </c>
      <c r="C59" s="16">
        <f>ROUND(C$13*'B&amp;A KW'!D53,2)</f>
        <v>0</v>
      </c>
      <c r="D59" s="13">
        <f>ROUND(D$13*'B&amp;A KW'!E53,2)</f>
        <v>1368</v>
      </c>
      <c r="E59" s="13">
        <f>ROUND(E$13*'B&amp;A KW'!F53,2)</f>
        <v>1508.4</v>
      </c>
      <c r="F59" s="13">
        <f>ROUND(F$13*'B&amp;A KW'!G53,2)</f>
        <v>1921.05</v>
      </c>
      <c r="G59" s="13">
        <f>ROUND(G$13*'B&amp;A KW'!H53,2)</f>
        <v>654.29999999999995</v>
      </c>
      <c r="H59" s="13">
        <f>ROUND(H$13*'B&amp;A KW'!I53,2)</f>
        <v>1285.6500000000001</v>
      </c>
      <c r="I59" s="13">
        <f>ROUND(I$13*'B&amp;A KW'!J53,2)</f>
        <v>1936.6</v>
      </c>
      <c r="J59" s="13">
        <f>ROUND(J$13*'B&amp;A KW'!K53,2)</f>
        <v>1803.2</v>
      </c>
      <c r="K59" s="13">
        <f>ROUND(K$13*'B&amp;A KW'!L53,2)</f>
        <v>1738.8</v>
      </c>
      <c r="L59" s="13">
        <f>ROUND(L$13*'B&amp;A KW'!M53,2)</f>
        <v>1792.16</v>
      </c>
      <c r="M59" s="13">
        <f>ROUND(M$13*'B&amp;A KW'!N53,2)</f>
        <v>1833.56</v>
      </c>
      <c r="N59" s="13">
        <f>ROUND(N$13*'B&amp;A KW'!O53,2)</f>
        <v>2056.1999999999998</v>
      </c>
      <c r="O59" s="13">
        <f>ROUND(O$13*'B&amp;A KW'!P53,2)</f>
        <v>1994.56</v>
      </c>
      <c r="P59" s="13">
        <f t="shared" ref="P59" si="18">SUM(D59:O59)</f>
        <v>19892.48</v>
      </c>
    </row>
    <row r="60" spans="1:16" x14ac:dyDescent="0.25">
      <c r="A60" s="1"/>
      <c r="B60" s="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</row>
    <row r="61" spans="1:16" x14ac:dyDescent="0.25">
      <c r="A61" s="1" t="s">
        <v>3</v>
      </c>
      <c r="B61" s="16">
        <f>ROUND(B$13*'B&amp;A KW'!C55,2)</f>
        <v>0</v>
      </c>
      <c r="C61" s="16">
        <f>ROUND(C$13*'B&amp;A KW'!D55,2)</f>
        <v>0</v>
      </c>
      <c r="D61" s="13">
        <f>ROUND(D$13*'B&amp;A KW'!E55,2)</f>
        <v>0</v>
      </c>
      <c r="E61" s="13">
        <f>ROUND(E$13*'B&amp;A KW'!F55,2)</f>
        <v>0</v>
      </c>
      <c r="F61" s="13">
        <f>ROUND(F$13*'B&amp;A KW'!G55,2)</f>
        <v>0</v>
      </c>
      <c r="G61" s="13">
        <f>ROUND(G$13*'B&amp;A KW'!H55,2)</f>
        <v>0</v>
      </c>
      <c r="H61" s="13">
        <f>ROUND(H$13*'B&amp;A KW'!I55,2)</f>
        <v>0</v>
      </c>
      <c r="I61" s="13">
        <f>ROUND(I$13*'B&amp;A KW'!J55,2)</f>
        <v>0</v>
      </c>
      <c r="J61" s="13">
        <f>ROUND(J$13*'B&amp;A KW'!K55,2)</f>
        <v>0</v>
      </c>
      <c r="K61" s="13">
        <f>ROUND(K$13*'B&amp;A KW'!L55,2)</f>
        <v>0</v>
      </c>
      <c r="L61" s="13">
        <f>ROUND(L$13*'B&amp;A KW'!M55,2)</f>
        <v>0</v>
      </c>
      <c r="M61" s="13">
        <f>ROUND(M$13*'B&amp;A KW'!N55,2)</f>
        <v>0</v>
      </c>
      <c r="N61" s="13">
        <f>ROUND(N$13*'B&amp;A KW'!O55,2)</f>
        <v>0</v>
      </c>
      <c r="O61" s="13">
        <f>ROUND(O$13*'B&amp;A KW'!P55,2)</f>
        <v>0</v>
      </c>
      <c r="P61" s="13">
        <f t="shared" ref="P61" si="19">SUM(D61:O61)</f>
        <v>0</v>
      </c>
    </row>
    <row r="62" spans="1:16" x14ac:dyDescent="0.25">
      <c r="A62" s="1"/>
      <c r="B62" s="9"/>
      <c r="C62" s="9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</row>
    <row r="63" spans="1:16" x14ac:dyDescent="0.25">
      <c r="A63" s="18" t="s">
        <v>119</v>
      </c>
      <c r="B63" s="16">
        <f>ROUND(B$14*'B&amp;A KW'!C57,2)</f>
        <v>0</v>
      </c>
      <c r="C63" s="16">
        <f>ROUND(C$14*'B&amp;A KW'!D57,2)</f>
        <v>0</v>
      </c>
      <c r="D63" s="13">
        <f>ROUND(D$14*'B&amp;A KW'!E57,2)</f>
        <v>12866.4</v>
      </c>
      <c r="E63" s="13">
        <f>ROUND(E$14*'B&amp;A KW'!F57,2)</f>
        <v>12547.8</v>
      </c>
      <c r="F63" s="13">
        <f>ROUND(F$14*'B&amp;A KW'!G57,2)</f>
        <v>12402.45</v>
      </c>
      <c r="G63" s="13">
        <f>ROUND(G$14*'B&amp;A KW'!H57,2)</f>
        <v>10947.15</v>
      </c>
      <c r="H63" s="13">
        <f>ROUND(H$14*'B&amp;A KW'!I57,2)</f>
        <v>11799</v>
      </c>
      <c r="I63" s="13">
        <f>ROUND(I$14*'B&amp;A KW'!J57,2)</f>
        <v>26875.96</v>
      </c>
      <c r="J63" s="13">
        <f>ROUND(J$14*'B&amp;A KW'!K57,2)</f>
        <v>26032.32</v>
      </c>
      <c r="K63" s="13">
        <f>ROUND(K$14*'B&amp;A KW'!L57,2)</f>
        <v>24679.919999999998</v>
      </c>
      <c r="L63" s="13">
        <f>ROUND(L$14*'B&amp;A KW'!M57,2)</f>
        <v>26569.599999999999</v>
      </c>
      <c r="M63" s="13">
        <f>ROUND(M$14*'B&amp;A KW'!N57,2)</f>
        <v>26324.880000000001</v>
      </c>
      <c r="N63" s="13">
        <f>ROUND(N$14*'B&amp;A KW'!O57,2)</f>
        <v>24894.28</v>
      </c>
      <c r="O63" s="13">
        <f>ROUND(O$14*'B&amp;A KW'!P57,2)</f>
        <v>27969.84</v>
      </c>
      <c r="P63" s="13">
        <f t="shared" ref="P63" si="20">SUM(D63:O63)</f>
        <v>243909.6</v>
      </c>
    </row>
    <row r="64" spans="1:16" x14ac:dyDescent="0.25">
      <c r="A64" s="1"/>
      <c r="B64" s="9"/>
      <c r="C64" s="9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</row>
    <row r="65" spans="1:16" x14ac:dyDescent="0.25">
      <c r="A65" s="18" t="s">
        <v>120</v>
      </c>
      <c r="B65" s="16">
        <f>ROUND(B$14*'B&amp;A KW'!C59,2)</f>
        <v>0</v>
      </c>
      <c r="C65" s="16">
        <f>ROUND(C$14*'B&amp;A KW'!D59,2)</f>
        <v>0</v>
      </c>
      <c r="D65" s="13">
        <f>ROUND(D$14*'B&amp;A KW'!E59,2)</f>
        <v>242.1</v>
      </c>
      <c r="E65" s="13">
        <f>ROUND(E$14*'B&amp;A KW'!F59,2)</f>
        <v>220.95</v>
      </c>
      <c r="F65" s="13">
        <f>ROUND(F$14*'B&amp;A KW'!G59,2)</f>
        <v>207</v>
      </c>
      <c r="G65" s="13">
        <f>ROUND(G$14*'B&amp;A KW'!H59,2)</f>
        <v>203.85</v>
      </c>
      <c r="H65" s="13">
        <f>ROUND(H$14*'B&amp;A KW'!I59,2)</f>
        <v>203.85</v>
      </c>
      <c r="I65" s="13">
        <f>ROUND(I$14*'B&amp;A KW'!J59,2)</f>
        <v>529.91999999999996</v>
      </c>
      <c r="J65" s="13">
        <f>ROUND(J$14*'B&amp;A KW'!K59,2)</f>
        <v>504.16</v>
      </c>
      <c r="K65" s="13">
        <f>ROUND(K$14*'B&amp;A KW'!L59,2)</f>
        <v>490.36</v>
      </c>
      <c r="L65" s="13">
        <f>ROUND(L$14*'B&amp;A KW'!M59,2)</f>
        <v>465.52</v>
      </c>
      <c r="M65" s="13">
        <f>ROUND(M$14*'B&amp;A KW'!N59,2)</f>
        <v>573.16</v>
      </c>
      <c r="N65" s="13">
        <f>ROUND(N$14*'B&amp;A KW'!O59,2)</f>
        <v>591.55999999999995</v>
      </c>
      <c r="O65" s="13">
        <f>ROUND(O$14*'B&amp;A KW'!P59,2)</f>
        <v>490.36</v>
      </c>
      <c r="P65" s="13">
        <f t="shared" ref="P65" si="21">SUM(D65:O65)</f>
        <v>4722.79</v>
      </c>
    </row>
    <row r="66" spans="1:16" x14ac:dyDescent="0.25">
      <c r="A66" s="1"/>
      <c r="B66" s="9"/>
      <c r="C66" s="9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</row>
    <row r="67" spans="1:16" x14ac:dyDescent="0.25">
      <c r="A67" s="18" t="s">
        <v>121</v>
      </c>
      <c r="B67" s="16">
        <f>ROUND(B$16*'B&amp;A KW'!C61,2)</f>
        <v>0</v>
      </c>
      <c r="C67" s="16">
        <f>ROUND(C$16*'B&amp;A KW'!D61,2)</f>
        <v>0</v>
      </c>
      <c r="D67" s="13">
        <f>ROUND(D$16*'B&amp;A KW'!E61,2)</f>
        <v>5788.75</v>
      </c>
      <c r="E67" s="13">
        <f>ROUND(E$16*'B&amp;A KW'!F61,2)</f>
        <v>3533.2</v>
      </c>
      <c r="F67" s="13">
        <f>ROUND(F$16*'B&amp;A KW'!G61,2)</f>
        <v>4628.25</v>
      </c>
      <c r="G67" s="13">
        <f>ROUND(G$16*'B&amp;A KW'!H61,2)</f>
        <v>5749.15</v>
      </c>
      <c r="H67" s="13">
        <f>ROUND(H$16*'B&amp;A KW'!I61,2)</f>
        <v>3569.5</v>
      </c>
      <c r="I67" s="13">
        <f>ROUND(I$16*'B&amp;A KW'!J61,2)</f>
        <v>9611.34</v>
      </c>
      <c r="J67" s="13">
        <f>ROUND(J$16*'B&amp;A KW'!K61,2)</f>
        <v>13928.52</v>
      </c>
      <c r="K67" s="13">
        <f>ROUND(K$16*'B&amp;A KW'!L61,2)</f>
        <v>9473.4</v>
      </c>
      <c r="L67" s="13">
        <f>ROUND(L$16*'B&amp;A KW'!M61,2)</f>
        <v>9900.9</v>
      </c>
      <c r="M67" s="13">
        <f>ROUND(M$16*'B&amp;A KW'!N61,2)</f>
        <v>7936.68</v>
      </c>
      <c r="N67" s="13">
        <f>ROUND(N$16*'B&amp;A KW'!O61,2)</f>
        <v>7938.96</v>
      </c>
      <c r="O67" s="13">
        <f>ROUND(O$16*'B&amp;A KW'!P61,2)</f>
        <v>1670.1</v>
      </c>
      <c r="P67" s="13">
        <f t="shared" ref="P67" si="22">SUM(D67:O67)</f>
        <v>83728.750000000015</v>
      </c>
    </row>
    <row r="68" spans="1:16" x14ac:dyDescent="0.25">
      <c r="A68" s="1"/>
      <c r="B68" s="9"/>
      <c r="C68" s="9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x14ac:dyDescent="0.25">
      <c r="A69" s="18" t="s">
        <v>122</v>
      </c>
      <c r="B69" s="16">
        <f>ROUND(B$16*'B&amp;A KW'!C63,2)</f>
        <v>0</v>
      </c>
      <c r="C69" s="16">
        <f>ROUND(C$16*'B&amp;A KW'!D63,2)</f>
        <v>0</v>
      </c>
      <c r="D69" s="13">
        <f>ROUND(D$16*'B&amp;A KW'!E63,2)</f>
        <v>10507.2</v>
      </c>
      <c r="E69" s="13">
        <f>ROUND(E$16*'B&amp;A KW'!F63,2)</f>
        <v>10428</v>
      </c>
      <c r="F69" s="13">
        <f>ROUND(F$16*'B&amp;A KW'!G63,2)</f>
        <v>10560</v>
      </c>
      <c r="G69" s="13">
        <f>ROUND(G$16*'B&amp;A KW'!H63,2)</f>
        <v>10533.6</v>
      </c>
      <c r="H69" s="13">
        <f>ROUND(H$16*'B&amp;A KW'!I63,2)</f>
        <v>10507.2</v>
      </c>
      <c r="I69" s="13">
        <f>ROUND(I$16*'B&amp;A KW'!J63,2)</f>
        <v>21778.560000000001</v>
      </c>
      <c r="J69" s="13">
        <f>ROUND(J$16*'B&amp;A KW'!K63,2)</f>
        <v>21805.919999999998</v>
      </c>
      <c r="K69" s="13">
        <f>ROUND(K$16*'B&amp;A KW'!L63,2)</f>
        <v>21723.84</v>
      </c>
      <c r="L69" s="13">
        <f>ROUND(L$16*'B&amp;A KW'!M63,2)</f>
        <v>21723.84</v>
      </c>
      <c r="M69" s="13">
        <f>ROUND(M$16*'B&amp;A KW'!N63,2)</f>
        <v>21723.84</v>
      </c>
      <c r="N69" s="13">
        <f>ROUND(N$16*'B&amp;A KW'!O63,2)</f>
        <v>21614.400000000001</v>
      </c>
      <c r="O69" s="13">
        <f>ROUND(O$16*'B&amp;A KW'!P63,2)</f>
        <v>21614.400000000001</v>
      </c>
      <c r="P69" s="13">
        <f t="shared" ref="P69" si="23">SUM(D69:O69)</f>
        <v>204520.8</v>
      </c>
    </row>
    <row r="70" spans="1:16" x14ac:dyDescent="0.25">
      <c r="A70" s="1"/>
      <c r="B70" s="9"/>
      <c r="C70" s="9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</row>
    <row r="71" spans="1:16" x14ac:dyDescent="0.25">
      <c r="A71" s="18" t="s">
        <v>123</v>
      </c>
      <c r="B71" s="16">
        <f>ROUND(B$16*'B&amp;A KW'!C65,2)</f>
        <v>0</v>
      </c>
      <c r="C71" s="16">
        <f>ROUND(C$16*'B&amp;A KW'!D65,2)</f>
        <v>0</v>
      </c>
      <c r="D71" s="13">
        <f>ROUND(D$16*'B&amp;A KW'!E65,2)</f>
        <v>2009.7</v>
      </c>
      <c r="E71" s="13">
        <f>ROUND(E$16*'B&amp;A KW'!F65,2)</f>
        <v>1963.5</v>
      </c>
      <c r="F71" s="13">
        <f>ROUND(F$16*'B&amp;A KW'!G65,2)</f>
        <v>2125.1999999999998</v>
      </c>
      <c r="G71" s="13">
        <f>ROUND(G$16*'B&amp;A KW'!H65,2)</f>
        <v>1917.3</v>
      </c>
      <c r="H71" s="13">
        <f>ROUND(H$16*'B&amp;A KW'!I65,2)</f>
        <v>2171.4</v>
      </c>
      <c r="I71" s="13">
        <f>ROUND(I$16*'B&amp;A KW'!J65,2)</f>
        <v>4261.32</v>
      </c>
      <c r="J71" s="13">
        <f>ROUND(J$16*'B&amp;A KW'!K65,2)</f>
        <v>4309.2</v>
      </c>
      <c r="K71" s="13">
        <f>ROUND(K$16*'B&amp;A KW'!L65,2)</f>
        <v>4452.84</v>
      </c>
      <c r="L71" s="13">
        <f>ROUND(L$16*'B&amp;A KW'!M65,2)</f>
        <v>4548.6000000000004</v>
      </c>
      <c r="M71" s="13">
        <f>ROUND(M$16*'B&amp;A KW'!N65,2)</f>
        <v>4452.84</v>
      </c>
      <c r="N71" s="13">
        <f>ROUND(N$16*'B&amp;A KW'!O65,2)</f>
        <v>4692.24</v>
      </c>
      <c r="O71" s="13">
        <f>ROUND(O$16*'B&amp;A KW'!P65,2)</f>
        <v>4788</v>
      </c>
      <c r="P71" s="13">
        <f t="shared" ref="P71" si="24">SUM(D71:O71)</f>
        <v>41692.14</v>
      </c>
    </row>
    <row r="72" spans="1:16" x14ac:dyDescent="0.25">
      <c r="A72" s="1"/>
      <c r="B72" s="9"/>
      <c r="C72" s="9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</row>
    <row r="73" spans="1:16" x14ac:dyDescent="0.25">
      <c r="A73" s="18" t="s">
        <v>124</v>
      </c>
      <c r="B73" s="16">
        <f>ROUND(B$16*'B&amp;A KW'!C67,2)</f>
        <v>0</v>
      </c>
      <c r="C73" s="16">
        <f>ROUND(C$16*'B&amp;A KW'!D67,2)</f>
        <v>0</v>
      </c>
      <c r="D73" s="13">
        <f>ROUND(D$16*'B&amp;A KW'!E67,2)</f>
        <v>12163.8</v>
      </c>
      <c r="E73" s="13">
        <f>ROUND(E$16*'B&amp;A KW'!F67,2)</f>
        <v>5801.4</v>
      </c>
      <c r="F73" s="13">
        <f>ROUND(F$16*'B&amp;A KW'!G67,2)</f>
        <v>0</v>
      </c>
      <c r="G73" s="13">
        <f>ROUND(G$16*'B&amp;A KW'!H67,2)</f>
        <v>5702.4</v>
      </c>
      <c r="H73" s="13">
        <f>ROUND(H$16*'B&amp;A KW'!I67,2)</f>
        <v>11200.2</v>
      </c>
      <c r="I73" s="13">
        <f>ROUND(I$16*'B&amp;A KW'!J67,2)</f>
        <v>11710.08</v>
      </c>
      <c r="J73" s="13">
        <f>ROUND(J$16*'B&amp;A KW'!K67,2)</f>
        <v>12229.92</v>
      </c>
      <c r="K73" s="13">
        <f>ROUND(K$16*'B&amp;A KW'!L67,2)</f>
        <v>12325.68</v>
      </c>
      <c r="L73" s="13">
        <f>ROUND(L$16*'B&amp;A KW'!M67,2)</f>
        <v>12558.24</v>
      </c>
      <c r="M73" s="13">
        <f>ROUND(M$16*'B&amp;A KW'!N67,2)</f>
        <v>12599.28</v>
      </c>
      <c r="N73" s="13">
        <f>ROUND(N$16*'B&amp;A KW'!O67,2)</f>
        <v>12599.28</v>
      </c>
      <c r="O73" s="13">
        <f>ROUND(O$16*'B&amp;A KW'!P67,2)</f>
        <v>12804.48</v>
      </c>
      <c r="P73" s="13">
        <f t="shared" ref="P73" si="25">SUM(D73:O73)</f>
        <v>121694.76000000001</v>
      </c>
    </row>
    <row r="74" spans="1:16" x14ac:dyDescent="0.25">
      <c r="A74" s="1"/>
      <c r="B74" s="9"/>
      <c r="C74" s="9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</row>
    <row r="75" spans="1:16" x14ac:dyDescent="0.25">
      <c r="A75" s="18" t="s">
        <v>125</v>
      </c>
      <c r="B75" s="16">
        <f>ROUND(B$16*'B&amp;A KW'!C69,2)</f>
        <v>0</v>
      </c>
      <c r="C75" s="16">
        <f>ROUND(C$16*'B&amp;A KW'!D69,2)</f>
        <v>0</v>
      </c>
      <c r="D75" s="13">
        <f>ROUND(D$16*'B&amp;A KW'!E69,2)</f>
        <v>1421.75</v>
      </c>
      <c r="E75" s="13">
        <f>ROUND(E$16*'B&amp;A KW'!F69,2)</f>
        <v>1448.7</v>
      </c>
      <c r="F75" s="13">
        <f>ROUND(F$16*'B&amp;A KW'!G69,2)</f>
        <v>1517.45</v>
      </c>
      <c r="G75" s="13">
        <f>ROUND(G$16*'B&amp;A KW'!H69,2)</f>
        <v>1453.65</v>
      </c>
      <c r="H75" s="13">
        <f>ROUND(H$16*'B&amp;A KW'!I69,2)</f>
        <v>1477.85</v>
      </c>
      <c r="I75" s="13">
        <f>ROUND(I$16*'B&amp;A KW'!J69,2)</f>
        <v>3323.1</v>
      </c>
      <c r="J75" s="13">
        <f>ROUND(J$16*'B&amp;A KW'!K69,2)</f>
        <v>3007.32</v>
      </c>
      <c r="K75" s="13">
        <f>ROUND(K$16*'B&amp;A KW'!L69,2)</f>
        <v>2976.54</v>
      </c>
      <c r="L75" s="13">
        <f>ROUND(L$16*'B&amp;A KW'!M69,2)</f>
        <v>3073.44</v>
      </c>
      <c r="M75" s="13">
        <f>ROUND(M$16*'B&amp;A KW'!N69,2)</f>
        <v>3541.98</v>
      </c>
      <c r="N75" s="13">
        <f>ROUND(N$16*'B&amp;A KW'!O69,2)</f>
        <v>3145.26</v>
      </c>
      <c r="O75" s="13">
        <f>ROUND(O$16*'B&amp;A KW'!P69,2)</f>
        <v>3096.24</v>
      </c>
      <c r="P75" s="13">
        <f t="shared" ref="P75" si="26">SUM(D75:O75)</f>
        <v>29483.279999999999</v>
      </c>
    </row>
    <row r="76" spans="1:16" x14ac:dyDescent="0.25">
      <c r="A76" s="1"/>
      <c r="B76" s="9"/>
      <c r="C76" s="9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</row>
    <row r="77" spans="1:16" x14ac:dyDescent="0.25">
      <c r="A77" s="18" t="s">
        <v>126</v>
      </c>
      <c r="B77" s="16">
        <f>ROUND(B$16*'B&amp;A KW'!C71,2)</f>
        <v>0</v>
      </c>
      <c r="C77" s="16">
        <f>ROUND(C$16*'B&amp;A KW'!D71,2)</f>
        <v>0</v>
      </c>
      <c r="D77" s="13">
        <f>ROUND(D$16*'B&amp;A KW'!E71,2)</f>
        <v>29957.95</v>
      </c>
      <c r="E77" s="13">
        <f>ROUND(E$16*'B&amp;A KW'!F71,2)</f>
        <v>27455.45</v>
      </c>
      <c r="F77" s="13">
        <f>ROUND(F$16*'B&amp;A KW'!G71,2)</f>
        <v>31217.45</v>
      </c>
      <c r="G77" s="13">
        <f>ROUND(G$16*'B&amp;A KW'!H71,2)</f>
        <v>32088.65</v>
      </c>
      <c r="H77" s="13">
        <f>ROUND(H$16*'B&amp;A KW'!I71,2)</f>
        <v>32914.75</v>
      </c>
      <c r="I77" s="13">
        <f>ROUND(I$16*'B&amp;A KW'!J71,2)</f>
        <v>63568.68</v>
      </c>
      <c r="J77" s="13">
        <f>ROUND(J$16*'B&amp;A KW'!K71,2)</f>
        <v>61578.239999999998</v>
      </c>
      <c r="K77" s="13">
        <f>ROUND(K$16*'B&amp;A KW'!L71,2)</f>
        <v>57458.28</v>
      </c>
      <c r="L77" s="13">
        <f>ROUND(L$16*'B&amp;A KW'!M71,2)</f>
        <v>64956.06</v>
      </c>
      <c r="M77" s="13">
        <f>ROUND(M$16*'B&amp;A KW'!N71,2)</f>
        <v>62916.6</v>
      </c>
      <c r="N77" s="13">
        <f>ROUND(N$16*'B&amp;A KW'!O71,2)</f>
        <v>60675.48</v>
      </c>
      <c r="O77" s="13">
        <f>ROUND(O$16*'B&amp;A KW'!P71,2)</f>
        <v>70723.69</v>
      </c>
      <c r="P77" s="13">
        <f t="shared" ref="P77" si="27">SUM(D77:O77)</f>
        <v>595511.28</v>
      </c>
    </row>
    <row r="78" spans="1:16" x14ac:dyDescent="0.25">
      <c r="A78" s="1"/>
      <c r="B78" s="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</row>
    <row r="79" spans="1:16" x14ac:dyDescent="0.25">
      <c r="A79" s="1" t="s">
        <v>2</v>
      </c>
      <c r="B79" s="16">
        <f>ROUND(B$19*'B&amp;A KW'!C73,2)</f>
        <v>0</v>
      </c>
      <c r="C79" s="16">
        <f>ROUND(C$19*'B&amp;A KW'!D73,2)</f>
        <v>0</v>
      </c>
      <c r="D79" s="13">
        <f>ROUND(D$19*'B&amp;A KW'!E73,2)</f>
        <v>0</v>
      </c>
      <c r="E79" s="13">
        <f>ROUND(E$19*'B&amp;A KW'!F73,2)</f>
        <v>0</v>
      </c>
      <c r="F79" s="13">
        <f>ROUND(F$19*'B&amp;A KW'!G73,2)</f>
        <v>0</v>
      </c>
      <c r="G79" s="13">
        <f>ROUND(G$19*'B&amp;A KW'!H73,2)</f>
        <v>0</v>
      </c>
      <c r="H79" s="13">
        <f>ROUND(H$19*'B&amp;A KW'!I73,2)</f>
        <v>0</v>
      </c>
      <c r="I79" s="13">
        <f>ROUND(I$19*'B&amp;A KW'!J73,2)</f>
        <v>0</v>
      </c>
      <c r="J79" s="13">
        <f>ROUND(J$19*'B&amp;A KW'!K73,2)</f>
        <v>0</v>
      </c>
      <c r="K79" s="13">
        <f>ROUND(K$19*'B&amp;A KW'!L73,2)</f>
        <v>0</v>
      </c>
      <c r="L79" s="13">
        <f>ROUND(L$19*'B&amp;A KW'!M73,2)</f>
        <v>0</v>
      </c>
      <c r="M79" s="13">
        <f>ROUND(M$19*'B&amp;A KW'!N73,2)</f>
        <v>0</v>
      </c>
      <c r="N79" s="13">
        <f>ROUND(N$19*'B&amp;A KW'!O73,2)</f>
        <v>0</v>
      </c>
      <c r="O79" s="13">
        <f>ROUND(O$19*'B&amp;A KW'!P73,2)</f>
        <v>0</v>
      </c>
      <c r="P79" s="13">
        <f t="shared" ref="P79" si="28">SUM(D79:O79)</f>
        <v>0</v>
      </c>
    </row>
    <row r="80" spans="1:16" x14ac:dyDescent="0.25">
      <c r="A80" s="1"/>
      <c r="B80" s="9"/>
      <c r="C80" s="9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</row>
    <row r="81" spans="1:16" x14ac:dyDescent="0.25">
      <c r="A81" s="1" t="s">
        <v>1</v>
      </c>
      <c r="B81" s="16">
        <f>ROUND(B$17*'B&amp;A KW'!C77,2)</f>
        <v>0</v>
      </c>
      <c r="C81" s="16">
        <f>ROUND(C$17*'B&amp;A KW'!D77,2)</f>
        <v>0</v>
      </c>
      <c r="D81" s="13">
        <f>ROUND(D$17*'B&amp;A KW'!E77,2)</f>
        <v>0</v>
      </c>
      <c r="E81" s="13">
        <f>ROUND(E$17*'B&amp;A KW'!F77,2)</f>
        <v>0</v>
      </c>
      <c r="F81" s="13">
        <f>ROUND(F$17*'B&amp;A KW'!G77,2)</f>
        <v>0</v>
      </c>
      <c r="G81" s="13">
        <f>ROUND(G$17*'B&amp;A KW'!H77,2)</f>
        <v>0</v>
      </c>
      <c r="H81" s="13">
        <f>ROUND(H$17*'B&amp;A KW'!I77,2)</f>
        <v>0</v>
      </c>
      <c r="I81" s="13">
        <f>ROUND(I$17*'B&amp;A KW'!J77,2)</f>
        <v>0</v>
      </c>
      <c r="J81" s="13">
        <f>ROUND(J$17*'B&amp;A KW'!K77,2)</f>
        <v>0</v>
      </c>
      <c r="K81" s="13">
        <f>ROUND(K$17*'B&amp;A KW'!L77,2)</f>
        <v>0</v>
      </c>
      <c r="L81" s="13">
        <f>ROUND(L$17*'B&amp;A KW'!M77,2)</f>
        <v>0</v>
      </c>
      <c r="M81" s="13">
        <f>ROUND(M$17*'B&amp;A KW'!N77,2)</f>
        <v>0</v>
      </c>
      <c r="N81" s="13">
        <f>ROUND(N$17*'B&amp;A KW'!O77,2)</f>
        <v>0</v>
      </c>
      <c r="O81" s="13">
        <f>ROUND(O$17*'B&amp;A KW'!P77,2)</f>
        <v>0</v>
      </c>
      <c r="P81" s="13">
        <f t="shared" ref="P81" si="29">SUM(D81:O81)</f>
        <v>0</v>
      </c>
    </row>
    <row r="82" spans="1:16" x14ac:dyDescent="0.25">
      <c r="A82" s="10"/>
      <c r="B82" s="17"/>
      <c r="C82" s="1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8"/>
    </row>
    <row r="83" spans="1:16" x14ac:dyDescent="0.25">
      <c r="A83" s="3" t="s">
        <v>0</v>
      </c>
      <c r="B83" s="16">
        <f>SUM(B21:B81)</f>
        <v>0</v>
      </c>
      <c r="C83" s="16">
        <f t="shared" ref="C83" si="30">SUM(C21:C81)</f>
        <v>0</v>
      </c>
      <c r="D83" s="13">
        <f>SUM(D21:D81)-D29</f>
        <v>117489.4</v>
      </c>
      <c r="E83" s="13">
        <f t="shared" ref="E83:O83" si="31">SUM(E21:E81)-E29</f>
        <v>106765.49999999999</v>
      </c>
      <c r="F83" s="13">
        <f t="shared" si="31"/>
        <v>105996.84999999999</v>
      </c>
      <c r="G83" s="13">
        <f t="shared" si="31"/>
        <v>112957.19999999998</v>
      </c>
      <c r="H83" s="13">
        <f t="shared" si="31"/>
        <v>118705.15</v>
      </c>
      <c r="I83" s="13">
        <f t="shared" si="31"/>
        <v>231565.96</v>
      </c>
      <c r="J83" s="13">
        <f t="shared" si="31"/>
        <v>231562.88000000003</v>
      </c>
      <c r="K83" s="13">
        <f t="shared" si="31"/>
        <v>221637.74</v>
      </c>
      <c r="L83" s="13">
        <f t="shared" si="31"/>
        <v>234906.56000000003</v>
      </c>
      <c r="M83" s="13">
        <f t="shared" si="31"/>
        <v>236110.82</v>
      </c>
      <c r="N83" s="13">
        <f t="shared" si="31"/>
        <v>229531.46000000002</v>
      </c>
      <c r="O83" s="13">
        <f t="shared" si="31"/>
        <v>234690.67</v>
      </c>
      <c r="P83" s="13">
        <f t="shared" ref="P83" si="32">SUM(D83:O83)</f>
        <v>2181920.19</v>
      </c>
    </row>
    <row r="84" spans="1:16" x14ac:dyDescent="0.25">
      <c r="B84" s="9"/>
      <c r="C84" s="9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</row>
    <row r="85" spans="1:16" x14ac:dyDescent="0.25">
      <c r="B85" s="9"/>
      <c r="C85" s="9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</row>
    <row r="87" spans="1:16" x14ac:dyDescent="0.25">
      <c r="P87" s="8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81"/>
  <sheetViews>
    <sheetView zoomScale="70" zoomScaleNormal="70" workbookViewId="0">
      <selection activeCell="D14" sqref="D14"/>
    </sheetView>
  </sheetViews>
  <sheetFormatPr defaultRowHeight="12.75" x14ac:dyDescent="0.2"/>
  <cols>
    <col min="1" max="1" width="54.85546875" style="51" customWidth="1"/>
    <col min="2" max="3" width="0" style="51" hidden="1" customWidth="1"/>
    <col min="4" max="4" width="15.42578125" style="51" bestFit="1" customWidth="1"/>
    <col min="5" max="5" width="15.42578125" style="51" customWidth="1"/>
    <col min="6" max="7" width="12" style="51" customWidth="1"/>
    <col min="8" max="14" width="15.42578125" style="51" customWidth="1"/>
    <col min="15" max="15" width="12.42578125" style="51" bestFit="1" customWidth="1"/>
    <col min="16" max="16" width="14.7109375" style="51" bestFit="1" customWidth="1"/>
    <col min="17" max="18" width="9.140625" style="51" customWidth="1"/>
    <col min="19" max="19" width="11.140625" style="51" bestFit="1" customWidth="1"/>
    <col min="20" max="16384" width="9.140625" style="51"/>
  </cols>
  <sheetData>
    <row r="1" spans="1:21" ht="15.75" x14ac:dyDescent="0.25">
      <c r="A1" s="26" t="s">
        <v>70</v>
      </c>
      <c r="B1" s="26"/>
      <c r="C1" s="26"/>
      <c r="D1" s="150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73"/>
    </row>
    <row r="2" spans="1:21" ht="15.75" x14ac:dyDescent="0.25">
      <c r="A2" s="26" t="s">
        <v>71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73"/>
    </row>
    <row r="3" spans="1:21" ht="15.75" x14ac:dyDescent="0.25">
      <c r="A3" s="26" t="str">
        <f>'B&amp;A kWh'!B3</f>
        <v>TEST YEAR ENDED March 31, 2023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73"/>
    </row>
    <row r="4" spans="1:21" ht="15.75" x14ac:dyDescent="0.25">
      <c r="A4" s="26" t="s">
        <v>81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73"/>
    </row>
    <row r="5" spans="1:21" ht="15.75" x14ac:dyDescent="0.25">
      <c r="A5" s="26" t="s">
        <v>181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73"/>
    </row>
    <row r="6" spans="1:21" ht="15.75" x14ac:dyDescent="0.25">
      <c r="A6" s="153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73"/>
    </row>
    <row r="7" spans="1:21" ht="15.75" x14ac:dyDescent="0.25">
      <c r="A7" s="26"/>
      <c r="B7" s="26"/>
      <c r="C7" s="26"/>
      <c r="D7" s="26">
        <v>2022</v>
      </c>
      <c r="E7" s="26"/>
      <c r="F7" s="26"/>
      <c r="G7" s="26"/>
      <c r="H7" s="26"/>
      <c r="I7" s="26"/>
      <c r="J7" s="26"/>
      <c r="K7" s="26"/>
      <c r="L7" s="26"/>
      <c r="M7" s="26"/>
      <c r="N7" s="26"/>
      <c r="O7" s="26">
        <v>2023</v>
      </c>
      <c r="P7" s="32" t="s">
        <v>293</v>
      </c>
      <c r="Q7" s="32"/>
      <c r="R7" s="26"/>
      <c r="S7" s="73"/>
    </row>
    <row r="8" spans="1:21" ht="15.75" x14ac:dyDescent="0.25">
      <c r="A8" s="15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  <c r="Q8" s="151"/>
      <c r="R8" s="26"/>
      <c r="S8" s="73"/>
    </row>
    <row r="9" spans="1:21" ht="15.75" x14ac:dyDescent="0.25">
      <c r="A9" s="26" t="s">
        <v>87</v>
      </c>
      <c r="B9" s="155"/>
      <c r="C9" s="155"/>
      <c r="D9" s="60">
        <v>0.3</v>
      </c>
      <c r="E9" s="60">
        <v>0.3</v>
      </c>
      <c r="F9" s="60">
        <v>0.3</v>
      </c>
      <c r="G9" s="60">
        <v>0.3</v>
      </c>
      <c r="H9" s="60">
        <v>0.3</v>
      </c>
      <c r="I9" s="60">
        <v>0.3</v>
      </c>
      <c r="J9" s="60">
        <v>0.3</v>
      </c>
      <c r="K9" s="60">
        <v>0.3</v>
      </c>
      <c r="L9" s="60">
        <v>0.3</v>
      </c>
      <c r="M9" s="60">
        <v>0.3</v>
      </c>
      <c r="N9" s="60">
        <v>0.3</v>
      </c>
      <c r="O9" s="60">
        <v>0.3</v>
      </c>
      <c r="P9" s="26"/>
      <c r="Q9" s="26"/>
      <c r="R9" s="155"/>
      <c r="S9" s="73"/>
    </row>
    <row r="10" spans="1:21" ht="15.75" x14ac:dyDescent="0.25">
      <c r="A10" s="26"/>
      <c r="B10" s="155"/>
      <c r="C10" s="155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26"/>
      <c r="Q10" s="26"/>
      <c r="R10" s="155"/>
      <c r="S10" s="73"/>
    </row>
    <row r="11" spans="1:21" ht="15.75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73"/>
      <c r="T11" s="51" t="s">
        <v>272</v>
      </c>
    </row>
    <row r="12" spans="1:21" ht="15.75" x14ac:dyDescent="0.25">
      <c r="A12" s="24" t="s">
        <v>21</v>
      </c>
      <c r="B12" s="13">
        <f>ROUND(B$9*'B&amp;A kWh'!C10,2)</f>
        <v>0</v>
      </c>
      <c r="C12" s="13">
        <f>ROUND(C$9*'B&amp;A kWh'!D10,2)</f>
        <v>0</v>
      </c>
      <c r="D12" s="13">
        <f>'B&amp;A customer by month'!E10*'Residential Energy Assistance'!$D$9</f>
        <v>39938.400000000001</v>
      </c>
      <c r="E12" s="13">
        <f>'B&amp;A customer by month'!F10*E9</f>
        <v>39859.799999999996</v>
      </c>
      <c r="F12" s="13">
        <f>'B&amp;A customer by month'!G10*F9</f>
        <v>39787.5</v>
      </c>
      <c r="G12" s="13">
        <f>'B&amp;A customer by month'!H10*G9</f>
        <v>39754.199999999997</v>
      </c>
      <c r="H12" s="13">
        <f>'B&amp;A customer by month'!I10*H9</f>
        <v>39637.5</v>
      </c>
      <c r="I12" s="13">
        <f>'B&amp;A customer by month'!J10*I9</f>
        <v>39475.5</v>
      </c>
      <c r="J12" s="13">
        <f>'B&amp;A customer by month'!K10*J9</f>
        <v>39424.199999999997</v>
      </c>
      <c r="K12" s="13">
        <f>'B&amp;A customer by month'!L10*K9</f>
        <v>39443.699999999997</v>
      </c>
      <c r="L12" s="13">
        <f>'B&amp;A customer by month'!M10*L9</f>
        <v>39445.799999999996</v>
      </c>
      <c r="M12" s="13">
        <f>'B&amp;A customer by month'!N10*M9</f>
        <v>39421.199999999997</v>
      </c>
      <c r="N12" s="13">
        <f>'B&amp;A customer by month'!O10*N9</f>
        <v>39298.5</v>
      </c>
      <c r="O12" s="13">
        <f>'B&amp;A customer by month'!P10*O9</f>
        <v>39483</v>
      </c>
      <c r="P12" s="13">
        <f>SUM(D12:O12)</f>
        <v>474969.3</v>
      </c>
      <c r="Q12" s="13"/>
      <c r="R12" s="26"/>
      <c r="S12" s="73"/>
      <c r="T12" s="32">
        <v>10</v>
      </c>
      <c r="U12" s="24" t="s">
        <v>21</v>
      </c>
    </row>
    <row r="13" spans="1:21" ht="15.75" x14ac:dyDescent="0.25">
      <c r="A13" s="24"/>
      <c r="B13" s="26"/>
      <c r="C13" s="26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26"/>
      <c r="Q13" s="26"/>
      <c r="R13" s="26"/>
      <c r="S13" s="73"/>
      <c r="T13" s="32">
        <v>11</v>
      </c>
      <c r="U13" s="24"/>
    </row>
    <row r="14" spans="1:21" ht="15.75" x14ac:dyDescent="0.25">
      <c r="A14" s="24" t="s">
        <v>20</v>
      </c>
      <c r="B14" s="13">
        <f>ROUND(B$9*'B&amp;A kWh'!C12,2)</f>
        <v>0</v>
      </c>
      <c r="C14" s="13">
        <f>ROUND(C$9*'B&amp;A kWh'!D12,2)</f>
        <v>0</v>
      </c>
      <c r="D14" s="13">
        <f>'B&amp;A customer by month'!E12*D9</f>
        <v>44.699999999999996</v>
      </c>
      <c r="E14" s="13">
        <f>'B&amp;A customer by month'!F12*E9</f>
        <v>44.699999999999996</v>
      </c>
      <c r="F14" s="13">
        <f>'B&amp;A customer by month'!G12*F9</f>
        <v>44.699999999999996</v>
      </c>
      <c r="G14" s="13">
        <f>'B&amp;A customer by month'!H12*G9</f>
        <v>44.699999999999996</v>
      </c>
      <c r="H14" s="13">
        <f>'B&amp;A customer by month'!I12*H9</f>
        <v>44.699999999999996</v>
      </c>
      <c r="I14" s="13">
        <f>'B&amp;A customer by month'!J12*I9</f>
        <v>44.699999999999996</v>
      </c>
      <c r="J14" s="13">
        <f>'B&amp;A customer by month'!K12*J9</f>
        <v>44.699999999999996</v>
      </c>
      <c r="K14" s="13">
        <f>'B&amp;A customer by month'!L12*K9</f>
        <v>44.4</v>
      </c>
      <c r="L14" s="13">
        <f>'B&amp;A customer by month'!M12*L9</f>
        <v>44.4</v>
      </c>
      <c r="M14" s="13">
        <f>'B&amp;A customer by month'!N12*M9</f>
        <v>43.8</v>
      </c>
      <c r="N14" s="13">
        <f>'B&amp;A customer by month'!O12*N9</f>
        <v>43.5</v>
      </c>
      <c r="O14" s="13">
        <f>'B&amp;A customer by month'!P12*O9</f>
        <v>43.199999999999996</v>
      </c>
      <c r="P14" s="13">
        <f t="shared" ref="P14" si="0">SUM(D14:O14)</f>
        <v>532.19999999999993</v>
      </c>
      <c r="Q14" s="13"/>
      <c r="R14" s="26"/>
      <c r="S14" s="73"/>
      <c r="T14" s="32">
        <v>12</v>
      </c>
      <c r="U14" s="24" t="s">
        <v>20</v>
      </c>
    </row>
    <row r="15" spans="1:21" ht="15.75" x14ac:dyDescent="0.25">
      <c r="A15" s="24"/>
      <c r="B15" s="26"/>
      <c r="C15" s="26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26"/>
      <c r="Q15" s="26"/>
      <c r="R15" s="26"/>
      <c r="S15" s="73"/>
      <c r="T15" s="32">
        <v>13</v>
      </c>
      <c r="U15" s="24"/>
    </row>
    <row r="16" spans="1:21" ht="15.75" x14ac:dyDescent="0.25">
      <c r="A16" s="24" t="s">
        <v>19</v>
      </c>
      <c r="B16" s="13">
        <f>ROUND(B$9*'B&amp;A kWh'!C14,2)</f>
        <v>0</v>
      </c>
      <c r="C16" s="13">
        <f>ROUND(C$9*'B&amp;A kWh'!D14,2)</f>
        <v>0</v>
      </c>
      <c r="D16" s="13">
        <f>'B&amp;A customer by month'!E14*D9</f>
        <v>1.2</v>
      </c>
      <c r="E16" s="13">
        <f>'B&amp;A customer by month'!F14*E9</f>
        <v>1.2</v>
      </c>
      <c r="F16" s="13">
        <f>'B&amp;A customer by month'!G14*F9</f>
        <v>1.2</v>
      </c>
      <c r="G16" s="13">
        <f>'B&amp;A customer by month'!H14*G9</f>
        <v>1.2</v>
      </c>
      <c r="H16" s="13">
        <f>'B&amp;A customer by month'!I14*H9</f>
        <v>1.2</v>
      </c>
      <c r="I16" s="13">
        <f>'B&amp;A customer by month'!J14*I9</f>
        <v>1.5</v>
      </c>
      <c r="J16" s="13">
        <f>'B&amp;A customer by month'!K14*J9</f>
        <v>1.5</v>
      </c>
      <c r="K16" s="13">
        <f>'B&amp;A customer by month'!L14*K9</f>
        <v>1.5</v>
      </c>
      <c r="L16" s="13">
        <f>'B&amp;A customer by month'!M14*L9</f>
        <v>1.7999999999999998</v>
      </c>
      <c r="M16" s="13">
        <f>'B&amp;A customer by month'!N14*M9</f>
        <v>1.7999999999999998</v>
      </c>
      <c r="N16" s="13">
        <f>'B&amp;A customer by month'!O14*N9</f>
        <v>1.7999999999999998</v>
      </c>
      <c r="O16" s="13">
        <f>'B&amp;A customer by month'!P14*O9</f>
        <v>1.7999999999999998</v>
      </c>
      <c r="P16" s="13">
        <f t="shared" ref="P16" si="1">SUM(D16:O16)</f>
        <v>17.700000000000003</v>
      </c>
      <c r="Q16" s="13"/>
      <c r="R16" s="26"/>
      <c r="S16" s="73"/>
      <c r="T16" s="32">
        <v>14</v>
      </c>
      <c r="U16" s="24" t="s">
        <v>19</v>
      </c>
    </row>
    <row r="17" spans="1:21" ht="15.75" x14ac:dyDescent="0.25">
      <c r="A17" s="24"/>
      <c r="B17" s="26"/>
      <c r="C17" s="26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26"/>
      <c r="Q17" s="26"/>
      <c r="R17" s="26" t="s">
        <v>176</v>
      </c>
      <c r="S17" s="73">
        <f>SUM(P12:P16)</f>
        <v>475519.2</v>
      </c>
      <c r="T17" s="32">
        <v>15</v>
      </c>
      <c r="U17" s="24"/>
    </row>
    <row r="18" spans="1:21" ht="15.75" x14ac:dyDescent="0.25">
      <c r="A18" s="43" t="s">
        <v>172</v>
      </c>
      <c r="B18" s="26"/>
      <c r="C18" s="26"/>
      <c r="D18" s="13">
        <f>'B&amp;A customer by month'!E16*D9</f>
        <v>0</v>
      </c>
      <c r="E18" s="13">
        <f>'B&amp;A customer by month'!F16*E9</f>
        <v>0</v>
      </c>
      <c r="F18" s="13">
        <f>'B&amp;A customer by month'!G16*F9</f>
        <v>0</v>
      </c>
      <c r="G18" s="13">
        <f>'B&amp;A customer by month'!H16*G9</f>
        <v>0</v>
      </c>
      <c r="H18" s="13">
        <f>'B&amp;A customer by month'!I16*H9</f>
        <v>0</v>
      </c>
      <c r="I18" s="13">
        <f>'B&amp;A customer by month'!J16*I9</f>
        <v>0</v>
      </c>
      <c r="J18" s="13">
        <f>'B&amp;A customer by month'!K16*J9</f>
        <v>0</v>
      </c>
      <c r="K18" s="13">
        <f>'B&amp;A customer by month'!L16*K9</f>
        <v>0</v>
      </c>
      <c r="L18" s="13">
        <f>'B&amp;A customer by month'!M16*L9</f>
        <v>0</v>
      </c>
      <c r="M18" s="13">
        <f>'B&amp;A customer by month'!N16*M9</f>
        <v>0</v>
      </c>
      <c r="N18" s="13">
        <f>'B&amp;A customer by month'!O16*N9</f>
        <v>0</v>
      </c>
      <c r="O18" s="13">
        <f>'B&amp;A customer by month'!P16*O9</f>
        <v>0</v>
      </c>
      <c r="P18" s="26"/>
      <c r="Q18" s="26"/>
      <c r="R18" s="26"/>
      <c r="S18" s="73"/>
      <c r="T18" s="32">
        <v>16</v>
      </c>
      <c r="U18" s="43" t="s">
        <v>172</v>
      </c>
    </row>
    <row r="19" spans="1:21" ht="15.75" x14ac:dyDescent="0.25">
      <c r="A19" s="43" t="s">
        <v>174</v>
      </c>
      <c r="B19" s="26"/>
      <c r="C19" s="26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26"/>
      <c r="Q19" s="26"/>
      <c r="R19" s="26"/>
      <c r="S19" s="73"/>
      <c r="T19" s="32">
        <v>17</v>
      </c>
      <c r="U19" s="43" t="s">
        <v>174</v>
      </c>
    </row>
    <row r="20" spans="1:21" ht="15.75" x14ac:dyDescent="0.25">
      <c r="A20" s="24" t="s">
        <v>18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26"/>
      <c r="S20" s="73"/>
      <c r="T20" s="32">
        <v>18</v>
      </c>
      <c r="U20" s="24" t="s">
        <v>18</v>
      </c>
    </row>
    <row r="21" spans="1:21" ht="15.75" x14ac:dyDescent="0.25">
      <c r="A21" s="24"/>
      <c r="B21" s="26"/>
      <c r="C21" s="26"/>
      <c r="D21" s="13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73"/>
      <c r="T21" s="32">
        <v>19</v>
      </c>
      <c r="U21" s="24"/>
    </row>
    <row r="22" spans="1:21" ht="15.75" x14ac:dyDescent="0.25">
      <c r="A22" s="24" t="s">
        <v>17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26"/>
      <c r="S22" s="73"/>
      <c r="T22" s="32">
        <v>20</v>
      </c>
      <c r="U22" s="24" t="s">
        <v>17</v>
      </c>
    </row>
    <row r="23" spans="1:21" ht="15.75" x14ac:dyDescent="0.25">
      <c r="A23" s="24"/>
      <c r="B23" s="26"/>
      <c r="C23" s="26"/>
      <c r="D23" s="13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73"/>
      <c r="T23" s="32">
        <v>21</v>
      </c>
      <c r="U23" s="24"/>
    </row>
    <row r="24" spans="1:21" ht="15.75" x14ac:dyDescent="0.25">
      <c r="A24" s="24" t="s">
        <v>16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26"/>
      <c r="S24" s="73"/>
      <c r="T24" s="32">
        <v>22</v>
      </c>
      <c r="U24" s="24" t="s">
        <v>16</v>
      </c>
    </row>
    <row r="25" spans="1:21" ht="15.75" x14ac:dyDescent="0.25">
      <c r="A25" s="24"/>
      <c r="B25" s="26"/>
      <c r="C25" s="26"/>
      <c r="D25" s="13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73"/>
      <c r="T25" s="32">
        <v>23</v>
      </c>
      <c r="U25" s="24"/>
    </row>
    <row r="26" spans="1:21" ht="15.75" x14ac:dyDescent="0.25">
      <c r="A26" s="24" t="s">
        <v>15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26"/>
      <c r="S26" s="73"/>
      <c r="T26" s="32">
        <v>24</v>
      </c>
      <c r="U26" s="24" t="s">
        <v>15</v>
      </c>
    </row>
    <row r="27" spans="1:21" ht="15.75" x14ac:dyDescent="0.25">
      <c r="A27" s="24"/>
      <c r="B27" s="26"/>
      <c r="C27" s="26"/>
      <c r="D27" s="13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73"/>
      <c r="T27" s="32">
        <v>25</v>
      </c>
      <c r="U27" s="24"/>
    </row>
    <row r="28" spans="1:21" ht="15.75" x14ac:dyDescent="0.25">
      <c r="A28" s="24" t="s">
        <v>14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26"/>
      <c r="S28" s="73"/>
      <c r="T28" s="32">
        <v>26</v>
      </c>
      <c r="U28" s="24" t="s">
        <v>14</v>
      </c>
    </row>
    <row r="29" spans="1:21" ht="15.75" x14ac:dyDescent="0.25">
      <c r="A29" s="24"/>
      <c r="B29" s="26"/>
      <c r="C29" s="26"/>
      <c r="D29" s="13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 t="s">
        <v>177</v>
      </c>
      <c r="S29" s="73">
        <f>SUM(P22:P28)</f>
        <v>0</v>
      </c>
      <c r="T29" s="32">
        <v>27</v>
      </c>
      <c r="U29" s="24"/>
    </row>
    <row r="30" spans="1:21" ht="15.75" x14ac:dyDescent="0.25">
      <c r="A30" s="24" t="s">
        <v>13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26"/>
      <c r="S30" s="73"/>
      <c r="T30" s="32">
        <v>28</v>
      </c>
      <c r="U30" s="24" t="s">
        <v>13</v>
      </c>
    </row>
    <row r="31" spans="1:21" ht="15.75" x14ac:dyDescent="0.25">
      <c r="A31" s="24"/>
      <c r="B31" s="26"/>
      <c r="C31" s="26"/>
      <c r="D31" s="13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73"/>
      <c r="T31" s="32">
        <v>29</v>
      </c>
      <c r="U31" s="24"/>
    </row>
    <row r="32" spans="1:21" ht="15.75" x14ac:dyDescent="0.25">
      <c r="A32" s="24" t="s">
        <v>12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26"/>
      <c r="S32" s="73"/>
      <c r="T32" s="32">
        <v>30</v>
      </c>
      <c r="U32" s="24" t="s">
        <v>12</v>
      </c>
    </row>
    <row r="33" spans="1:21" ht="15.75" x14ac:dyDescent="0.25">
      <c r="A33" s="24"/>
      <c r="B33" s="26"/>
      <c r="C33" s="26"/>
      <c r="D33" s="13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73"/>
      <c r="T33" s="32">
        <v>31</v>
      </c>
      <c r="U33" s="24"/>
    </row>
    <row r="34" spans="1:21" ht="15.75" x14ac:dyDescent="0.25">
      <c r="A34" s="24" t="s">
        <v>11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26"/>
      <c r="S34" s="73"/>
      <c r="T34" s="32">
        <v>32</v>
      </c>
      <c r="U34" s="24" t="s">
        <v>11</v>
      </c>
    </row>
    <row r="35" spans="1:21" ht="15.75" x14ac:dyDescent="0.25">
      <c r="A35" s="24"/>
      <c r="B35" s="26"/>
      <c r="C35" s="26"/>
      <c r="D35" s="13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73"/>
      <c r="T35" s="32">
        <v>33</v>
      </c>
      <c r="U35" s="24"/>
    </row>
    <row r="36" spans="1:21" ht="15.75" x14ac:dyDescent="0.25">
      <c r="A36" s="24" t="s">
        <v>10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26"/>
      <c r="S36" s="73"/>
      <c r="T36" s="32">
        <v>34</v>
      </c>
      <c r="U36" s="24" t="s">
        <v>10</v>
      </c>
    </row>
    <row r="37" spans="1:21" ht="15.75" x14ac:dyDescent="0.25">
      <c r="A37" s="24"/>
      <c r="B37" s="26"/>
      <c r="C37" s="26"/>
      <c r="D37" s="13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73"/>
      <c r="T37" s="32">
        <v>35</v>
      </c>
      <c r="U37" s="24"/>
    </row>
    <row r="38" spans="1:21" ht="15.75" x14ac:dyDescent="0.25">
      <c r="A38" s="24" t="s">
        <v>9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26"/>
      <c r="S38" s="73"/>
      <c r="T38" s="32">
        <v>36</v>
      </c>
      <c r="U38" s="24" t="s">
        <v>9</v>
      </c>
    </row>
    <row r="39" spans="1:21" ht="15.75" x14ac:dyDescent="0.25">
      <c r="A39" s="24"/>
      <c r="B39" s="26"/>
      <c r="C39" s="26"/>
      <c r="D39" s="13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73"/>
      <c r="T39" s="32">
        <v>37</v>
      </c>
      <c r="U39" s="24"/>
    </row>
    <row r="40" spans="1:21" ht="15.75" x14ac:dyDescent="0.25">
      <c r="A40" s="24" t="s">
        <v>8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26"/>
      <c r="S40" s="73"/>
      <c r="T40" s="32">
        <v>38</v>
      </c>
      <c r="U40" s="24" t="s">
        <v>8</v>
      </c>
    </row>
    <row r="41" spans="1:21" ht="15.75" x14ac:dyDescent="0.25">
      <c r="A41" s="24"/>
      <c r="B41" s="26"/>
      <c r="C41" s="26"/>
      <c r="D41" s="13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 t="s">
        <v>132</v>
      </c>
      <c r="S41" s="73">
        <f>SUM(P30:P41)</f>
        <v>0</v>
      </c>
      <c r="T41" s="32">
        <v>39</v>
      </c>
      <c r="U41" s="24"/>
    </row>
    <row r="42" spans="1:21" ht="15.75" x14ac:dyDescent="0.25">
      <c r="A42" s="24" t="s">
        <v>7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26"/>
      <c r="S42" s="73"/>
      <c r="T42" s="32">
        <v>40</v>
      </c>
      <c r="U42" s="24" t="s">
        <v>7</v>
      </c>
    </row>
    <row r="43" spans="1:21" ht="15.75" x14ac:dyDescent="0.25">
      <c r="A43" s="24"/>
      <c r="B43" s="26"/>
      <c r="C43" s="26"/>
      <c r="D43" s="13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73"/>
      <c r="T43" s="32">
        <v>41</v>
      </c>
      <c r="U43" s="24"/>
    </row>
    <row r="44" spans="1:21" ht="15.75" x14ac:dyDescent="0.25">
      <c r="A44" s="24" t="s">
        <v>6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26"/>
      <c r="S44" s="73"/>
      <c r="T44" s="32">
        <v>42</v>
      </c>
      <c r="U44" s="24" t="s">
        <v>6</v>
      </c>
    </row>
    <row r="45" spans="1:21" ht="15.75" x14ac:dyDescent="0.25">
      <c r="A45" s="24"/>
      <c r="B45" s="26"/>
      <c r="C45" s="26"/>
      <c r="D45" s="13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73"/>
      <c r="T45" s="32">
        <v>43</v>
      </c>
      <c r="U45" s="24"/>
    </row>
    <row r="46" spans="1:21" ht="15.75" x14ac:dyDescent="0.25">
      <c r="A46" s="24" t="s">
        <v>118</v>
      </c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26"/>
      <c r="S46" s="73"/>
      <c r="T46" s="32">
        <v>44</v>
      </c>
      <c r="U46" s="24" t="s">
        <v>118</v>
      </c>
    </row>
    <row r="47" spans="1:21" ht="15.75" x14ac:dyDescent="0.25">
      <c r="A47" s="24"/>
      <c r="B47" s="26"/>
      <c r="C47" s="26"/>
      <c r="D47" s="13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73"/>
      <c r="T47" s="32">
        <v>45</v>
      </c>
      <c r="U47" s="32"/>
    </row>
    <row r="48" spans="1:21" ht="15.75" x14ac:dyDescent="0.25">
      <c r="A48" s="24" t="s">
        <v>241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26"/>
      <c r="S48" s="73"/>
      <c r="T48" s="32">
        <v>46</v>
      </c>
      <c r="U48" s="32" t="s">
        <v>241</v>
      </c>
    </row>
    <row r="49" spans="1:21" ht="15.75" x14ac:dyDescent="0.25">
      <c r="A49" s="24"/>
      <c r="B49" s="26"/>
      <c r="C49" s="26"/>
      <c r="D49" s="13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73"/>
      <c r="T49" s="32">
        <v>47</v>
      </c>
      <c r="U49" s="24"/>
    </row>
    <row r="50" spans="1:21" ht="15.75" x14ac:dyDescent="0.25">
      <c r="A50" s="24" t="s">
        <v>5</v>
      </c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26"/>
      <c r="S50" s="73"/>
      <c r="T50" s="32">
        <v>48</v>
      </c>
      <c r="U50" s="24" t="s">
        <v>5</v>
      </c>
    </row>
    <row r="51" spans="1:21" ht="15.75" x14ac:dyDescent="0.25">
      <c r="A51" s="24"/>
      <c r="B51" s="26"/>
      <c r="C51" s="26"/>
      <c r="D51" s="13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73"/>
      <c r="T51" s="32">
        <v>49</v>
      </c>
      <c r="U51" s="24"/>
    </row>
    <row r="52" spans="1:21" ht="15.75" x14ac:dyDescent="0.25">
      <c r="A52" s="24" t="s">
        <v>4</v>
      </c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26"/>
      <c r="S52" s="73"/>
      <c r="T52" s="32">
        <v>50</v>
      </c>
      <c r="U52" s="24" t="s">
        <v>4</v>
      </c>
    </row>
    <row r="53" spans="1:21" ht="15.75" x14ac:dyDescent="0.25">
      <c r="A53" s="24"/>
      <c r="B53" s="26"/>
      <c r="C53" s="26"/>
      <c r="D53" s="13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 t="s">
        <v>178</v>
      </c>
      <c r="S53" s="73">
        <f>SUM(P42:P52)</f>
        <v>0</v>
      </c>
      <c r="T53" s="32">
        <v>51</v>
      </c>
      <c r="U53" s="24"/>
    </row>
    <row r="54" spans="1:21" ht="15.75" x14ac:dyDescent="0.25">
      <c r="A54" s="24" t="s">
        <v>3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26"/>
      <c r="S54" s="73"/>
      <c r="T54" s="32">
        <v>52</v>
      </c>
      <c r="U54" s="24" t="s">
        <v>3</v>
      </c>
    </row>
    <row r="55" spans="1:21" ht="15.75" x14ac:dyDescent="0.25">
      <c r="A55" s="24"/>
      <c r="B55" s="26"/>
      <c r="C55" s="26"/>
      <c r="D55" s="13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73"/>
      <c r="T55" s="32">
        <v>53</v>
      </c>
      <c r="U55" s="24"/>
    </row>
    <row r="56" spans="1:21" ht="15.75" x14ac:dyDescent="0.25">
      <c r="A56" s="24" t="s">
        <v>119</v>
      </c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26"/>
      <c r="S56" s="73"/>
      <c r="T56" s="32">
        <v>54</v>
      </c>
      <c r="U56" s="24" t="s">
        <v>119</v>
      </c>
    </row>
    <row r="57" spans="1:21" ht="15.75" x14ac:dyDescent="0.25">
      <c r="A57" s="24"/>
      <c r="B57" s="26"/>
      <c r="C57" s="26"/>
      <c r="D57" s="13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 t="s">
        <v>133</v>
      </c>
      <c r="S57" s="73">
        <f>SUM(P54:P56)</f>
        <v>0</v>
      </c>
      <c r="T57" s="32">
        <v>55</v>
      </c>
      <c r="U57" s="24"/>
    </row>
    <row r="58" spans="1:21" ht="15.75" x14ac:dyDescent="0.25">
      <c r="A58" s="24" t="s">
        <v>120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26"/>
      <c r="S58" s="73"/>
      <c r="T58" s="32">
        <v>56</v>
      </c>
      <c r="U58" s="24" t="s">
        <v>120</v>
      </c>
    </row>
    <row r="59" spans="1:21" ht="15.75" x14ac:dyDescent="0.25">
      <c r="A59" s="24"/>
      <c r="B59" s="26"/>
      <c r="C59" s="26"/>
      <c r="D59" s="13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73"/>
      <c r="T59" s="32">
        <v>57</v>
      </c>
      <c r="U59" s="24"/>
    </row>
    <row r="60" spans="1:21" ht="15.75" x14ac:dyDescent="0.25">
      <c r="A60" s="24" t="s">
        <v>242</v>
      </c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26"/>
      <c r="S60" s="73"/>
      <c r="T60" s="32">
        <v>58</v>
      </c>
      <c r="U60" s="24" t="s">
        <v>242</v>
      </c>
    </row>
    <row r="61" spans="1:21" ht="15.75" x14ac:dyDescent="0.25">
      <c r="A61" s="24"/>
      <c r="B61" s="26"/>
      <c r="C61" s="26"/>
      <c r="D61" s="13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73"/>
      <c r="T61" s="32">
        <v>59</v>
      </c>
      <c r="U61" s="24"/>
    </row>
    <row r="62" spans="1:21" ht="15.75" x14ac:dyDescent="0.25">
      <c r="A62" s="24" t="s">
        <v>121</v>
      </c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26"/>
      <c r="S62" s="73"/>
      <c r="T62" s="32">
        <v>60</v>
      </c>
      <c r="U62" s="24" t="s">
        <v>122</v>
      </c>
    </row>
    <row r="63" spans="1:21" ht="15.75" x14ac:dyDescent="0.25">
      <c r="A63" s="24"/>
      <c r="B63" s="26"/>
      <c r="C63" s="26"/>
      <c r="D63" s="13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73"/>
      <c r="T63" s="32">
        <v>61</v>
      </c>
      <c r="U63" s="24"/>
    </row>
    <row r="64" spans="1:21" ht="15.75" x14ac:dyDescent="0.25">
      <c r="A64" s="24" t="s">
        <v>243</v>
      </c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26"/>
      <c r="S64" s="73"/>
      <c r="T64" s="32">
        <v>62</v>
      </c>
      <c r="U64" s="24" t="s">
        <v>243</v>
      </c>
    </row>
    <row r="65" spans="1:21" ht="15.75" x14ac:dyDescent="0.25">
      <c r="A65" s="24"/>
      <c r="B65" s="26"/>
      <c r="C65" s="26"/>
      <c r="D65" s="13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73"/>
      <c r="T65" s="32">
        <v>63</v>
      </c>
      <c r="U65" s="24"/>
    </row>
    <row r="66" spans="1:21" ht="15.75" x14ac:dyDescent="0.25">
      <c r="A66" s="24" t="s">
        <v>244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26"/>
      <c r="S66" s="73"/>
      <c r="T66" s="32">
        <v>64</v>
      </c>
      <c r="U66" s="24" t="s">
        <v>244</v>
      </c>
    </row>
    <row r="67" spans="1:21" ht="15.75" x14ac:dyDescent="0.25">
      <c r="A67" s="24"/>
      <c r="B67" s="26"/>
      <c r="C67" s="26"/>
      <c r="D67" s="13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73"/>
      <c r="T67" s="32">
        <v>65</v>
      </c>
      <c r="U67" s="24"/>
    </row>
    <row r="68" spans="1:21" ht="15.75" x14ac:dyDescent="0.25">
      <c r="A68" s="24" t="s">
        <v>123</v>
      </c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26"/>
      <c r="S68" s="73"/>
      <c r="T68" s="32">
        <v>66</v>
      </c>
      <c r="U68" s="24" t="s">
        <v>123</v>
      </c>
    </row>
    <row r="69" spans="1:21" ht="15.75" x14ac:dyDescent="0.25">
      <c r="A69" s="24"/>
      <c r="B69" s="26"/>
      <c r="C69" s="26"/>
      <c r="D69" s="13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 t="s">
        <v>179</v>
      </c>
      <c r="S69" s="73">
        <f>SUM(P58:P69)</f>
        <v>0</v>
      </c>
      <c r="T69" s="32">
        <v>67</v>
      </c>
      <c r="U69" s="24"/>
    </row>
    <row r="70" spans="1:21" ht="15.75" x14ac:dyDescent="0.25">
      <c r="A70" s="24" t="s">
        <v>124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26"/>
      <c r="S70" s="73"/>
      <c r="T70" s="32">
        <v>68</v>
      </c>
      <c r="U70" s="24" t="s">
        <v>124</v>
      </c>
    </row>
    <row r="71" spans="1:21" ht="15.75" x14ac:dyDescent="0.25">
      <c r="A71" s="24"/>
      <c r="B71" s="26"/>
      <c r="C71" s="26"/>
      <c r="D71" s="13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73"/>
      <c r="T71" s="32">
        <v>69</v>
      </c>
      <c r="U71" s="24"/>
    </row>
    <row r="72" spans="1:21" ht="15.75" x14ac:dyDescent="0.25">
      <c r="A72" s="24" t="s">
        <v>125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26" t="s">
        <v>135</v>
      </c>
      <c r="S72" s="73">
        <f>P72</f>
        <v>0</v>
      </c>
      <c r="T72" s="32">
        <v>70</v>
      </c>
      <c r="U72" s="24" t="s">
        <v>125</v>
      </c>
    </row>
    <row r="73" spans="1:21" ht="15.75" x14ac:dyDescent="0.25">
      <c r="A73" s="24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26"/>
      <c r="S73" s="73"/>
      <c r="T73" s="32">
        <v>71</v>
      </c>
      <c r="U73" s="24"/>
    </row>
    <row r="74" spans="1:21" ht="15.75" x14ac:dyDescent="0.25">
      <c r="A74" s="24" t="s">
        <v>126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26"/>
      <c r="S74" s="73"/>
      <c r="T74" s="32">
        <v>72</v>
      </c>
      <c r="U74" s="24" t="s">
        <v>126</v>
      </c>
    </row>
    <row r="75" spans="1:21" ht="15.75" x14ac:dyDescent="0.25">
      <c r="A75" s="24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26"/>
      <c r="S75" s="73"/>
      <c r="T75" s="32">
        <v>73</v>
      </c>
      <c r="U75" s="24"/>
    </row>
    <row r="76" spans="1:21" ht="15.75" x14ac:dyDescent="0.25">
      <c r="A76" s="24" t="s">
        <v>2</v>
      </c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26"/>
      <c r="S76" s="73"/>
      <c r="T76" s="32">
        <v>74</v>
      </c>
      <c r="U76" s="24" t="s">
        <v>2</v>
      </c>
    </row>
    <row r="77" spans="1:21" ht="15.75" x14ac:dyDescent="0.25">
      <c r="A77" s="24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26"/>
      <c r="S77" s="73"/>
      <c r="T77" s="32">
        <v>75</v>
      </c>
      <c r="U77" s="24"/>
    </row>
    <row r="78" spans="1:21" ht="15.75" x14ac:dyDescent="0.25">
      <c r="A78" s="24" t="s">
        <v>1</v>
      </c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26"/>
      <c r="S78" s="73"/>
      <c r="T78" s="32">
        <v>76</v>
      </c>
      <c r="U78" s="24" t="s">
        <v>1</v>
      </c>
    </row>
    <row r="79" spans="1:21" ht="15.75" x14ac:dyDescent="0.25">
      <c r="A79" s="24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26"/>
      <c r="S79" s="73"/>
      <c r="T79" s="32"/>
      <c r="U79" s="24"/>
    </row>
    <row r="80" spans="1:21" ht="15.75" x14ac:dyDescent="0.25">
      <c r="A80" s="158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8"/>
      <c r="Q80" s="66"/>
      <c r="R80" s="26"/>
      <c r="S80" s="73"/>
    </row>
    <row r="81" spans="1:19" ht="15.75" x14ac:dyDescent="0.25">
      <c r="A81" s="26" t="s">
        <v>0</v>
      </c>
      <c r="B81" s="13">
        <f>SUM(B12:B72)</f>
        <v>0</v>
      </c>
      <c r="C81" s="13">
        <f t="shared" ref="C81" si="2">SUM(C12:C72)</f>
        <v>0</v>
      </c>
      <c r="D81" s="13">
        <f>SUM(D12:D78)-D20</f>
        <v>39984.299999999996</v>
      </c>
      <c r="E81" s="13">
        <f t="shared" ref="E81:O81" si="3">SUM(E12:E78)-E20</f>
        <v>39905.69999999999</v>
      </c>
      <c r="F81" s="13">
        <f t="shared" si="3"/>
        <v>39833.399999999994</v>
      </c>
      <c r="G81" s="13">
        <f>SUM(G12:G78)-G20</f>
        <v>39800.099999999991</v>
      </c>
      <c r="H81" s="13">
        <f t="shared" si="3"/>
        <v>39683.399999999994</v>
      </c>
      <c r="I81" s="13">
        <f t="shared" si="3"/>
        <v>39521.699999999997</v>
      </c>
      <c r="J81" s="13">
        <f t="shared" si="3"/>
        <v>39470.399999999994</v>
      </c>
      <c r="K81" s="13">
        <f t="shared" si="3"/>
        <v>39489.599999999999</v>
      </c>
      <c r="L81" s="13">
        <f t="shared" si="3"/>
        <v>39492</v>
      </c>
      <c r="M81" s="13">
        <f t="shared" si="3"/>
        <v>39466.800000000003</v>
      </c>
      <c r="N81" s="13">
        <f t="shared" si="3"/>
        <v>39343.800000000003</v>
      </c>
      <c r="O81" s="13">
        <f t="shared" si="3"/>
        <v>39528</v>
      </c>
      <c r="P81" s="13">
        <f>SUM(D81:O81)</f>
        <v>475519.19999999995</v>
      </c>
      <c r="Q81" s="13"/>
      <c r="R81" s="26"/>
      <c r="S81" s="73">
        <f>SUM(S17:S72)</f>
        <v>475519.2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80"/>
  <sheetViews>
    <sheetView zoomScale="85" zoomScaleNormal="85" workbookViewId="0">
      <selection activeCell="A7" sqref="A7"/>
    </sheetView>
  </sheetViews>
  <sheetFormatPr defaultColWidth="9.140625" defaultRowHeight="15.75" outlineLevelCol="1" x14ac:dyDescent="0.25"/>
  <cols>
    <col min="1" max="1" width="42.85546875" style="26" customWidth="1"/>
    <col min="2" max="2" width="10.42578125" style="26" hidden="1" customWidth="1" outlineLevel="1"/>
    <col min="3" max="3" width="10.5703125" style="26" hidden="1" customWidth="1" outlineLevel="1"/>
    <col min="4" max="5" width="12.7109375" style="26" customWidth="1" outlineLevel="1"/>
    <col min="6" max="6" width="13.5703125" style="26" customWidth="1" outlineLevel="1"/>
    <col min="7" max="11" width="16.5703125" style="26" customWidth="1" outlineLevel="1"/>
    <col min="12" max="13" width="12.7109375" style="26" customWidth="1" outlineLevel="1"/>
    <col min="14" max="15" width="14.28515625" style="26" customWidth="1" outlineLevel="1"/>
    <col min="16" max="16" width="15.42578125" style="26" customWidth="1"/>
    <col min="17" max="17" width="8" style="26" customWidth="1"/>
    <col min="18" max="18" width="9.140625" style="26" customWidth="1"/>
    <col min="19" max="19" width="16.85546875" style="73" customWidth="1"/>
    <col min="20" max="16384" width="9.140625" style="26"/>
  </cols>
  <sheetData>
    <row r="1" spans="1:22" x14ac:dyDescent="0.25">
      <c r="A1" s="26" t="s">
        <v>70</v>
      </c>
      <c r="D1" s="150"/>
    </row>
    <row r="2" spans="1:22" x14ac:dyDescent="0.25">
      <c r="A2" s="26" t="s">
        <v>71</v>
      </c>
    </row>
    <row r="3" spans="1:22" x14ac:dyDescent="0.25">
      <c r="A3" s="26" t="str">
        <f>'B&amp;A kWh'!B3</f>
        <v>TEST YEAR ENDED March 31, 2023</v>
      </c>
    </row>
    <row r="4" spans="1:22" x14ac:dyDescent="0.25">
      <c r="A4" s="26" t="s">
        <v>81</v>
      </c>
    </row>
    <row r="5" spans="1:22" x14ac:dyDescent="0.25">
      <c r="A5" s="26" t="s">
        <v>183</v>
      </c>
    </row>
    <row r="6" spans="1:22" x14ac:dyDescent="0.25">
      <c r="A6" s="26" t="s">
        <v>131</v>
      </c>
    </row>
    <row r="7" spans="1:22" x14ac:dyDescent="0.25">
      <c r="A7" s="153"/>
      <c r="D7" s="26">
        <v>2022</v>
      </c>
      <c r="O7" s="26">
        <v>2023</v>
      </c>
      <c r="P7" s="32" t="s">
        <v>293</v>
      </c>
      <c r="Q7" s="32"/>
    </row>
    <row r="8" spans="1:22" x14ac:dyDescent="0.25">
      <c r="A8" s="15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  <c r="Q8" s="151"/>
    </row>
    <row r="9" spans="1:22" s="155" customFormat="1" x14ac:dyDescent="0.25">
      <c r="A9" s="26" t="s">
        <v>195</v>
      </c>
      <c r="D9" s="29">
        <v>1</v>
      </c>
      <c r="E9" s="29">
        <v>1</v>
      </c>
      <c r="F9" s="29">
        <v>1</v>
      </c>
      <c r="G9" s="29">
        <v>1</v>
      </c>
      <c r="H9" s="29">
        <v>1</v>
      </c>
      <c r="I9" s="29">
        <v>1</v>
      </c>
      <c r="J9" s="29">
        <v>1</v>
      </c>
      <c r="K9" s="29">
        <v>1</v>
      </c>
      <c r="L9" s="29">
        <v>1</v>
      </c>
      <c r="M9" s="29">
        <v>1</v>
      </c>
      <c r="N9" s="29">
        <v>1</v>
      </c>
      <c r="O9" s="29">
        <v>1</v>
      </c>
      <c r="P9" s="26"/>
      <c r="Q9" s="26"/>
      <c r="S9" s="73"/>
    </row>
    <row r="10" spans="1:22" s="155" customFormat="1" x14ac:dyDescent="0.25">
      <c r="A10" s="26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26"/>
      <c r="Q10" s="26"/>
      <c r="S10" s="73"/>
    </row>
    <row r="12" spans="1:22" x14ac:dyDescent="0.25">
      <c r="A12" s="26" t="s">
        <v>21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>
        <f>SUM(D12:O12)</f>
        <v>0</v>
      </c>
      <c r="Q12" s="13"/>
      <c r="U12" s="26">
        <v>10</v>
      </c>
      <c r="V12" s="26" t="s">
        <v>21</v>
      </c>
    </row>
    <row r="13" spans="1:22" x14ac:dyDescent="0.25">
      <c r="U13" s="26">
        <v>11</v>
      </c>
    </row>
    <row r="14" spans="1:22" x14ac:dyDescent="0.25">
      <c r="A14" s="26" t="s">
        <v>20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>
        <f t="shared" ref="P14" si="0">SUM(D14:O14)</f>
        <v>0</v>
      </c>
      <c r="Q14" s="13"/>
      <c r="U14" s="26">
        <v>12</v>
      </c>
      <c r="V14" s="26" t="s">
        <v>20</v>
      </c>
    </row>
    <row r="15" spans="1:22" x14ac:dyDescent="0.25">
      <c r="U15" s="26">
        <v>13</v>
      </c>
    </row>
    <row r="16" spans="1:22" x14ac:dyDescent="0.25">
      <c r="A16" s="26" t="s">
        <v>19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>
        <f t="shared" ref="P16" si="1">SUM(D16:O16)</f>
        <v>0</v>
      </c>
      <c r="Q16" s="13"/>
      <c r="U16" s="26">
        <v>14</v>
      </c>
      <c r="V16" s="26" t="s">
        <v>19</v>
      </c>
    </row>
    <row r="17" spans="1:22" x14ac:dyDescent="0.25">
      <c r="R17" s="26" t="s">
        <v>176</v>
      </c>
      <c r="S17" s="73">
        <f>SUM(P12:P16)</f>
        <v>0</v>
      </c>
      <c r="U17" s="26">
        <v>15</v>
      </c>
    </row>
    <row r="18" spans="1:22" x14ac:dyDescent="0.25">
      <c r="A18" s="26" t="s">
        <v>172</v>
      </c>
      <c r="U18" s="26">
        <v>16</v>
      </c>
      <c r="V18" s="26" t="s">
        <v>172</v>
      </c>
    </row>
    <row r="19" spans="1:22" x14ac:dyDescent="0.25">
      <c r="A19" s="26" t="s">
        <v>174</v>
      </c>
      <c r="U19" s="26">
        <v>17</v>
      </c>
      <c r="V19" s="26" t="s">
        <v>174</v>
      </c>
    </row>
    <row r="20" spans="1:22" x14ac:dyDescent="0.25">
      <c r="A20" s="26" t="s">
        <v>18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U20" s="26">
        <v>18</v>
      </c>
      <c r="V20" s="26" t="s">
        <v>18</v>
      </c>
    </row>
    <row r="21" spans="1:22" x14ac:dyDescent="0.25">
      <c r="U21" s="26">
        <v>19</v>
      </c>
    </row>
    <row r="22" spans="1:22" x14ac:dyDescent="0.25">
      <c r="A22" s="26" t="s">
        <v>17</v>
      </c>
      <c r="B22" s="13"/>
      <c r="D22" s="13">
        <f>'B&amp;A customer by month'!E20*'Ken Economic Dev.'!$D$9</f>
        <v>22574</v>
      </c>
      <c r="E22" s="13">
        <f>'B&amp;A customer by month'!F20*'Ken Economic Dev.'!$E$9</f>
        <v>22626</v>
      </c>
      <c r="F22" s="13">
        <f>'B&amp;A customer by month'!G20*'Ken Economic Dev.'!$F$9</f>
        <v>22614</v>
      </c>
      <c r="G22" s="13">
        <f>'B&amp;A customer by month'!H20*'Ken Economic Dev.'!$G$9</f>
        <v>22630</v>
      </c>
      <c r="H22" s="13">
        <f>'B&amp;A customer by month'!I20*'Ken Economic Dev.'!$H$9</f>
        <v>22669</v>
      </c>
      <c r="I22" s="13">
        <f>'B&amp;A customer by month'!J20*'Ken Economic Dev.'!$I$9</f>
        <v>22606</v>
      </c>
      <c r="J22" s="13">
        <f>'B&amp;A customer by month'!K20*'Ken Economic Dev.'!$J$9</f>
        <v>22652</v>
      </c>
      <c r="K22" s="13">
        <f>'B&amp;A customer by month'!L20*'Ken Economic Dev.'!$K$9</f>
        <v>22624</v>
      </c>
      <c r="L22" s="13">
        <f>'B&amp;A customer by month'!M20*'Ken Economic Dev.'!$L$9</f>
        <v>22683</v>
      </c>
      <c r="M22" s="13">
        <f>'B&amp;A customer by month'!N20*'Ken Economic Dev.'!$M$9</f>
        <v>22636</v>
      </c>
      <c r="N22" s="13">
        <f>'B&amp;A customer by month'!O20*'Ken Economic Dev.'!$N$9</f>
        <v>22602</v>
      </c>
      <c r="O22" s="13">
        <f>'B&amp;A customer by month'!P20*'Ken Economic Dev.'!$O$9</f>
        <v>22717</v>
      </c>
      <c r="P22" s="13">
        <f>SUM(D22:O22)</f>
        <v>271633</v>
      </c>
      <c r="Q22" s="13"/>
      <c r="U22" s="26">
        <v>20</v>
      </c>
      <c r="V22" s="26" t="s">
        <v>17</v>
      </c>
    </row>
    <row r="23" spans="1:22" x14ac:dyDescent="0.25"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U23" s="26">
        <v>21</v>
      </c>
    </row>
    <row r="24" spans="1:22" x14ac:dyDescent="0.25">
      <c r="A24" s="26" t="s">
        <v>16</v>
      </c>
      <c r="B24" s="13"/>
      <c r="C24" s="13"/>
      <c r="D24" s="13">
        <f>'B&amp;A customer by month'!E22*'Ken Economic Dev.'!$D$9</f>
        <v>31</v>
      </c>
      <c r="E24" s="13">
        <f>'B&amp;A customer by month'!F22*'Ken Economic Dev.'!$E$9</f>
        <v>31</v>
      </c>
      <c r="F24" s="13">
        <f>'B&amp;A customer by month'!G22*'Ken Economic Dev.'!$D$9</f>
        <v>31</v>
      </c>
      <c r="G24" s="13">
        <f>'B&amp;A customer by month'!H22*'Ken Economic Dev.'!$G$9</f>
        <v>31</v>
      </c>
      <c r="H24" s="13">
        <f>'B&amp;A customer by month'!I22*'Ken Economic Dev.'!$H$9</f>
        <v>31</v>
      </c>
      <c r="I24" s="13">
        <f>'B&amp;A customer by month'!J22*'Ken Economic Dev.'!$I$9</f>
        <v>31</v>
      </c>
      <c r="J24" s="13">
        <f>'B&amp;A customer by month'!K22*'Ken Economic Dev.'!$J$9</f>
        <v>31</v>
      </c>
      <c r="K24" s="13">
        <f>'B&amp;A customer by month'!L22*'Ken Economic Dev.'!$K$9</f>
        <v>32</v>
      </c>
      <c r="L24" s="13">
        <f>'B&amp;A customer by month'!M22*'Ken Economic Dev.'!$L$9</f>
        <v>30</v>
      </c>
      <c r="M24" s="13">
        <f>'B&amp;A customer by month'!N22*'Ken Economic Dev.'!$M$9</f>
        <v>27</v>
      </c>
      <c r="N24" s="13">
        <f>'B&amp;A customer by month'!O22*'Ken Economic Dev.'!$N$9</f>
        <v>25</v>
      </c>
      <c r="O24" s="13">
        <f>'B&amp;A customer by month'!P22*'Ken Economic Dev.'!$O$9</f>
        <v>29</v>
      </c>
      <c r="P24" s="13">
        <f t="shared" ref="P24" si="2">SUM(D24:O24)</f>
        <v>360</v>
      </c>
      <c r="Q24" s="13"/>
      <c r="U24" s="26">
        <v>22</v>
      </c>
      <c r="V24" s="26" t="s">
        <v>16</v>
      </c>
    </row>
    <row r="25" spans="1:22" x14ac:dyDescent="0.25"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U25" s="26">
        <v>23</v>
      </c>
    </row>
    <row r="26" spans="1:22" x14ac:dyDescent="0.25">
      <c r="A26" s="26" t="s">
        <v>15</v>
      </c>
      <c r="B26" s="13"/>
      <c r="C26" s="13"/>
      <c r="D26" s="13">
        <f>'B&amp;A customer by month'!E24*'Ken Economic Dev.'!$D$9</f>
        <v>498</v>
      </c>
      <c r="E26" s="13">
        <f>'B&amp;A customer by month'!F24*'Ken Economic Dev.'!$E$9</f>
        <v>498</v>
      </c>
      <c r="F26" s="13">
        <f>'B&amp;A customer by month'!G24*'Ken Economic Dev.'!$D$9</f>
        <v>501</v>
      </c>
      <c r="G26" s="13">
        <f>'B&amp;A customer by month'!H24*'Ken Economic Dev.'!$G$9</f>
        <v>496</v>
      </c>
      <c r="H26" s="13">
        <f>'B&amp;A customer by month'!I24*'Ken Economic Dev.'!$H$9</f>
        <v>502</v>
      </c>
      <c r="I26" s="13">
        <f>'B&amp;A customer by month'!J24*'Ken Economic Dev.'!$I$9</f>
        <v>498</v>
      </c>
      <c r="J26" s="13">
        <f>'B&amp;A customer by month'!K24*'Ken Economic Dev.'!$J$9</f>
        <v>497</v>
      </c>
      <c r="K26" s="13">
        <f>'B&amp;A customer by month'!L24*'Ken Economic Dev.'!$K$9</f>
        <v>497</v>
      </c>
      <c r="L26" s="13">
        <f>'B&amp;A customer by month'!M24*'Ken Economic Dev.'!$L$9</f>
        <v>497</v>
      </c>
      <c r="M26" s="13">
        <f>'B&amp;A customer by month'!N24*'Ken Economic Dev.'!$M$9</f>
        <v>495</v>
      </c>
      <c r="N26" s="13">
        <f>'B&amp;A customer by month'!O24*'Ken Economic Dev.'!$N$9</f>
        <v>496</v>
      </c>
      <c r="O26" s="13">
        <f>'B&amp;A customer by month'!P24*'Ken Economic Dev.'!$O$9</f>
        <v>500</v>
      </c>
      <c r="P26" s="13">
        <f t="shared" ref="P26" si="3">SUM(D26:O26)</f>
        <v>5975</v>
      </c>
      <c r="Q26" s="13"/>
      <c r="U26" s="26">
        <v>24</v>
      </c>
      <c r="V26" s="26" t="s">
        <v>15</v>
      </c>
    </row>
    <row r="27" spans="1:22" x14ac:dyDescent="0.25"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U27" s="26">
        <v>25</v>
      </c>
    </row>
    <row r="28" spans="1:22" x14ac:dyDescent="0.25">
      <c r="A28" s="26" t="s">
        <v>14</v>
      </c>
      <c r="B28" s="13"/>
      <c r="C28" s="13"/>
      <c r="D28" s="13">
        <f>'B&amp;A customer by month'!E26*'Ken Economic Dev.'!$D$9</f>
        <v>970</v>
      </c>
      <c r="E28" s="13">
        <f>'B&amp;A customer by month'!F26*'Ken Economic Dev.'!$E$9</f>
        <v>964</v>
      </c>
      <c r="F28" s="13">
        <f>'B&amp;A customer by month'!G26*'Ken Economic Dev.'!$D$9</f>
        <v>947</v>
      </c>
      <c r="G28" s="13">
        <f>'B&amp;A customer by month'!H26*'Ken Economic Dev.'!$G$9</f>
        <v>945</v>
      </c>
      <c r="H28" s="13">
        <f>'B&amp;A customer by month'!I26*'Ken Economic Dev.'!$H$9</f>
        <v>945</v>
      </c>
      <c r="I28" s="13">
        <f>'B&amp;A customer by month'!J26*'Ken Economic Dev.'!$I$9</f>
        <v>971</v>
      </c>
      <c r="J28" s="13">
        <f>'B&amp;A customer by month'!K26*'Ken Economic Dev.'!$J$9</f>
        <v>937</v>
      </c>
      <c r="K28" s="13">
        <f>'B&amp;A customer by month'!L26*'Ken Economic Dev.'!$K$9</f>
        <v>937</v>
      </c>
      <c r="L28" s="13">
        <f>'B&amp;A customer by month'!M26*'Ken Economic Dev.'!$L$9</f>
        <v>941</v>
      </c>
      <c r="M28" s="13">
        <f>'B&amp;A customer by month'!N26*'Ken Economic Dev.'!$M$9</f>
        <v>946</v>
      </c>
      <c r="N28" s="13">
        <f>'B&amp;A customer by month'!O26*'Ken Economic Dev.'!$N$9</f>
        <v>937</v>
      </c>
      <c r="O28" s="13">
        <f>'B&amp;A customer by month'!P26*'Ken Economic Dev.'!$O$9</f>
        <v>936</v>
      </c>
      <c r="P28" s="13">
        <f t="shared" ref="P28" si="4">SUM(D28:O28)</f>
        <v>11376</v>
      </c>
      <c r="Q28" s="13"/>
      <c r="U28" s="26">
        <v>26</v>
      </c>
      <c r="V28" s="26" t="s">
        <v>14</v>
      </c>
    </row>
    <row r="29" spans="1:22" x14ac:dyDescent="0.25"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R29" s="26" t="s">
        <v>177</v>
      </c>
      <c r="S29" s="73">
        <f>SUM(P22:P28)</f>
        <v>289344</v>
      </c>
      <c r="U29" s="26">
        <v>27</v>
      </c>
    </row>
    <row r="30" spans="1:22" x14ac:dyDescent="0.25">
      <c r="A30" s="26" t="s">
        <v>13</v>
      </c>
      <c r="B30" s="13"/>
      <c r="C30" s="13"/>
      <c r="D30" s="13">
        <f>'B&amp;A customer by month'!E28*'Ken Economic Dev.'!$D$9</f>
        <v>85</v>
      </c>
      <c r="E30" s="13">
        <f>'B&amp;A customer by month'!F28*'Ken Economic Dev.'!$E$9</f>
        <v>85</v>
      </c>
      <c r="F30" s="13">
        <f>'B&amp;A customer by month'!G28*'Ken Economic Dev.'!$D$9</f>
        <v>85</v>
      </c>
      <c r="G30" s="13">
        <f>'B&amp;A customer by month'!H28*'Ken Economic Dev.'!$G$9</f>
        <v>85</v>
      </c>
      <c r="H30" s="13">
        <f>'B&amp;A customer by month'!I28*'Ken Economic Dev.'!$H$9</f>
        <v>85</v>
      </c>
      <c r="I30" s="13">
        <f>'B&amp;A customer by month'!J28*'Ken Economic Dev.'!$I$9</f>
        <v>83</v>
      </c>
      <c r="J30" s="13">
        <f>'B&amp;A customer by month'!K28*'Ken Economic Dev.'!$J$9</f>
        <v>83</v>
      </c>
      <c r="K30" s="13">
        <f>'B&amp;A customer by month'!L28*'Ken Economic Dev.'!$K$9</f>
        <v>84</v>
      </c>
      <c r="L30" s="13">
        <f>'B&amp;A customer by month'!M28*'Ken Economic Dev.'!$L$9</f>
        <v>83</v>
      </c>
      <c r="M30" s="13">
        <f>'B&amp;A customer by month'!N28*'Ken Economic Dev.'!$M$9</f>
        <v>85</v>
      </c>
      <c r="N30" s="13">
        <f>'B&amp;A customer by month'!O28*'Ken Economic Dev.'!$N$9</f>
        <v>86</v>
      </c>
      <c r="O30" s="13">
        <f>'B&amp;A customer by month'!P28*'Ken Economic Dev.'!$O$9</f>
        <v>86</v>
      </c>
      <c r="P30" s="13">
        <f t="shared" ref="P30" si="5">SUM(D30:O30)</f>
        <v>1015</v>
      </c>
      <c r="Q30" s="13"/>
      <c r="U30" s="26">
        <v>28</v>
      </c>
      <c r="V30" s="26" t="s">
        <v>13</v>
      </c>
    </row>
    <row r="31" spans="1:22" x14ac:dyDescent="0.25"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U31" s="26">
        <v>29</v>
      </c>
    </row>
    <row r="32" spans="1:22" x14ac:dyDescent="0.25">
      <c r="A32" s="26" t="s">
        <v>12</v>
      </c>
      <c r="B32" s="13"/>
      <c r="C32" s="13"/>
      <c r="D32" s="13">
        <f>'B&amp;A customer by month'!E30*'Ken Economic Dev.'!$D$9</f>
        <v>6436</v>
      </c>
      <c r="E32" s="13">
        <f>'B&amp;A customer by month'!F30*'Ken Economic Dev.'!$E$9</f>
        <v>6428</v>
      </c>
      <c r="F32" s="13">
        <f>'B&amp;A customer by month'!G30*'Ken Economic Dev.'!$D$9</f>
        <v>6433</v>
      </c>
      <c r="G32" s="13">
        <f>'B&amp;A customer by month'!H30*'Ken Economic Dev.'!$G$9</f>
        <v>6413</v>
      </c>
      <c r="H32" s="13">
        <f>'B&amp;A customer by month'!I30*'Ken Economic Dev.'!$H$9</f>
        <v>6424</v>
      </c>
      <c r="I32" s="13">
        <f>'B&amp;A customer by month'!J30*'Ken Economic Dev.'!$I$9</f>
        <v>6408</v>
      </c>
      <c r="J32" s="13">
        <f>'B&amp;A customer by month'!K30*'Ken Economic Dev.'!$J$9</f>
        <v>6400</v>
      </c>
      <c r="K32" s="13">
        <f>'B&amp;A customer by month'!L30*'Ken Economic Dev.'!$K$9</f>
        <v>6394</v>
      </c>
      <c r="L32" s="13">
        <f>'B&amp;A customer by month'!M30*'Ken Economic Dev.'!$L$9</f>
        <v>6391</v>
      </c>
      <c r="M32" s="13">
        <f>'B&amp;A customer by month'!N30*'Ken Economic Dev.'!$M$9</f>
        <v>6388</v>
      </c>
      <c r="N32" s="13">
        <f>'B&amp;A customer by month'!O30*'Ken Economic Dev.'!$N$9</f>
        <v>6364</v>
      </c>
      <c r="O32" s="13">
        <f>'B&amp;A customer by month'!P30*'Ken Economic Dev.'!$O$9</f>
        <v>6410</v>
      </c>
      <c r="P32" s="13">
        <f t="shared" ref="P32" si="6">SUM(D32:O32)</f>
        <v>76889</v>
      </c>
      <c r="Q32" s="13"/>
      <c r="U32" s="26">
        <v>30</v>
      </c>
      <c r="V32" s="26" t="s">
        <v>12</v>
      </c>
    </row>
    <row r="33" spans="1:22" x14ac:dyDescent="0.25"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U33" s="26">
        <v>31</v>
      </c>
    </row>
    <row r="34" spans="1:22" x14ac:dyDescent="0.25">
      <c r="A34" s="26" t="s">
        <v>11</v>
      </c>
      <c r="B34" s="13"/>
      <c r="C34" s="13"/>
      <c r="D34" s="13">
        <f>'B&amp;A customer by month'!E32*'Ken Economic Dev.'!$D$9</f>
        <v>39</v>
      </c>
      <c r="E34" s="13">
        <f>'B&amp;A customer by month'!F32*'Ken Economic Dev.'!$E$9</f>
        <v>39</v>
      </c>
      <c r="F34" s="13">
        <f>'B&amp;A customer by month'!G32*'Ken Economic Dev.'!$D$9</f>
        <v>39</v>
      </c>
      <c r="G34" s="13">
        <f>'B&amp;A customer by month'!H32*'Ken Economic Dev.'!$G$9</f>
        <v>38</v>
      </c>
      <c r="H34" s="13">
        <f>'B&amp;A customer by month'!I32*'Ken Economic Dev.'!$H$9</f>
        <v>38</v>
      </c>
      <c r="I34" s="13">
        <f>'B&amp;A customer by month'!J32*'Ken Economic Dev.'!$I$9</f>
        <v>37</v>
      </c>
      <c r="J34" s="13">
        <f>'B&amp;A customer by month'!K32*'Ken Economic Dev.'!$J$9</f>
        <v>36</v>
      </c>
      <c r="K34" s="13">
        <f>'B&amp;A customer by month'!L32*'Ken Economic Dev.'!$K$9</f>
        <v>36</v>
      </c>
      <c r="L34" s="13">
        <f>'B&amp;A customer by month'!M32*'Ken Economic Dev.'!$L$9</f>
        <v>36</v>
      </c>
      <c r="M34" s="13">
        <f>'B&amp;A customer by month'!N32*'Ken Economic Dev.'!$M$9</f>
        <v>36</v>
      </c>
      <c r="N34" s="13">
        <f>'B&amp;A customer by month'!O32*'Ken Economic Dev.'!$N$9</f>
        <v>36</v>
      </c>
      <c r="O34" s="13">
        <f>'B&amp;A customer by month'!P32*'Ken Economic Dev.'!$O$9</f>
        <v>36</v>
      </c>
      <c r="P34" s="13">
        <f t="shared" ref="P34" si="7">SUM(D34:O34)</f>
        <v>446</v>
      </c>
      <c r="Q34" s="13"/>
      <c r="U34" s="26">
        <v>32</v>
      </c>
      <c r="V34" s="26" t="s">
        <v>11</v>
      </c>
    </row>
    <row r="35" spans="1:22" x14ac:dyDescent="0.25"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U35" s="26">
        <v>33</v>
      </c>
    </row>
    <row r="36" spans="1:22" x14ac:dyDescent="0.25">
      <c r="A36" s="26" t="s">
        <v>10</v>
      </c>
      <c r="B36" s="13"/>
      <c r="C36" s="13"/>
      <c r="D36" s="13">
        <f>'B&amp;A customer by month'!E34*'Ken Economic Dev.'!$D$9</f>
        <v>138</v>
      </c>
      <c r="E36" s="13">
        <f>'B&amp;A customer by month'!F34*'Ken Economic Dev.'!$E$9</f>
        <v>138</v>
      </c>
      <c r="F36" s="13">
        <f>'B&amp;A customer by month'!G34*'Ken Economic Dev.'!$D$9</f>
        <v>138</v>
      </c>
      <c r="G36" s="13">
        <f>'B&amp;A customer by month'!H34*'Ken Economic Dev.'!$G$9</f>
        <v>138</v>
      </c>
      <c r="H36" s="13">
        <f>'B&amp;A customer by month'!I34*'Ken Economic Dev.'!$H$9</f>
        <v>138</v>
      </c>
      <c r="I36" s="13">
        <f>'B&amp;A customer by month'!J34*'Ken Economic Dev.'!$I$9</f>
        <v>138</v>
      </c>
      <c r="J36" s="13">
        <f>'B&amp;A customer by month'!K34*'Ken Economic Dev.'!$J$9</f>
        <v>138</v>
      </c>
      <c r="K36" s="13">
        <f>'B&amp;A customer by month'!L34*'Ken Economic Dev.'!$K$9</f>
        <v>139</v>
      </c>
      <c r="L36" s="13">
        <f>'B&amp;A customer by month'!M34*'Ken Economic Dev.'!$L$9</f>
        <v>142</v>
      </c>
      <c r="M36" s="13">
        <f>'B&amp;A customer by month'!N34*'Ken Economic Dev.'!$M$9</f>
        <v>142</v>
      </c>
      <c r="N36" s="13">
        <f>'B&amp;A customer by month'!O34*'Ken Economic Dev.'!$N$9</f>
        <v>141</v>
      </c>
      <c r="O36" s="13">
        <f>'B&amp;A customer by month'!P34*'Ken Economic Dev.'!$O$9</f>
        <v>142</v>
      </c>
      <c r="P36" s="13">
        <f t="shared" ref="P36" si="8">SUM(D36:O36)</f>
        <v>1672</v>
      </c>
      <c r="Q36" s="13"/>
      <c r="U36" s="26">
        <v>34</v>
      </c>
      <c r="V36" s="26" t="s">
        <v>10</v>
      </c>
    </row>
    <row r="37" spans="1:22" x14ac:dyDescent="0.25"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U37" s="26">
        <v>35</v>
      </c>
    </row>
    <row r="38" spans="1:22" x14ac:dyDescent="0.25">
      <c r="A38" s="26" t="s">
        <v>9</v>
      </c>
      <c r="B38" s="13"/>
      <c r="C38" s="13"/>
      <c r="D38" s="13">
        <f>'B&amp;A customer by month'!E36*'Ken Economic Dev.'!$D$9</f>
        <v>72</v>
      </c>
      <c r="E38" s="13">
        <f>'B&amp;A customer by month'!F36*'Ken Economic Dev.'!$E$9</f>
        <v>74</v>
      </c>
      <c r="F38" s="13">
        <f>'B&amp;A customer by month'!G36*'Ken Economic Dev.'!$D$9</f>
        <v>75</v>
      </c>
      <c r="G38" s="13">
        <f>'B&amp;A customer by month'!H36*'Ken Economic Dev.'!$G$9</f>
        <v>74</v>
      </c>
      <c r="H38" s="13">
        <f>'B&amp;A customer by month'!I36*'Ken Economic Dev.'!$H$9</f>
        <v>82</v>
      </c>
      <c r="I38" s="13">
        <f>'B&amp;A customer by month'!J36*'Ken Economic Dev.'!$I$9</f>
        <v>73</v>
      </c>
      <c r="J38" s="13">
        <f>'B&amp;A customer by month'!K36*'Ken Economic Dev.'!$J$9</f>
        <v>74</v>
      </c>
      <c r="K38" s="13">
        <f>'B&amp;A customer by month'!L36*'Ken Economic Dev.'!$K$9</f>
        <v>76</v>
      </c>
      <c r="L38" s="13">
        <f>'B&amp;A customer by month'!M36*'Ken Economic Dev.'!$L$9</f>
        <v>74</v>
      </c>
      <c r="M38" s="13">
        <f>'B&amp;A customer by month'!N36*'Ken Economic Dev.'!$M$9</f>
        <v>71</v>
      </c>
      <c r="N38" s="13">
        <f>'B&amp;A customer by month'!O36*'Ken Economic Dev.'!$N$9</f>
        <v>73</v>
      </c>
      <c r="O38" s="13">
        <f>'B&amp;A customer by month'!P36*'Ken Economic Dev.'!$O$9</f>
        <v>72</v>
      </c>
      <c r="P38" s="13">
        <f t="shared" ref="P38" si="9">SUM(D38:O38)</f>
        <v>890</v>
      </c>
      <c r="Q38" s="13"/>
      <c r="U38" s="26">
        <v>36</v>
      </c>
      <c r="V38" s="26" t="s">
        <v>9</v>
      </c>
    </row>
    <row r="39" spans="1:22" x14ac:dyDescent="0.25"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U39" s="26">
        <v>37</v>
      </c>
    </row>
    <row r="40" spans="1:22" x14ac:dyDescent="0.25">
      <c r="A40" s="26" t="s">
        <v>8</v>
      </c>
      <c r="B40" s="13"/>
      <c r="C40" s="13"/>
      <c r="D40" s="13">
        <f>'B&amp;A customer by month'!E38*'Ken Economic Dev.'!$D$9</f>
        <v>3</v>
      </c>
      <c r="E40" s="13">
        <f>'B&amp;A customer by month'!F38*'Ken Economic Dev.'!$E$9</f>
        <v>4</v>
      </c>
      <c r="F40" s="13">
        <f>'B&amp;A customer by month'!G38*'Ken Economic Dev.'!$D$9</f>
        <v>4</v>
      </c>
      <c r="G40" s="13">
        <f>'B&amp;A customer by month'!H38*'Ken Economic Dev.'!$G$9</f>
        <v>2</v>
      </c>
      <c r="H40" s="13">
        <f>'B&amp;A customer by month'!I38*'Ken Economic Dev.'!$H$9</f>
        <v>3</v>
      </c>
      <c r="I40" s="13">
        <f>'B&amp;A customer by month'!J38*'Ken Economic Dev.'!$I$9</f>
        <v>4</v>
      </c>
      <c r="J40" s="13">
        <f>'B&amp;A customer by month'!K38*'Ken Economic Dev.'!$J$9</f>
        <v>2</v>
      </c>
      <c r="K40" s="13">
        <f>'B&amp;A customer by month'!L38*'Ken Economic Dev.'!$K$9</f>
        <v>3</v>
      </c>
      <c r="L40" s="13">
        <f>'B&amp;A customer by month'!M38*'Ken Economic Dev.'!$L$9</f>
        <v>4</v>
      </c>
      <c r="M40" s="13">
        <f>'B&amp;A customer by month'!N38*'Ken Economic Dev.'!$M$9</f>
        <v>3</v>
      </c>
      <c r="N40" s="13">
        <f>'B&amp;A customer by month'!O38*'Ken Economic Dev.'!$N$9</f>
        <v>2</v>
      </c>
      <c r="O40" s="13">
        <f>'B&amp;A customer by month'!P38*'Ken Economic Dev.'!$O$9</f>
        <v>3</v>
      </c>
      <c r="P40" s="13">
        <f t="shared" ref="P40" si="10">SUM(D40:O40)</f>
        <v>37</v>
      </c>
      <c r="Q40" s="13"/>
      <c r="U40" s="26">
        <v>38</v>
      </c>
      <c r="V40" s="26" t="s">
        <v>8</v>
      </c>
    </row>
    <row r="41" spans="1:22" x14ac:dyDescent="0.25"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R41" s="26" t="s">
        <v>132</v>
      </c>
      <c r="S41" s="73">
        <f>SUM(P30:P41)</f>
        <v>80949</v>
      </c>
      <c r="U41" s="26">
        <v>39</v>
      </c>
    </row>
    <row r="42" spans="1:22" x14ac:dyDescent="0.25">
      <c r="A42" s="26" t="s">
        <v>7</v>
      </c>
      <c r="B42" s="13"/>
      <c r="C42" s="13"/>
      <c r="D42" s="13">
        <f>'B&amp;A customer by month'!E40*'Ken Economic Dev.'!$D$9</f>
        <v>359</v>
      </c>
      <c r="E42" s="13">
        <f>'B&amp;A customer by month'!F40*'Ken Economic Dev.'!$E$9</f>
        <v>359</v>
      </c>
      <c r="F42" s="13">
        <f>'B&amp;A customer by month'!G40*'Ken Economic Dev.'!$D$9</f>
        <v>355</v>
      </c>
      <c r="G42" s="13">
        <f>'B&amp;A customer by month'!H40*'Ken Economic Dev.'!$G$9</f>
        <v>357</v>
      </c>
      <c r="H42" s="13">
        <f>'B&amp;A customer by month'!I40*'Ken Economic Dev.'!$H$9</f>
        <v>354</v>
      </c>
      <c r="I42" s="13">
        <f>'B&amp;A customer by month'!J40*'Ken Economic Dev.'!$I$9</f>
        <v>358</v>
      </c>
      <c r="J42" s="13">
        <f>'B&amp;A customer by month'!K40*'Ken Economic Dev.'!$J$9</f>
        <v>359</v>
      </c>
      <c r="K42" s="13">
        <f>'B&amp;A customer by month'!L40*'Ken Economic Dev.'!$K$9</f>
        <v>361</v>
      </c>
      <c r="L42" s="13">
        <f>'B&amp;A customer by month'!M40*'Ken Economic Dev.'!$L$9</f>
        <v>366</v>
      </c>
      <c r="M42" s="13">
        <f>'B&amp;A customer by month'!N40*'Ken Economic Dev.'!$M$9</f>
        <v>364</v>
      </c>
      <c r="N42" s="13">
        <f>'B&amp;A customer by month'!O40*'Ken Economic Dev.'!$N$9</f>
        <v>364</v>
      </c>
      <c r="O42" s="13">
        <f>'B&amp;A customer by month'!P40*'Ken Economic Dev.'!$O$9</f>
        <v>364</v>
      </c>
      <c r="P42" s="13">
        <f>SUM(D42:O42)</f>
        <v>4320</v>
      </c>
      <c r="Q42" s="13"/>
      <c r="U42" s="26">
        <v>40</v>
      </c>
      <c r="V42" s="26" t="s">
        <v>7</v>
      </c>
    </row>
    <row r="43" spans="1:22" x14ac:dyDescent="0.25"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U43" s="26">
        <v>41</v>
      </c>
    </row>
    <row r="44" spans="1:22" x14ac:dyDescent="0.25">
      <c r="A44" s="26" t="s">
        <v>6</v>
      </c>
      <c r="B44" s="13"/>
      <c r="C44" s="13"/>
      <c r="D44" s="13">
        <f>'B&amp;A customer by month'!E42*'Ken Economic Dev.'!$D$9</f>
        <v>7</v>
      </c>
      <c r="E44" s="13">
        <f>'B&amp;A customer by month'!F42*'Ken Economic Dev.'!$E$9</f>
        <v>7</v>
      </c>
      <c r="F44" s="13">
        <f>'B&amp;A customer by month'!G42*'Ken Economic Dev.'!$D$9</f>
        <v>7</v>
      </c>
      <c r="G44" s="13">
        <f>'B&amp;A customer by month'!H42*'Ken Economic Dev.'!$G$9</f>
        <v>7</v>
      </c>
      <c r="H44" s="13">
        <f>'B&amp;A customer by month'!I42*'Ken Economic Dev.'!$H$9</f>
        <v>7</v>
      </c>
      <c r="I44" s="13">
        <f>'B&amp;A customer by month'!J42*'Ken Economic Dev.'!$I$9</f>
        <v>7</v>
      </c>
      <c r="J44" s="13">
        <f>'B&amp;A customer by month'!K42*'Ken Economic Dev.'!$J$9</f>
        <v>7</v>
      </c>
      <c r="K44" s="13">
        <f>'B&amp;A customer by month'!L42*'Ken Economic Dev.'!$K$9</f>
        <v>7</v>
      </c>
      <c r="L44" s="13">
        <f>'B&amp;A customer by month'!M42*'Ken Economic Dev.'!$L$9</f>
        <v>7</v>
      </c>
      <c r="M44" s="13">
        <f>'B&amp;A customer by month'!N42*'Ken Economic Dev.'!$M$9</f>
        <v>7</v>
      </c>
      <c r="N44" s="13">
        <f>'B&amp;A customer by month'!O42*'Ken Economic Dev.'!$N$9</f>
        <v>7</v>
      </c>
      <c r="O44" s="13">
        <f>'B&amp;A customer by month'!P42*'Ken Economic Dev.'!$O$9</f>
        <v>7</v>
      </c>
      <c r="P44" s="13">
        <f t="shared" ref="P44" si="11">SUM(D44:O44)</f>
        <v>84</v>
      </c>
      <c r="Q44" s="13"/>
      <c r="U44" s="26">
        <v>42</v>
      </c>
      <c r="V44" s="26" t="s">
        <v>6</v>
      </c>
    </row>
    <row r="45" spans="1:22" x14ac:dyDescent="0.25"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U45" s="26">
        <v>43</v>
      </c>
    </row>
    <row r="46" spans="1:22" x14ac:dyDescent="0.25">
      <c r="A46" s="26" t="s">
        <v>118</v>
      </c>
      <c r="B46" s="13"/>
      <c r="C46" s="13"/>
      <c r="D46" s="13">
        <f>'B&amp;A customer by month'!E44*'Ken Economic Dev.'!$D$9</f>
        <v>3</v>
      </c>
      <c r="E46" s="13">
        <f>'B&amp;A customer by month'!F44*'Ken Economic Dev.'!$E$9</f>
        <v>5</v>
      </c>
      <c r="F46" s="13">
        <f>'B&amp;A customer by month'!G44*'Ken Economic Dev.'!$D$9</f>
        <v>4</v>
      </c>
      <c r="G46" s="13">
        <f>'B&amp;A customer by month'!H44*'Ken Economic Dev.'!$G$9</f>
        <v>4</v>
      </c>
      <c r="H46" s="13">
        <f>'B&amp;A customer by month'!I44*'Ken Economic Dev.'!$H$9</f>
        <v>4</v>
      </c>
      <c r="I46" s="13">
        <f>'B&amp;A customer by month'!J44*'Ken Economic Dev.'!$I$9</f>
        <v>4</v>
      </c>
      <c r="J46" s="13">
        <f>'B&amp;A customer by month'!K44*'Ken Economic Dev.'!$J$9</f>
        <v>4</v>
      </c>
      <c r="K46" s="13">
        <f>'B&amp;A customer by month'!L44*'Ken Economic Dev.'!$K$9</f>
        <v>4</v>
      </c>
      <c r="L46" s="13">
        <f>'B&amp;A customer by month'!M44*'Ken Economic Dev.'!$L$9</f>
        <v>4</v>
      </c>
      <c r="M46" s="13">
        <f>'B&amp;A customer by month'!N44*'Ken Economic Dev.'!$M$9</f>
        <v>4</v>
      </c>
      <c r="N46" s="13">
        <f>'B&amp;A customer by month'!O44*'Ken Economic Dev.'!$N$9</f>
        <v>5</v>
      </c>
      <c r="O46" s="13">
        <f>'B&amp;A customer by month'!P44*'Ken Economic Dev.'!$O$9</f>
        <v>5</v>
      </c>
      <c r="P46" s="13">
        <f t="shared" ref="P46" si="12">SUM(D46:O46)</f>
        <v>50</v>
      </c>
      <c r="Q46" s="13"/>
      <c r="U46" s="26">
        <v>44</v>
      </c>
      <c r="V46" s="26" t="s">
        <v>118</v>
      </c>
    </row>
    <row r="47" spans="1:22" x14ac:dyDescent="0.25"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U47" s="26">
        <v>45</v>
      </c>
    </row>
    <row r="48" spans="1:22" x14ac:dyDescent="0.25">
      <c r="A48" s="26" t="s">
        <v>241</v>
      </c>
      <c r="B48" s="13"/>
      <c r="C48" s="13"/>
      <c r="D48" s="13">
        <f>'B&amp;A customer by month'!E46*'Ken Economic Dev.'!$D$9</f>
        <v>2</v>
      </c>
      <c r="E48" s="13">
        <f>'B&amp;A customer by month'!F46*'Ken Economic Dev.'!$E$9</f>
        <v>2</v>
      </c>
      <c r="F48" s="13">
        <f>'B&amp;A customer by month'!G46*'Ken Economic Dev.'!$D$9</f>
        <v>2</v>
      </c>
      <c r="G48" s="13">
        <f>'B&amp;A customer by month'!H46*'Ken Economic Dev.'!$G$9</f>
        <v>2</v>
      </c>
      <c r="H48" s="13">
        <f>'B&amp;A customer by month'!I46*'Ken Economic Dev.'!$H$9</f>
        <v>2</v>
      </c>
      <c r="I48" s="13">
        <f>'B&amp;A customer by month'!J46*'Ken Economic Dev.'!$I$9</f>
        <v>2</v>
      </c>
      <c r="J48" s="13">
        <f>'B&amp;A customer by month'!K46*'Ken Economic Dev.'!$J$9</f>
        <v>2</v>
      </c>
      <c r="K48" s="13">
        <f>'B&amp;A customer by month'!L46*'Ken Economic Dev.'!$K$9</f>
        <v>1</v>
      </c>
      <c r="L48" s="13">
        <f>'B&amp;A customer by month'!M46*'Ken Economic Dev.'!$L$9</f>
        <v>2</v>
      </c>
      <c r="M48" s="13">
        <f>'B&amp;A customer by month'!N46*'Ken Economic Dev.'!$M$9</f>
        <v>3</v>
      </c>
      <c r="N48" s="13">
        <f>'B&amp;A customer by month'!O46*'Ken Economic Dev.'!$N$9</f>
        <v>2</v>
      </c>
      <c r="O48" s="13">
        <f>'B&amp;A customer by month'!P46*'Ken Economic Dev.'!$O$9</f>
        <v>2</v>
      </c>
      <c r="P48" s="13">
        <f t="shared" ref="P48" si="13">SUM(D48:O48)</f>
        <v>24</v>
      </c>
      <c r="Q48" s="13"/>
      <c r="U48" s="26">
        <v>46</v>
      </c>
      <c r="V48" s="26" t="s">
        <v>241</v>
      </c>
    </row>
    <row r="49" spans="1:22" x14ac:dyDescent="0.25"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U49" s="26">
        <v>47</v>
      </c>
    </row>
    <row r="50" spans="1:22" x14ac:dyDescent="0.25">
      <c r="A50" s="26" t="s">
        <v>5</v>
      </c>
      <c r="B50" s="13"/>
      <c r="C50" s="13"/>
      <c r="D50" s="13">
        <f>'B&amp;A customer by month'!E48*'Ken Economic Dev.'!$D$9</f>
        <v>65</v>
      </c>
      <c r="E50" s="13">
        <f>'B&amp;A customer by month'!F48*'Ken Economic Dev.'!$E$9</f>
        <v>65</v>
      </c>
      <c r="F50" s="13">
        <f>'B&amp;A customer by month'!G48*'Ken Economic Dev.'!$D$9</f>
        <v>64</v>
      </c>
      <c r="G50" s="13">
        <f>'B&amp;A customer by month'!H48*'Ken Economic Dev.'!$G$9</f>
        <v>65</v>
      </c>
      <c r="H50" s="13">
        <f>'B&amp;A customer by month'!I48*'Ken Economic Dev.'!$H$9</f>
        <v>63</v>
      </c>
      <c r="I50" s="13">
        <f>'B&amp;A customer by month'!J48*'Ken Economic Dev.'!$I$9</f>
        <v>67</v>
      </c>
      <c r="J50" s="13">
        <f>'B&amp;A customer by month'!K48*'Ken Economic Dev.'!$J$9</f>
        <v>67</v>
      </c>
      <c r="K50" s="13">
        <f>'B&amp;A customer by month'!L48*'Ken Economic Dev.'!$K$9</f>
        <v>66</v>
      </c>
      <c r="L50" s="13">
        <f>'B&amp;A customer by month'!M48*'Ken Economic Dev.'!$L$9</f>
        <v>70</v>
      </c>
      <c r="M50" s="13">
        <f>'B&amp;A customer by month'!N48*'Ken Economic Dev.'!$M$9</f>
        <v>71</v>
      </c>
      <c r="N50" s="13">
        <f>'B&amp;A customer by month'!O48*'Ken Economic Dev.'!$N$9</f>
        <v>69</v>
      </c>
      <c r="O50" s="13">
        <f>'B&amp;A customer by month'!P48*'Ken Economic Dev.'!$O$9</f>
        <v>69</v>
      </c>
      <c r="P50" s="13">
        <f t="shared" ref="P50" si="14">SUM(D50:O50)</f>
        <v>801</v>
      </c>
      <c r="Q50" s="13"/>
      <c r="U50" s="26">
        <v>48</v>
      </c>
      <c r="V50" s="26" t="s">
        <v>5</v>
      </c>
    </row>
    <row r="51" spans="1:22" x14ac:dyDescent="0.25"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U51" s="26">
        <v>49</v>
      </c>
    </row>
    <row r="52" spans="1:22" x14ac:dyDescent="0.25">
      <c r="A52" s="26" t="s">
        <v>4</v>
      </c>
      <c r="B52" s="13"/>
      <c r="C52" s="13"/>
      <c r="D52" s="13">
        <f>'B&amp;A customer by month'!E50*'Ken Economic Dev.'!$D$9</f>
        <v>7</v>
      </c>
      <c r="E52" s="13">
        <f>'B&amp;A customer by month'!F50*'Ken Economic Dev.'!$E$9</f>
        <v>7</v>
      </c>
      <c r="F52" s="13">
        <f>'B&amp;A customer by month'!G50*'Ken Economic Dev.'!$D$9</f>
        <v>7</v>
      </c>
      <c r="G52" s="13">
        <f>'B&amp;A customer by month'!H50*'Ken Economic Dev.'!$G$9</f>
        <v>6</v>
      </c>
      <c r="H52" s="13">
        <f>'B&amp;A customer by month'!I50*'Ken Economic Dev.'!$H$9</f>
        <v>6</v>
      </c>
      <c r="I52" s="13">
        <f>'B&amp;A customer by month'!J50*'Ken Economic Dev.'!$I$9</f>
        <v>6</v>
      </c>
      <c r="J52" s="13">
        <f>'B&amp;A customer by month'!K50*'Ken Economic Dev.'!$J$9</f>
        <v>6</v>
      </c>
      <c r="K52" s="13">
        <f>'B&amp;A customer by month'!L50*'Ken Economic Dev.'!$K$9</f>
        <v>6</v>
      </c>
      <c r="L52" s="13">
        <f>'B&amp;A customer by month'!M50*'Ken Economic Dev.'!$L$9</f>
        <v>6</v>
      </c>
      <c r="M52" s="13">
        <f>'B&amp;A customer by month'!N50*'Ken Economic Dev.'!$M$9</f>
        <v>7</v>
      </c>
      <c r="N52" s="13">
        <f>'B&amp;A customer by month'!O50*'Ken Economic Dev.'!$N$9</f>
        <v>7</v>
      </c>
      <c r="O52" s="13">
        <f>'B&amp;A customer by month'!P50*'Ken Economic Dev.'!$O$9</f>
        <v>7</v>
      </c>
      <c r="P52" s="13">
        <f t="shared" ref="P52" si="15">SUM(D52:O52)</f>
        <v>78</v>
      </c>
      <c r="Q52" s="13"/>
      <c r="U52" s="26">
        <v>50</v>
      </c>
      <c r="V52" s="26" t="s">
        <v>4</v>
      </c>
    </row>
    <row r="53" spans="1:22" x14ac:dyDescent="0.25"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R53" s="26" t="s">
        <v>178</v>
      </c>
      <c r="S53" s="73">
        <f>SUM(P42:P52)</f>
        <v>5357</v>
      </c>
      <c r="U53" s="26">
        <v>51</v>
      </c>
    </row>
    <row r="54" spans="1:22" x14ac:dyDescent="0.25">
      <c r="A54" s="26" t="s">
        <v>3</v>
      </c>
      <c r="B54" s="13"/>
      <c r="C54" s="13"/>
      <c r="D54" s="13">
        <f>'B&amp;A customer by month'!E52*'Ken Economic Dev.'!$D$9</f>
        <v>0</v>
      </c>
      <c r="E54" s="13">
        <f>'B&amp;A customer by month'!F52*'Ken Economic Dev.'!$E$9</f>
        <v>0</v>
      </c>
      <c r="F54" s="13">
        <f>'B&amp;A customer by month'!G52*'Ken Economic Dev.'!$D$9</f>
        <v>0</v>
      </c>
      <c r="G54" s="13">
        <f>'B&amp;A customer by month'!H52*'Ken Economic Dev.'!$G$9</f>
        <v>0</v>
      </c>
      <c r="H54" s="13">
        <f>'B&amp;A customer by month'!I52*'Ken Economic Dev.'!$H$9</f>
        <v>0</v>
      </c>
      <c r="I54" s="13">
        <f>'B&amp;A customer by month'!J52*'Ken Economic Dev.'!$I$9</f>
        <v>0</v>
      </c>
      <c r="J54" s="13">
        <f>'B&amp;A customer by month'!K52*'Ken Economic Dev.'!$J$9</f>
        <v>0</v>
      </c>
      <c r="K54" s="13">
        <f>'B&amp;A customer by month'!L52*'Ken Economic Dev.'!$K$9</f>
        <v>0</v>
      </c>
      <c r="L54" s="13">
        <f>'B&amp;A customer by month'!M52*'Ken Economic Dev.'!$L$9</f>
        <v>0</v>
      </c>
      <c r="M54" s="13">
        <f>'B&amp;A customer by month'!N52*'Ken Economic Dev.'!$M$9</f>
        <v>0</v>
      </c>
      <c r="N54" s="13">
        <f>'B&amp;A customer by month'!O52*'Ken Economic Dev.'!$N$9</f>
        <v>0</v>
      </c>
      <c r="O54" s="13">
        <f>'B&amp;A customer by month'!P52*'Ken Economic Dev.'!$O$9</f>
        <v>0</v>
      </c>
      <c r="P54" s="13">
        <f t="shared" ref="P54" si="16">SUM(D54:O54)</f>
        <v>0</v>
      </c>
      <c r="Q54" s="13"/>
      <c r="U54" s="26">
        <v>52</v>
      </c>
      <c r="V54" s="26" t="s">
        <v>3</v>
      </c>
    </row>
    <row r="55" spans="1:22" x14ac:dyDescent="0.25"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U55" s="26">
        <v>53</v>
      </c>
    </row>
    <row r="56" spans="1:22" x14ac:dyDescent="0.25">
      <c r="A56" s="26" t="s">
        <v>119</v>
      </c>
      <c r="B56" s="13"/>
      <c r="C56" s="13"/>
      <c r="D56" s="13">
        <f>'B&amp;A customer by month'!E54*'Ken Economic Dev.'!$D$9</f>
        <v>138</v>
      </c>
      <c r="E56" s="13">
        <f>'B&amp;A customer by month'!F54*'Ken Economic Dev.'!$E$9</f>
        <v>139</v>
      </c>
      <c r="F56" s="13">
        <f>'B&amp;A customer by month'!G54*'Ken Economic Dev.'!$D$9</f>
        <v>138</v>
      </c>
      <c r="G56" s="13">
        <f>'B&amp;A customer by month'!H54*'Ken Economic Dev.'!$G$9</f>
        <v>138</v>
      </c>
      <c r="H56" s="13">
        <f>'B&amp;A customer by month'!I54*'Ken Economic Dev.'!$H$9</f>
        <v>138</v>
      </c>
      <c r="I56" s="13">
        <f>'B&amp;A customer by month'!J54*'Ken Economic Dev.'!$I$9</f>
        <v>138</v>
      </c>
      <c r="J56" s="13">
        <f>'B&amp;A customer by month'!K54*'Ken Economic Dev.'!$J$9</f>
        <v>137</v>
      </c>
      <c r="K56" s="13">
        <f>'B&amp;A customer by month'!L54*'Ken Economic Dev.'!$K$9</f>
        <v>135</v>
      </c>
      <c r="L56" s="13">
        <f>'B&amp;A customer by month'!M54*'Ken Economic Dev.'!$L$9</f>
        <v>135</v>
      </c>
      <c r="M56" s="13">
        <f>'B&amp;A customer by month'!N54*'Ken Economic Dev.'!$M$9</f>
        <v>134</v>
      </c>
      <c r="N56" s="13">
        <f>'B&amp;A customer by month'!O54*'Ken Economic Dev.'!$N$9</f>
        <v>133</v>
      </c>
      <c r="O56" s="13">
        <f>'B&amp;A customer by month'!P54*'Ken Economic Dev.'!$O$9</f>
        <v>138</v>
      </c>
      <c r="P56" s="13">
        <f t="shared" ref="P56" si="17">SUM(D56:O56)</f>
        <v>1641</v>
      </c>
      <c r="Q56" s="13"/>
      <c r="U56" s="26">
        <v>54</v>
      </c>
      <c r="V56" s="26" t="s">
        <v>119</v>
      </c>
    </row>
    <row r="57" spans="1:22" x14ac:dyDescent="0.25"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R57" s="26" t="s">
        <v>133</v>
      </c>
      <c r="S57" s="73">
        <f>SUM(P56:P58)</f>
        <v>1653</v>
      </c>
      <c r="U57" s="26">
        <v>55</v>
      </c>
    </row>
    <row r="58" spans="1:22" x14ac:dyDescent="0.25">
      <c r="A58" s="26" t="s">
        <v>120</v>
      </c>
      <c r="B58" s="13"/>
      <c r="C58" s="13"/>
      <c r="D58" s="13">
        <f>'B&amp;A customer by month'!E56*'Ken Economic Dev.'!$D$9</f>
        <v>1</v>
      </c>
      <c r="E58" s="13">
        <f>'B&amp;A customer by month'!F56*'Ken Economic Dev.'!$E$9</f>
        <v>1</v>
      </c>
      <c r="F58" s="13">
        <f>'B&amp;A customer by month'!G56*'Ken Economic Dev.'!$D$9</f>
        <v>1</v>
      </c>
      <c r="G58" s="13">
        <f>'B&amp;A customer by month'!H56*'Ken Economic Dev.'!$G$9</f>
        <v>1</v>
      </c>
      <c r="H58" s="13">
        <f>'B&amp;A customer by month'!I56*'Ken Economic Dev.'!$H$9</f>
        <v>1</v>
      </c>
      <c r="I58" s="13">
        <f>'B&amp;A customer by month'!J56*'Ken Economic Dev.'!$I$9</f>
        <v>1</v>
      </c>
      <c r="J58" s="13">
        <f>'B&amp;A customer by month'!K56*'Ken Economic Dev.'!$J$9</f>
        <v>1</v>
      </c>
      <c r="K58" s="13">
        <f>'B&amp;A customer by month'!L56*'Ken Economic Dev.'!$K$9</f>
        <v>1</v>
      </c>
      <c r="L58" s="13">
        <f>'B&amp;A customer by month'!M56*'Ken Economic Dev.'!$L$9</f>
        <v>1</v>
      </c>
      <c r="M58" s="13">
        <f>'B&amp;A customer by month'!N56*'Ken Economic Dev.'!$M$9</f>
        <v>1</v>
      </c>
      <c r="N58" s="13">
        <f>'B&amp;A customer by month'!O56*'Ken Economic Dev.'!$N$9</f>
        <v>1</v>
      </c>
      <c r="O58" s="13">
        <f>'B&amp;A customer by month'!P56*'Ken Economic Dev.'!$O$9</f>
        <v>1</v>
      </c>
      <c r="P58" s="13">
        <f t="shared" ref="P58" si="18">SUM(D58:O58)</f>
        <v>12</v>
      </c>
      <c r="Q58" s="13"/>
      <c r="U58" s="26">
        <v>56</v>
      </c>
      <c r="V58" s="26" t="s">
        <v>120</v>
      </c>
    </row>
    <row r="59" spans="1:22" x14ac:dyDescent="0.25"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U59" s="26">
        <v>57</v>
      </c>
    </row>
    <row r="60" spans="1:22" x14ac:dyDescent="0.25">
      <c r="A60" s="26" t="s">
        <v>242</v>
      </c>
      <c r="B60" s="13"/>
      <c r="C60" s="13"/>
      <c r="D60" s="13">
        <f>'B&amp;A customer by month'!E58*'Ken Economic Dev.'!$D$9</f>
        <v>5</v>
      </c>
      <c r="E60" s="13">
        <f>'B&amp;A customer by month'!F58*'Ken Economic Dev.'!$E$9</f>
        <v>5</v>
      </c>
      <c r="F60" s="13">
        <f>'B&amp;A customer by month'!G58*'Ken Economic Dev.'!$D$9</f>
        <v>5</v>
      </c>
      <c r="G60" s="13">
        <f>'B&amp;A customer by month'!H58*'Ken Economic Dev.'!$G$9</f>
        <v>5</v>
      </c>
      <c r="H60" s="13">
        <f>'B&amp;A customer by month'!I58*'Ken Economic Dev.'!$H$9</f>
        <v>5</v>
      </c>
      <c r="I60" s="13">
        <f>'B&amp;A customer by month'!J58*'Ken Economic Dev.'!$I$9</f>
        <v>5</v>
      </c>
      <c r="J60" s="13">
        <f>'B&amp;A customer by month'!K58*'Ken Economic Dev.'!$J$9</f>
        <v>5</v>
      </c>
      <c r="K60" s="13">
        <f>'B&amp;A customer by month'!L58*'Ken Economic Dev.'!$K$9</f>
        <v>5</v>
      </c>
      <c r="L60" s="13">
        <f>'B&amp;A customer by month'!M58*'Ken Economic Dev.'!$L$9</f>
        <v>5</v>
      </c>
      <c r="M60" s="13">
        <f>'B&amp;A customer by month'!N58*'Ken Economic Dev.'!$M$9</f>
        <v>3</v>
      </c>
      <c r="N60" s="13">
        <f>'B&amp;A customer by month'!O58*'Ken Economic Dev.'!$N$9</f>
        <v>3</v>
      </c>
      <c r="O60" s="13">
        <f>'B&amp;A customer by month'!P58*'Ken Economic Dev.'!$O$9</f>
        <v>3</v>
      </c>
      <c r="P60" s="13">
        <f t="shared" ref="P60" si="19">SUM(D60:O60)</f>
        <v>54</v>
      </c>
      <c r="Q60" s="13"/>
      <c r="U60" s="26">
        <v>58</v>
      </c>
      <c r="V60" s="26" t="s">
        <v>242</v>
      </c>
    </row>
    <row r="61" spans="1:22" x14ac:dyDescent="0.25"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U61" s="26">
        <v>59</v>
      </c>
    </row>
    <row r="62" spans="1:22" x14ac:dyDescent="0.25">
      <c r="A62" s="26" t="s">
        <v>122</v>
      </c>
      <c r="B62" s="13"/>
      <c r="C62" s="13"/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ref="P62" si="20">SUM(D62:O62)</f>
        <v>0</v>
      </c>
      <c r="Q62" s="13"/>
      <c r="U62" s="26">
        <v>60</v>
      </c>
      <c r="V62" s="26" t="s">
        <v>122</v>
      </c>
    </row>
    <row r="63" spans="1:22" x14ac:dyDescent="0.25"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U63" s="26">
        <v>61</v>
      </c>
    </row>
    <row r="64" spans="1:22" x14ac:dyDescent="0.25">
      <c r="A64" s="26" t="s">
        <v>243</v>
      </c>
      <c r="B64" s="13"/>
      <c r="C64" s="13"/>
      <c r="D64" s="13">
        <f>'B&amp;A customer by month'!E62*'Ken Economic Dev.'!$D$9</f>
        <v>1</v>
      </c>
      <c r="E64" s="13">
        <f>'B&amp;A customer by month'!F62*'Ken Economic Dev.'!$E$9</f>
        <v>1</v>
      </c>
      <c r="F64" s="13">
        <f>'B&amp;A customer by month'!G62*'Ken Economic Dev.'!$D$9</f>
        <v>1</v>
      </c>
      <c r="G64" s="13">
        <f>'B&amp;A customer by month'!H62*'Ken Economic Dev.'!$G$9</f>
        <v>1</v>
      </c>
      <c r="H64" s="13">
        <f>'B&amp;A customer by month'!I62*'Ken Economic Dev.'!$H$9</f>
        <v>1</v>
      </c>
      <c r="I64" s="13">
        <f>'B&amp;A customer by month'!J62*'Ken Economic Dev.'!$I$9</f>
        <v>1</v>
      </c>
      <c r="J64" s="13">
        <f>'B&amp;A customer by month'!K62*'Ken Economic Dev.'!$J$9</f>
        <v>1</v>
      </c>
      <c r="K64" s="13">
        <f>'B&amp;A customer by month'!L62*'Ken Economic Dev.'!$K$9</f>
        <v>1</v>
      </c>
      <c r="L64" s="13">
        <f>'B&amp;A customer by month'!M62*'Ken Economic Dev.'!$L$9</f>
        <v>1</v>
      </c>
      <c r="M64" s="13">
        <f>'B&amp;A customer by month'!N62*'Ken Economic Dev.'!$M$9</f>
        <v>1</v>
      </c>
      <c r="N64" s="13">
        <f>'B&amp;A customer by month'!O62*'Ken Economic Dev.'!$N$9</f>
        <v>1</v>
      </c>
      <c r="O64" s="13">
        <f>'B&amp;A customer by month'!P62*'Ken Economic Dev.'!$O$9</f>
        <v>1</v>
      </c>
      <c r="P64" s="13">
        <f t="shared" ref="P64" si="21">SUM(D64:O64)</f>
        <v>12</v>
      </c>
      <c r="Q64" s="13"/>
      <c r="U64" s="26">
        <v>62</v>
      </c>
      <c r="V64" s="26" t="s">
        <v>243</v>
      </c>
    </row>
    <row r="65" spans="1:22" x14ac:dyDescent="0.25"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U65" s="26">
        <v>63</v>
      </c>
    </row>
    <row r="66" spans="1:22" x14ac:dyDescent="0.25">
      <c r="A66" s="26" t="s">
        <v>244</v>
      </c>
      <c r="B66" s="13"/>
      <c r="C66" s="13"/>
      <c r="D66" s="13">
        <f>'B&amp;A customer by month'!E64*'Ken Economic Dev.'!$D$9</f>
        <v>1</v>
      </c>
      <c r="E66" s="13">
        <f>'B&amp;A customer by month'!F64*'Ken Economic Dev.'!$E$9</f>
        <v>1</v>
      </c>
      <c r="F66" s="13">
        <f>'B&amp;A customer by month'!G64*'Ken Economic Dev.'!$D$9</f>
        <v>1</v>
      </c>
      <c r="G66" s="13">
        <f>'B&amp;A customer by month'!H64*'Ken Economic Dev.'!$G$9</f>
        <v>1</v>
      </c>
      <c r="H66" s="13">
        <f>'B&amp;A customer by month'!I64*'Ken Economic Dev.'!$H$9</f>
        <v>1</v>
      </c>
      <c r="I66" s="13">
        <f>'B&amp;A customer by month'!J64*'Ken Economic Dev.'!$I$9</f>
        <v>1</v>
      </c>
      <c r="J66" s="13">
        <f>'B&amp;A customer by month'!K64*'Ken Economic Dev.'!$J$9</f>
        <v>1</v>
      </c>
      <c r="K66" s="13">
        <f>'B&amp;A customer by month'!L64*'Ken Economic Dev.'!$K$9</f>
        <v>1</v>
      </c>
      <c r="L66" s="13">
        <f>'B&amp;A customer by month'!M64*'Ken Economic Dev.'!$L$9</f>
        <v>1</v>
      </c>
      <c r="M66" s="13">
        <f>'B&amp;A customer by month'!N64*'Ken Economic Dev.'!$M$9</f>
        <v>1</v>
      </c>
      <c r="N66" s="13">
        <f>'B&amp;A customer by month'!O64*'Ken Economic Dev.'!$N$9</f>
        <v>1</v>
      </c>
      <c r="O66" s="13">
        <f>'B&amp;A customer by month'!P64*'Ken Economic Dev.'!$O$9</f>
        <v>1</v>
      </c>
      <c r="P66" s="13">
        <f t="shared" ref="P66" si="22">SUM(D66:O66)</f>
        <v>12</v>
      </c>
      <c r="Q66" s="13"/>
      <c r="U66" s="26">
        <v>64</v>
      </c>
      <c r="V66" s="26" t="s">
        <v>244</v>
      </c>
    </row>
    <row r="67" spans="1:22" x14ac:dyDescent="0.25"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U67" s="26">
        <v>65</v>
      </c>
    </row>
    <row r="68" spans="1:22" x14ac:dyDescent="0.25">
      <c r="A68" s="26" t="s">
        <v>123</v>
      </c>
      <c r="B68" s="13"/>
      <c r="C68" s="13"/>
      <c r="D68" s="13">
        <f>'B&amp;A customer by month'!E66*'Ken Economic Dev.'!$D$9</f>
        <v>4</v>
      </c>
      <c r="E68" s="13">
        <f>'B&amp;A customer by month'!F66*'Ken Economic Dev.'!$E$9</f>
        <v>4</v>
      </c>
      <c r="F68" s="13">
        <f>'B&amp;A customer by month'!G66*'Ken Economic Dev.'!$D$9</f>
        <v>4</v>
      </c>
      <c r="G68" s="13">
        <f>'B&amp;A customer by month'!H66*'Ken Economic Dev.'!$G$9</f>
        <v>4</v>
      </c>
      <c r="H68" s="13">
        <f>'B&amp;A customer by month'!I66*'Ken Economic Dev.'!$H$9</f>
        <v>4</v>
      </c>
      <c r="I68" s="13">
        <f>'B&amp;A customer by month'!J66*'Ken Economic Dev.'!$I$9</f>
        <v>4</v>
      </c>
      <c r="J68" s="13">
        <f>'B&amp;A customer by month'!K66*'Ken Economic Dev.'!$J$9</f>
        <v>4</v>
      </c>
      <c r="K68" s="13">
        <f>'B&amp;A customer by month'!L66*'Ken Economic Dev.'!$K$9</f>
        <v>4</v>
      </c>
      <c r="L68" s="13">
        <f>'B&amp;A customer by month'!M66*'Ken Economic Dev.'!$L$9</f>
        <v>4</v>
      </c>
      <c r="M68" s="13">
        <f>'B&amp;A customer by month'!N66*'Ken Economic Dev.'!$M$9</f>
        <v>4</v>
      </c>
      <c r="N68" s="13">
        <f>'B&amp;A customer by month'!O66*'Ken Economic Dev.'!$N$9</f>
        <v>4</v>
      </c>
      <c r="O68" s="13">
        <f>'B&amp;A customer by month'!P66*'Ken Economic Dev.'!$O$9</f>
        <v>4</v>
      </c>
      <c r="P68" s="13">
        <f t="shared" ref="P68" si="23">SUM(D68:O68)</f>
        <v>48</v>
      </c>
      <c r="Q68" s="13"/>
      <c r="U68" s="26">
        <v>66</v>
      </c>
      <c r="V68" s="26" t="s">
        <v>123</v>
      </c>
    </row>
    <row r="69" spans="1:22" x14ac:dyDescent="0.25"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R69" s="26" t="s">
        <v>179</v>
      </c>
      <c r="S69" s="73">
        <f>SUM(P60:P74)</f>
        <v>809</v>
      </c>
      <c r="U69" s="26">
        <v>67</v>
      </c>
    </row>
    <row r="70" spans="1:22" x14ac:dyDescent="0.25">
      <c r="A70" s="26" t="s">
        <v>124</v>
      </c>
      <c r="B70" s="13"/>
      <c r="C70" s="13"/>
      <c r="D70" s="13">
        <f>'B&amp;A customer by month'!E68*'Ken Economic Dev.'!$D$9</f>
        <v>34</v>
      </c>
      <c r="E70" s="13">
        <f>'B&amp;A customer by month'!F68*'Ken Economic Dev.'!$E$9</f>
        <v>34</v>
      </c>
      <c r="F70" s="13">
        <f>'B&amp;A customer by month'!G68*'Ken Economic Dev.'!$D$9</f>
        <v>34</v>
      </c>
      <c r="G70" s="13">
        <f>'B&amp;A customer by month'!H68*'Ken Economic Dev.'!$G$9</f>
        <v>34</v>
      </c>
      <c r="H70" s="13">
        <f>'B&amp;A customer by month'!I68*'Ken Economic Dev.'!$H$9</f>
        <v>34</v>
      </c>
      <c r="I70" s="13">
        <f>'B&amp;A customer by month'!J68*'Ken Economic Dev.'!$I$9</f>
        <v>34</v>
      </c>
      <c r="J70" s="13">
        <f>'B&amp;A customer by month'!K68*'Ken Economic Dev.'!$J$9</f>
        <v>34</v>
      </c>
      <c r="K70" s="13">
        <f>'B&amp;A customer by month'!L68*'Ken Economic Dev.'!$K$9</f>
        <v>34</v>
      </c>
      <c r="L70" s="13">
        <f>'B&amp;A customer by month'!M68*'Ken Economic Dev.'!$L$9</f>
        <v>35</v>
      </c>
      <c r="M70" s="13">
        <f>'B&amp;A customer by month'!N68*'Ken Economic Dev.'!$M$9</f>
        <v>36</v>
      </c>
      <c r="N70" s="13">
        <f>'B&amp;A customer by month'!O68*'Ken Economic Dev.'!$N$9</f>
        <v>36</v>
      </c>
      <c r="O70" s="13">
        <f>'B&amp;A customer by month'!P68*'Ken Economic Dev.'!$O$9</f>
        <v>39</v>
      </c>
      <c r="P70" s="13">
        <f t="shared" ref="P70" si="24">SUM(D70:O70)</f>
        <v>418</v>
      </c>
      <c r="Q70" s="13"/>
      <c r="U70" s="26">
        <v>68</v>
      </c>
      <c r="V70" s="26" t="s">
        <v>124</v>
      </c>
    </row>
    <row r="71" spans="1:22" x14ac:dyDescent="0.25"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U71" s="26">
        <v>69</v>
      </c>
    </row>
    <row r="72" spans="1:22" x14ac:dyDescent="0.25">
      <c r="A72" s="26" t="s">
        <v>125</v>
      </c>
      <c r="B72" s="13"/>
      <c r="C72" s="13"/>
      <c r="D72" s="13">
        <f>'B&amp;A customer by month'!E70*'Ken Economic Dev.'!$D$9</f>
        <v>18</v>
      </c>
      <c r="E72" s="13">
        <f>'B&amp;A customer by month'!F70*'Ken Economic Dev.'!$E$9</f>
        <v>19</v>
      </c>
      <c r="F72" s="13">
        <f>'B&amp;A customer by month'!G70*'Ken Economic Dev.'!$D$9</f>
        <v>19</v>
      </c>
      <c r="G72" s="13">
        <f>'B&amp;A customer by month'!H70*'Ken Economic Dev.'!$G$9</f>
        <v>21</v>
      </c>
      <c r="H72" s="13">
        <f>'B&amp;A customer by month'!I70*'Ken Economic Dev.'!$H$9</f>
        <v>22</v>
      </c>
      <c r="I72" s="13">
        <f>'B&amp;A customer by month'!J70*'Ken Economic Dev.'!$I$9</f>
        <v>21</v>
      </c>
      <c r="J72" s="13">
        <f>'B&amp;A customer by month'!K70*'Ken Economic Dev.'!$J$9</f>
        <v>20</v>
      </c>
      <c r="K72" s="13">
        <f>'B&amp;A customer by month'!L70*'Ken Economic Dev.'!$K$9</f>
        <v>20</v>
      </c>
      <c r="L72" s="13">
        <f>'B&amp;A customer by month'!M70*'Ken Economic Dev.'!$L$9</f>
        <v>20</v>
      </c>
      <c r="M72" s="13">
        <f>'B&amp;A customer by month'!N70*'Ken Economic Dev.'!$M$9</f>
        <v>21</v>
      </c>
      <c r="N72" s="13">
        <f>'B&amp;A customer by month'!O70*'Ken Economic Dev.'!$N$9</f>
        <v>20</v>
      </c>
      <c r="O72" s="13">
        <f>'B&amp;A customer by month'!P70*'Ken Economic Dev.'!$O$9</f>
        <v>20</v>
      </c>
      <c r="P72" s="13">
        <f t="shared" ref="P72:P78" si="25">SUM(D72:O72)</f>
        <v>241</v>
      </c>
      <c r="Q72" s="13"/>
      <c r="R72" s="26" t="s">
        <v>135</v>
      </c>
      <c r="S72" s="73">
        <f>P78</f>
        <v>103</v>
      </c>
      <c r="U72" s="26">
        <v>70</v>
      </c>
      <c r="V72" s="26" t="s">
        <v>125</v>
      </c>
    </row>
    <row r="73" spans="1:22" x14ac:dyDescent="0.25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>
        <f t="shared" si="25"/>
        <v>0</v>
      </c>
      <c r="Q73" s="13"/>
      <c r="U73" s="26">
        <v>71</v>
      </c>
    </row>
    <row r="74" spans="1:22" x14ac:dyDescent="0.25">
      <c r="A74" s="26" t="s">
        <v>126</v>
      </c>
      <c r="B74" s="13"/>
      <c r="C74" s="13"/>
      <c r="D74" s="13">
        <f>'B&amp;A customer by month'!E72*'Ken Economic Dev.'!$D$9</f>
        <v>2</v>
      </c>
      <c r="E74" s="13">
        <f>'B&amp;A customer by month'!F72*'Ken Economic Dev.'!$E$9</f>
        <v>2</v>
      </c>
      <c r="F74" s="13">
        <f>'B&amp;A customer by month'!G72*'Ken Economic Dev.'!$D$9</f>
        <v>2</v>
      </c>
      <c r="G74" s="13">
        <f>'B&amp;A customer by month'!H72*'Ken Economic Dev.'!$G$9</f>
        <v>2</v>
      </c>
      <c r="H74" s="13">
        <f>'B&amp;A customer by month'!I72*'Ken Economic Dev.'!$H$9</f>
        <v>2</v>
      </c>
      <c r="I74" s="13">
        <f>'B&amp;A customer by month'!J72*'Ken Economic Dev.'!$I$9</f>
        <v>2</v>
      </c>
      <c r="J74" s="13">
        <f>'B&amp;A customer by month'!K72*'Ken Economic Dev.'!$J$9</f>
        <v>2</v>
      </c>
      <c r="K74" s="13">
        <f>'B&amp;A customer by month'!L72*'Ken Economic Dev.'!$K$9</f>
        <v>2</v>
      </c>
      <c r="L74" s="13">
        <f>'B&amp;A customer by month'!M72*'Ken Economic Dev.'!$L$9</f>
        <v>2</v>
      </c>
      <c r="M74" s="13">
        <f>'B&amp;A customer by month'!N72*'Ken Economic Dev.'!$M$9</f>
        <v>2</v>
      </c>
      <c r="N74" s="13">
        <f>'B&amp;A customer by month'!O72*'Ken Economic Dev.'!$N$9</f>
        <v>2</v>
      </c>
      <c r="O74" s="13">
        <f>'B&amp;A customer by month'!P72*'Ken Economic Dev.'!$O$9</f>
        <v>2</v>
      </c>
      <c r="P74" s="13">
        <f t="shared" si="25"/>
        <v>24</v>
      </c>
      <c r="Q74" s="13"/>
      <c r="R74" s="26" t="s">
        <v>136</v>
      </c>
      <c r="S74" s="73">
        <f>P76</f>
        <v>0</v>
      </c>
      <c r="U74" s="26">
        <v>72</v>
      </c>
      <c r="V74" s="26" t="s">
        <v>126</v>
      </c>
    </row>
    <row r="75" spans="1:22" x14ac:dyDescent="0.25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>
        <f t="shared" si="25"/>
        <v>0</v>
      </c>
      <c r="Q75" s="13"/>
      <c r="U75" s="26">
        <v>73</v>
      </c>
    </row>
    <row r="76" spans="1:22" x14ac:dyDescent="0.25">
      <c r="A76" s="26" t="s">
        <v>2</v>
      </c>
      <c r="B76" s="13"/>
      <c r="C76" s="13"/>
      <c r="D76" s="13">
        <v>0</v>
      </c>
      <c r="E76" s="13">
        <f>D76</f>
        <v>0</v>
      </c>
      <c r="F76" s="13">
        <f t="shared" ref="F76:O76" si="26">E76</f>
        <v>0</v>
      </c>
      <c r="G76" s="13">
        <f t="shared" si="26"/>
        <v>0</v>
      </c>
      <c r="H76" s="13">
        <f t="shared" si="26"/>
        <v>0</v>
      </c>
      <c r="I76" s="13">
        <f t="shared" si="26"/>
        <v>0</v>
      </c>
      <c r="J76" s="13">
        <f t="shared" si="26"/>
        <v>0</v>
      </c>
      <c r="K76" s="13">
        <f t="shared" si="26"/>
        <v>0</v>
      </c>
      <c r="L76" s="13">
        <f t="shared" si="26"/>
        <v>0</v>
      </c>
      <c r="M76" s="13">
        <f t="shared" si="26"/>
        <v>0</v>
      </c>
      <c r="N76" s="13">
        <f t="shared" si="26"/>
        <v>0</v>
      </c>
      <c r="O76" s="13">
        <f t="shared" si="26"/>
        <v>0</v>
      </c>
      <c r="P76" s="13">
        <f t="shared" si="25"/>
        <v>0</v>
      </c>
      <c r="Q76" s="13"/>
      <c r="U76" s="26">
        <v>74</v>
      </c>
      <c r="V76" s="26" t="s">
        <v>2</v>
      </c>
    </row>
    <row r="77" spans="1:22" x14ac:dyDescent="0.25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>
        <f t="shared" si="25"/>
        <v>0</v>
      </c>
      <c r="Q77" s="13"/>
      <c r="U77" s="26">
        <v>75</v>
      </c>
    </row>
    <row r="78" spans="1:22" x14ac:dyDescent="0.25">
      <c r="A78" s="26" t="s">
        <v>1</v>
      </c>
      <c r="B78" s="13"/>
      <c r="C78" s="13"/>
      <c r="D78" s="13">
        <f>'B&amp;A customer by month'!E76*'Ken Economic Dev.'!$D$9</f>
        <v>9</v>
      </c>
      <c r="E78" s="13">
        <f>'B&amp;A customer by month'!F76*'Ken Economic Dev.'!$E$9</f>
        <v>9</v>
      </c>
      <c r="F78" s="13">
        <f>'B&amp;A customer by month'!G76*'Ken Economic Dev.'!$D$9</f>
        <v>9</v>
      </c>
      <c r="G78" s="13">
        <f>'B&amp;A customer by month'!H76*'Ken Economic Dev.'!$G$9</f>
        <v>9</v>
      </c>
      <c r="H78" s="13">
        <f>'B&amp;A customer by month'!I76*'Ken Economic Dev.'!$H$9</f>
        <v>9</v>
      </c>
      <c r="I78" s="13">
        <f>'B&amp;A customer by month'!J76*'Ken Economic Dev.'!$I$9</f>
        <v>9</v>
      </c>
      <c r="J78" s="13">
        <f>'B&amp;A customer by month'!K76*'Ken Economic Dev.'!$J$9</f>
        <v>9</v>
      </c>
      <c r="K78" s="13">
        <f>'B&amp;A customer by month'!L76*'Ken Economic Dev.'!$K$9</f>
        <v>8</v>
      </c>
      <c r="L78" s="13">
        <f>'B&amp;A customer by month'!M76*'Ken Economic Dev.'!$L$9</f>
        <v>8</v>
      </c>
      <c r="M78" s="13">
        <f>'B&amp;A customer by month'!N76*'Ken Economic Dev.'!$M$9</f>
        <v>8</v>
      </c>
      <c r="N78" s="13">
        <f>'B&amp;A customer by month'!O76*'Ken Economic Dev.'!$N$9</f>
        <v>8</v>
      </c>
      <c r="O78" s="13">
        <f>'B&amp;A customer by month'!P76*'Ken Economic Dev.'!$O$9</f>
        <v>8</v>
      </c>
      <c r="P78" s="13">
        <f t="shared" si="25"/>
        <v>103</v>
      </c>
      <c r="Q78" s="13"/>
      <c r="U78" s="26">
        <v>76</v>
      </c>
      <c r="V78" s="26" t="s">
        <v>1</v>
      </c>
    </row>
    <row r="79" spans="1:22" ht="21" customHeight="1" thickBot="1" x14ac:dyDescent="0.3">
      <c r="A79" s="156" t="s">
        <v>0</v>
      </c>
      <c r="B79" s="157">
        <f>SUM(B12:B72)</f>
        <v>0</v>
      </c>
      <c r="C79" s="157">
        <f t="shared" ref="C79" si="27">SUM(C12:C72)</f>
        <v>0</v>
      </c>
      <c r="D79" s="157">
        <f>SUM(D22:D78)</f>
        <v>31502</v>
      </c>
      <c r="E79" s="157">
        <f>SUM(E22:E78)</f>
        <v>31547</v>
      </c>
      <c r="F79" s="157">
        <f t="shared" ref="F79:G79" si="28">SUM(F22:F78)</f>
        <v>31520</v>
      </c>
      <c r="G79" s="157">
        <f t="shared" si="28"/>
        <v>31509</v>
      </c>
      <c r="H79" s="157">
        <f t="shared" ref="H79" si="29">SUM(H22:H78)</f>
        <v>31570</v>
      </c>
      <c r="I79" s="157">
        <f t="shared" ref="I79:J79" si="30">SUM(I22:I78)</f>
        <v>31509</v>
      </c>
      <c r="J79" s="157">
        <f t="shared" si="30"/>
        <v>31509</v>
      </c>
      <c r="K79" s="157">
        <f>SUM(K22:K78)</f>
        <v>31478</v>
      </c>
      <c r="L79" s="157">
        <f>SUM(L22:L78)</f>
        <v>31548</v>
      </c>
      <c r="M79" s="157">
        <f t="shared" ref="M79" si="31">SUM(M22:M78)</f>
        <v>31496</v>
      </c>
      <c r="N79" s="157">
        <f t="shared" ref="N79" si="32">SUM(N22:N78)</f>
        <v>31425</v>
      </c>
      <c r="O79" s="157">
        <f t="shared" ref="O79" si="33">SUM(O22:O78)</f>
        <v>31602</v>
      </c>
      <c r="P79" s="157">
        <f>SUM(D79:O79)</f>
        <v>378215</v>
      </c>
      <c r="Q79" s="13"/>
      <c r="S79" s="73">
        <f>SUM(S17:S74)</f>
        <v>378215</v>
      </c>
    </row>
    <row r="80" spans="1:22" ht="21" customHeight="1" x14ac:dyDescent="0.2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82"/>
  <sheetViews>
    <sheetView workbookViewId="0">
      <selection activeCell="F41" sqref="F41"/>
    </sheetView>
  </sheetViews>
  <sheetFormatPr defaultColWidth="9.140625" defaultRowHeight="15.75" outlineLevelCol="1" x14ac:dyDescent="0.25"/>
  <cols>
    <col min="1" max="1" width="18.42578125" style="26" bestFit="1" customWidth="1"/>
    <col min="2" max="2" width="17.42578125" style="26" hidden="1" customWidth="1" outlineLevel="1"/>
    <col min="3" max="3" width="15.85546875" style="26" hidden="1" customWidth="1" outlineLevel="1"/>
    <col min="4" max="15" width="15.85546875" style="26" customWidth="1" outlineLevel="1"/>
    <col min="16" max="16" width="15.85546875" style="26" customWidth="1"/>
    <col min="17" max="17" width="18.7109375" style="26" customWidth="1"/>
    <col min="18" max="18" width="3.28515625" style="26" bestFit="1" customWidth="1"/>
    <col min="19" max="16384" width="9.140625" style="26"/>
  </cols>
  <sheetData>
    <row r="1" spans="1:19" x14ac:dyDescent="0.25">
      <c r="A1" s="26" t="s">
        <v>70</v>
      </c>
      <c r="D1" s="150"/>
    </row>
    <row r="2" spans="1:19" x14ac:dyDescent="0.25">
      <c r="A2" s="26" t="s">
        <v>71</v>
      </c>
    </row>
    <row r="3" spans="1:19" x14ac:dyDescent="0.25">
      <c r="A3" s="26" t="str">
        <f>'B&amp;A kWh'!B3</f>
        <v>TEST YEAR ENDED March 31, 2023</v>
      </c>
    </row>
    <row r="4" spans="1:19" x14ac:dyDescent="0.25">
      <c r="A4" s="26" t="s">
        <v>81</v>
      </c>
    </row>
    <row r="5" spans="1:19" x14ac:dyDescent="0.25">
      <c r="A5" s="26" t="s">
        <v>182</v>
      </c>
    </row>
    <row r="6" spans="1:19" x14ac:dyDescent="0.25">
      <c r="A6" s="26" t="s">
        <v>144</v>
      </c>
    </row>
    <row r="7" spans="1:19" x14ac:dyDescent="0.25">
      <c r="D7" s="26">
        <v>2022</v>
      </c>
      <c r="O7" s="26">
        <v>2023</v>
      </c>
      <c r="P7" s="32" t="s">
        <v>180</v>
      </c>
    </row>
    <row r="8" spans="1:19" x14ac:dyDescent="0.25">
      <c r="A8" s="7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19" x14ac:dyDescent="0.25">
      <c r="A9" s="26" t="s">
        <v>84</v>
      </c>
      <c r="B9" s="65"/>
      <c r="C9" s="65"/>
      <c r="D9" s="60">
        <v>-1E-4</v>
      </c>
      <c r="E9" s="60">
        <v>-1E-4</v>
      </c>
      <c r="F9" s="60">
        <v>-1E-4</v>
      </c>
      <c r="G9" s="60">
        <v>-1E-4</v>
      </c>
      <c r="H9" s="60">
        <v>-1E-4</v>
      </c>
      <c r="I9" s="60">
        <v>-1E-4</v>
      </c>
      <c r="J9" s="60">
        <v>-1E-4</v>
      </c>
      <c r="K9" s="60">
        <v>-1E-4</v>
      </c>
      <c r="L9" s="60">
        <v>-2.1870000000000001E-2</v>
      </c>
      <c r="M9" s="60">
        <v>-2.1870000000000001E-2</v>
      </c>
      <c r="N9" s="60">
        <v>-2.1870000000000001E-2</v>
      </c>
      <c r="O9" s="60">
        <v>-2.1870000000000001E-2</v>
      </c>
    </row>
    <row r="10" spans="1:19" x14ac:dyDescent="0.25">
      <c r="A10" s="26" t="s">
        <v>92</v>
      </c>
      <c r="B10" s="65"/>
      <c r="C10" s="65"/>
      <c r="D10" s="60">
        <v>-6.7200000000000003E-3</v>
      </c>
      <c r="E10" s="60">
        <v>-6.7200000000000003E-3</v>
      </c>
      <c r="F10" s="60">
        <v>-6.7200000000000003E-3</v>
      </c>
      <c r="G10" s="60">
        <v>-6.7200000000000003E-3</v>
      </c>
      <c r="H10" s="60">
        <v>-6.7200000000000003E-3</v>
      </c>
      <c r="I10" s="60">
        <v>-6.7200000000000003E-3</v>
      </c>
      <c r="J10" s="60">
        <v>-6.7200000000000003E-3</v>
      </c>
      <c r="K10" s="60">
        <v>-6.7200000000000003E-3</v>
      </c>
      <c r="L10" s="60">
        <v>-6.7200000000000003E-3</v>
      </c>
      <c r="M10" s="60">
        <v>-6.7200000000000003E-3</v>
      </c>
      <c r="N10" s="60">
        <v>-6.7200000000000003E-3</v>
      </c>
      <c r="O10" s="60">
        <v>-6.7200000000000003E-3</v>
      </c>
    </row>
    <row r="11" spans="1:19" x14ac:dyDescent="0.25">
      <c r="C11" s="65"/>
    </row>
    <row r="12" spans="1:19" x14ac:dyDescent="0.25">
      <c r="A12" s="24" t="s">
        <v>21</v>
      </c>
      <c r="B12" s="13">
        <f>ROUND(B$9*'B&amp;A kWh'!C11,2)</f>
        <v>0</v>
      </c>
      <c r="C12" s="13">
        <f>ROUND(C$9*'B&amp;A kWh'!D11,2)</f>
        <v>0</v>
      </c>
      <c r="D12" s="13">
        <f>ROUND(D$9*'B&amp;A kWh'!E10,2)</f>
        <v>-12557.91</v>
      </c>
      <c r="E12" s="13">
        <f>ROUND(E$9*'B&amp;A kWh'!F10,2)</f>
        <v>-11366.16</v>
      </c>
      <c r="F12" s="13">
        <f>ROUND(F$9*'B&amp;A kWh'!G10,2)</f>
        <v>-14276.64</v>
      </c>
      <c r="G12" s="13">
        <f>ROUND(G$9*'B&amp;A kWh'!H10,2)</f>
        <v>-16464.689999999999</v>
      </c>
      <c r="H12" s="13">
        <f>ROUND(H$9*'B&amp;A kWh'!I10,2)</f>
        <v>-16147.53</v>
      </c>
      <c r="I12" s="13">
        <f>ROUND(I$9*'B&amp;A kWh'!J10,2)</f>
        <v>-12053.32</v>
      </c>
      <c r="J12" s="13">
        <f>ROUND(J$9*'B&amp;A kWh'!K10,2)</f>
        <v>-11506.09</v>
      </c>
      <c r="K12" s="13">
        <f>ROUND(K$9*'B&amp;A kWh'!L10,2)</f>
        <v>-14642.26</v>
      </c>
      <c r="L12" s="13">
        <f>ROUND(L$9*'B&amp;A kWh'!M10,2)</f>
        <v>-4849278.01</v>
      </c>
      <c r="M12" s="13">
        <f>ROUND(M$9*'B&amp;A kWh'!N10,2)</f>
        <v>-4691479.7699999996</v>
      </c>
      <c r="N12" s="13">
        <f>ROUND(N$9*'B&amp;A kWh'!O10,2)</f>
        <v>-3512139.63</v>
      </c>
      <c r="O12" s="13">
        <f>ROUND(O$9*'B&amp;A kWh'!P10,2)</f>
        <v>-3332472.79</v>
      </c>
      <c r="P12" s="13">
        <f>SUM(D12:O12)</f>
        <v>-16494384.799999997</v>
      </c>
      <c r="R12" s="26">
        <v>10</v>
      </c>
      <c r="S12" s="26" t="s">
        <v>21</v>
      </c>
    </row>
    <row r="13" spans="1:19" x14ac:dyDescent="0.25">
      <c r="A13" s="24"/>
      <c r="P13" s="13">
        <f t="shared" ref="P13:P76" si="0">SUM(D13:O13)</f>
        <v>0</v>
      </c>
      <c r="R13" s="26">
        <v>11</v>
      </c>
    </row>
    <row r="14" spans="1:19" x14ac:dyDescent="0.25">
      <c r="A14" s="24" t="s">
        <v>20</v>
      </c>
      <c r="B14" s="13">
        <f>ROUND(B$9*'B&amp;A kWh'!C13,2)</f>
        <v>0</v>
      </c>
      <c r="C14" s="13">
        <f>ROUND(C$9*'B&amp;A kWh'!D13,2)</f>
        <v>0</v>
      </c>
      <c r="D14" s="13">
        <f>ROUND(D$9*'B&amp;A kWh'!E12,2)</f>
        <v>-17.66</v>
      </c>
      <c r="E14" s="13">
        <f>ROUND(E$9*'B&amp;A kWh'!F12,2)</f>
        <v>-15.92</v>
      </c>
      <c r="F14" s="13">
        <f>ROUND(F$9*'B&amp;A kWh'!G12,2)</f>
        <v>-20.05</v>
      </c>
      <c r="G14" s="13">
        <f>ROUND(G$9*'B&amp;A kWh'!H12,2)</f>
        <v>-24.19</v>
      </c>
      <c r="H14" s="13">
        <f>ROUND(H$9*'B&amp;A kWh'!I12,2)</f>
        <v>-22.99</v>
      </c>
      <c r="I14" s="13">
        <f>ROUND(I$9*'B&amp;A kWh'!J12,2)</f>
        <v>-18.91</v>
      </c>
      <c r="J14" s="13">
        <f>ROUND(J$9*'B&amp;A kWh'!K12,2)</f>
        <v>-16.059999999999999</v>
      </c>
      <c r="K14" s="13">
        <f>ROUND(K$9*'B&amp;A kWh'!L12,2)</f>
        <v>-20</v>
      </c>
      <c r="L14" s="13">
        <f>ROUND(L$9*'B&amp;A kWh'!M12,2)</f>
        <v>-7907.01</v>
      </c>
      <c r="M14" s="13">
        <f>ROUND(M$9*'B&amp;A kWh'!N12,2)</f>
        <v>-8314.23</v>
      </c>
      <c r="N14" s="13">
        <f>ROUND(N$9*'B&amp;A kWh'!O12,2)</f>
        <v>-5287.58</v>
      </c>
      <c r="O14" s="13">
        <f>ROUND(O$9*'B&amp;A kWh'!P12,2)</f>
        <v>-4656.1400000000003</v>
      </c>
      <c r="P14" s="13">
        <f t="shared" si="0"/>
        <v>-26320.739999999998</v>
      </c>
      <c r="R14" s="26">
        <v>12</v>
      </c>
      <c r="S14" s="26" t="s">
        <v>20</v>
      </c>
    </row>
    <row r="15" spans="1:19" x14ac:dyDescent="0.25">
      <c r="A15" s="24"/>
      <c r="P15" s="13">
        <f t="shared" si="0"/>
        <v>0</v>
      </c>
      <c r="R15" s="26">
        <v>13</v>
      </c>
    </row>
    <row r="16" spans="1:19" x14ac:dyDescent="0.25">
      <c r="A16" s="24" t="s">
        <v>19</v>
      </c>
      <c r="B16" s="13">
        <f>ROUND(B$9*'B&amp;A kWh'!C15,2)</f>
        <v>0</v>
      </c>
      <c r="C16" s="13">
        <f>ROUND(C$9*'B&amp;A kWh'!D15,2)</f>
        <v>0</v>
      </c>
      <c r="D16" s="13">
        <f>ROUND(D$9*'B&amp;A kWh'!E14,2)</f>
        <v>-0.53</v>
      </c>
      <c r="E16" s="13">
        <f>ROUND(E$9*'B&amp;A kWh'!F14,2)</f>
        <v>-0.47</v>
      </c>
      <c r="F16" s="13">
        <f>ROUND(F$9*'B&amp;A kWh'!G14,2)</f>
        <v>-0.66</v>
      </c>
      <c r="G16" s="13">
        <f>ROUND(G$9*'B&amp;A kWh'!H14,2)</f>
        <v>-0.77</v>
      </c>
      <c r="H16" s="13">
        <f>ROUND(H$9*'B&amp;A kWh'!I14,2)</f>
        <v>-0.92</v>
      </c>
      <c r="I16" s="13">
        <f>ROUND(I$9*'B&amp;A kWh'!J14,2)</f>
        <v>-0.79</v>
      </c>
      <c r="J16" s="13">
        <f>ROUND(J$9*'B&amp;A kWh'!K14,2)</f>
        <v>-0.76</v>
      </c>
      <c r="K16" s="13">
        <f>ROUND(K$9*'B&amp;A kWh'!L14,2)</f>
        <v>-0.45</v>
      </c>
      <c r="L16" s="13">
        <f>ROUND(L$9*'B&amp;A kWh'!M14,2)</f>
        <v>-364.53</v>
      </c>
      <c r="M16" s="13">
        <f>ROUND(M$9*'B&amp;A kWh'!N14,2)</f>
        <v>-388.85</v>
      </c>
      <c r="N16" s="13">
        <f>ROUND(N$9*'B&amp;A kWh'!O14,2)</f>
        <v>-265.57</v>
      </c>
      <c r="O16" s="13">
        <f>ROUND(O$9*'B&amp;A kWh'!P14,2)</f>
        <v>-219.79</v>
      </c>
      <c r="P16" s="13">
        <f t="shared" si="0"/>
        <v>-1244.0899999999999</v>
      </c>
      <c r="R16" s="26">
        <v>14</v>
      </c>
      <c r="S16" s="26" t="s">
        <v>19</v>
      </c>
    </row>
    <row r="17" spans="1:19" x14ac:dyDescent="0.25">
      <c r="A17" s="24"/>
      <c r="P17" s="13">
        <f t="shared" si="0"/>
        <v>0</v>
      </c>
      <c r="R17" s="26">
        <v>15</v>
      </c>
    </row>
    <row r="18" spans="1:19" x14ac:dyDescent="0.25">
      <c r="A18" s="43" t="s">
        <v>172</v>
      </c>
      <c r="D18" s="13">
        <f>ROUND(D$9*'B&amp;A kWh'!E16,2)</f>
        <v>0</v>
      </c>
      <c r="E18" s="13">
        <f>ROUND(E$9*'B&amp;A kWh'!F16,2)</f>
        <v>0</v>
      </c>
      <c r="F18" s="13">
        <f>ROUND(F$9*'B&amp;A kWh'!G16,2)</f>
        <v>0</v>
      </c>
      <c r="G18" s="13">
        <f>ROUND(G$9*'B&amp;A kWh'!H16,2)</f>
        <v>0</v>
      </c>
      <c r="H18" s="13">
        <f>ROUND(H$9*'B&amp;A kWh'!I16,2)</f>
        <v>0</v>
      </c>
      <c r="I18" s="13">
        <f>ROUND(I$9*'B&amp;A kWh'!J16,2)</f>
        <v>0</v>
      </c>
      <c r="J18" s="13">
        <f>ROUND(J$9*'B&amp;A kWh'!K16,2)</f>
        <v>0</v>
      </c>
      <c r="K18" s="13">
        <f>ROUND(K$9*'B&amp;A kWh'!L16,2)</f>
        <v>0</v>
      </c>
      <c r="L18" s="13">
        <f>ROUND(L$9*'B&amp;A kWh'!M16,2)</f>
        <v>0</v>
      </c>
      <c r="M18" s="13">
        <f>ROUND(M$9*'B&amp;A kWh'!N16,2)</f>
        <v>0</v>
      </c>
      <c r="N18" s="13">
        <f>ROUND(N$9*'B&amp;A kWh'!O16,2)</f>
        <v>0</v>
      </c>
      <c r="O18" s="13">
        <f>ROUND(O$9*'B&amp;A kWh'!P16,2)</f>
        <v>0</v>
      </c>
      <c r="P18" s="13">
        <f t="shared" si="0"/>
        <v>0</v>
      </c>
      <c r="R18" s="26">
        <v>16</v>
      </c>
      <c r="S18" s="26" t="s">
        <v>172</v>
      </c>
    </row>
    <row r="19" spans="1:19" x14ac:dyDescent="0.25">
      <c r="A19" s="43" t="s">
        <v>174</v>
      </c>
      <c r="D19" s="13">
        <f>ROUND(D$10*'B&amp;A kWh'!E17,2)</f>
        <v>-18202.77</v>
      </c>
      <c r="E19" s="13">
        <f>ROUND(E$10*'B&amp;A kWh'!F17,2)</f>
        <v>-18438.419999999998</v>
      </c>
      <c r="F19" s="13">
        <f>ROUND(F$10*'B&amp;A kWh'!G17,2)</f>
        <v>-15145.42</v>
      </c>
      <c r="G19" s="13">
        <f>ROUND(G$10*'B&amp;A kWh'!H17,2)</f>
        <v>-16166.69</v>
      </c>
      <c r="H19" s="13">
        <f>ROUND(H$10*'B&amp;A kWh'!I17,2)</f>
        <v>-20071.77</v>
      </c>
      <c r="I19" s="13">
        <f>ROUND(I$10*'B&amp;A kWh'!J17,2)</f>
        <v>-19605.990000000002</v>
      </c>
      <c r="J19" s="13">
        <f>ROUND(J$10*'B&amp;A kWh'!K17,2)</f>
        <v>-28320.53</v>
      </c>
      <c r="K19" s="13">
        <f>ROUND(K$10*'B&amp;A kWh'!L17,2)</f>
        <v>-30681.82</v>
      </c>
      <c r="L19" s="13">
        <f>ROUND(L$10*'B&amp;A kWh'!M17,2)</f>
        <v>-25191.21</v>
      </c>
      <c r="M19" s="13">
        <f>ROUND(M$10*'B&amp;A kWh'!N17,2)</f>
        <v>-19605.12</v>
      </c>
      <c r="N19" s="13">
        <f>ROUND(N$10*'B&amp;A kWh'!O17,2)</f>
        <v>-18742.28</v>
      </c>
      <c r="O19" s="13">
        <f>ROUND(O$10*'B&amp;A kWh'!P17,2)</f>
        <v>-24307.99</v>
      </c>
      <c r="P19" s="13"/>
      <c r="R19" s="26">
        <v>17</v>
      </c>
      <c r="S19" s="26" t="s">
        <v>174</v>
      </c>
    </row>
    <row r="20" spans="1:19" x14ac:dyDescent="0.25">
      <c r="A20" s="24" t="s">
        <v>18</v>
      </c>
      <c r="B20" s="13">
        <f>ROUND(B$10*'Comm kWh (DSM)'!C19,2)</f>
        <v>0</v>
      </c>
      <c r="C20" s="13">
        <f>ROUND(C$10*'Comm kWh (DSM)'!D19,2)</f>
        <v>0</v>
      </c>
      <c r="D20" s="13">
        <f>D18+D19</f>
        <v>-18202.77</v>
      </c>
      <c r="E20" s="13">
        <f t="shared" ref="E20:O20" si="1">E18+E19</f>
        <v>-18438.419999999998</v>
      </c>
      <c r="F20" s="13">
        <f t="shared" si="1"/>
        <v>-15145.42</v>
      </c>
      <c r="G20" s="13">
        <f t="shared" si="1"/>
        <v>-16166.69</v>
      </c>
      <c r="H20" s="13">
        <f t="shared" si="1"/>
        <v>-20071.77</v>
      </c>
      <c r="I20" s="13">
        <f t="shared" si="1"/>
        <v>-19605.990000000002</v>
      </c>
      <c r="J20" s="13">
        <f t="shared" si="1"/>
        <v>-28320.53</v>
      </c>
      <c r="K20" s="13">
        <f t="shared" si="1"/>
        <v>-30681.82</v>
      </c>
      <c r="L20" s="13">
        <f t="shared" si="1"/>
        <v>-25191.21</v>
      </c>
      <c r="M20" s="13">
        <f t="shared" si="1"/>
        <v>-19605.12</v>
      </c>
      <c r="N20" s="13">
        <f t="shared" si="1"/>
        <v>-18742.28</v>
      </c>
      <c r="O20" s="13">
        <f t="shared" si="1"/>
        <v>-24307.99</v>
      </c>
      <c r="P20" s="13">
        <f t="shared" si="0"/>
        <v>-254480.01</v>
      </c>
      <c r="R20" s="26">
        <v>18</v>
      </c>
      <c r="S20" s="26" t="s">
        <v>18</v>
      </c>
    </row>
    <row r="21" spans="1:19" x14ac:dyDescent="0.25">
      <c r="A21" s="24"/>
      <c r="P21" s="13">
        <f t="shared" si="0"/>
        <v>0</v>
      </c>
      <c r="R21" s="26">
        <v>19</v>
      </c>
    </row>
    <row r="22" spans="1:19" x14ac:dyDescent="0.25">
      <c r="A22" s="24" t="s">
        <v>17</v>
      </c>
      <c r="B22" s="13">
        <f>ROUND(B$10*'Comm kWh (DSM)'!C21,2)</f>
        <v>0</v>
      </c>
      <c r="C22" s="13">
        <f>ROUND(C$10*'Comm kWh (DSM)'!D21,2)</f>
        <v>0</v>
      </c>
      <c r="D22" s="13">
        <f>ROUND(D$10*'B&amp;A kWh'!E20,2)</f>
        <v>-65613.279999999999</v>
      </c>
      <c r="E22" s="13">
        <f>ROUND(E$10*'B&amp;A kWh'!F20,2)</f>
        <v>-67888.990000000005</v>
      </c>
      <c r="F22" s="13">
        <f>ROUND(F$10*'B&amp;A kWh'!G20,2)</f>
        <v>-78374.95</v>
      </c>
      <c r="G22" s="13">
        <f>ROUND(G$10*'B&amp;A kWh'!H20,2)</f>
        <v>-82578.63</v>
      </c>
      <c r="H22" s="13">
        <f>ROUND(H$10*'B&amp;A kWh'!I20,2)</f>
        <v>-82355.11</v>
      </c>
      <c r="I22" s="13">
        <f>ROUND(I$10*'B&amp;A kWh'!J20,2)</f>
        <v>-69262.05</v>
      </c>
      <c r="J22" s="13">
        <f>ROUND(J$10*'B&amp;A kWh'!K20,2)</f>
        <v>-68133.45</v>
      </c>
      <c r="K22" s="13">
        <f>ROUND(K$10*'B&amp;A kWh'!L20,2)</f>
        <v>-74717.570000000007</v>
      </c>
      <c r="L22" s="13">
        <f>ROUND(L$10*'B&amp;A kWh'!M20,2)</f>
        <v>-97492.84</v>
      </c>
      <c r="M22" s="13">
        <f>ROUND(M$10*'B&amp;A kWh'!N20,2)</f>
        <v>-95578.04</v>
      </c>
      <c r="N22" s="13">
        <f>ROUND(N$10*'B&amp;A kWh'!O20,2)</f>
        <v>-78180.37</v>
      </c>
      <c r="O22" s="13">
        <f>ROUND(O$10*'B&amp;A kWh'!P20,2)</f>
        <v>-80152.34</v>
      </c>
      <c r="P22" s="13">
        <f t="shared" si="0"/>
        <v>-940327.62</v>
      </c>
      <c r="R22" s="26">
        <v>20</v>
      </c>
      <c r="S22" s="26" t="s">
        <v>17</v>
      </c>
    </row>
    <row r="23" spans="1:19" x14ac:dyDescent="0.25">
      <c r="A23" s="24"/>
      <c r="P23" s="13">
        <f t="shared" si="0"/>
        <v>0</v>
      </c>
      <c r="R23" s="26">
        <v>21</v>
      </c>
    </row>
    <row r="24" spans="1:19" x14ac:dyDescent="0.25">
      <c r="A24" s="24" t="s">
        <v>16</v>
      </c>
      <c r="B24" s="13">
        <f>ROUND(B$10*'Comm kWh (DSM)'!C23,2)</f>
        <v>0</v>
      </c>
      <c r="C24" s="13">
        <f>ROUND(C$10*'Comm kWh (DSM)'!D23,2)</f>
        <v>0</v>
      </c>
      <c r="D24" s="13">
        <f>ROUND(D$10*'B&amp;A kWh'!E22,2)</f>
        <v>-503.46</v>
      </c>
      <c r="E24" s="13">
        <f>ROUND(E$10*'B&amp;A kWh'!F22,2)</f>
        <v>-507.58</v>
      </c>
      <c r="F24" s="13">
        <f>ROUND(F$10*'B&amp;A kWh'!G22,2)</f>
        <v>-519.54</v>
      </c>
      <c r="G24" s="13">
        <f>ROUND(G$10*'B&amp;A kWh'!H22,2)</f>
        <v>-467.43</v>
      </c>
      <c r="H24" s="13">
        <f>ROUND(H$10*'B&amp;A kWh'!I22,2)</f>
        <v>-454.46</v>
      </c>
      <c r="I24" s="13">
        <f>ROUND(I$10*'B&amp;A kWh'!J22,2)</f>
        <v>-473.17</v>
      </c>
      <c r="J24" s="13">
        <f>ROUND(J$10*'B&amp;A kWh'!K22,2)</f>
        <v>-531.03</v>
      </c>
      <c r="K24" s="13">
        <f>ROUND(K$10*'B&amp;A kWh'!L22,2)</f>
        <v>-540.78</v>
      </c>
      <c r="L24" s="13">
        <f>ROUND(L$10*'B&amp;A kWh'!M22,2)</f>
        <v>-490.54</v>
      </c>
      <c r="M24" s="13">
        <f>ROUND(M$10*'B&amp;A kWh'!N22,2)</f>
        <v>-463.36</v>
      </c>
      <c r="N24" s="13">
        <f>ROUND(N$10*'B&amp;A kWh'!O22,2)</f>
        <v>-443.99</v>
      </c>
      <c r="O24" s="13">
        <f>ROUND(O$10*'B&amp;A kWh'!P22,2)</f>
        <v>-515.16</v>
      </c>
      <c r="P24" s="13">
        <f t="shared" si="0"/>
        <v>-5910.4999999999991</v>
      </c>
      <c r="R24" s="26">
        <v>22</v>
      </c>
      <c r="S24" s="26" t="s">
        <v>16</v>
      </c>
    </row>
    <row r="25" spans="1:19" x14ac:dyDescent="0.25">
      <c r="A25" s="24"/>
      <c r="P25" s="13">
        <f t="shared" si="0"/>
        <v>0</v>
      </c>
      <c r="R25" s="26">
        <v>23</v>
      </c>
    </row>
    <row r="26" spans="1:19" x14ac:dyDescent="0.25">
      <c r="A26" s="24" t="s">
        <v>15</v>
      </c>
      <c r="B26" s="13">
        <f>ROUND(B$10*'Comm kWh (DSM)'!C25,2)</f>
        <v>0</v>
      </c>
      <c r="C26" s="13">
        <f>ROUND(C$10*'Comm kWh (DSM)'!D25,2)</f>
        <v>0</v>
      </c>
      <c r="D26" s="13">
        <f>ROUND(D$10*'B&amp;A kWh'!E24,2)</f>
        <v>-4451.2299999999996</v>
      </c>
      <c r="E26" s="13">
        <f>ROUND(E$10*'B&amp;A kWh'!F24,2)</f>
        <v>-5144</v>
      </c>
      <c r="F26" s="13">
        <f>ROUND(F$10*'B&amp;A kWh'!G24,2)</f>
        <v>-5281.07</v>
      </c>
      <c r="G26" s="13">
        <f>ROUND(G$10*'B&amp;A kWh'!H24,2)</f>
        <v>-4345.95</v>
      </c>
      <c r="H26" s="13">
        <f>ROUND(H$10*'B&amp;A kWh'!I24,2)</f>
        <v>-4646.34</v>
      </c>
      <c r="I26" s="13">
        <f>ROUND(I$10*'B&amp;A kWh'!J24,2)</f>
        <v>-4142.71</v>
      </c>
      <c r="J26" s="13">
        <f>ROUND(J$10*'B&amp;A kWh'!K24,2)</f>
        <v>-4658.28</v>
      </c>
      <c r="K26" s="13">
        <f>ROUND(K$10*'B&amp;A kWh'!L24,2)</f>
        <v>-4739.33</v>
      </c>
      <c r="L26" s="13">
        <f>ROUND(L$10*'B&amp;A kWh'!M24,2)</f>
        <v>-4249.24</v>
      </c>
      <c r="M26" s="13">
        <f>ROUND(M$10*'B&amp;A kWh'!N24,2)</f>
        <v>-3705.17</v>
      </c>
      <c r="N26" s="13">
        <f>ROUND(N$10*'B&amp;A kWh'!O24,2)</f>
        <v>-3595.64</v>
      </c>
      <c r="O26" s="13">
        <f>ROUND(O$10*'B&amp;A kWh'!P24,2)</f>
        <v>-4458.3999999999996</v>
      </c>
      <c r="P26" s="13">
        <f t="shared" si="0"/>
        <v>-53417.359999999993</v>
      </c>
      <c r="R26" s="26">
        <v>24</v>
      </c>
      <c r="S26" s="26" t="s">
        <v>15</v>
      </c>
    </row>
    <row r="27" spans="1:19" x14ac:dyDescent="0.25">
      <c r="A27" s="24"/>
      <c r="P27" s="13">
        <f t="shared" si="0"/>
        <v>0</v>
      </c>
      <c r="R27" s="26">
        <v>25</v>
      </c>
    </row>
    <row r="28" spans="1:19" x14ac:dyDescent="0.25">
      <c r="A28" s="24" t="s">
        <v>14</v>
      </c>
      <c r="B28" s="13">
        <f>ROUND(B$10*'Comm kWh (DSM)'!C27,2)</f>
        <v>0</v>
      </c>
      <c r="C28" s="13">
        <f>ROUND(C$10*'Comm kWh (DSM)'!D27,2)</f>
        <v>0</v>
      </c>
      <c r="D28" s="13">
        <f>ROUND(D$10*'B&amp;A kWh'!E26,2)</f>
        <v>-1641.85</v>
      </c>
      <c r="E28" s="13">
        <f>ROUND(E$10*'B&amp;A kWh'!F26,2)</f>
        <v>-1850.18</v>
      </c>
      <c r="F28" s="13">
        <f>ROUND(F$10*'B&amp;A kWh'!G26,2)</f>
        <v>-1697.45</v>
      </c>
      <c r="G28" s="13">
        <f>ROUND(G$10*'B&amp;A kWh'!H26,2)</f>
        <v>-1594.95</v>
      </c>
      <c r="H28" s="13">
        <f>ROUND(H$10*'B&amp;A kWh'!I26,2)</f>
        <v>-1626.97</v>
      </c>
      <c r="I28" s="13">
        <f>ROUND(I$10*'B&amp;A kWh'!J26,2)</f>
        <v>-1501.21</v>
      </c>
      <c r="J28" s="13">
        <f>ROUND(J$10*'B&amp;A kWh'!K26,2)</f>
        <v>-1874.23</v>
      </c>
      <c r="K28" s="13">
        <f>ROUND(K$10*'B&amp;A kWh'!L26,2)</f>
        <v>-1933.3</v>
      </c>
      <c r="L28" s="13">
        <f>ROUND(L$10*'B&amp;A kWh'!M26,2)</f>
        <v>-2096.4499999999998</v>
      </c>
      <c r="M28" s="13">
        <f>ROUND(M$10*'B&amp;A kWh'!N26,2)</f>
        <v>-3134.46</v>
      </c>
      <c r="N28" s="13">
        <f>ROUND(N$10*'B&amp;A kWh'!O26,2)</f>
        <v>-518.14</v>
      </c>
      <c r="O28" s="13">
        <f>ROUND(O$10*'B&amp;A kWh'!P26,2)</f>
        <v>-1797.5</v>
      </c>
      <c r="P28" s="13">
        <f t="shared" si="0"/>
        <v>-21266.69</v>
      </c>
      <c r="R28" s="26">
        <v>26</v>
      </c>
      <c r="S28" s="26" t="s">
        <v>14</v>
      </c>
    </row>
    <row r="29" spans="1:19" x14ac:dyDescent="0.25">
      <c r="A29" s="24"/>
      <c r="P29" s="13">
        <f t="shared" si="0"/>
        <v>0</v>
      </c>
      <c r="R29" s="26">
        <v>27</v>
      </c>
    </row>
    <row r="30" spans="1:19" x14ac:dyDescent="0.25">
      <c r="A30" s="24" t="s">
        <v>13</v>
      </c>
      <c r="B30" s="13">
        <f>ROUND(B$10*'Comm kWh (DSM)'!C29,2)</f>
        <v>0</v>
      </c>
      <c r="C30" s="13">
        <f>ROUND(C$10*'Comm kWh (DSM)'!D29,2)</f>
        <v>0</v>
      </c>
      <c r="D30" s="13">
        <f>ROUND(D$10*'B&amp;A kWh'!E28,2)</f>
        <v>-1242.81</v>
      </c>
      <c r="E30" s="13">
        <f>ROUND(E$10*'B&amp;A kWh'!F28,2)</f>
        <v>-910.07</v>
      </c>
      <c r="F30" s="13">
        <f>ROUND(F$10*'B&amp;A kWh'!G28,2)</f>
        <v>-507.49</v>
      </c>
      <c r="G30" s="13">
        <f>ROUND(G$10*'B&amp;A kWh'!H28,2)</f>
        <v>-425.52</v>
      </c>
      <c r="H30" s="13">
        <f>ROUND(H$10*'B&amp;A kWh'!I28,2)</f>
        <v>-567.07000000000005</v>
      </c>
      <c r="I30" s="13">
        <f>ROUND(I$10*'B&amp;A kWh'!J28,2)</f>
        <v>-608.44000000000005</v>
      </c>
      <c r="J30" s="13">
        <f>ROUND(J$10*'B&amp;A kWh'!K28,2)</f>
        <v>-896.34</v>
      </c>
      <c r="K30" s="13">
        <f>ROUND(K$10*'B&amp;A kWh'!L28,2)</f>
        <v>-860</v>
      </c>
      <c r="L30" s="13">
        <f>ROUND(L$10*'B&amp;A kWh'!M28,2)</f>
        <v>-771.79</v>
      </c>
      <c r="M30" s="13">
        <f>ROUND(M$10*'B&amp;A kWh'!N28,2)</f>
        <v>-734.73</v>
      </c>
      <c r="N30" s="13">
        <f>ROUND(N$10*'B&amp;A kWh'!O28,2)</f>
        <v>-764.41</v>
      </c>
      <c r="O30" s="13">
        <f>ROUND(O$10*'B&amp;A kWh'!P28,2)</f>
        <v>-1111.95</v>
      </c>
      <c r="P30" s="13">
        <f t="shared" si="0"/>
        <v>-9400.6200000000008</v>
      </c>
      <c r="R30" s="26">
        <v>28</v>
      </c>
      <c r="S30" s="26" t="s">
        <v>13</v>
      </c>
    </row>
    <row r="31" spans="1:19" x14ac:dyDescent="0.25">
      <c r="A31" s="24"/>
      <c r="P31" s="13">
        <f t="shared" si="0"/>
        <v>0</v>
      </c>
      <c r="R31" s="26">
        <v>29</v>
      </c>
    </row>
    <row r="32" spans="1:19" x14ac:dyDescent="0.25">
      <c r="A32" s="24" t="s">
        <v>12</v>
      </c>
      <c r="B32" s="13">
        <f>ROUND(B$10*'Comm kWh (DSM)'!C31,2)</f>
        <v>0</v>
      </c>
      <c r="C32" s="13">
        <f>ROUND(C$10*'Comm kWh (DSM)'!D31,2)</f>
        <v>0</v>
      </c>
      <c r="D32" s="13">
        <f>ROUND(D$10*'B&amp;A kWh'!E30,2)</f>
        <v>-205572.16</v>
      </c>
      <c r="E32" s="13">
        <f>ROUND(E$10*'B&amp;A kWh'!F30,2)</f>
        <v>-231798.42</v>
      </c>
      <c r="F32" s="13">
        <f>ROUND(F$10*'B&amp;A kWh'!G30,2)</f>
        <v>-275082.64</v>
      </c>
      <c r="G32" s="13">
        <f>ROUND(G$10*'B&amp;A kWh'!H30,2)</f>
        <v>-273336.32000000001</v>
      </c>
      <c r="H32" s="13">
        <f>ROUND(H$10*'B&amp;A kWh'!I30,2)</f>
        <v>-281358.39</v>
      </c>
      <c r="I32" s="13">
        <f>ROUND(I$10*'B&amp;A kWh'!J30,2)</f>
        <v>-234819.38</v>
      </c>
      <c r="J32" s="13">
        <f>ROUND(J$10*'B&amp;A kWh'!K30,2)</f>
        <v>-228996.36</v>
      </c>
      <c r="K32" s="13">
        <f>ROUND(K$10*'B&amp;A kWh'!L30,2)</f>
        <v>-228408.06</v>
      </c>
      <c r="L32" s="13">
        <f>ROUND(L$10*'B&amp;A kWh'!M30,2)</f>
        <v>-272067.51</v>
      </c>
      <c r="M32" s="13">
        <f>ROUND(M$10*'B&amp;A kWh'!N30,2)</f>
        <v>-253298.46</v>
      </c>
      <c r="N32" s="13">
        <f>ROUND(N$10*'B&amp;A kWh'!O30,2)</f>
        <v>-226784.55</v>
      </c>
      <c r="O32" s="13">
        <f>ROUND(O$10*'B&amp;A kWh'!P30,2)</f>
        <v>-238669.45</v>
      </c>
      <c r="P32" s="13">
        <f t="shared" si="0"/>
        <v>-2950191.7</v>
      </c>
      <c r="R32" s="26">
        <v>30</v>
      </c>
      <c r="S32" s="26" t="s">
        <v>12</v>
      </c>
    </row>
    <row r="33" spans="1:19" x14ac:dyDescent="0.25">
      <c r="A33" s="24"/>
      <c r="P33" s="13">
        <f t="shared" si="0"/>
        <v>0</v>
      </c>
      <c r="R33" s="26">
        <v>31</v>
      </c>
    </row>
    <row r="34" spans="1:19" x14ac:dyDescent="0.25">
      <c r="A34" s="24" t="s">
        <v>11</v>
      </c>
      <c r="B34" s="13">
        <f>ROUND(B$10*'Comm kWh (DSM)'!C33,2)</f>
        <v>0</v>
      </c>
      <c r="C34" s="13">
        <f>ROUND(C$10*'Comm kWh (DSM)'!D33,2)</f>
        <v>0</v>
      </c>
      <c r="D34" s="13">
        <f>ROUND(D$10*'B&amp;A kWh'!E32,2)</f>
        <v>-368.24</v>
      </c>
      <c r="E34" s="13">
        <f>ROUND(E$10*'B&amp;A kWh'!F32,2)</f>
        <v>-204.99</v>
      </c>
      <c r="F34" s="13">
        <f>ROUND(F$10*'B&amp;A kWh'!G32,2)</f>
        <v>-345.8</v>
      </c>
      <c r="G34" s="13">
        <f>ROUND(G$10*'B&amp;A kWh'!H32,2)</f>
        <v>-440.85</v>
      </c>
      <c r="H34" s="13">
        <f>ROUND(H$10*'B&amp;A kWh'!I32,2)</f>
        <v>-410.5</v>
      </c>
      <c r="I34" s="13">
        <f>ROUND(I$10*'B&amp;A kWh'!J32,2)</f>
        <v>-396.19</v>
      </c>
      <c r="J34" s="13">
        <f>ROUND(J$10*'B&amp;A kWh'!K32,2)</f>
        <v>-154.75</v>
      </c>
      <c r="K34" s="13">
        <f>ROUND(K$10*'B&amp;A kWh'!L32,2)</f>
        <v>-442.98</v>
      </c>
      <c r="L34" s="13">
        <f>ROUND(L$10*'B&amp;A kWh'!M32,2)</f>
        <v>-773.27</v>
      </c>
      <c r="M34" s="13">
        <f>ROUND(M$10*'B&amp;A kWh'!N32,2)</f>
        <v>-804.04</v>
      </c>
      <c r="N34" s="13">
        <f>ROUND(N$10*'B&amp;A kWh'!O32,2)</f>
        <v>-501.2</v>
      </c>
      <c r="O34" s="13">
        <f>ROUND(O$10*'B&amp;A kWh'!P32,2)</f>
        <v>-395.73</v>
      </c>
      <c r="P34" s="13">
        <f t="shared" si="0"/>
        <v>-5238.5400000000009</v>
      </c>
      <c r="R34" s="26">
        <v>32</v>
      </c>
      <c r="S34" s="26" t="s">
        <v>11</v>
      </c>
    </row>
    <row r="35" spans="1:19" x14ac:dyDescent="0.25">
      <c r="A35" s="24"/>
      <c r="P35" s="13">
        <f t="shared" si="0"/>
        <v>0</v>
      </c>
      <c r="R35" s="26">
        <v>33</v>
      </c>
    </row>
    <row r="36" spans="1:19" x14ac:dyDescent="0.25">
      <c r="A36" s="24" t="s">
        <v>10</v>
      </c>
      <c r="B36" s="13">
        <f>ROUND(B$10*'Comm kWh (DSM)'!C35,2)</f>
        <v>0</v>
      </c>
      <c r="C36" s="13">
        <f>ROUND(C$10*'Comm kWh (DSM)'!D35,2)</f>
        <v>0</v>
      </c>
      <c r="D36" s="13">
        <f>ROUND(D$10*'B&amp;A kWh'!E34,2)</f>
        <v>-3940.73</v>
      </c>
      <c r="E36" s="13">
        <f>ROUND(E$10*'B&amp;A kWh'!F34,2)</f>
        <v>-4479.6099999999997</v>
      </c>
      <c r="F36" s="13">
        <f>ROUND(F$10*'B&amp;A kWh'!G34,2)</f>
        <v>-4909.83</v>
      </c>
      <c r="G36" s="13">
        <f>ROUND(G$10*'B&amp;A kWh'!H34,2)</f>
        <v>-4858.41</v>
      </c>
      <c r="H36" s="13">
        <f>ROUND(H$10*'B&amp;A kWh'!I34,2)</f>
        <v>-4675.3100000000004</v>
      </c>
      <c r="I36" s="13">
        <f>ROUND(I$10*'B&amp;A kWh'!J34,2)</f>
        <v>-4421.62</v>
      </c>
      <c r="J36" s="13">
        <f>ROUND(J$10*'B&amp;A kWh'!K34,2)</f>
        <v>-4521.71</v>
      </c>
      <c r="K36" s="13">
        <f>ROUND(K$10*'B&amp;A kWh'!L34,2)</f>
        <v>-4852.96</v>
      </c>
      <c r="L36" s="13">
        <f>ROUND(L$10*'B&amp;A kWh'!M34,2)</f>
        <v>-5382.55</v>
      </c>
      <c r="M36" s="13">
        <f>ROUND(M$10*'B&amp;A kWh'!N34,2)</f>
        <v>-5325.78</v>
      </c>
      <c r="N36" s="13">
        <f>ROUND(N$10*'B&amp;A kWh'!O34,2)</f>
        <v>-3974.9</v>
      </c>
      <c r="O36" s="13">
        <f>ROUND(O$10*'B&amp;A kWh'!P34,2)</f>
        <v>-4668.01</v>
      </c>
      <c r="P36" s="13">
        <f t="shared" si="0"/>
        <v>-56011.420000000006</v>
      </c>
      <c r="R36" s="26">
        <v>34</v>
      </c>
      <c r="S36" s="26" t="s">
        <v>10</v>
      </c>
    </row>
    <row r="37" spans="1:19" x14ac:dyDescent="0.25">
      <c r="A37" s="24"/>
      <c r="P37" s="13">
        <f t="shared" si="0"/>
        <v>0</v>
      </c>
      <c r="R37" s="26">
        <v>35</v>
      </c>
    </row>
    <row r="38" spans="1:19" x14ac:dyDescent="0.25">
      <c r="A38" s="24" t="s">
        <v>9</v>
      </c>
      <c r="B38" s="13">
        <f>ROUND(B$10*'Comm kWh (DSM)'!C37,2)</f>
        <v>0</v>
      </c>
      <c r="C38" s="13">
        <f>ROUND(C$10*'Comm kWh (DSM)'!D37,2)</f>
        <v>0</v>
      </c>
      <c r="D38" s="13">
        <f>ROUND(D$10*'B&amp;A kWh'!E36,2)</f>
        <v>-4828.3</v>
      </c>
      <c r="E38" s="13">
        <f>ROUND(E$10*'B&amp;A kWh'!F36,2)</f>
        <v>-5078.8</v>
      </c>
      <c r="F38" s="13">
        <f>ROUND(F$10*'B&amp;A kWh'!G36,2)</f>
        <v>-4436.9799999999996</v>
      </c>
      <c r="G38" s="13">
        <f>ROUND(G$10*'B&amp;A kWh'!H36,2)</f>
        <v>-3234.45</v>
      </c>
      <c r="H38" s="13">
        <f>ROUND(H$10*'B&amp;A kWh'!I36,2)</f>
        <v>-3638.8</v>
      </c>
      <c r="I38" s="13">
        <f>ROUND(I$10*'B&amp;A kWh'!J36,2)</f>
        <v>-3242</v>
      </c>
      <c r="J38" s="13">
        <f>ROUND(J$10*'B&amp;A kWh'!K36,2)</f>
        <v>-4998.82</v>
      </c>
      <c r="K38" s="13">
        <f>ROUND(K$10*'B&amp;A kWh'!L36,2)</f>
        <v>-5850.35</v>
      </c>
      <c r="L38" s="13">
        <f>ROUND(L$10*'B&amp;A kWh'!M36,2)</f>
        <v>-5770.51</v>
      </c>
      <c r="M38" s="13">
        <f>ROUND(M$10*'B&amp;A kWh'!N36,2)</f>
        <v>-4491.33</v>
      </c>
      <c r="N38" s="13">
        <f>ROUND(N$10*'B&amp;A kWh'!O36,2)</f>
        <v>-5411.37</v>
      </c>
      <c r="O38" s="13">
        <f>ROUND(O$10*'B&amp;A kWh'!P36,2)</f>
        <v>-3796.83</v>
      </c>
      <c r="P38" s="13">
        <f t="shared" si="0"/>
        <v>-54778.540000000008</v>
      </c>
      <c r="R38" s="26">
        <v>36</v>
      </c>
      <c r="S38" s="26" t="s">
        <v>9</v>
      </c>
    </row>
    <row r="39" spans="1:19" x14ac:dyDescent="0.25">
      <c r="A39" s="24"/>
      <c r="P39" s="13">
        <f t="shared" si="0"/>
        <v>0</v>
      </c>
      <c r="R39" s="26">
        <v>37</v>
      </c>
    </row>
    <row r="40" spans="1:19" x14ac:dyDescent="0.25">
      <c r="A40" s="24" t="s">
        <v>8</v>
      </c>
      <c r="B40" s="13">
        <f>ROUND(B$10*'Comm kWh (DSM)'!C39,2)</f>
        <v>0</v>
      </c>
      <c r="C40" s="13">
        <f>ROUND(C$10*'Comm kWh (DSM)'!D39,2)</f>
        <v>0</v>
      </c>
      <c r="D40" s="13">
        <f>ROUND(D$10*'B&amp;A kWh'!E38,2)</f>
        <v>-392.88</v>
      </c>
      <c r="E40" s="13">
        <f>ROUND(E$10*'B&amp;A kWh'!F38,2)</f>
        <v>-263.39</v>
      </c>
      <c r="F40" s="13">
        <f>ROUND(F$10*'B&amp;A kWh'!G38,2)</f>
        <v>-384.38</v>
      </c>
      <c r="G40" s="13">
        <f>ROUND(G$10*'B&amp;A kWh'!H38,2)</f>
        <v>-87.94</v>
      </c>
      <c r="H40" s="13">
        <f>ROUND(H$10*'B&amp;A kWh'!I38,2)</f>
        <v>-206.37</v>
      </c>
      <c r="I40" s="13">
        <f>ROUND(I$10*'B&amp;A kWh'!J38,2)</f>
        <v>-296.44</v>
      </c>
      <c r="J40" s="13">
        <f>ROUND(J$10*'B&amp;A kWh'!K38,2)</f>
        <v>-94.02</v>
      </c>
      <c r="K40" s="13">
        <f>ROUND(K$10*'B&amp;A kWh'!L38,2)</f>
        <v>-216.62</v>
      </c>
      <c r="L40" s="13">
        <f>ROUND(L$10*'B&amp;A kWh'!M38,2)</f>
        <v>-344.72</v>
      </c>
      <c r="M40" s="13">
        <f>ROUND(M$10*'B&amp;A kWh'!N38,2)</f>
        <v>-210.58</v>
      </c>
      <c r="N40" s="13">
        <f>ROUND(N$10*'B&amp;A kWh'!O38,2)</f>
        <v>-86.12</v>
      </c>
      <c r="O40" s="13">
        <f>ROUND(O$10*'B&amp;A kWh'!P38,2)</f>
        <v>-186.86</v>
      </c>
      <c r="P40" s="13">
        <f t="shared" si="0"/>
        <v>-2770.32</v>
      </c>
      <c r="R40" s="26">
        <v>38</v>
      </c>
      <c r="S40" s="26" t="s">
        <v>8</v>
      </c>
    </row>
    <row r="41" spans="1:19" x14ac:dyDescent="0.25">
      <c r="A41" s="24"/>
      <c r="P41" s="13">
        <f t="shared" si="0"/>
        <v>0</v>
      </c>
      <c r="R41" s="26">
        <v>39</v>
      </c>
    </row>
    <row r="42" spans="1:19" x14ac:dyDescent="0.25">
      <c r="A42" s="24" t="s">
        <v>7</v>
      </c>
      <c r="B42" s="13">
        <f>ROUND(B$10*'Comm kWh (DSM)'!C41,2)</f>
        <v>0</v>
      </c>
      <c r="C42" s="13">
        <f>ROUND(C$10*'Comm kWh (DSM)'!D41,2)</f>
        <v>0</v>
      </c>
      <c r="D42" s="13">
        <f>ROUND(D$10*'B&amp;A kWh'!E40,2)</f>
        <v>-147617.26999999999</v>
      </c>
      <c r="E42" s="13">
        <f>ROUND(E$10*'B&amp;A kWh'!F40,2)</f>
        <v>-171567.07</v>
      </c>
      <c r="F42" s="13">
        <f>ROUND(F$10*'B&amp;A kWh'!G40,2)</f>
        <v>-180548.17</v>
      </c>
      <c r="G42" s="13">
        <f>ROUND(G$10*'B&amp;A kWh'!H40,2)</f>
        <v>-171249.58</v>
      </c>
      <c r="H42" s="13">
        <f>ROUND(H$10*'B&amp;A kWh'!I40,2)</f>
        <v>-178199.71</v>
      </c>
      <c r="I42" s="13">
        <f>ROUND(I$10*'B&amp;A kWh'!J40,2)</f>
        <v>-155640.70000000001</v>
      </c>
      <c r="J42" s="13">
        <f>ROUND(J$10*'B&amp;A kWh'!K40,2)</f>
        <v>-170151.41</v>
      </c>
      <c r="K42" s="13">
        <f>ROUND(K$10*'B&amp;A kWh'!L40,2)</f>
        <v>-172410.52</v>
      </c>
      <c r="L42" s="13">
        <f>ROUND(L$10*'B&amp;A kWh'!M40,2)</f>
        <v>-170683.97</v>
      </c>
      <c r="M42" s="13">
        <f>ROUND(M$10*'B&amp;A kWh'!N40,2)</f>
        <v>-151914.29</v>
      </c>
      <c r="N42" s="13">
        <f>ROUND(N$10*'B&amp;A kWh'!O40,2)</f>
        <v>-149657.44</v>
      </c>
      <c r="O42" s="13">
        <f>ROUND(O$10*'B&amp;A kWh'!P40,2)</f>
        <v>-168251.76</v>
      </c>
      <c r="P42" s="13">
        <f t="shared" si="0"/>
        <v>-1987891.89</v>
      </c>
      <c r="R42" s="26">
        <v>40</v>
      </c>
      <c r="S42" s="26" t="s">
        <v>7</v>
      </c>
    </row>
    <row r="43" spans="1:19" x14ac:dyDescent="0.25">
      <c r="A43" s="24"/>
      <c r="P43" s="13">
        <f t="shared" si="0"/>
        <v>0</v>
      </c>
      <c r="R43" s="26">
        <v>41</v>
      </c>
    </row>
    <row r="44" spans="1:19" x14ac:dyDescent="0.25">
      <c r="A44" s="24" t="s">
        <v>6</v>
      </c>
      <c r="B44" s="13">
        <f>ROUND(B$10*'Comm kWh (DSM)'!C43,2)</f>
        <v>0</v>
      </c>
      <c r="C44" s="13">
        <f>ROUND(C$10*'Comm kWh (DSM)'!D43,2)</f>
        <v>0</v>
      </c>
      <c r="D44" s="13">
        <f>ROUND(D$10*'B&amp;A kWh'!E42,2)</f>
        <v>-477.18</v>
      </c>
      <c r="E44" s="13">
        <f>ROUND(E$10*'B&amp;A kWh'!F42,2)</f>
        <v>-971.44</v>
      </c>
      <c r="F44" s="13">
        <f>ROUND(F$10*'B&amp;A kWh'!G42,2)</f>
        <v>-545.88</v>
      </c>
      <c r="G44" s="13">
        <f>ROUND(G$10*'B&amp;A kWh'!H42,2)</f>
        <v>-1080.1300000000001</v>
      </c>
      <c r="H44" s="13">
        <f>ROUND(H$10*'B&amp;A kWh'!I42,2)</f>
        <v>-1008.83</v>
      </c>
      <c r="I44" s="13">
        <f>ROUND(I$10*'B&amp;A kWh'!J42,2)</f>
        <v>-1110.92</v>
      </c>
      <c r="J44" s="13">
        <f>ROUND(J$10*'B&amp;A kWh'!K42,2)</f>
        <v>-1664.3</v>
      </c>
      <c r="K44" s="13">
        <f>ROUND(K$10*'B&amp;A kWh'!L42,2)</f>
        <v>-1763.42</v>
      </c>
      <c r="L44" s="13">
        <f>ROUND(L$10*'B&amp;A kWh'!M42,2)</f>
        <v>-1565.44</v>
      </c>
      <c r="M44" s="13">
        <f>ROUND(M$10*'B&amp;A kWh'!N42,2)</f>
        <v>-859.35</v>
      </c>
      <c r="N44" s="13">
        <f>ROUND(N$10*'B&amp;A kWh'!O42,2)</f>
        <v>-162.27000000000001</v>
      </c>
      <c r="O44" s="13">
        <f>ROUND(O$10*'B&amp;A kWh'!P42,2)</f>
        <v>-502.31</v>
      </c>
      <c r="P44" s="13">
        <f t="shared" si="0"/>
        <v>-11711.470000000001</v>
      </c>
      <c r="R44" s="26">
        <v>42</v>
      </c>
      <c r="S44" s="26" t="s">
        <v>6</v>
      </c>
    </row>
    <row r="45" spans="1:19" x14ac:dyDescent="0.25">
      <c r="A45" s="24"/>
      <c r="P45" s="13">
        <f t="shared" si="0"/>
        <v>0</v>
      </c>
      <c r="R45" s="26">
        <v>43</v>
      </c>
    </row>
    <row r="46" spans="1:19" x14ac:dyDescent="0.25">
      <c r="A46" s="24" t="s">
        <v>118</v>
      </c>
      <c r="B46" s="13">
        <f>ROUND(B$10*'Comm kWh (DSM)'!C45,2)</f>
        <v>0</v>
      </c>
      <c r="C46" s="13">
        <f>ROUND(C$10*'Comm kWh (DSM)'!D45,2)</f>
        <v>0</v>
      </c>
      <c r="D46" s="13">
        <f>ROUND(D$10*'B&amp;A kWh'!E44,2)</f>
        <v>-1528.81</v>
      </c>
      <c r="E46" s="13">
        <f>ROUND(E$10*'B&amp;A kWh'!F44,2)</f>
        <v>-4172.7</v>
      </c>
      <c r="F46" s="13">
        <f>ROUND(F$10*'B&amp;A kWh'!G44,2)</f>
        <v>-2868.01</v>
      </c>
      <c r="G46" s="13">
        <f>ROUND(G$10*'B&amp;A kWh'!H44,2)</f>
        <v>-2556.86</v>
      </c>
      <c r="H46" s="13">
        <f>ROUND(H$10*'B&amp;A kWh'!I44,2)</f>
        <v>-2745.76</v>
      </c>
      <c r="I46" s="13">
        <f>ROUND(I$10*'B&amp;A kWh'!J44,2)</f>
        <v>-2723.8</v>
      </c>
      <c r="J46" s="13">
        <f>ROUND(J$10*'B&amp;A kWh'!K44,2)</f>
        <v>-2994.41</v>
      </c>
      <c r="K46" s="13">
        <f>ROUND(K$10*'B&amp;A kWh'!L44,2)</f>
        <v>-3083.07</v>
      </c>
      <c r="L46" s="13">
        <f>ROUND(L$10*'B&amp;A kWh'!M44,2)</f>
        <v>-2875.49</v>
      </c>
      <c r="M46" s="13">
        <f>ROUND(M$10*'B&amp;A kWh'!N44,2)</f>
        <v>-2531.56</v>
      </c>
      <c r="N46" s="13">
        <f>ROUND(N$10*'B&amp;A kWh'!O44,2)</f>
        <v>-2525.75</v>
      </c>
      <c r="O46" s="13">
        <f>ROUND(O$10*'B&amp;A kWh'!P44,2)</f>
        <v>-3226.5</v>
      </c>
      <c r="P46" s="13">
        <f t="shared" si="0"/>
        <v>-33832.720000000001</v>
      </c>
      <c r="R46" s="26">
        <v>44</v>
      </c>
      <c r="S46" s="26" t="s">
        <v>118</v>
      </c>
    </row>
    <row r="47" spans="1:19" x14ac:dyDescent="0.25">
      <c r="A47" s="24"/>
      <c r="P47" s="13">
        <f t="shared" si="0"/>
        <v>0</v>
      </c>
      <c r="R47" s="26">
        <v>45</v>
      </c>
    </row>
    <row r="48" spans="1:19" x14ac:dyDescent="0.25">
      <c r="A48" s="24" t="s">
        <v>241</v>
      </c>
      <c r="B48" s="13">
        <f>ROUND(B$10*'Comm kWh (DSM)'!C47,2)</f>
        <v>0</v>
      </c>
      <c r="C48" s="13">
        <f>ROUND(C$10*'Comm kWh (DSM)'!D47,2)</f>
        <v>0</v>
      </c>
      <c r="D48" s="13">
        <f>ROUND(D$10*'B&amp;A kWh'!E46,2)</f>
        <v>-1798.86</v>
      </c>
      <c r="E48" s="13">
        <f>ROUND(E$10*'B&amp;A kWh'!F46,2)</f>
        <v>-1625.57</v>
      </c>
      <c r="F48" s="13">
        <f>ROUND(F$10*'B&amp;A kWh'!G46,2)</f>
        <v>-1657.55</v>
      </c>
      <c r="G48" s="13">
        <f>ROUND(G$10*'B&amp;A kWh'!H46,2)</f>
        <v>-1321.26</v>
      </c>
      <c r="H48" s="13">
        <f>ROUND(H$10*'B&amp;A kWh'!I46,2)</f>
        <v>-2213.59</v>
      </c>
      <c r="I48" s="13">
        <f>ROUND(I$10*'B&amp;A kWh'!J46,2)</f>
        <v>-2107.31</v>
      </c>
      <c r="J48" s="13">
        <f>ROUND(J$10*'B&amp;A kWh'!K46,2)</f>
        <v>-2191.15</v>
      </c>
      <c r="K48" s="13">
        <f>ROUND(K$10*'B&amp;A kWh'!L46,2)</f>
        <v>-258.61</v>
      </c>
      <c r="L48" s="13">
        <f>ROUND(L$10*'B&amp;A kWh'!M46,2)</f>
        <v>-525.92999999999995</v>
      </c>
      <c r="M48" s="13">
        <f>ROUND(M$10*'B&amp;A kWh'!N46,2)</f>
        <v>-478.88</v>
      </c>
      <c r="N48" s="13">
        <f>ROUND(N$10*'B&amp;A kWh'!O46,2)</f>
        <v>-470.7</v>
      </c>
      <c r="O48" s="13">
        <f>ROUND(O$10*'B&amp;A kWh'!P46,2)</f>
        <v>-868.78</v>
      </c>
      <c r="P48" s="13">
        <f t="shared" si="0"/>
        <v>-15518.19</v>
      </c>
      <c r="R48" s="26">
        <v>46</v>
      </c>
      <c r="S48" s="26" t="s">
        <v>241</v>
      </c>
    </row>
    <row r="49" spans="1:19" x14ac:dyDescent="0.25">
      <c r="A49" s="24"/>
      <c r="P49" s="13">
        <f t="shared" si="0"/>
        <v>0</v>
      </c>
      <c r="R49" s="26">
        <v>47</v>
      </c>
    </row>
    <row r="50" spans="1:19" x14ac:dyDescent="0.25">
      <c r="A50" s="24" t="s">
        <v>5</v>
      </c>
      <c r="B50" s="13">
        <f>ROUND(B$10*'Comm kWh (DSM)'!C49,2)</f>
        <v>0</v>
      </c>
      <c r="C50" s="13">
        <f>ROUND(C$10*'Comm kWh (DSM)'!D49,2)</f>
        <v>0</v>
      </c>
      <c r="D50" s="13">
        <f>ROUND(D$10*'B&amp;A kWh'!E48,2)</f>
        <v>-39960.42</v>
      </c>
      <c r="E50" s="13">
        <f>ROUND(E$10*'B&amp;A kWh'!F48,2)</f>
        <v>-49454.1</v>
      </c>
      <c r="F50" s="13">
        <f>ROUND(F$10*'B&amp;A kWh'!G48,2)</f>
        <v>-42309.17</v>
      </c>
      <c r="G50" s="13">
        <f>ROUND(G$10*'B&amp;A kWh'!H48,2)</f>
        <v>-40839.870000000003</v>
      </c>
      <c r="H50" s="13">
        <f>ROUND(H$10*'B&amp;A kWh'!I48,2)</f>
        <v>-44660.72</v>
      </c>
      <c r="I50" s="13">
        <f>ROUND(I$10*'B&amp;A kWh'!J48,2)</f>
        <v>-41485.89</v>
      </c>
      <c r="J50" s="13">
        <f>ROUND(J$10*'B&amp;A kWh'!K48,2)</f>
        <v>-46567.45</v>
      </c>
      <c r="K50" s="13">
        <f>ROUND(K$10*'B&amp;A kWh'!L48,2)</f>
        <v>-49159.97</v>
      </c>
      <c r="L50" s="13">
        <f>ROUND(L$10*'B&amp;A kWh'!M48,2)</f>
        <v>-49435.51</v>
      </c>
      <c r="M50" s="13">
        <f>ROUND(M$10*'B&amp;A kWh'!N48,2)</f>
        <v>-44716.32</v>
      </c>
      <c r="N50" s="13">
        <f>ROUND(N$10*'B&amp;A kWh'!O48,2)</f>
        <v>-48232.84</v>
      </c>
      <c r="O50" s="13">
        <f>ROUND(O$10*'B&amp;A kWh'!P48,2)</f>
        <v>-52531.3</v>
      </c>
      <c r="P50" s="13">
        <f t="shared" si="0"/>
        <v>-549353.56000000006</v>
      </c>
      <c r="R50" s="26">
        <v>48</v>
      </c>
      <c r="S50" s="26" t="s">
        <v>5</v>
      </c>
    </row>
    <row r="51" spans="1:19" x14ac:dyDescent="0.25">
      <c r="A51" s="24"/>
      <c r="P51" s="13">
        <f t="shared" si="0"/>
        <v>0</v>
      </c>
      <c r="R51" s="26">
        <v>49</v>
      </c>
    </row>
    <row r="52" spans="1:19" x14ac:dyDescent="0.25">
      <c r="A52" s="24" t="s">
        <v>4</v>
      </c>
      <c r="B52" s="13">
        <f>ROUND(B$10*'Comm kWh (DSM)'!C51,2)</f>
        <v>0</v>
      </c>
      <c r="C52" s="13">
        <f>ROUND(C$10*'Comm kWh (DSM)'!D51,2)</f>
        <v>0</v>
      </c>
      <c r="D52" s="13">
        <f>ROUND(D$10*'B&amp;A kWh'!E50,2)</f>
        <v>-5020.1899999999996</v>
      </c>
      <c r="E52" s="13">
        <f>ROUND(E$10*'B&amp;A kWh'!F50,2)</f>
        <v>-9352.92</v>
      </c>
      <c r="F52" s="13">
        <f>ROUND(F$10*'B&amp;A kWh'!G50,2)</f>
        <v>-19333.54</v>
      </c>
      <c r="G52" s="13">
        <f>ROUND(G$10*'B&amp;A kWh'!H50,2)</f>
        <v>-384.07</v>
      </c>
      <c r="H52" s="13">
        <f>ROUND(H$10*'B&amp;A kWh'!I50,2)</f>
        <v>-7887.76</v>
      </c>
      <c r="I52" s="13">
        <f>ROUND(I$10*'B&amp;A kWh'!J50,2)</f>
        <v>-6974.89</v>
      </c>
      <c r="J52" s="13">
        <f>ROUND(J$10*'B&amp;A kWh'!K50,2)</f>
        <v>-6244.2</v>
      </c>
      <c r="K52" s="13">
        <f>ROUND(K$10*'B&amp;A kWh'!L50,2)</f>
        <v>-7122.63</v>
      </c>
      <c r="L52" s="13">
        <f>ROUND(L$10*'B&amp;A kWh'!M50,2)</f>
        <v>-5890.93</v>
      </c>
      <c r="M52" s="13">
        <f>ROUND(M$10*'B&amp;A kWh'!N50,2)</f>
        <v>-5715.1</v>
      </c>
      <c r="N52" s="13">
        <f>ROUND(N$10*'B&amp;A kWh'!O50,2)</f>
        <v>-6000.83</v>
      </c>
      <c r="O52" s="13">
        <f>ROUND(O$10*'B&amp;A kWh'!P50,2)</f>
        <v>-7274.43</v>
      </c>
      <c r="P52" s="13">
        <f t="shared" si="0"/>
        <v>-87201.49000000002</v>
      </c>
      <c r="R52" s="26">
        <v>50</v>
      </c>
      <c r="S52" s="26" t="s">
        <v>4</v>
      </c>
    </row>
    <row r="53" spans="1:19" x14ac:dyDescent="0.25">
      <c r="A53" s="24"/>
      <c r="P53" s="13">
        <f t="shared" si="0"/>
        <v>0</v>
      </c>
      <c r="R53" s="26">
        <v>51</v>
      </c>
    </row>
    <row r="54" spans="1:19" x14ac:dyDescent="0.25">
      <c r="A54" s="24" t="s">
        <v>3</v>
      </c>
      <c r="B54" s="13">
        <f>ROUND(B$10*'Comm kWh (DSM)'!C53,2)</f>
        <v>0</v>
      </c>
      <c r="C54" s="13">
        <f>ROUND(C$10*'Comm kWh (DSM)'!D53,2)</f>
        <v>0</v>
      </c>
      <c r="D54" s="13">
        <f>ROUND(D$10*'B&amp;A kWh'!E52,2)</f>
        <v>0</v>
      </c>
      <c r="E54" s="13">
        <f>ROUND(E$10*'B&amp;A kWh'!F52,2)</f>
        <v>0</v>
      </c>
      <c r="F54" s="13">
        <f>ROUND(F$10*'B&amp;A kWh'!G52,2)</f>
        <v>0</v>
      </c>
      <c r="G54" s="13">
        <f>ROUND(G$10*'B&amp;A kWh'!H52,2)</f>
        <v>0</v>
      </c>
      <c r="H54" s="13">
        <f>ROUND(H$10*'B&amp;A kWh'!I52,2)</f>
        <v>0</v>
      </c>
      <c r="I54" s="13">
        <f>ROUND(I$10*'B&amp;A kWh'!J52,2)</f>
        <v>0</v>
      </c>
      <c r="J54" s="13">
        <f>ROUND(J$10*'B&amp;A kWh'!K52,2)</f>
        <v>0</v>
      </c>
      <c r="K54" s="13">
        <f>ROUND(K$10*'B&amp;A kWh'!L52,2)</f>
        <v>0</v>
      </c>
      <c r="L54" s="13">
        <f>ROUND(L$10*'B&amp;A kWh'!M52,2)</f>
        <v>0</v>
      </c>
      <c r="M54" s="13">
        <f>ROUND(M$10*'B&amp;A kWh'!N52,2)</f>
        <v>0</v>
      </c>
      <c r="N54" s="13">
        <f>ROUND(N$10*'B&amp;A kWh'!O52,2)</f>
        <v>0</v>
      </c>
      <c r="O54" s="13">
        <f>ROUND(O$10*'B&amp;A kWh'!P52,2)</f>
        <v>0</v>
      </c>
      <c r="P54" s="13">
        <f t="shared" si="0"/>
        <v>0</v>
      </c>
      <c r="R54" s="26">
        <v>52</v>
      </c>
      <c r="S54" s="26" t="s">
        <v>3</v>
      </c>
    </row>
    <row r="55" spans="1:19" x14ac:dyDescent="0.25">
      <c r="A55" s="24"/>
      <c r="P55" s="13">
        <f t="shared" si="0"/>
        <v>0</v>
      </c>
      <c r="R55" s="26">
        <v>53</v>
      </c>
    </row>
    <row r="56" spans="1:19" x14ac:dyDescent="0.25">
      <c r="A56" s="24" t="s">
        <v>119</v>
      </c>
      <c r="B56" s="13">
        <f>ROUND(B$10*'Comm kWh (DSM)'!C55,2)</f>
        <v>0</v>
      </c>
      <c r="C56" s="13">
        <f>ROUND(C$10*'Comm kWh (DSM)'!D55,2)</f>
        <v>0</v>
      </c>
      <c r="D56" s="13">
        <f>ROUND(D$10*'B&amp;A kWh'!E54,2)</f>
        <v>-42465.120000000003</v>
      </c>
      <c r="E56" s="13">
        <f>ROUND(E$10*'B&amp;A kWh'!F54,2)</f>
        <v>-50063.78</v>
      </c>
      <c r="F56" s="13">
        <f>ROUND(F$10*'B&amp;A kWh'!G54,2)</f>
        <v>-50949.52</v>
      </c>
      <c r="G56" s="13">
        <f>ROUND(G$10*'B&amp;A kWh'!H54,2)</f>
        <v>-39293.4</v>
      </c>
      <c r="H56" s="13">
        <f>ROUND(H$10*'B&amp;A kWh'!I54,2)</f>
        <v>-47981.59</v>
      </c>
      <c r="I56" s="13">
        <f>ROUND(I$10*'B&amp;A kWh'!J54,2)</f>
        <v>-51478.400000000001</v>
      </c>
      <c r="J56" s="13">
        <f>ROUND(J$10*'B&amp;A kWh'!K54,2)</f>
        <v>-50398.5</v>
      </c>
      <c r="K56" s="13">
        <f>ROUND(K$10*'B&amp;A kWh'!L54,2)</f>
        <v>-45143.59</v>
      </c>
      <c r="L56" s="13">
        <f>ROUND(L$10*'B&amp;A kWh'!M54,2)</f>
        <v>-52209.75</v>
      </c>
      <c r="M56" s="13">
        <f>ROUND(M$10*'B&amp;A kWh'!N54,2)</f>
        <v>-46305.25</v>
      </c>
      <c r="N56" s="13">
        <f>ROUND(N$10*'B&amp;A kWh'!O54,2)</f>
        <v>-44921.36</v>
      </c>
      <c r="O56" s="13">
        <f>ROUND(O$10*'B&amp;A kWh'!P54,2)</f>
        <v>-49644.6</v>
      </c>
      <c r="P56" s="13">
        <f t="shared" si="0"/>
        <v>-570854.86</v>
      </c>
      <c r="R56" s="26">
        <v>54</v>
      </c>
      <c r="S56" s="26" t="s">
        <v>119</v>
      </c>
    </row>
    <row r="57" spans="1:19" x14ac:dyDescent="0.25">
      <c r="A57" s="24"/>
      <c r="P57" s="13">
        <f t="shared" si="0"/>
        <v>0</v>
      </c>
      <c r="R57" s="26">
        <v>55</v>
      </c>
    </row>
    <row r="58" spans="1:19" x14ac:dyDescent="0.25">
      <c r="A58" s="24" t="s">
        <v>120</v>
      </c>
      <c r="B58" s="13">
        <f>ROUND(B$10*'Comm kWh (DSM)'!C57,2)</f>
        <v>0</v>
      </c>
      <c r="C58" s="13">
        <f>ROUND(C$10*'Comm kWh (DSM)'!D57,2)</f>
        <v>0</v>
      </c>
      <c r="D58" s="13">
        <f>ROUND(D$10*'B&amp;A kWh'!E56,2)</f>
        <v>-724.52</v>
      </c>
      <c r="E58" s="13">
        <f>ROUND(E$10*'B&amp;A kWh'!F56,2)</f>
        <v>-772.86</v>
      </c>
      <c r="F58" s="13">
        <f>ROUND(F$10*'B&amp;A kWh'!G56,2)</f>
        <v>-897.39</v>
      </c>
      <c r="G58" s="13">
        <f>ROUND(G$10*'B&amp;A kWh'!H56,2)</f>
        <v>-728.47</v>
      </c>
      <c r="H58" s="13">
        <f>ROUND(H$10*'B&amp;A kWh'!I56,2)</f>
        <v>-813.2</v>
      </c>
      <c r="I58" s="13">
        <f>ROUND(I$10*'B&amp;A kWh'!J56,2)</f>
        <v>-874.81</v>
      </c>
      <c r="J58" s="13">
        <f>ROUND(J$10*'B&amp;A kWh'!K56,2)</f>
        <v>-902.76</v>
      </c>
      <c r="K58" s="13">
        <f>ROUND(K$10*'B&amp;A kWh'!L56,2)</f>
        <v>-955.5</v>
      </c>
      <c r="L58" s="13">
        <f>ROUND(L$10*'B&amp;A kWh'!M56,2)</f>
        <v>-1232.96</v>
      </c>
      <c r="M58" s="13">
        <f>ROUND(M$10*'B&amp;A kWh'!N56,2)</f>
        <v>-1315.28</v>
      </c>
      <c r="N58" s="13">
        <f>ROUND(N$10*'B&amp;A kWh'!O56,2)</f>
        <v>-1202.56</v>
      </c>
      <c r="O58" s="13">
        <f>ROUND(O$10*'B&amp;A kWh'!P56,2)</f>
        <v>-883.17</v>
      </c>
      <c r="P58" s="13">
        <f t="shared" si="0"/>
        <v>-11303.48</v>
      </c>
      <c r="R58" s="26">
        <v>56</v>
      </c>
      <c r="S58" s="26" t="s">
        <v>120</v>
      </c>
    </row>
    <row r="59" spans="1:19" x14ac:dyDescent="0.25">
      <c r="A59" s="24"/>
      <c r="P59" s="13">
        <f t="shared" si="0"/>
        <v>0</v>
      </c>
      <c r="R59" s="26">
        <v>57</v>
      </c>
    </row>
    <row r="60" spans="1:19" x14ac:dyDescent="0.25">
      <c r="A60" s="24" t="s">
        <v>242</v>
      </c>
      <c r="B60" s="13">
        <f>ROUND(B$10*'Comm kWh (DSM)'!C59,2)</f>
        <v>0</v>
      </c>
      <c r="C60" s="13">
        <f>ROUND(C$10*'Comm kWh (DSM)'!D59,2)</f>
        <v>0</v>
      </c>
      <c r="D60" s="13">
        <f>ROUND(D$10*'B&amp;A kWh'!E58,2)</f>
        <v>-14530.92</v>
      </c>
      <c r="E60" s="13">
        <f>ROUND(E$10*'B&amp;A kWh'!F58,2)</f>
        <v>-15395.8</v>
      </c>
      <c r="F60" s="13">
        <f>ROUND(F$10*'B&amp;A kWh'!G58,2)</f>
        <v>-13698.03</v>
      </c>
      <c r="G60" s="13">
        <f>ROUND(G$10*'B&amp;A kWh'!H58,2)</f>
        <v>-15090.9</v>
      </c>
      <c r="H60" s="13">
        <f>ROUND(H$10*'B&amp;A kWh'!I58,2)</f>
        <v>-16147.34</v>
      </c>
      <c r="I60" s="13">
        <f>ROUND(I$10*'B&amp;A kWh'!J58,2)</f>
        <v>-14235.78</v>
      </c>
      <c r="J60" s="13">
        <f>ROUND(J$10*'B&amp;A kWh'!K58,2)</f>
        <v>-15735.71</v>
      </c>
      <c r="K60" s="13">
        <f>ROUND(K$10*'B&amp;A kWh'!L58,2)</f>
        <v>-18554.21</v>
      </c>
      <c r="L60" s="13">
        <f>ROUND(L$10*'B&amp;A kWh'!M58,2)</f>
        <v>-15329.84</v>
      </c>
      <c r="M60" s="13">
        <f>ROUND(M$10*'B&amp;A kWh'!N58,2)</f>
        <v>-12352.05</v>
      </c>
      <c r="N60" s="13">
        <f>ROUND(N$10*'B&amp;A kWh'!O58,2)</f>
        <v>-12966.9</v>
      </c>
      <c r="O60" s="13">
        <f>ROUND(O$10*'B&amp;A kWh'!P58,2)</f>
        <v>-12984.29</v>
      </c>
      <c r="P60" s="13">
        <f t="shared" si="0"/>
        <v>-177021.77</v>
      </c>
      <c r="R60" s="26">
        <v>58</v>
      </c>
      <c r="S60" s="26" t="s">
        <v>242</v>
      </c>
    </row>
    <row r="61" spans="1:19" x14ac:dyDescent="0.25">
      <c r="A61" s="24"/>
      <c r="P61" s="13">
        <f t="shared" si="0"/>
        <v>0</v>
      </c>
      <c r="R61" s="26">
        <v>59</v>
      </c>
    </row>
    <row r="62" spans="1:19" x14ac:dyDescent="0.25">
      <c r="A62" s="24" t="s">
        <v>122</v>
      </c>
      <c r="B62" s="13">
        <f>ROUND(B$10*'Comm kWh (DSM)'!C61,2)</f>
        <v>0</v>
      </c>
      <c r="C62" s="13">
        <f>ROUND(C$10*'Comm kWh (DSM)'!D61,2)</f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si="0"/>
        <v>0</v>
      </c>
      <c r="R62" s="26">
        <v>60</v>
      </c>
      <c r="S62" s="26" t="s">
        <v>122</v>
      </c>
    </row>
    <row r="63" spans="1:19" x14ac:dyDescent="0.25">
      <c r="A63" s="24"/>
      <c r="P63" s="13">
        <f t="shared" si="0"/>
        <v>0</v>
      </c>
      <c r="R63" s="26">
        <v>61</v>
      </c>
    </row>
    <row r="64" spans="1:19" x14ac:dyDescent="0.25">
      <c r="A64" s="24" t="s">
        <v>243</v>
      </c>
      <c r="B64" s="13">
        <f>ROUND(B$10*'Comm kWh (DSM)'!C63,2)</f>
        <v>0</v>
      </c>
      <c r="C64" s="13">
        <f>ROUND(C$10*'Comm kWh (DSM)'!D63,2)</f>
        <v>0</v>
      </c>
      <c r="D64" s="13">
        <f>ROUND(D$10*'B&amp;A kWh'!E62,2)</f>
        <v>-9563.2099999999991</v>
      </c>
      <c r="E64" s="13">
        <f>ROUND(E$10*'B&amp;A kWh'!F62,2)</f>
        <v>-9699.57</v>
      </c>
      <c r="F64" s="13">
        <f>ROUND(F$10*'B&amp;A kWh'!G62,2)</f>
        <v>-8763.4599999999991</v>
      </c>
      <c r="G64" s="13">
        <f>ROUND(G$10*'B&amp;A kWh'!H62,2)</f>
        <v>-9222.8799999999992</v>
      </c>
      <c r="H64" s="13">
        <f>ROUND(H$10*'B&amp;A kWh'!I62,2)</f>
        <v>-9190.7900000000009</v>
      </c>
      <c r="I64" s="13">
        <f>ROUND(I$10*'B&amp;A kWh'!J62,2)</f>
        <v>-7177.38</v>
      </c>
      <c r="J64" s="13">
        <f>ROUND(J$10*'B&amp;A kWh'!K62,2)</f>
        <v>-10172.66</v>
      </c>
      <c r="K64" s="13">
        <f>ROUND(K$10*'B&amp;A kWh'!L62,2)</f>
        <v>-9762.7999999999993</v>
      </c>
      <c r="L64" s="13">
        <f>ROUND(L$10*'B&amp;A kWh'!M62,2)</f>
        <v>-11088.07</v>
      </c>
      <c r="M64" s="13">
        <f>ROUND(M$10*'B&amp;A kWh'!N62,2)</f>
        <v>-10222.56</v>
      </c>
      <c r="N64" s="13">
        <f>ROUND(N$10*'B&amp;A kWh'!O62,2)</f>
        <v>-10170.18</v>
      </c>
      <c r="O64" s="13">
        <f>ROUND(O$10*'B&amp;A kWh'!P62,2)</f>
        <v>-11075.64</v>
      </c>
      <c r="P64" s="13">
        <f t="shared" si="0"/>
        <v>-116109.2</v>
      </c>
      <c r="R64" s="26">
        <v>62</v>
      </c>
      <c r="S64" s="26" t="s">
        <v>243</v>
      </c>
    </row>
    <row r="65" spans="1:19" x14ac:dyDescent="0.25">
      <c r="A65" s="24"/>
      <c r="P65" s="13">
        <f t="shared" si="0"/>
        <v>0</v>
      </c>
      <c r="R65" s="26">
        <v>63</v>
      </c>
    </row>
    <row r="66" spans="1:19" x14ac:dyDescent="0.25">
      <c r="A66" s="24" t="s">
        <v>244</v>
      </c>
      <c r="B66" s="13">
        <f>ROUND(B$10*'Comm kWh (DSM)'!C65,2)</f>
        <v>0</v>
      </c>
      <c r="C66" s="13">
        <f>ROUND(C$10*'Comm kWh (DSM)'!D65,2)</f>
        <v>0</v>
      </c>
      <c r="D66" s="13">
        <f>ROUND(D$10*'B&amp;A kWh'!E64,2)</f>
        <v>-36632.17</v>
      </c>
      <c r="E66" s="13">
        <f>ROUND(E$10*'B&amp;A kWh'!F64,2)</f>
        <v>-30057.32</v>
      </c>
      <c r="F66" s="13">
        <f>ROUND(F$10*'B&amp;A kWh'!G64,2)</f>
        <v>-22464.98</v>
      </c>
      <c r="G66" s="13">
        <f>ROUND(G$10*'B&amp;A kWh'!H64,2)</f>
        <v>-29076.1</v>
      </c>
      <c r="H66" s="13">
        <f>ROUND(H$10*'B&amp;A kWh'!I64,2)</f>
        <v>-26415.81</v>
      </c>
      <c r="I66" s="13">
        <f>ROUND(I$10*'B&amp;A kWh'!J64,2)</f>
        <v>-22963.09</v>
      </c>
      <c r="J66" s="13">
        <f>ROUND(J$10*'B&amp;A kWh'!K64,2)</f>
        <v>-29735.86</v>
      </c>
      <c r="K66" s="13">
        <f>ROUND(K$10*'B&amp;A kWh'!L64,2)</f>
        <v>-31943.1</v>
      </c>
      <c r="L66" s="13">
        <f>ROUND(L$10*'B&amp;A kWh'!M64,2)</f>
        <v>-27861.69</v>
      </c>
      <c r="M66" s="13">
        <f>ROUND(M$10*'B&amp;A kWh'!N64,2)</f>
        <v>-27447.41</v>
      </c>
      <c r="N66" s="13">
        <f>ROUND(N$10*'B&amp;A kWh'!O64,2)</f>
        <v>-29613.27</v>
      </c>
      <c r="O66" s="13">
        <f>ROUND(O$10*'B&amp;A kWh'!P64,2)</f>
        <v>-31780.99</v>
      </c>
      <c r="P66" s="13">
        <f t="shared" si="0"/>
        <v>-345991.79</v>
      </c>
      <c r="R66" s="26">
        <v>64</v>
      </c>
      <c r="S66" s="26" t="s">
        <v>244</v>
      </c>
    </row>
    <row r="67" spans="1:19" x14ac:dyDescent="0.25">
      <c r="A67" s="24"/>
      <c r="P67" s="13">
        <f t="shared" si="0"/>
        <v>0</v>
      </c>
      <c r="R67" s="26">
        <v>65</v>
      </c>
    </row>
    <row r="68" spans="1:19" x14ac:dyDescent="0.25">
      <c r="A68" s="24" t="s">
        <v>123</v>
      </c>
      <c r="B68" s="13">
        <f>ROUND(B$10*'Comm kWh (DSM)'!C67,2)</f>
        <v>0</v>
      </c>
      <c r="C68" s="13">
        <f>ROUND(C$10*'Comm kWh (DSM)'!D67,2)</f>
        <v>0</v>
      </c>
      <c r="D68" s="13">
        <f>ROUND(D$10*'B&amp;A kWh'!E66,2)</f>
        <v>-8323.52</v>
      </c>
      <c r="E68" s="13">
        <f>ROUND(E$10*'B&amp;A kWh'!F66,2)</f>
        <v>-8450.43</v>
      </c>
      <c r="F68" s="13">
        <f>ROUND(F$10*'B&amp;A kWh'!G66,2)</f>
        <v>-8571.6</v>
      </c>
      <c r="G68" s="13">
        <f>ROUND(G$10*'B&amp;A kWh'!H66,2)</f>
        <v>-8031.97</v>
      </c>
      <c r="H68" s="13">
        <f>ROUND(H$10*'B&amp;A kWh'!I66,2)</f>
        <v>-8426.58</v>
      </c>
      <c r="I68" s="13">
        <f>ROUND(I$10*'B&amp;A kWh'!J66,2)</f>
        <v>-7995.5</v>
      </c>
      <c r="J68" s="13">
        <f>ROUND(J$10*'B&amp;A kWh'!K66,2)</f>
        <v>-9300.6299999999992</v>
      </c>
      <c r="K68" s="13">
        <f>ROUND(K$10*'B&amp;A kWh'!L66,2)</f>
        <v>-9556.07</v>
      </c>
      <c r="L68" s="13">
        <f>ROUND(L$10*'B&amp;A kWh'!M66,2)</f>
        <v>-9865.4500000000007</v>
      </c>
      <c r="M68" s="13">
        <f>ROUND(M$10*'B&amp;A kWh'!N66,2)</f>
        <v>-9067.4</v>
      </c>
      <c r="N68" s="13">
        <f>ROUND(N$10*'B&amp;A kWh'!O66,2)</f>
        <v>-8505.73</v>
      </c>
      <c r="O68" s="13">
        <f>ROUND(O$10*'B&amp;A kWh'!P66,2)</f>
        <v>-9259.74</v>
      </c>
      <c r="P68" s="13">
        <f t="shared" si="0"/>
        <v>-105354.62</v>
      </c>
      <c r="R68" s="26">
        <v>66</v>
      </c>
      <c r="S68" s="26" t="s">
        <v>123</v>
      </c>
    </row>
    <row r="69" spans="1:19" x14ac:dyDescent="0.25">
      <c r="A69" s="24"/>
      <c r="P69" s="13">
        <f t="shared" si="0"/>
        <v>0</v>
      </c>
      <c r="R69" s="26">
        <v>67</v>
      </c>
    </row>
    <row r="70" spans="1:19" x14ac:dyDescent="0.25">
      <c r="A70" s="24" t="s">
        <v>124</v>
      </c>
      <c r="B70" s="13">
        <f>ROUND(B$10*'Comm kWh (DSM)'!C69,2)</f>
        <v>0</v>
      </c>
      <c r="C70" s="13">
        <f>ROUND(C$10*'Comm kWh (DSM)'!D69,2)</f>
        <v>0</v>
      </c>
      <c r="D70" s="13">
        <f>ROUND(D$10*'B&amp;A kWh'!E68,2)</f>
        <v>-150799.22</v>
      </c>
      <c r="E70" s="13">
        <f>ROUND(E$10*'B&amp;A kWh'!F68,2)</f>
        <v>-170275.14</v>
      </c>
      <c r="F70" s="13">
        <f>ROUND(F$10*'B&amp;A kWh'!G68,2)</f>
        <v>-170901.12</v>
      </c>
      <c r="G70" s="13">
        <f>ROUND(G$10*'B&amp;A kWh'!H68,2)</f>
        <v>-155920.4</v>
      </c>
      <c r="H70" s="13">
        <f>ROUND(H$10*'B&amp;A kWh'!I68,2)</f>
        <v>-161339.81</v>
      </c>
      <c r="I70" s="13">
        <f>ROUND(I$10*'B&amp;A kWh'!J68,2)</f>
        <v>-147787.63</v>
      </c>
      <c r="J70" s="13">
        <f>ROUND(J$10*'B&amp;A kWh'!K68,2)</f>
        <v>-170840.12</v>
      </c>
      <c r="K70" s="13">
        <f>ROUND(K$10*'B&amp;A kWh'!L68,2)</f>
        <v>-160110.66</v>
      </c>
      <c r="L70" s="13">
        <f>ROUND(L$10*'B&amp;A kWh'!M68,2)</f>
        <v>-146570.01</v>
      </c>
      <c r="M70" s="13">
        <f>ROUND(M$10*'B&amp;A kWh'!N68,2)</f>
        <v>-131566.38</v>
      </c>
      <c r="N70" s="13">
        <f>ROUND(N$10*'B&amp;A kWh'!O68,2)</f>
        <v>-139980.21</v>
      </c>
      <c r="O70" s="13">
        <f>ROUND(O$10*'B&amp;A kWh'!P68,2)</f>
        <v>-166506.03</v>
      </c>
      <c r="P70" s="13">
        <f t="shared" si="0"/>
        <v>-1872596.7299999997</v>
      </c>
      <c r="R70" s="26">
        <v>68</v>
      </c>
      <c r="S70" s="26" t="s">
        <v>124</v>
      </c>
    </row>
    <row r="71" spans="1:19" x14ac:dyDescent="0.25">
      <c r="A71" s="24"/>
      <c r="P71" s="13">
        <f t="shared" si="0"/>
        <v>0</v>
      </c>
      <c r="R71" s="26">
        <v>69</v>
      </c>
    </row>
    <row r="72" spans="1:19" x14ac:dyDescent="0.25">
      <c r="A72" s="24" t="s">
        <v>125</v>
      </c>
      <c r="B72" s="13" t="e">
        <f>ROUND(B$10*'Comm kWh (DSM)'!#REF!,2)</f>
        <v>#REF!</v>
      </c>
      <c r="C72" s="13" t="e">
        <f>ROUND(C$10*'Comm kWh (DSM)'!#REF!,2)</f>
        <v>#REF!</v>
      </c>
      <c r="D72" s="13">
        <f>ROUND(D$10*'B&amp;A kWh'!E70,2)</f>
        <v>-734307.55</v>
      </c>
      <c r="E72" s="13">
        <f>ROUND(E$10*'B&amp;A kWh'!F70,2)</f>
        <v>-1147961.81</v>
      </c>
      <c r="F72" s="13">
        <f>ROUND(F$10*'B&amp;A kWh'!G70,2)</f>
        <v>-579798.27</v>
      </c>
      <c r="G72" s="13">
        <f>ROUND(G$10*'B&amp;A kWh'!H70,2)</f>
        <v>-961507.63</v>
      </c>
      <c r="H72" s="13">
        <f>ROUND(H$10*'B&amp;A kWh'!I70,2)</f>
        <v>-969464.03</v>
      </c>
      <c r="I72" s="13">
        <f>ROUND(I$10*'B&amp;A kWh'!J70,2)</f>
        <v>-861995.04</v>
      </c>
      <c r="J72" s="13">
        <f>ROUND(J$10*'B&amp;A kWh'!K70,2)</f>
        <v>-938928.83</v>
      </c>
      <c r="K72" s="13">
        <f>ROUND(K$10*'B&amp;A kWh'!L70,2)</f>
        <v>-890959.26</v>
      </c>
      <c r="L72" s="13">
        <f>ROUND(L$10*'B&amp;A kWh'!M70,2)</f>
        <v>-869202.33</v>
      </c>
      <c r="M72" s="13">
        <f>ROUND(M$10*'B&amp;A kWh'!N70,2)</f>
        <v>-887979.5</v>
      </c>
      <c r="N72" s="13">
        <f>ROUND(N$10*'B&amp;A kWh'!O70,2)</f>
        <v>-733314.87</v>
      </c>
      <c r="O72" s="13">
        <f>ROUND(O$10*'B&amp;A kWh'!P70,2)</f>
        <v>-888177.48</v>
      </c>
      <c r="P72" s="13">
        <f t="shared" si="0"/>
        <v>-10463596.6</v>
      </c>
      <c r="R72" s="26">
        <v>70</v>
      </c>
      <c r="S72" s="26" t="s">
        <v>125</v>
      </c>
    </row>
    <row r="73" spans="1:19" x14ac:dyDescent="0.25">
      <c r="A73" s="24"/>
      <c r="B73" s="13"/>
      <c r="C73" s="1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13">
        <f t="shared" si="0"/>
        <v>0</v>
      </c>
      <c r="R73" s="26">
        <v>71</v>
      </c>
    </row>
    <row r="74" spans="1:19" x14ac:dyDescent="0.25">
      <c r="A74" s="24" t="s">
        <v>126</v>
      </c>
      <c r="B74" s="13"/>
      <c r="C74" s="13"/>
      <c r="D74" s="66">
        <f>ROUND(D$10*'B&amp;A kWh'!E72,2)</f>
        <v>-127377.23</v>
      </c>
      <c r="E74" s="66">
        <f>ROUND(E$10*'B&amp;A kWh'!F72,2)</f>
        <v>-126988.73</v>
      </c>
      <c r="F74" s="66">
        <f>ROUND(F$10*'B&amp;A kWh'!G72,2)</f>
        <v>-167785.57</v>
      </c>
      <c r="G74" s="66">
        <f>ROUND(G$10*'B&amp;A kWh'!H72,2)</f>
        <v>-129162.22</v>
      </c>
      <c r="H74" s="66">
        <f>ROUND(H$10*'B&amp;A kWh'!I72,2)</f>
        <v>-113967.03</v>
      </c>
      <c r="I74" s="66">
        <f>ROUND(I$10*'B&amp;A kWh'!J72,2)</f>
        <v>-115520.93</v>
      </c>
      <c r="J74" s="66">
        <f>ROUND(J$10*'B&amp;A kWh'!K72,2)</f>
        <v>-145955.35</v>
      </c>
      <c r="K74" s="66">
        <f>ROUND(K$10*'B&amp;A kWh'!L72,2)</f>
        <v>-93098.81</v>
      </c>
      <c r="L74" s="66">
        <f>ROUND(L$10*'B&amp;A kWh'!M72,2)</f>
        <v>-151641.10999999999</v>
      </c>
      <c r="M74" s="66">
        <f>ROUND(M$10*'B&amp;A kWh'!N72,2)</f>
        <v>-99870.44</v>
      </c>
      <c r="N74" s="66">
        <f>ROUND(N$10*'B&amp;A kWh'!O72,2)</f>
        <v>-116215.26</v>
      </c>
      <c r="O74" s="66">
        <f>ROUND(O$10*'B&amp;A kWh'!P72,2)</f>
        <v>-173159.87</v>
      </c>
      <c r="P74" s="13">
        <f t="shared" si="0"/>
        <v>-1560742.5499999998</v>
      </c>
      <c r="R74" s="26">
        <v>72</v>
      </c>
      <c r="S74" s="26" t="s">
        <v>126</v>
      </c>
    </row>
    <row r="75" spans="1:19" x14ac:dyDescent="0.25">
      <c r="A75" s="24"/>
      <c r="B75" s="13"/>
      <c r="C75" s="13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13">
        <f t="shared" si="0"/>
        <v>0</v>
      </c>
      <c r="R75" s="26">
        <v>73</v>
      </c>
    </row>
    <row r="76" spans="1:19" x14ac:dyDescent="0.25">
      <c r="A76" s="24" t="s">
        <v>2</v>
      </c>
      <c r="B76" s="13"/>
      <c r="C76" s="13"/>
      <c r="D76" s="66">
        <f>ROUND(D$10*'B&amp;A kWh'!E74,2)</f>
        <v>-4285.67</v>
      </c>
      <c r="E76" s="66">
        <f>ROUND(E$10*'B&amp;A kWh'!F74,2)</f>
        <v>-3766.4</v>
      </c>
      <c r="F76" s="66">
        <f>ROUND(F$10*'B&amp;A kWh'!G74,2)</f>
        <v>-3399.56</v>
      </c>
      <c r="G76" s="66">
        <f>ROUND(G$10*'B&amp;A kWh'!H74,2)</f>
        <v>-3677.69</v>
      </c>
      <c r="H76" s="66">
        <f>ROUND(H$10*'B&amp;A kWh'!I74,2)</f>
        <v>-4090</v>
      </c>
      <c r="I76" s="66">
        <f>ROUND(I$10*'B&amp;A kWh'!J74,2)</f>
        <v>-4482.54</v>
      </c>
      <c r="J76" s="66">
        <f>ROUND(J$10*'B&amp;A kWh'!K74,2)</f>
        <v>-5235.7299999999996</v>
      </c>
      <c r="K76" s="66">
        <f>ROUND(K$10*'B&amp;A kWh'!L74,2)</f>
        <v>-5728.91</v>
      </c>
      <c r="L76" s="66">
        <f>ROUND(L$10*'B&amp;A kWh'!M74,2)</f>
        <v>-6110.11</v>
      </c>
      <c r="M76" s="66">
        <f>ROUND(M$10*'B&amp;A kWh'!N74,2)</f>
        <v>-5880.04</v>
      </c>
      <c r="N76" s="66">
        <f>ROUND(N$10*'B&amp;A kWh'!O74,2)</f>
        <v>-4980.72</v>
      </c>
      <c r="O76" s="66">
        <f>ROUND(O$10*'B&amp;A kWh'!P74,2)</f>
        <v>-4989.17</v>
      </c>
      <c r="P76" s="13">
        <f t="shared" si="0"/>
        <v>-56626.54</v>
      </c>
      <c r="R76" s="26">
        <v>74</v>
      </c>
      <c r="S76" s="26" t="s">
        <v>2</v>
      </c>
    </row>
    <row r="77" spans="1:19" x14ac:dyDescent="0.25">
      <c r="A77" s="24"/>
      <c r="B77" s="13"/>
      <c r="C77" s="1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13">
        <f t="shared" ref="P77:P78" si="2">SUM(D77:O77)</f>
        <v>0</v>
      </c>
      <c r="R77" s="26">
        <v>75</v>
      </c>
    </row>
    <row r="78" spans="1:19" x14ac:dyDescent="0.25">
      <c r="A78" s="24" t="s">
        <v>1</v>
      </c>
      <c r="B78" s="13"/>
      <c r="C78" s="13"/>
      <c r="D78" s="66">
        <f>ROUND(D$10*'B&amp;A kWh'!E76,2)</f>
        <v>-891.86</v>
      </c>
      <c r="E78" s="66">
        <f>ROUND(E$10*'B&amp;A kWh'!F76,2)</f>
        <v>-1043.45</v>
      </c>
      <c r="F78" s="66">
        <f>ROUND(F$10*'B&amp;A kWh'!G76,2)</f>
        <v>-1158.8499999999999</v>
      </c>
      <c r="G78" s="66">
        <f>ROUND(G$10*'B&amp;A kWh'!H76,2)</f>
        <v>-977.06</v>
      </c>
      <c r="H78" s="66">
        <f>ROUND(H$10*'B&amp;A kWh'!I76,2)</f>
        <v>-1011.95</v>
      </c>
      <c r="I78" s="66">
        <f>ROUND(I$10*'B&amp;A kWh'!J76,2)</f>
        <v>-897.15</v>
      </c>
      <c r="J78" s="66">
        <f>ROUND(J$10*'B&amp;A kWh'!K76,2)</f>
        <v>-1133.54</v>
      </c>
      <c r="K78" s="66">
        <f>ROUND(K$10*'B&amp;A kWh'!L76,2)</f>
        <v>-937.9</v>
      </c>
      <c r="L78" s="66">
        <f>ROUND(L$10*'B&amp;A kWh'!M76,2)</f>
        <v>-1013.73</v>
      </c>
      <c r="M78" s="66">
        <f>ROUND(M$10*'B&amp;A kWh'!N76,2)</f>
        <v>-836.55</v>
      </c>
      <c r="N78" s="66">
        <f>ROUND(N$10*'B&amp;A kWh'!O76,2)</f>
        <v>-914.09</v>
      </c>
      <c r="O78" s="66">
        <f>ROUND(O$10*'B&amp;A kWh'!P76,2)</f>
        <v>-1037.6400000000001</v>
      </c>
      <c r="P78" s="13">
        <f t="shared" si="2"/>
        <v>-11853.769999999999</v>
      </c>
      <c r="R78" s="26">
        <v>76</v>
      </c>
      <c r="S78" s="26" t="s">
        <v>1</v>
      </c>
    </row>
    <row r="79" spans="1:19" x14ac:dyDescent="0.25">
      <c r="A79" s="24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</row>
    <row r="80" spans="1:19" x14ac:dyDescent="0.25">
      <c r="A80" s="152" t="s">
        <v>0</v>
      </c>
      <c r="B80" s="44" t="e">
        <f>SUM(B12:B72)</f>
        <v>#REF!</v>
      </c>
      <c r="C80" s="44" t="e">
        <f t="shared" ref="C80" si="3">SUM(C12:C72)</f>
        <v>#REF!</v>
      </c>
      <c r="D80" s="44">
        <f>SUM(D12:D78)-D20</f>
        <v>-1645637.53</v>
      </c>
      <c r="E80" s="44">
        <f t="shared" ref="E80:O80" si="4">SUM(E12:E78)-E20</f>
        <v>-2149566.0900000003</v>
      </c>
      <c r="F80" s="44">
        <f t="shared" si="4"/>
        <v>-1676633.5700000005</v>
      </c>
      <c r="G80" s="44">
        <f t="shared" si="4"/>
        <v>-1974147.28</v>
      </c>
      <c r="H80" s="44">
        <f t="shared" si="4"/>
        <v>-2011747.0299999998</v>
      </c>
      <c r="I80" s="44">
        <f t="shared" si="4"/>
        <v>-1796293.9800000002</v>
      </c>
      <c r="J80" s="44">
        <f t="shared" si="4"/>
        <v>-1962855.04</v>
      </c>
      <c r="K80" s="44">
        <f t="shared" si="4"/>
        <v>-1868455.5099999998</v>
      </c>
      <c r="L80" s="44">
        <f t="shared" si="4"/>
        <v>-6795282.5</v>
      </c>
      <c r="M80" s="44">
        <f t="shared" si="4"/>
        <v>-6526592.2800000003</v>
      </c>
      <c r="N80" s="44">
        <f t="shared" si="4"/>
        <v>-5166530.7299999995</v>
      </c>
      <c r="O80" s="44">
        <f t="shared" si="4"/>
        <v>-5279562.6400000006</v>
      </c>
      <c r="P80" s="44">
        <f>SUM(D80:O80)</f>
        <v>-38853304.18</v>
      </c>
      <c r="Q80" s="13">
        <f>SUM(P12:P78)</f>
        <v>-38853304.179999992</v>
      </c>
    </row>
    <row r="82" spans="17:17" x14ac:dyDescent="0.25">
      <c r="Q82" s="13">
        <f>Q80-P62</f>
        <v>-38853304.179999992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221"/>
  <sheetViews>
    <sheetView zoomScale="90" zoomScaleNormal="90" workbookViewId="0">
      <pane xSplit="2" ySplit="8" topLeftCell="E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H2" sqref="H2"/>
    </sheetView>
  </sheetViews>
  <sheetFormatPr defaultColWidth="9.140625" defaultRowHeight="14.25" x14ac:dyDescent="0.2"/>
  <cols>
    <col min="1" max="1" width="7.42578125" style="32" customWidth="1"/>
    <col min="2" max="2" width="20.7109375" style="32" customWidth="1"/>
    <col min="3" max="3" width="27.7109375" style="32" hidden="1" customWidth="1"/>
    <col min="4" max="4" width="19.28515625" style="32" hidden="1" customWidth="1"/>
    <col min="5" max="5" width="17" style="32" bestFit="1" customWidth="1"/>
    <col min="6" max="16" width="16.85546875" style="32" bestFit="1" customWidth="1"/>
    <col min="17" max="17" width="18.7109375" style="32" bestFit="1" customWidth="1"/>
    <col min="18" max="16384" width="9.140625" style="32"/>
  </cols>
  <sheetData>
    <row r="1" spans="1:17" x14ac:dyDescent="0.2">
      <c r="B1" s="32" t="s">
        <v>70</v>
      </c>
      <c r="O1" s="78"/>
    </row>
    <row r="2" spans="1:17" x14ac:dyDescent="0.2">
      <c r="B2" s="32" t="s">
        <v>71</v>
      </c>
    </row>
    <row r="3" spans="1:17" ht="15" x14ac:dyDescent="0.25">
      <c r="B3" s="79" t="s">
        <v>291</v>
      </c>
      <c r="C3" s="79"/>
      <c r="D3" s="79"/>
      <c r="E3" s="79"/>
      <c r="F3" s="79"/>
    </row>
    <row r="4" spans="1:17" x14ac:dyDescent="0.2">
      <c r="B4" s="33"/>
    </row>
    <row r="5" spans="1:17" x14ac:dyDescent="0.2">
      <c r="B5" s="33" t="s">
        <v>77</v>
      </c>
    </row>
    <row r="6" spans="1:17" x14ac:dyDescent="0.2">
      <c r="B6" s="33"/>
    </row>
    <row r="7" spans="1:17" ht="15" x14ac:dyDescent="0.25">
      <c r="B7" s="79" t="s">
        <v>80</v>
      </c>
      <c r="E7" s="32">
        <v>2022</v>
      </c>
      <c r="P7" s="32">
        <v>2023</v>
      </c>
    </row>
    <row r="8" spans="1:17" x14ac:dyDescent="0.2">
      <c r="B8" s="33" t="s">
        <v>22</v>
      </c>
      <c r="C8" s="80"/>
      <c r="D8" s="80"/>
      <c r="E8" s="80" t="s">
        <v>109</v>
      </c>
      <c r="F8" s="80" t="s">
        <v>110</v>
      </c>
      <c r="G8" s="80" t="s">
        <v>111</v>
      </c>
      <c r="H8" s="80" t="s">
        <v>112</v>
      </c>
      <c r="I8" s="80" t="s">
        <v>113</v>
      </c>
      <c r="J8" s="80" t="s">
        <v>114</v>
      </c>
      <c r="K8" s="80" t="s">
        <v>115</v>
      </c>
      <c r="L8" s="80" t="s">
        <v>116</v>
      </c>
      <c r="M8" s="80" t="s">
        <v>117</v>
      </c>
      <c r="N8" s="80" t="s">
        <v>106</v>
      </c>
      <c r="O8" s="80" t="s">
        <v>107</v>
      </c>
      <c r="P8" s="80" t="s">
        <v>108</v>
      </c>
      <c r="Q8" s="32" t="s">
        <v>293</v>
      </c>
    </row>
    <row r="10" spans="1:17" ht="15" x14ac:dyDescent="0.25">
      <c r="A10" s="32">
        <v>10</v>
      </c>
      <c r="B10" s="24" t="s">
        <v>21</v>
      </c>
      <c r="C10" s="31"/>
      <c r="D10" s="31"/>
      <c r="E10" s="31">
        <f t="shared" ref="E10" si="0">+E91</f>
        <v>125579063</v>
      </c>
      <c r="F10" s="31">
        <f t="shared" ref="F10:G10" si="1">+F91</f>
        <v>113661598</v>
      </c>
      <c r="G10" s="31">
        <f t="shared" si="1"/>
        <v>142766432</v>
      </c>
      <c r="H10" s="31">
        <f t="shared" ref="H10:P10" si="2">+H91</f>
        <v>164646884</v>
      </c>
      <c r="I10" s="31">
        <f t="shared" si="2"/>
        <v>161475306</v>
      </c>
      <c r="J10" s="31">
        <f t="shared" si="2"/>
        <v>120533224</v>
      </c>
      <c r="K10" s="31">
        <f t="shared" si="2"/>
        <v>115060934</v>
      </c>
      <c r="L10" s="31">
        <f t="shared" si="2"/>
        <v>146422574</v>
      </c>
      <c r="M10" s="31">
        <f t="shared" si="2"/>
        <v>221731962</v>
      </c>
      <c r="N10" s="31">
        <f t="shared" si="2"/>
        <v>214516679</v>
      </c>
      <c r="O10" s="31">
        <f t="shared" si="2"/>
        <v>160591661</v>
      </c>
      <c r="P10" s="31">
        <f t="shared" si="2"/>
        <v>152376442</v>
      </c>
      <c r="Q10" s="31">
        <f>SUM(E10:P10)</f>
        <v>1839362759</v>
      </c>
    </row>
    <row r="11" spans="1:17" ht="15" x14ac:dyDescent="0.25">
      <c r="A11" s="32">
        <v>11</v>
      </c>
      <c r="B11" s="24"/>
      <c r="Q11" s="31">
        <f t="shared" ref="Q11:Q74" si="3">SUM(E11:P11)</f>
        <v>0</v>
      </c>
    </row>
    <row r="12" spans="1:17" ht="15" x14ac:dyDescent="0.25">
      <c r="A12" s="32">
        <v>12</v>
      </c>
      <c r="B12" s="24" t="s">
        <v>20</v>
      </c>
      <c r="C12" s="31"/>
      <c r="D12" s="31"/>
      <c r="E12" s="31">
        <f t="shared" ref="E12" si="4">+E97</f>
        <v>176585</v>
      </c>
      <c r="F12" s="31">
        <f t="shared" ref="F12:G12" si="5">+F97</f>
        <v>159238</v>
      </c>
      <c r="G12" s="31">
        <f t="shared" si="5"/>
        <v>200534</v>
      </c>
      <c r="H12" s="31">
        <f t="shared" ref="H12:P12" si="6">+H97</f>
        <v>241887</v>
      </c>
      <c r="I12" s="31">
        <f t="shared" si="6"/>
        <v>229888</v>
      </c>
      <c r="J12" s="31">
        <f t="shared" si="6"/>
        <v>189061</v>
      </c>
      <c r="K12" s="31">
        <f t="shared" si="6"/>
        <v>160641</v>
      </c>
      <c r="L12" s="31">
        <f t="shared" si="6"/>
        <v>200043</v>
      </c>
      <c r="M12" s="31">
        <f t="shared" si="6"/>
        <v>361546</v>
      </c>
      <c r="N12" s="31">
        <f t="shared" si="6"/>
        <v>380166</v>
      </c>
      <c r="O12" s="31">
        <f t="shared" si="6"/>
        <v>241773</v>
      </c>
      <c r="P12" s="31">
        <f t="shared" si="6"/>
        <v>212901</v>
      </c>
      <c r="Q12" s="31">
        <f t="shared" si="3"/>
        <v>2754263</v>
      </c>
    </row>
    <row r="13" spans="1:17" ht="15" x14ac:dyDescent="0.25">
      <c r="A13" s="32">
        <v>13</v>
      </c>
      <c r="B13" s="24"/>
      <c r="Q13" s="31">
        <f t="shared" si="3"/>
        <v>0</v>
      </c>
    </row>
    <row r="14" spans="1:17" ht="15" x14ac:dyDescent="0.25">
      <c r="A14" s="32">
        <v>14</v>
      </c>
      <c r="B14" s="24" t="s">
        <v>19</v>
      </c>
      <c r="C14" s="31"/>
      <c r="D14" s="31"/>
      <c r="E14" s="31">
        <f t="shared" ref="E14" si="7">+E99</f>
        <v>5286</v>
      </c>
      <c r="F14" s="31">
        <f t="shared" ref="F14:G14" si="8">+F99</f>
        <v>4682</v>
      </c>
      <c r="G14" s="31">
        <f t="shared" si="8"/>
        <v>6635</v>
      </c>
      <c r="H14" s="31">
        <f t="shared" ref="H14:P14" si="9">+H99</f>
        <v>7703</v>
      </c>
      <c r="I14" s="31">
        <f t="shared" si="9"/>
        <v>9150</v>
      </c>
      <c r="J14" s="31">
        <f t="shared" si="9"/>
        <v>7874</v>
      </c>
      <c r="K14" s="31">
        <f t="shared" si="9"/>
        <v>7593</v>
      </c>
      <c r="L14" s="31">
        <f t="shared" si="9"/>
        <v>4451</v>
      </c>
      <c r="M14" s="31">
        <f t="shared" si="9"/>
        <v>16668</v>
      </c>
      <c r="N14" s="31">
        <f t="shared" si="9"/>
        <v>17780</v>
      </c>
      <c r="O14" s="31">
        <f t="shared" si="9"/>
        <v>12143</v>
      </c>
      <c r="P14" s="31">
        <f t="shared" si="9"/>
        <v>10050</v>
      </c>
      <c r="Q14" s="31">
        <f t="shared" si="3"/>
        <v>110015</v>
      </c>
    </row>
    <row r="15" spans="1:17" ht="15" x14ac:dyDescent="0.25">
      <c r="A15" s="32">
        <v>15</v>
      </c>
      <c r="B15" s="24"/>
      <c r="Q15" s="31">
        <f t="shared" si="3"/>
        <v>0</v>
      </c>
    </row>
    <row r="16" spans="1:17" ht="15" x14ac:dyDescent="0.25">
      <c r="A16" s="32">
        <v>16</v>
      </c>
      <c r="B16" s="43" t="s">
        <v>172</v>
      </c>
      <c r="E16" s="31">
        <f>E214</f>
        <v>0</v>
      </c>
      <c r="F16" s="31">
        <f>F214</f>
        <v>0</v>
      </c>
      <c r="G16" s="31">
        <f t="shared" ref="G16:P16" si="10">G214</f>
        <v>0</v>
      </c>
      <c r="H16" s="31">
        <f t="shared" si="10"/>
        <v>0</v>
      </c>
      <c r="I16" s="31">
        <f t="shared" si="10"/>
        <v>0</v>
      </c>
      <c r="J16" s="31">
        <f t="shared" si="10"/>
        <v>0</v>
      </c>
      <c r="K16" s="31">
        <f t="shared" si="10"/>
        <v>0</v>
      </c>
      <c r="L16" s="31">
        <f t="shared" si="10"/>
        <v>0</v>
      </c>
      <c r="M16" s="31">
        <f t="shared" si="10"/>
        <v>0</v>
      </c>
      <c r="N16" s="31">
        <f t="shared" si="10"/>
        <v>0</v>
      </c>
      <c r="O16" s="31">
        <f t="shared" si="10"/>
        <v>0</v>
      </c>
      <c r="P16" s="31">
        <f t="shared" si="10"/>
        <v>0</v>
      </c>
      <c r="Q16" s="31">
        <f t="shared" si="3"/>
        <v>0</v>
      </c>
    </row>
    <row r="17" spans="1:17" ht="15" x14ac:dyDescent="0.25">
      <c r="A17" s="32">
        <v>17</v>
      </c>
      <c r="B17" s="43" t="s">
        <v>174</v>
      </c>
      <c r="E17" s="31">
        <f>E18-E16</f>
        <v>2708745</v>
      </c>
      <c r="F17" s="31">
        <f>F18-F16</f>
        <v>2743813</v>
      </c>
      <c r="G17" s="31">
        <f t="shared" ref="G17:P17" si="11">G18-G16</f>
        <v>2253782</v>
      </c>
      <c r="H17" s="31">
        <f t="shared" si="11"/>
        <v>2405757</v>
      </c>
      <c r="I17" s="31">
        <f t="shared" si="11"/>
        <v>2986870</v>
      </c>
      <c r="J17" s="31">
        <f t="shared" si="11"/>
        <v>2917558</v>
      </c>
      <c r="K17" s="31">
        <f t="shared" si="11"/>
        <v>4214365</v>
      </c>
      <c r="L17" s="31">
        <f t="shared" si="11"/>
        <v>4565747</v>
      </c>
      <c r="M17" s="31">
        <f t="shared" si="11"/>
        <v>3748692</v>
      </c>
      <c r="N17" s="31">
        <f t="shared" si="11"/>
        <v>2917429</v>
      </c>
      <c r="O17" s="31">
        <f t="shared" si="11"/>
        <v>2789030</v>
      </c>
      <c r="P17" s="31">
        <f t="shared" si="11"/>
        <v>3617260</v>
      </c>
      <c r="Q17" s="31">
        <f t="shared" si="3"/>
        <v>37869048</v>
      </c>
    </row>
    <row r="18" spans="1:17" ht="15" x14ac:dyDescent="0.25">
      <c r="A18" s="32">
        <v>18</v>
      </c>
      <c r="B18" s="24" t="s">
        <v>18</v>
      </c>
      <c r="C18" s="31"/>
      <c r="D18" s="31"/>
      <c r="E18" s="31">
        <f t="shared" ref="E18:P18" si="12">+E204</f>
        <v>2708745</v>
      </c>
      <c r="F18" s="31">
        <f t="shared" si="12"/>
        <v>2743813</v>
      </c>
      <c r="G18" s="31">
        <f t="shared" si="12"/>
        <v>2253782</v>
      </c>
      <c r="H18" s="31">
        <f t="shared" si="12"/>
        <v>2405757</v>
      </c>
      <c r="I18" s="31">
        <f t="shared" si="12"/>
        <v>2986870</v>
      </c>
      <c r="J18" s="31">
        <f t="shared" si="12"/>
        <v>2917558</v>
      </c>
      <c r="K18" s="31">
        <f t="shared" si="12"/>
        <v>4214365</v>
      </c>
      <c r="L18" s="31">
        <f t="shared" si="12"/>
        <v>4565747</v>
      </c>
      <c r="M18" s="31">
        <f t="shared" si="12"/>
        <v>3748692</v>
      </c>
      <c r="N18" s="31">
        <f t="shared" si="12"/>
        <v>2917429</v>
      </c>
      <c r="O18" s="31">
        <f t="shared" si="12"/>
        <v>2789030</v>
      </c>
      <c r="P18" s="31">
        <f t="shared" si="12"/>
        <v>3617260</v>
      </c>
      <c r="Q18" s="31">
        <f t="shared" si="3"/>
        <v>37869048</v>
      </c>
    </row>
    <row r="19" spans="1:17" ht="15" x14ac:dyDescent="0.25">
      <c r="A19" s="32">
        <v>19</v>
      </c>
      <c r="B19" s="24"/>
      <c r="Q19" s="31">
        <f t="shared" si="3"/>
        <v>0</v>
      </c>
    </row>
    <row r="20" spans="1:17" ht="15" x14ac:dyDescent="0.25">
      <c r="A20" s="32">
        <v>20</v>
      </c>
      <c r="B20" s="24" t="s">
        <v>17</v>
      </c>
      <c r="C20" s="31"/>
      <c r="D20" s="31"/>
      <c r="E20" s="31">
        <f>E101</f>
        <v>9763881</v>
      </c>
      <c r="F20" s="31">
        <f>F101</f>
        <v>10102528</v>
      </c>
      <c r="G20" s="31">
        <f t="shared" ref="G20:P20" si="13">G101</f>
        <v>11662939</v>
      </c>
      <c r="H20" s="31">
        <f t="shared" si="13"/>
        <v>12288486</v>
      </c>
      <c r="I20" s="31">
        <f t="shared" si="13"/>
        <v>12255225</v>
      </c>
      <c r="J20" s="31">
        <f t="shared" si="13"/>
        <v>10306853</v>
      </c>
      <c r="K20" s="31">
        <f t="shared" si="13"/>
        <v>10138906</v>
      </c>
      <c r="L20" s="31">
        <f t="shared" si="13"/>
        <v>11118686</v>
      </c>
      <c r="M20" s="31">
        <f t="shared" si="13"/>
        <v>14507863</v>
      </c>
      <c r="N20" s="31">
        <f t="shared" si="13"/>
        <v>14222923</v>
      </c>
      <c r="O20" s="31">
        <f t="shared" si="13"/>
        <v>11633983</v>
      </c>
      <c r="P20" s="31">
        <f t="shared" si="13"/>
        <v>11927432</v>
      </c>
      <c r="Q20" s="31">
        <f t="shared" si="3"/>
        <v>139929705</v>
      </c>
    </row>
    <row r="21" spans="1:17" ht="15" x14ac:dyDescent="0.25">
      <c r="A21" s="32">
        <v>21</v>
      </c>
      <c r="B21" s="24"/>
      <c r="Q21" s="31">
        <f t="shared" si="3"/>
        <v>0</v>
      </c>
    </row>
    <row r="22" spans="1:17" ht="15" x14ac:dyDescent="0.25">
      <c r="A22" s="32">
        <v>22</v>
      </c>
      <c r="B22" s="24" t="s">
        <v>16</v>
      </c>
      <c r="C22" s="31"/>
      <c r="D22" s="31"/>
      <c r="E22" s="31">
        <f>E103</f>
        <v>74919</v>
      </c>
      <c r="F22" s="31">
        <f>F103</f>
        <v>75533</v>
      </c>
      <c r="G22" s="31">
        <f t="shared" ref="G22:P22" si="14">G103</f>
        <v>77312</v>
      </c>
      <c r="H22" s="31">
        <f t="shared" si="14"/>
        <v>69558</v>
      </c>
      <c r="I22" s="31">
        <f t="shared" si="14"/>
        <v>67628</v>
      </c>
      <c r="J22" s="31">
        <f t="shared" si="14"/>
        <v>70412</v>
      </c>
      <c r="K22" s="31">
        <f t="shared" si="14"/>
        <v>79022</v>
      </c>
      <c r="L22" s="31">
        <f t="shared" si="14"/>
        <v>80473</v>
      </c>
      <c r="M22" s="31">
        <f t="shared" si="14"/>
        <v>72997</v>
      </c>
      <c r="N22" s="31">
        <f t="shared" si="14"/>
        <v>68952</v>
      </c>
      <c r="O22" s="31">
        <f t="shared" si="14"/>
        <v>66070</v>
      </c>
      <c r="P22" s="31">
        <f t="shared" si="14"/>
        <v>76661</v>
      </c>
      <c r="Q22" s="31">
        <f t="shared" si="3"/>
        <v>879537</v>
      </c>
    </row>
    <row r="23" spans="1:17" ht="15" x14ac:dyDescent="0.25">
      <c r="A23" s="32">
        <v>23</v>
      </c>
      <c r="B23" s="24"/>
      <c r="Q23" s="31">
        <f t="shared" si="3"/>
        <v>0</v>
      </c>
    </row>
    <row r="24" spans="1:17" ht="15" x14ac:dyDescent="0.25">
      <c r="A24" s="32">
        <v>24</v>
      </c>
      <c r="B24" s="24" t="s">
        <v>15</v>
      </c>
      <c r="C24" s="31"/>
      <c r="D24" s="31"/>
      <c r="E24" s="31">
        <f>+E105</f>
        <v>662386</v>
      </c>
      <c r="F24" s="31">
        <f>+F105</f>
        <v>765476</v>
      </c>
      <c r="G24" s="31">
        <f t="shared" ref="G24:P24" si="15">+G105</f>
        <v>785873</v>
      </c>
      <c r="H24" s="31">
        <f t="shared" si="15"/>
        <v>646719</v>
      </c>
      <c r="I24" s="31">
        <f t="shared" si="15"/>
        <v>691419</v>
      </c>
      <c r="J24" s="31">
        <f t="shared" si="15"/>
        <v>616475</v>
      </c>
      <c r="K24" s="31">
        <f t="shared" si="15"/>
        <v>693196</v>
      </c>
      <c r="L24" s="31">
        <f t="shared" si="15"/>
        <v>705257</v>
      </c>
      <c r="M24" s="31">
        <f t="shared" si="15"/>
        <v>632327</v>
      </c>
      <c r="N24" s="31">
        <f t="shared" si="15"/>
        <v>551364</v>
      </c>
      <c r="O24" s="31">
        <f t="shared" si="15"/>
        <v>535066</v>
      </c>
      <c r="P24" s="31">
        <f t="shared" si="15"/>
        <v>663452</v>
      </c>
      <c r="Q24" s="31">
        <f t="shared" si="3"/>
        <v>7949010</v>
      </c>
    </row>
    <row r="25" spans="1:17" ht="15" x14ac:dyDescent="0.25">
      <c r="A25" s="32">
        <v>25</v>
      </c>
      <c r="B25" s="24"/>
      <c r="Q25" s="31">
        <f t="shared" si="3"/>
        <v>0</v>
      </c>
    </row>
    <row r="26" spans="1:17" ht="15" x14ac:dyDescent="0.25">
      <c r="A26" s="32">
        <v>26</v>
      </c>
      <c r="B26" s="24" t="s">
        <v>14</v>
      </c>
      <c r="C26" s="31"/>
      <c r="D26" s="31"/>
      <c r="E26" s="31">
        <f t="shared" ref="E26" si="16">+E109</f>
        <v>244323</v>
      </c>
      <c r="F26" s="31">
        <f t="shared" ref="F26:G26" si="17">+F109</f>
        <v>275325</v>
      </c>
      <c r="G26" s="31">
        <f t="shared" si="17"/>
        <v>252597</v>
      </c>
      <c r="H26" s="31">
        <f t="shared" ref="H26:P26" si="18">+H109</f>
        <v>237344</v>
      </c>
      <c r="I26" s="31">
        <f t="shared" si="18"/>
        <v>242109</v>
      </c>
      <c r="J26" s="31">
        <f t="shared" si="18"/>
        <v>223395</v>
      </c>
      <c r="K26" s="31">
        <f t="shared" si="18"/>
        <v>278904</v>
      </c>
      <c r="L26" s="31">
        <f t="shared" si="18"/>
        <v>287693</v>
      </c>
      <c r="M26" s="31">
        <f t="shared" si="18"/>
        <v>311971</v>
      </c>
      <c r="N26" s="31">
        <f t="shared" si="18"/>
        <v>466437</v>
      </c>
      <c r="O26" s="31">
        <f t="shared" si="18"/>
        <v>77104</v>
      </c>
      <c r="P26" s="31">
        <f t="shared" si="18"/>
        <v>267485</v>
      </c>
      <c r="Q26" s="31">
        <f t="shared" si="3"/>
        <v>3164687</v>
      </c>
    </row>
    <row r="27" spans="1:17" ht="15" x14ac:dyDescent="0.25">
      <c r="A27" s="32">
        <v>27</v>
      </c>
      <c r="B27" s="24"/>
      <c r="Q27" s="31">
        <f t="shared" si="3"/>
        <v>0</v>
      </c>
    </row>
    <row r="28" spans="1:17" ht="15" x14ac:dyDescent="0.25">
      <c r="A28" s="32">
        <v>28</v>
      </c>
      <c r="B28" s="24" t="s">
        <v>13</v>
      </c>
      <c r="C28" s="31"/>
      <c r="D28" s="31"/>
      <c r="E28" s="31">
        <f>+E113</f>
        <v>184942</v>
      </c>
      <c r="F28" s="31">
        <f>+F113</f>
        <v>135427</v>
      </c>
      <c r="G28" s="31">
        <f t="shared" ref="G28:P28" si="19">+G113</f>
        <v>75520</v>
      </c>
      <c r="H28" s="31">
        <f t="shared" si="19"/>
        <v>63322</v>
      </c>
      <c r="I28" s="31">
        <f t="shared" si="19"/>
        <v>84385</v>
      </c>
      <c r="J28" s="31">
        <f t="shared" si="19"/>
        <v>90541</v>
      </c>
      <c r="K28" s="31">
        <f t="shared" si="19"/>
        <v>133384</v>
      </c>
      <c r="L28" s="31">
        <f t="shared" si="19"/>
        <v>127976</v>
      </c>
      <c r="M28" s="31">
        <f t="shared" si="19"/>
        <v>114850</v>
      </c>
      <c r="N28" s="31">
        <f t="shared" si="19"/>
        <v>109335</v>
      </c>
      <c r="O28" s="31">
        <f t="shared" si="19"/>
        <v>113752</v>
      </c>
      <c r="P28" s="31">
        <f t="shared" si="19"/>
        <v>165469</v>
      </c>
      <c r="Q28" s="31">
        <f t="shared" si="3"/>
        <v>1398903</v>
      </c>
    </row>
    <row r="29" spans="1:17" ht="15" x14ac:dyDescent="0.25">
      <c r="A29" s="32">
        <v>29</v>
      </c>
      <c r="B29" s="24"/>
      <c r="Q29" s="31">
        <f t="shared" si="3"/>
        <v>0</v>
      </c>
    </row>
    <row r="30" spans="1:17" ht="15" x14ac:dyDescent="0.25">
      <c r="A30" s="32">
        <v>30</v>
      </c>
      <c r="B30" s="24" t="s">
        <v>12</v>
      </c>
      <c r="C30" s="31"/>
      <c r="D30" s="31"/>
      <c r="E30" s="31">
        <f t="shared" ref="E30" si="20">+E118</f>
        <v>30591095</v>
      </c>
      <c r="F30" s="31">
        <f t="shared" ref="F30:G30" si="21">+F118</f>
        <v>34493812</v>
      </c>
      <c r="G30" s="31">
        <f t="shared" si="21"/>
        <v>40934917</v>
      </c>
      <c r="H30" s="31">
        <f t="shared" ref="H30:P30" si="22">+H118</f>
        <v>40675048</v>
      </c>
      <c r="I30" s="31">
        <f t="shared" si="22"/>
        <v>41868808</v>
      </c>
      <c r="J30" s="31">
        <f t="shared" si="22"/>
        <v>34943360</v>
      </c>
      <c r="K30" s="31">
        <f t="shared" si="22"/>
        <v>34076839</v>
      </c>
      <c r="L30" s="31">
        <f t="shared" si="22"/>
        <v>33989295</v>
      </c>
      <c r="M30" s="31">
        <f t="shared" si="22"/>
        <v>40486236</v>
      </c>
      <c r="N30" s="31">
        <f t="shared" si="22"/>
        <v>37693223</v>
      </c>
      <c r="O30" s="31">
        <f t="shared" si="22"/>
        <v>33747701</v>
      </c>
      <c r="P30" s="31">
        <f t="shared" si="22"/>
        <v>35516287</v>
      </c>
      <c r="Q30" s="31">
        <f t="shared" si="3"/>
        <v>439016621</v>
      </c>
    </row>
    <row r="31" spans="1:17" ht="15" x14ac:dyDescent="0.25">
      <c r="A31" s="32">
        <v>31</v>
      </c>
      <c r="B31" s="24"/>
      <c r="Q31" s="31">
        <f t="shared" si="3"/>
        <v>0</v>
      </c>
    </row>
    <row r="32" spans="1:17" ht="15" x14ac:dyDescent="0.25">
      <c r="A32" s="32">
        <v>32</v>
      </c>
      <c r="B32" s="24" t="s">
        <v>11</v>
      </c>
      <c r="C32" s="31"/>
      <c r="D32" s="31"/>
      <c r="E32" s="31">
        <f>+E120</f>
        <v>54798</v>
      </c>
      <c r="F32" s="31">
        <f>+F120</f>
        <v>30504</v>
      </c>
      <c r="G32" s="31">
        <f t="shared" ref="G32:P32" si="23">+G120</f>
        <v>51458</v>
      </c>
      <c r="H32" s="31">
        <f t="shared" si="23"/>
        <v>65602</v>
      </c>
      <c r="I32" s="31">
        <f t="shared" si="23"/>
        <v>61086</v>
      </c>
      <c r="J32" s="31">
        <f t="shared" si="23"/>
        <v>58957</v>
      </c>
      <c r="K32" s="31">
        <f t="shared" si="23"/>
        <v>23029</v>
      </c>
      <c r="L32" s="31">
        <f t="shared" si="23"/>
        <v>65920</v>
      </c>
      <c r="M32" s="31">
        <f t="shared" si="23"/>
        <v>115070</v>
      </c>
      <c r="N32" s="31">
        <f t="shared" si="23"/>
        <v>119649</v>
      </c>
      <c r="O32" s="31">
        <f t="shared" si="23"/>
        <v>74584</v>
      </c>
      <c r="P32" s="31">
        <f t="shared" si="23"/>
        <v>58889</v>
      </c>
      <c r="Q32" s="31">
        <f t="shared" si="3"/>
        <v>779546</v>
      </c>
    </row>
    <row r="33" spans="1:17" ht="15" x14ac:dyDescent="0.25">
      <c r="A33" s="32">
        <v>33</v>
      </c>
      <c r="B33" s="24"/>
      <c r="Q33" s="31">
        <f t="shared" si="3"/>
        <v>0</v>
      </c>
    </row>
    <row r="34" spans="1:17" ht="15" x14ac:dyDescent="0.25">
      <c r="A34" s="32">
        <v>34</v>
      </c>
      <c r="B34" s="24" t="s">
        <v>10</v>
      </c>
      <c r="C34" s="31"/>
      <c r="D34" s="31"/>
      <c r="E34" s="31">
        <f>+E122</f>
        <v>586418</v>
      </c>
      <c r="F34" s="31">
        <f>+F122</f>
        <v>666609</v>
      </c>
      <c r="G34" s="31">
        <f t="shared" ref="G34:P34" si="24">+G122</f>
        <v>730630</v>
      </c>
      <c r="H34" s="31">
        <f t="shared" si="24"/>
        <v>722977</v>
      </c>
      <c r="I34" s="31">
        <f t="shared" si="24"/>
        <v>695730</v>
      </c>
      <c r="J34" s="31">
        <f t="shared" si="24"/>
        <v>657979</v>
      </c>
      <c r="K34" s="31">
        <f t="shared" si="24"/>
        <v>672873</v>
      </c>
      <c r="L34" s="31">
        <f t="shared" si="24"/>
        <v>722166</v>
      </c>
      <c r="M34" s="31">
        <f t="shared" si="24"/>
        <v>800974</v>
      </c>
      <c r="N34" s="31">
        <f t="shared" si="24"/>
        <v>792527</v>
      </c>
      <c r="O34" s="31">
        <f t="shared" si="24"/>
        <v>591503</v>
      </c>
      <c r="P34" s="31">
        <f t="shared" si="24"/>
        <v>694645</v>
      </c>
      <c r="Q34" s="31">
        <f t="shared" si="3"/>
        <v>8335031</v>
      </c>
    </row>
    <row r="35" spans="1:17" ht="15" x14ac:dyDescent="0.25">
      <c r="A35" s="32">
        <v>35</v>
      </c>
      <c r="B35" s="24"/>
      <c r="Q35" s="31">
        <f t="shared" si="3"/>
        <v>0</v>
      </c>
    </row>
    <row r="36" spans="1:17" ht="15" x14ac:dyDescent="0.25">
      <c r="A36" s="32">
        <v>36</v>
      </c>
      <c r="B36" s="24" t="s">
        <v>9</v>
      </c>
      <c r="C36" s="31"/>
      <c r="D36" s="31"/>
      <c r="E36" s="31">
        <f>+E126</f>
        <v>718497</v>
      </c>
      <c r="F36" s="31">
        <f>+F126</f>
        <v>755774</v>
      </c>
      <c r="G36" s="31">
        <f t="shared" ref="G36:P36" si="25">+G126</f>
        <v>660265</v>
      </c>
      <c r="H36" s="31">
        <f t="shared" si="25"/>
        <v>481317</v>
      </c>
      <c r="I36" s="31">
        <f t="shared" si="25"/>
        <v>541488</v>
      </c>
      <c r="J36" s="31">
        <f t="shared" si="25"/>
        <v>482440</v>
      </c>
      <c r="K36" s="31">
        <f t="shared" si="25"/>
        <v>743872</v>
      </c>
      <c r="L36" s="31">
        <f t="shared" si="25"/>
        <v>870588</v>
      </c>
      <c r="M36" s="31">
        <f t="shared" si="25"/>
        <v>858707</v>
      </c>
      <c r="N36" s="31">
        <f t="shared" si="25"/>
        <v>668353</v>
      </c>
      <c r="O36" s="31">
        <f t="shared" si="25"/>
        <v>805263</v>
      </c>
      <c r="P36" s="31">
        <f t="shared" si="25"/>
        <v>565004</v>
      </c>
      <c r="Q36" s="31">
        <f t="shared" si="3"/>
        <v>8151568</v>
      </c>
    </row>
    <row r="37" spans="1:17" ht="15" x14ac:dyDescent="0.25">
      <c r="A37" s="32">
        <v>37</v>
      </c>
      <c r="B37" s="24"/>
      <c r="Q37" s="31">
        <f t="shared" si="3"/>
        <v>0</v>
      </c>
    </row>
    <row r="38" spans="1:17" ht="15" x14ac:dyDescent="0.25">
      <c r="A38" s="32">
        <v>38</v>
      </c>
      <c r="B38" s="24" t="s">
        <v>8</v>
      </c>
      <c r="C38" s="31"/>
      <c r="D38" s="31"/>
      <c r="E38" s="31">
        <f t="shared" ref="E38" si="26">+E128</f>
        <v>58464</v>
      </c>
      <c r="F38" s="31">
        <f t="shared" ref="F38:G38" si="27">+F128</f>
        <v>39195</v>
      </c>
      <c r="G38" s="31">
        <f t="shared" si="27"/>
        <v>57199</v>
      </c>
      <c r="H38" s="31">
        <f t="shared" ref="H38:P38" si="28">+H128</f>
        <v>13086</v>
      </c>
      <c r="I38" s="31">
        <f t="shared" si="28"/>
        <v>30710</v>
      </c>
      <c r="J38" s="31">
        <f t="shared" si="28"/>
        <v>44113</v>
      </c>
      <c r="K38" s="31">
        <f t="shared" si="28"/>
        <v>13991</v>
      </c>
      <c r="L38" s="31">
        <f t="shared" si="28"/>
        <v>32235</v>
      </c>
      <c r="M38" s="31">
        <f t="shared" si="28"/>
        <v>51297</v>
      </c>
      <c r="N38" s="31">
        <f t="shared" si="28"/>
        <v>31337</v>
      </c>
      <c r="O38" s="31">
        <f t="shared" si="28"/>
        <v>12815</v>
      </c>
      <c r="P38" s="31">
        <f t="shared" si="28"/>
        <v>27806</v>
      </c>
      <c r="Q38" s="31">
        <f t="shared" si="3"/>
        <v>412248</v>
      </c>
    </row>
    <row r="39" spans="1:17" ht="15" x14ac:dyDescent="0.25">
      <c r="A39" s="32">
        <v>39</v>
      </c>
      <c r="B39" s="24"/>
      <c r="Q39" s="31">
        <f t="shared" si="3"/>
        <v>0</v>
      </c>
    </row>
    <row r="40" spans="1:17" ht="15" x14ac:dyDescent="0.25">
      <c r="A40" s="32">
        <v>40</v>
      </c>
      <c r="B40" s="24" t="s">
        <v>7</v>
      </c>
      <c r="C40" s="31"/>
      <c r="D40" s="31"/>
      <c r="E40" s="31">
        <f t="shared" ref="E40" si="29">+E132</f>
        <v>21966856</v>
      </c>
      <c r="F40" s="31">
        <f t="shared" ref="F40:G40" si="30">+F132</f>
        <v>25530814</v>
      </c>
      <c r="G40" s="31">
        <f t="shared" si="30"/>
        <v>26867287</v>
      </c>
      <c r="H40" s="31">
        <f t="shared" ref="H40:P40" si="31">+H132</f>
        <v>25483569</v>
      </c>
      <c r="I40" s="31">
        <f t="shared" si="31"/>
        <v>26517814</v>
      </c>
      <c r="J40" s="31">
        <f t="shared" si="31"/>
        <v>23160819</v>
      </c>
      <c r="K40" s="31">
        <f t="shared" si="31"/>
        <v>25320150</v>
      </c>
      <c r="L40" s="31">
        <f t="shared" si="31"/>
        <v>25656327</v>
      </c>
      <c r="M40" s="31">
        <f t="shared" si="31"/>
        <v>25399401</v>
      </c>
      <c r="N40" s="31">
        <f t="shared" si="31"/>
        <v>22606293</v>
      </c>
      <c r="O40" s="31">
        <f t="shared" si="31"/>
        <v>22270452</v>
      </c>
      <c r="P40" s="31">
        <f t="shared" si="31"/>
        <v>25037464</v>
      </c>
      <c r="Q40" s="31">
        <f t="shared" si="3"/>
        <v>295817246</v>
      </c>
    </row>
    <row r="41" spans="1:17" ht="15" x14ac:dyDescent="0.25">
      <c r="A41" s="32">
        <v>41</v>
      </c>
      <c r="B41" s="24"/>
      <c r="Q41" s="31">
        <f t="shared" si="3"/>
        <v>0</v>
      </c>
    </row>
    <row r="42" spans="1:17" ht="15" x14ac:dyDescent="0.25">
      <c r="A42" s="32">
        <v>42</v>
      </c>
      <c r="B42" s="24" t="s">
        <v>6</v>
      </c>
      <c r="C42" s="31"/>
      <c r="D42" s="31"/>
      <c r="E42" s="31">
        <f t="shared" ref="E42" si="32">+E134</f>
        <v>71009</v>
      </c>
      <c r="F42" s="31">
        <f t="shared" ref="F42:G42" si="33">+F134</f>
        <v>144559</v>
      </c>
      <c r="G42" s="31">
        <f t="shared" si="33"/>
        <v>81232</v>
      </c>
      <c r="H42" s="31">
        <f t="shared" ref="H42:P42" si="34">+H134</f>
        <v>160733</v>
      </c>
      <c r="I42" s="31">
        <f t="shared" si="34"/>
        <v>150123</v>
      </c>
      <c r="J42" s="31">
        <f t="shared" si="34"/>
        <v>165315</v>
      </c>
      <c r="K42" s="31">
        <f t="shared" si="34"/>
        <v>247664</v>
      </c>
      <c r="L42" s="31">
        <f t="shared" si="34"/>
        <v>262413</v>
      </c>
      <c r="M42" s="31">
        <f t="shared" si="34"/>
        <v>232952</v>
      </c>
      <c r="N42" s="31">
        <f t="shared" si="34"/>
        <v>127880</v>
      </c>
      <c r="O42" s="31">
        <f t="shared" si="34"/>
        <v>24147</v>
      </c>
      <c r="P42" s="31">
        <f t="shared" si="34"/>
        <v>74749</v>
      </c>
      <c r="Q42" s="31">
        <f t="shared" si="3"/>
        <v>1742776</v>
      </c>
    </row>
    <row r="43" spans="1:17" ht="15" x14ac:dyDescent="0.25">
      <c r="A43" s="32">
        <v>43</v>
      </c>
      <c r="B43" s="24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>
        <f t="shared" si="3"/>
        <v>0</v>
      </c>
    </row>
    <row r="44" spans="1:17" ht="15" x14ac:dyDescent="0.25">
      <c r="A44" s="32">
        <v>44</v>
      </c>
      <c r="B44" s="24" t="s">
        <v>118</v>
      </c>
      <c r="C44" s="31"/>
      <c r="D44" s="31"/>
      <c r="E44" s="31">
        <f>E136</f>
        <v>227502</v>
      </c>
      <c r="F44" s="31">
        <f>F136</f>
        <v>620938</v>
      </c>
      <c r="G44" s="31">
        <f t="shared" ref="G44:P44" si="35">G136</f>
        <v>426787</v>
      </c>
      <c r="H44" s="31">
        <f t="shared" si="35"/>
        <v>380485</v>
      </c>
      <c r="I44" s="31">
        <f t="shared" si="35"/>
        <v>408595</v>
      </c>
      <c r="J44" s="31">
        <f t="shared" si="35"/>
        <v>405328</v>
      </c>
      <c r="K44" s="31">
        <f t="shared" si="35"/>
        <v>445596</v>
      </c>
      <c r="L44" s="31">
        <f t="shared" si="35"/>
        <v>458790</v>
      </c>
      <c r="M44" s="31">
        <f t="shared" si="35"/>
        <v>427901</v>
      </c>
      <c r="N44" s="31">
        <f t="shared" si="35"/>
        <v>376720</v>
      </c>
      <c r="O44" s="31">
        <f t="shared" si="35"/>
        <v>375855</v>
      </c>
      <c r="P44" s="31">
        <f t="shared" si="35"/>
        <v>480134</v>
      </c>
      <c r="Q44" s="31">
        <f t="shared" si="3"/>
        <v>5034631</v>
      </c>
    </row>
    <row r="45" spans="1:17" x14ac:dyDescent="0.2">
      <c r="A45" s="32">
        <v>45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>
        <f t="shared" si="3"/>
        <v>0</v>
      </c>
    </row>
    <row r="46" spans="1:17" ht="15" x14ac:dyDescent="0.25">
      <c r="A46" s="32">
        <v>46</v>
      </c>
      <c r="B46" s="32" t="s">
        <v>241</v>
      </c>
      <c r="C46" s="24"/>
      <c r="D46" s="31"/>
      <c r="E46" s="31">
        <f>E137</f>
        <v>267688</v>
      </c>
      <c r="F46" s="31">
        <f>F137</f>
        <v>241900</v>
      </c>
      <c r="G46" s="31">
        <f t="shared" ref="G46:P46" si="36">G137</f>
        <v>246659</v>
      </c>
      <c r="H46" s="31">
        <f t="shared" si="36"/>
        <v>196616</v>
      </c>
      <c r="I46" s="31">
        <f t="shared" si="36"/>
        <v>329403</v>
      </c>
      <c r="J46" s="31">
        <f t="shared" si="36"/>
        <v>313588</v>
      </c>
      <c r="K46" s="31">
        <f t="shared" si="36"/>
        <v>326064</v>
      </c>
      <c r="L46" s="31">
        <f t="shared" si="36"/>
        <v>38484</v>
      </c>
      <c r="M46" s="31">
        <f t="shared" si="36"/>
        <v>78264</v>
      </c>
      <c r="N46" s="31">
        <f t="shared" si="36"/>
        <v>71262</v>
      </c>
      <c r="O46" s="31">
        <f t="shared" si="36"/>
        <v>70045</v>
      </c>
      <c r="P46" s="31">
        <f t="shared" si="36"/>
        <v>129283</v>
      </c>
      <c r="Q46" s="31">
        <f t="shared" si="3"/>
        <v>2309256</v>
      </c>
    </row>
    <row r="47" spans="1:17" ht="15" x14ac:dyDescent="0.25">
      <c r="A47" s="32">
        <v>47</v>
      </c>
      <c r="B47" s="24"/>
      <c r="Q47" s="31">
        <f t="shared" si="3"/>
        <v>0</v>
      </c>
    </row>
    <row r="48" spans="1:17" ht="15" x14ac:dyDescent="0.25">
      <c r="A48" s="32">
        <v>48</v>
      </c>
      <c r="B48" s="24" t="s">
        <v>5</v>
      </c>
      <c r="C48" s="31"/>
      <c r="D48" s="31"/>
      <c r="E48" s="31">
        <f>+E141</f>
        <v>5946491</v>
      </c>
      <c r="F48" s="31">
        <f>+F141</f>
        <v>7359241</v>
      </c>
      <c r="G48" s="31">
        <f t="shared" ref="G48:P48" si="37">+G141</f>
        <v>6296008</v>
      </c>
      <c r="H48" s="31">
        <f t="shared" si="37"/>
        <v>6077361</v>
      </c>
      <c r="I48" s="31">
        <f t="shared" si="37"/>
        <v>6645941</v>
      </c>
      <c r="J48" s="31">
        <f t="shared" si="37"/>
        <v>6173496</v>
      </c>
      <c r="K48" s="31">
        <f t="shared" si="37"/>
        <v>6929680</v>
      </c>
      <c r="L48" s="31">
        <f t="shared" si="37"/>
        <v>7315472</v>
      </c>
      <c r="M48" s="31">
        <f t="shared" si="37"/>
        <v>7356474</v>
      </c>
      <c r="N48" s="31">
        <f t="shared" si="37"/>
        <v>6654215</v>
      </c>
      <c r="O48" s="31">
        <f t="shared" si="37"/>
        <v>7177506</v>
      </c>
      <c r="P48" s="31">
        <f t="shared" si="37"/>
        <v>7817158</v>
      </c>
      <c r="Q48" s="31">
        <f t="shared" si="3"/>
        <v>81749043</v>
      </c>
    </row>
    <row r="49" spans="1:17" ht="15" x14ac:dyDescent="0.25">
      <c r="A49" s="32">
        <v>49</v>
      </c>
      <c r="B49" s="24"/>
      <c r="Q49" s="31">
        <f t="shared" si="3"/>
        <v>0</v>
      </c>
    </row>
    <row r="50" spans="1:17" ht="15" x14ac:dyDescent="0.25">
      <c r="A50" s="32">
        <v>50</v>
      </c>
      <c r="B50" s="24" t="s">
        <v>4</v>
      </c>
      <c r="C50" s="31"/>
      <c r="D50" s="31"/>
      <c r="E50" s="31">
        <f>+E143</f>
        <v>747052</v>
      </c>
      <c r="F50" s="31">
        <f>+F143</f>
        <v>1391803</v>
      </c>
      <c r="G50" s="31">
        <f t="shared" ref="G50:P50" si="38">+G143</f>
        <v>2877015</v>
      </c>
      <c r="H50" s="31">
        <f t="shared" si="38"/>
        <v>57154</v>
      </c>
      <c r="I50" s="31">
        <f t="shared" si="38"/>
        <v>1173774</v>
      </c>
      <c r="J50" s="31">
        <f t="shared" si="38"/>
        <v>1037930</v>
      </c>
      <c r="K50" s="31">
        <f t="shared" si="38"/>
        <v>929197</v>
      </c>
      <c r="L50" s="31">
        <f t="shared" si="38"/>
        <v>1059915</v>
      </c>
      <c r="M50" s="31">
        <f t="shared" si="38"/>
        <v>876627</v>
      </c>
      <c r="N50" s="31">
        <f t="shared" si="38"/>
        <v>850462</v>
      </c>
      <c r="O50" s="31">
        <f t="shared" si="38"/>
        <v>892981</v>
      </c>
      <c r="P50" s="31">
        <f t="shared" si="38"/>
        <v>1082504</v>
      </c>
      <c r="Q50" s="31">
        <f t="shared" si="3"/>
        <v>12976414</v>
      </c>
    </row>
    <row r="51" spans="1:17" ht="15" x14ac:dyDescent="0.25">
      <c r="A51" s="32">
        <v>51</v>
      </c>
      <c r="B51" s="24"/>
      <c r="Q51" s="31">
        <f t="shared" si="3"/>
        <v>0</v>
      </c>
    </row>
    <row r="52" spans="1:17" ht="15" x14ac:dyDescent="0.25">
      <c r="A52" s="32">
        <v>52</v>
      </c>
      <c r="B52" s="24" t="s">
        <v>3</v>
      </c>
      <c r="C52" s="31"/>
      <c r="D52" s="31"/>
      <c r="E52" s="31">
        <f>+E145</f>
        <v>0</v>
      </c>
      <c r="F52" s="31">
        <f>+F145</f>
        <v>0</v>
      </c>
      <c r="G52" s="31">
        <f t="shared" ref="G52:P52" si="39">+G145</f>
        <v>0</v>
      </c>
      <c r="H52" s="31">
        <f t="shared" si="39"/>
        <v>0</v>
      </c>
      <c r="I52" s="31">
        <f t="shared" si="39"/>
        <v>0</v>
      </c>
      <c r="J52" s="31">
        <f t="shared" si="39"/>
        <v>0</v>
      </c>
      <c r="K52" s="31">
        <f t="shared" si="39"/>
        <v>0</v>
      </c>
      <c r="L52" s="31">
        <f t="shared" si="39"/>
        <v>0</v>
      </c>
      <c r="M52" s="31">
        <f t="shared" si="39"/>
        <v>0</v>
      </c>
      <c r="N52" s="31">
        <f t="shared" si="39"/>
        <v>0</v>
      </c>
      <c r="O52" s="31">
        <f t="shared" si="39"/>
        <v>0</v>
      </c>
      <c r="P52" s="31">
        <f t="shared" si="39"/>
        <v>0</v>
      </c>
      <c r="Q52" s="31">
        <f t="shared" si="3"/>
        <v>0</v>
      </c>
    </row>
    <row r="53" spans="1:17" ht="15" x14ac:dyDescent="0.25">
      <c r="A53" s="32">
        <v>53</v>
      </c>
      <c r="B53" s="24"/>
      <c r="Q53" s="31">
        <f t="shared" si="3"/>
        <v>0</v>
      </c>
    </row>
    <row r="54" spans="1:17" ht="15" x14ac:dyDescent="0.25">
      <c r="A54" s="32">
        <v>54</v>
      </c>
      <c r="B54" s="24" t="s">
        <v>119</v>
      </c>
      <c r="C54" s="31"/>
      <c r="D54" s="31"/>
      <c r="E54" s="31">
        <f>E147</f>
        <v>6319215</v>
      </c>
      <c r="F54" s="31">
        <f>F147</f>
        <v>7449968</v>
      </c>
      <c r="G54" s="31">
        <f t="shared" ref="G54:P54" si="40">G147</f>
        <v>7581774</v>
      </c>
      <c r="H54" s="31">
        <f t="shared" si="40"/>
        <v>5847232</v>
      </c>
      <c r="I54" s="31">
        <f t="shared" si="40"/>
        <v>7140117</v>
      </c>
      <c r="J54" s="31">
        <f t="shared" si="40"/>
        <v>7660476</v>
      </c>
      <c r="K54" s="31">
        <f t="shared" si="40"/>
        <v>7499777</v>
      </c>
      <c r="L54" s="31">
        <f t="shared" si="40"/>
        <v>6717796</v>
      </c>
      <c r="M54" s="31">
        <f t="shared" si="40"/>
        <v>7769308</v>
      </c>
      <c r="N54" s="31">
        <f t="shared" si="40"/>
        <v>6890662</v>
      </c>
      <c r="O54" s="31">
        <f t="shared" si="40"/>
        <v>6684726</v>
      </c>
      <c r="P54" s="31">
        <f t="shared" si="40"/>
        <v>7387590</v>
      </c>
      <c r="Q54" s="31">
        <f t="shared" si="3"/>
        <v>84948641</v>
      </c>
    </row>
    <row r="55" spans="1:17" ht="15" x14ac:dyDescent="0.25">
      <c r="A55" s="32">
        <v>55</v>
      </c>
      <c r="B55" s="24"/>
      <c r="Q55" s="31">
        <f t="shared" si="3"/>
        <v>0</v>
      </c>
    </row>
    <row r="56" spans="1:17" ht="15" x14ac:dyDescent="0.25">
      <c r="A56" s="32">
        <v>56</v>
      </c>
      <c r="B56" s="24" t="s">
        <v>120</v>
      </c>
      <c r="C56" s="31"/>
      <c r="D56" s="31"/>
      <c r="E56" s="31">
        <f>E149</f>
        <v>107816</v>
      </c>
      <c r="F56" s="31">
        <f>F149</f>
        <v>115009</v>
      </c>
      <c r="G56" s="31">
        <f t="shared" ref="G56:P56" si="41">G149</f>
        <v>133540</v>
      </c>
      <c r="H56" s="31">
        <f t="shared" si="41"/>
        <v>108403</v>
      </c>
      <c r="I56" s="31">
        <f t="shared" si="41"/>
        <v>121012</v>
      </c>
      <c r="J56" s="31">
        <f t="shared" si="41"/>
        <v>130180</v>
      </c>
      <c r="K56" s="31">
        <f t="shared" si="41"/>
        <v>134339</v>
      </c>
      <c r="L56" s="31">
        <f t="shared" si="41"/>
        <v>142188</v>
      </c>
      <c r="M56" s="31">
        <f t="shared" si="41"/>
        <v>183476</v>
      </c>
      <c r="N56" s="31">
        <f t="shared" si="41"/>
        <v>195726</v>
      </c>
      <c r="O56" s="31">
        <f t="shared" si="41"/>
        <v>178952</v>
      </c>
      <c r="P56" s="31">
        <f t="shared" si="41"/>
        <v>131424</v>
      </c>
      <c r="Q56" s="31">
        <f t="shared" si="3"/>
        <v>1682065</v>
      </c>
    </row>
    <row r="57" spans="1:17" ht="15" x14ac:dyDescent="0.25">
      <c r="A57" s="32">
        <v>57</v>
      </c>
      <c r="B57" s="24"/>
      <c r="Q57" s="31">
        <f t="shared" si="3"/>
        <v>0</v>
      </c>
    </row>
    <row r="58" spans="1:17" ht="15" x14ac:dyDescent="0.25">
      <c r="A58" s="32">
        <v>58</v>
      </c>
      <c r="B58" s="24" t="s">
        <v>242</v>
      </c>
      <c r="C58" s="31"/>
      <c r="D58" s="31"/>
      <c r="E58" s="31">
        <f>E152</f>
        <v>2162339</v>
      </c>
      <c r="F58" s="31">
        <f>F152</f>
        <v>2291041</v>
      </c>
      <c r="G58" s="31">
        <f t="shared" ref="G58:P58" si="42">G152</f>
        <v>2038397</v>
      </c>
      <c r="H58" s="31">
        <f t="shared" si="42"/>
        <v>2245670</v>
      </c>
      <c r="I58" s="31">
        <f t="shared" si="42"/>
        <v>2402878</v>
      </c>
      <c r="J58" s="31">
        <f t="shared" si="42"/>
        <v>2118419</v>
      </c>
      <c r="K58" s="31">
        <f t="shared" si="42"/>
        <v>2341624</v>
      </c>
      <c r="L58" s="31">
        <f t="shared" si="42"/>
        <v>2761043</v>
      </c>
      <c r="M58" s="31">
        <f t="shared" si="42"/>
        <v>2281226</v>
      </c>
      <c r="N58" s="31">
        <f t="shared" si="42"/>
        <v>1838103</v>
      </c>
      <c r="O58" s="31">
        <f t="shared" si="42"/>
        <v>1929598</v>
      </c>
      <c r="P58" s="31">
        <f t="shared" si="42"/>
        <v>1932186</v>
      </c>
      <c r="Q58" s="31">
        <f t="shared" si="3"/>
        <v>26342524</v>
      </c>
    </row>
    <row r="59" spans="1:17" ht="15" x14ac:dyDescent="0.25">
      <c r="A59" s="32">
        <v>59</v>
      </c>
      <c r="B59" s="24"/>
      <c r="Q59" s="31">
        <f t="shared" si="3"/>
        <v>0</v>
      </c>
    </row>
    <row r="60" spans="1:17" ht="15" x14ac:dyDescent="0.25">
      <c r="A60" s="32">
        <v>60</v>
      </c>
      <c r="B60" s="24" t="s">
        <v>122</v>
      </c>
      <c r="C60" s="31"/>
      <c r="D60" s="31"/>
      <c r="E60" s="31">
        <f>E153</f>
        <v>11976000</v>
      </c>
      <c r="F60" s="31">
        <f>F153</f>
        <v>12528000</v>
      </c>
      <c r="G60" s="31">
        <f t="shared" ref="G60:P60" si="43">G153</f>
        <v>10392000</v>
      </c>
      <c r="H60" s="31">
        <f t="shared" si="43"/>
        <v>11856000</v>
      </c>
      <c r="I60" s="31">
        <f t="shared" si="43"/>
        <v>12144000</v>
      </c>
      <c r="J60" s="31">
        <f t="shared" si="43"/>
        <v>10392000</v>
      </c>
      <c r="K60" s="31">
        <f t="shared" si="43"/>
        <v>11616000</v>
      </c>
      <c r="L60" s="31">
        <f t="shared" si="43"/>
        <v>9768000</v>
      </c>
      <c r="M60" s="31">
        <f t="shared" si="43"/>
        <v>11832000</v>
      </c>
      <c r="N60" s="31">
        <f t="shared" si="43"/>
        <v>11880000</v>
      </c>
      <c r="O60" s="31">
        <f t="shared" si="43"/>
        <v>10392000</v>
      </c>
      <c r="P60" s="31">
        <f t="shared" si="43"/>
        <v>10776001</v>
      </c>
      <c r="Q60" s="31">
        <f t="shared" si="3"/>
        <v>135552001</v>
      </c>
    </row>
    <row r="61" spans="1:17" ht="15" x14ac:dyDescent="0.25">
      <c r="A61" s="32">
        <v>61</v>
      </c>
      <c r="B61" s="2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>
        <f t="shared" si="3"/>
        <v>0</v>
      </c>
    </row>
    <row r="62" spans="1:17" ht="15" x14ac:dyDescent="0.25">
      <c r="A62" s="32">
        <v>62</v>
      </c>
      <c r="B62" s="24" t="s">
        <v>243</v>
      </c>
      <c r="C62" s="31"/>
      <c r="D62" s="31"/>
      <c r="E62" s="31">
        <f>E154</f>
        <v>1423096</v>
      </c>
      <c r="F62" s="31">
        <f>F154</f>
        <v>1443388</v>
      </c>
      <c r="G62" s="31">
        <f t="shared" ref="G62:P62" si="44">G154</f>
        <v>1304087</v>
      </c>
      <c r="H62" s="31">
        <f t="shared" si="44"/>
        <v>1372452</v>
      </c>
      <c r="I62" s="31">
        <f t="shared" si="44"/>
        <v>1367677</v>
      </c>
      <c r="J62" s="31">
        <f t="shared" si="44"/>
        <v>1068062</v>
      </c>
      <c r="K62" s="31">
        <f t="shared" si="44"/>
        <v>1513789</v>
      </c>
      <c r="L62" s="31">
        <f t="shared" si="44"/>
        <v>1452798</v>
      </c>
      <c r="M62" s="31">
        <f t="shared" si="44"/>
        <v>1650010</v>
      </c>
      <c r="N62" s="31">
        <f t="shared" si="44"/>
        <v>1521215</v>
      </c>
      <c r="O62" s="31">
        <f t="shared" si="44"/>
        <v>1513420</v>
      </c>
      <c r="P62" s="31">
        <f t="shared" si="44"/>
        <v>1648161</v>
      </c>
      <c r="Q62" s="31">
        <f t="shared" si="3"/>
        <v>17278155</v>
      </c>
    </row>
    <row r="63" spans="1:17" ht="15" x14ac:dyDescent="0.25">
      <c r="A63" s="32">
        <v>63</v>
      </c>
      <c r="B63" s="24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>
        <f t="shared" si="3"/>
        <v>0</v>
      </c>
    </row>
    <row r="64" spans="1:17" ht="15" x14ac:dyDescent="0.25">
      <c r="A64" s="32">
        <v>64</v>
      </c>
      <c r="B64" s="24" t="s">
        <v>244</v>
      </c>
      <c r="C64" s="31"/>
      <c r="D64" s="31"/>
      <c r="E64" s="31">
        <f>E155</f>
        <v>5451216</v>
      </c>
      <c r="F64" s="31">
        <f>F155</f>
        <v>4472815</v>
      </c>
      <c r="G64" s="31">
        <f t="shared" ref="G64:P64" si="45">G155</f>
        <v>3343003</v>
      </c>
      <c r="H64" s="31">
        <f t="shared" si="45"/>
        <v>4326800</v>
      </c>
      <c r="I64" s="31">
        <f t="shared" si="45"/>
        <v>3930924</v>
      </c>
      <c r="J64" s="31">
        <f t="shared" si="45"/>
        <v>3417127</v>
      </c>
      <c r="K64" s="31">
        <f t="shared" si="45"/>
        <v>4424979</v>
      </c>
      <c r="L64" s="31">
        <f t="shared" si="45"/>
        <v>4753437</v>
      </c>
      <c r="M64" s="31">
        <f t="shared" si="45"/>
        <v>4146085</v>
      </c>
      <c r="N64" s="31">
        <f t="shared" si="45"/>
        <v>4084436</v>
      </c>
      <c r="O64" s="31">
        <f t="shared" si="45"/>
        <v>4406736</v>
      </c>
      <c r="P64" s="31">
        <f t="shared" si="45"/>
        <v>4729314</v>
      </c>
      <c r="Q64" s="31">
        <f t="shared" si="3"/>
        <v>51486872</v>
      </c>
    </row>
    <row r="65" spans="1:17" ht="15" x14ac:dyDescent="0.25">
      <c r="A65" s="32">
        <v>65</v>
      </c>
      <c r="B65" s="24"/>
      <c r="Q65" s="31">
        <f t="shared" si="3"/>
        <v>0</v>
      </c>
    </row>
    <row r="66" spans="1:17" ht="15" x14ac:dyDescent="0.25">
      <c r="A66" s="32">
        <v>66</v>
      </c>
      <c r="B66" s="24" t="s">
        <v>123</v>
      </c>
      <c r="C66" s="31"/>
      <c r="D66" s="31"/>
      <c r="E66" s="31">
        <f>E157</f>
        <v>1238619</v>
      </c>
      <c r="F66" s="31">
        <f>F157</f>
        <v>1257505</v>
      </c>
      <c r="G66" s="31">
        <f t="shared" ref="G66:P66" si="46">G157</f>
        <v>1275535</v>
      </c>
      <c r="H66" s="31">
        <f t="shared" si="46"/>
        <v>1195234</v>
      </c>
      <c r="I66" s="31">
        <f t="shared" si="46"/>
        <v>1253956</v>
      </c>
      <c r="J66" s="31">
        <f t="shared" si="46"/>
        <v>1189806</v>
      </c>
      <c r="K66" s="31">
        <f t="shared" si="46"/>
        <v>1384022</v>
      </c>
      <c r="L66" s="31">
        <f t="shared" si="46"/>
        <v>1422034</v>
      </c>
      <c r="M66" s="31">
        <f t="shared" si="46"/>
        <v>1468073</v>
      </c>
      <c r="N66" s="31">
        <f t="shared" si="46"/>
        <v>1349315</v>
      </c>
      <c r="O66" s="31">
        <f t="shared" si="46"/>
        <v>1265733</v>
      </c>
      <c r="P66" s="31">
        <f t="shared" si="46"/>
        <v>1377937</v>
      </c>
      <c r="Q66" s="31">
        <f t="shared" si="3"/>
        <v>15677769</v>
      </c>
    </row>
    <row r="67" spans="1:17" ht="15" x14ac:dyDescent="0.25">
      <c r="A67" s="32">
        <v>67</v>
      </c>
      <c r="B67" s="24"/>
      <c r="Q67" s="31">
        <f t="shared" si="3"/>
        <v>0</v>
      </c>
    </row>
    <row r="68" spans="1:17" ht="15" x14ac:dyDescent="0.25">
      <c r="A68" s="32">
        <v>68</v>
      </c>
      <c r="B68" s="24" t="s">
        <v>317</v>
      </c>
      <c r="C68" s="31"/>
      <c r="D68" s="31"/>
      <c r="E68" s="31">
        <f>E161</f>
        <v>22440360</v>
      </c>
      <c r="F68" s="31">
        <f>F161</f>
        <v>25338562</v>
      </c>
      <c r="G68" s="31">
        <f t="shared" ref="G68:P68" si="47">G161</f>
        <v>25431714</v>
      </c>
      <c r="H68" s="31">
        <f t="shared" si="47"/>
        <v>23202440</v>
      </c>
      <c r="I68" s="31">
        <f t="shared" si="47"/>
        <v>24008900</v>
      </c>
      <c r="J68" s="31">
        <f t="shared" si="47"/>
        <v>21992207</v>
      </c>
      <c r="K68" s="31">
        <f t="shared" si="47"/>
        <v>25422637</v>
      </c>
      <c r="L68" s="31">
        <f t="shared" si="47"/>
        <v>23825991</v>
      </c>
      <c r="M68" s="31">
        <f t="shared" si="47"/>
        <v>21811013</v>
      </c>
      <c r="N68" s="31">
        <f t="shared" si="47"/>
        <v>19578330</v>
      </c>
      <c r="O68" s="31">
        <f t="shared" si="47"/>
        <v>20830389</v>
      </c>
      <c r="P68" s="31">
        <f t="shared" si="47"/>
        <v>24777683</v>
      </c>
      <c r="Q68" s="31">
        <f t="shared" si="3"/>
        <v>278660226</v>
      </c>
    </row>
    <row r="69" spans="1:17" ht="15" x14ac:dyDescent="0.25">
      <c r="A69" s="32">
        <v>69</v>
      </c>
      <c r="B69" s="24"/>
      <c r="Q69" s="31">
        <f t="shared" si="3"/>
        <v>0</v>
      </c>
    </row>
    <row r="70" spans="1:17" ht="15" x14ac:dyDescent="0.25">
      <c r="A70" s="32">
        <v>70</v>
      </c>
      <c r="B70" s="24" t="s">
        <v>125</v>
      </c>
      <c r="C70" s="31"/>
      <c r="D70" s="31"/>
      <c r="E70" s="31">
        <f>E165</f>
        <v>109271957</v>
      </c>
      <c r="F70" s="31">
        <f>F165</f>
        <v>170827651</v>
      </c>
      <c r="G70" s="31">
        <f t="shared" ref="G70:P70" si="48">G165</f>
        <v>86279504</v>
      </c>
      <c r="H70" s="31">
        <f t="shared" si="48"/>
        <v>143081492</v>
      </c>
      <c r="I70" s="31">
        <f t="shared" si="48"/>
        <v>144265481</v>
      </c>
      <c r="J70" s="31">
        <f t="shared" si="48"/>
        <v>128273072</v>
      </c>
      <c r="K70" s="31">
        <f t="shared" si="48"/>
        <v>139721552</v>
      </c>
      <c r="L70" s="31">
        <f t="shared" si="48"/>
        <v>132583223</v>
      </c>
      <c r="M70" s="31">
        <f t="shared" si="48"/>
        <v>129345585</v>
      </c>
      <c r="N70" s="31">
        <f t="shared" si="48"/>
        <v>132139807</v>
      </c>
      <c r="O70" s="31">
        <f t="shared" si="48"/>
        <v>109124237</v>
      </c>
      <c r="P70" s="31">
        <f t="shared" si="48"/>
        <v>132169268</v>
      </c>
      <c r="Q70" s="31">
        <f t="shared" si="3"/>
        <v>1557082829</v>
      </c>
    </row>
    <row r="71" spans="1:17" ht="15" x14ac:dyDescent="0.25">
      <c r="A71" s="32">
        <v>71</v>
      </c>
      <c r="B71" s="24"/>
      <c r="Q71" s="31">
        <f t="shared" si="3"/>
        <v>0</v>
      </c>
    </row>
    <row r="72" spans="1:17" ht="15" x14ac:dyDescent="0.25">
      <c r="A72" s="32">
        <v>72</v>
      </c>
      <c r="B72" s="24" t="s">
        <v>126</v>
      </c>
      <c r="C72" s="31"/>
      <c r="D72" s="31"/>
      <c r="E72" s="31">
        <f t="shared" ref="E72" si="49">E169</f>
        <v>18954945</v>
      </c>
      <c r="F72" s="31">
        <f t="shared" ref="F72:G72" si="50">F169</f>
        <v>18897132</v>
      </c>
      <c r="G72" s="31">
        <f t="shared" si="50"/>
        <v>24968091</v>
      </c>
      <c r="H72" s="31">
        <f t="shared" ref="H72:P72" si="51">H169</f>
        <v>19220568</v>
      </c>
      <c r="I72" s="31">
        <f t="shared" si="51"/>
        <v>16959379</v>
      </c>
      <c r="J72" s="31">
        <f t="shared" si="51"/>
        <v>17190615</v>
      </c>
      <c r="K72" s="31">
        <f t="shared" si="51"/>
        <v>21719546</v>
      </c>
      <c r="L72" s="31">
        <f t="shared" si="51"/>
        <v>13853989</v>
      </c>
      <c r="M72" s="31">
        <f t="shared" si="51"/>
        <v>22565641</v>
      </c>
      <c r="N72" s="31">
        <f t="shared" si="51"/>
        <v>14861673</v>
      </c>
      <c r="O72" s="31">
        <f t="shared" si="51"/>
        <v>17293937</v>
      </c>
      <c r="P72" s="31">
        <f t="shared" si="51"/>
        <v>25767838</v>
      </c>
      <c r="Q72" s="31">
        <f t="shared" si="3"/>
        <v>232253354</v>
      </c>
    </row>
    <row r="73" spans="1:17" ht="15" x14ac:dyDescent="0.25">
      <c r="A73" s="32">
        <v>73</v>
      </c>
      <c r="B73" s="24"/>
      <c r="Q73" s="31">
        <f t="shared" si="3"/>
        <v>0</v>
      </c>
    </row>
    <row r="74" spans="1:17" ht="15" x14ac:dyDescent="0.25">
      <c r="A74" s="32">
        <v>74</v>
      </c>
      <c r="B74" s="24" t="s">
        <v>2</v>
      </c>
      <c r="C74" s="31"/>
      <c r="D74" s="31"/>
      <c r="E74" s="31">
        <f>E206</f>
        <v>637749</v>
      </c>
      <c r="F74" s="31">
        <f>F206</f>
        <v>560476</v>
      </c>
      <c r="G74" s="31">
        <f t="shared" ref="G74:P74" si="52">G206</f>
        <v>505887</v>
      </c>
      <c r="H74" s="31">
        <f t="shared" si="52"/>
        <v>547276</v>
      </c>
      <c r="I74" s="31">
        <f t="shared" si="52"/>
        <v>608631</v>
      </c>
      <c r="J74" s="31">
        <f t="shared" si="52"/>
        <v>667044</v>
      </c>
      <c r="K74" s="31">
        <f t="shared" si="52"/>
        <v>779127</v>
      </c>
      <c r="L74" s="31">
        <f t="shared" si="52"/>
        <v>852516</v>
      </c>
      <c r="M74" s="31">
        <f t="shared" si="52"/>
        <v>909243</v>
      </c>
      <c r="N74" s="31">
        <f t="shared" si="52"/>
        <v>875006</v>
      </c>
      <c r="O74" s="31">
        <f t="shared" si="52"/>
        <v>741178</v>
      </c>
      <c r="P74" s="31">
        <f t="shared" si="52"/>
        <v>742436</v>
      </c>
      <c r="Q74" s="31">
        <f t="shared" si="3"/>
        <v>8426569</v>
      </c>
    </row>
    <row r="75" spans="1:17" ht="15" x14ac:dyDescent="0.25">
      <c r="A75" s="32">
        <v>75</v>
      </c>
      <c r="B75" s="24"/>
      <c r="Q75" s="31">
        <f t="shared" ref="Q75:Q77" si="53">SUM(E75:P75)</f>
        <v>0</v>
      </c>
    </row>
    <row r="76" spans="1:17" ht="15" x14ac:dyDescent="0.25">
      <c r="A76" s="32">
        <v>76</v>
      </c>
      <c r="B76" s="24" t="s">
        <v>1</v>
      </c>
      <c r="C76" s="31"/>
      <c r="D76" s="31"/>
      <c r="E76" s="31">
        <f>E171</f>
        <v>132718</v>
      </c>
      <c r="F76" s="31">
        <f>F171</f>
        <v>155276</v>
      </c>
      <c r="G76" s="31">
        <f t="shared" ref="G76:P76" si="54">G171</f>
        <v>172448</v>
      </c>
      <c r="H76" s="31">
        <f t="shared" si="54"/>
        <v>145396</v>
      </c>
      <c r="I76" s="31">
        <f t="shared" si="54"/>
        <v>150588</v>
      </c>
      <c r="J76" s="31">
        <f t="shared" si="54"/>
        <v>133505</v>
      </c>
      <c r="K76" s="31">
        <f t="shared" si="54"/>
        <v>168681</v>
      </c>
      <c r="L76" s="31">
        <f t="shared" si="54"/>
        <v>139568</v>
      </c>
      <c r="M76" s="31">
        <f t="shared" si="54"/>
        <v>150853</v>
      </c>
      <c r="N76" s="31">
        <f t="shared" si="54"/>
        <v>124487</v>
      </c>
      <c r="O76" s="31">
        <f t="shared" si="54"/>
        <v>136026</v>
      </c>
      <c r="P76" s="31">
        <f t="shared" si="54"/>
        <v>154411</v>
      </c>
      <c r="Q76" s="31">
        <f t="shared" si="53"/>
        <v>1763957</v>
      </c>
    </row>
    <row r="77" spans="1:17" ht="15" x14ac:dyDescent="0.25">
      <c r="B77" s="81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3"/>
      <c r="Q77" s="31">
        <f t="shared" si="53"/>
        <v>0</v>
      </c>
    </row>
    <row r="78" spans="1:17" ht="15" x14ac:dyDescent="0.25">
      <c r="B78" s="84" t="s">
        <v>0</v>
      </c>
      <c r="C78" s="31">
        <f>SUM(C10:C76)</f>
        <v>0</v>
      </c>
      <c r="D78" s="31">
        <f t="shared" ref="D78" si="55">SUM(D10:D76)</f>
        <v>0</v>
      </c>
      <c r="E78" s="31">
        <f>SUM(E18:E76)+E14+E12+E10</f>
        <v>380752030</v>
      </c>
      <c r="F78" s="31">
        <f>SUM(F18:F76)+F14+F12+F10</f>
        <v>444535592</v>
      </c>
      <c r="G78" s="31">
        <f t="shared" ref="G78:P78" si="56">SUM(G18:G76)+G14+G12+G10</f>
        <v>400737061</v>
      </c>
      <c r="H78" s="31">
        <f t="shared" si="56"/>
        <v>468070571</v>
      </c>
      <c r="I78" s="31">
        <f t="shared" si="56"/>
        <v>470818995</v>
      </c>
      <c r="J78" s="31">
        <f t="shared" si="56"/>
        <v>396631231</v>
      </c>
      <c r="K78" s="31">
        <f t="shared" si="56"/>
        <v>417221973</v>
      </c>
      <c r="L78" s="31">
        <f t="shared" si="56"/>
        <v>432257088</v>
      </c>
      <c r="M78" s="31">
        <f t="shared" si="56"/>
        <v>522295292</v>
      </c>
      <c r="N78" s="31">
        <f t="shared" si="56"/>
        <v>498581746</v>
      </c>
      <c r="O78" s="31">
        <f t="shared" si="56"/>
        <v>416600366</v>
      </c>
      <c r="P78" s="85">
        <f t="shared" si="56"/>
        <v>452395324</v>
      </c>
      <c r="Q78" s="85">
        <f>SUM(E78:P78)</f>
        <v>5300897269</v>
      </c>
    </row>
    <row r="79" spans="1:17" x14ac:dyDescent="0.2">
      <c r="C79" s="31">
        <f t="shared" ref="C79:P79" si="57">+C78-C208</f>
        <v>0</v>
      </c>
      <c r="D79" s="31">
        <f t="shared" si="57"/>
        <v>0</v>
      </c>
      <c r="E79" s="31">
        <f t="shared" si="57"/>
        <v>0</v>
      </c>
      <c r="F79" s="31">
        <f t="shared" si="57"/>
        <v>0</v>
      </c>
      <c r="G79" s="31">
        <f t="shared" si="57"/>
        <v>0</v>
      </c>
      <c r="H79" s="31">
        <f t="shared" si="57"/>
        <v>0</v>
      </c>
      <c r="I79" s="31">
        <f t="shared" si="57"/>
        <v>0</v>
      </c>
      <c r="J79" s="31">
        <f t="shared" si="57"/>
        <v>0</v>
      </c>
      <c r="K79" s="31">
        <f t="shared" si="57"/>
        <v>0</v>
      </c>
      <c r="L79" s="31">
        <f t="shared" si="57"/>
        <v>0</v>
      </c>
      <c r="M79" s="31">
        <f t="shared" si="57"/>
        <v>0</v>
      </c>
      <c r="N79" s="31">
        <f t="shared" si="57"/>
        <v>0</v>
      </c>
      <c r="O79" s="31">
        <f t="shared" si="57"/>
        <v>0</v>
      </c>
      <c r="P79" s="31">
        <f t="shared" si="57"/>
        <v>0</v>
      </c>
    </row>
    <row r="80" spans="1:17" x14ac:dyDescent="0.2">
      <c r="B80" s="33"/>
    </row>
    <row r="81" spans="1:17" x14ac:dyDescent="0.2">
      <c r="B81" s="33"/>
    </row>
    <row r="82" spans="1:17" x14ac:dyDescent="0.2">
      <c r="B82" s="33" t="s">
        <v>22</v>
      </c>
      <c r="C82" s="80"/>
      <c r="D82" s="80">
        <f t="shared" ref="D82:P82" si="58">D8</f>
        <v>0</v>
      </c>
      <c r="E82" s="80" t="str">
        <f t="shared" si="58"/>
        <v>Apr</v>
      </c>
      <c r="F82" s="80" t="str">
        <f t="shared" si="58"/>
        <v>May</v>
      </c>
      <c r="G82" s="80" t="str">
        <f t="shared" si="58"/>
        <v>Jun</v>
      </c>
      <c r="H82" s="80" t="str">
        <f t="shared" si="58"/>
        <v>Jul</v>
      </c>
      <c r="I82" s="80" t="str">
        <f t="shared" si="58"/>
        <v>Aug</v>
      </c>
      <c r="J82" s="80" t="str">
        <f t="shared" si="58"/>
        <v>Sep</v>
      </c>
      <c r="K82" s="80" t="str">
        <f t="shared" si="58"/>
        <v>Oct</v>
      </c>
      <c r="L82" s="80" t="str">
        <f t="shared" si="58"/>
        <v>Nov</v>
      </c>
      <c r="M82" s="80" t="str">
        <f t="shared" si="58"/>
        <v>Dec</v>
      </c>
      <c r="N82" s="80" t="str">
        <f t="shared" si="58"/>
        <v>Jan</v>
      </c>
      <c r="O82" s="80" t="str">
        <f t="shared" si="58"/>
        <v>Feb</v>
      </c>
      <c r="P82" s="80" t="str">
        <f t="shared" si="58"/>
        <v>Mar</v>
      </c>
    </row>
    <row r="83" spans="1:17" x14ac:dyDescent="0.2">
      <c r="B83" s="86">
        <v>2023</v>
      </c>
    </row>
    <row r="84" spans="1:17" x14ac:dyDescent="0.2">
      <c r="A84" s="32">
        <v>11</v>
      </c>
      <c r="B84" s="33" t="s">
        <v>197</v>
      </c>
      <c r="C84" s="31"/>
      <c r="D84" s="31"/>
      <c r="E84" s="31">
        <v>153790</v>
      </c>
      <c r="F84" s="31">
        <v>126725</v>
      </c>
      <c r="G84" s="31">
        <v>176407</v>
      </c>
      <c r="H84" s="31">
        <v>188815</v>
      </c>
      <c r="I84" s="31">
        <v>181021</v>
      </c>
      <c r="J84" s="31">
        <v>139436</v>
      </c>
      <c r="K84" s="31">
        <v>126408</v>
      </c>
      <c r="L84" s="31">
        <v>156325</v>
      </c>
      <c r="M84" s="31">
        <v>257477</v>
      </c>
      <c r="N84" s="31">
        <v>241378</v>
      </c>
      <c r="O84" s="31">
        <v>191194</v>
      </c>
      <c r="P84" s="31">
        <v>177181</v>
      </c>
      <c r="Q84" s="32">
        <v>2116157</v>
      </c>
    </row>
    <row r="85" spans="1:17" x14ac:dyDescent="0.2">
      <c r="A85" s="32">
        <v>12</v>
      </c>
      <c r="B85" s="33" t="s">
        <v>198</v>
      </c>
      <c r="C85" s="31"/>
      <c r="D85" s="31"/>
      <c r="E85" s="31">
        <v>15781</v>
      </c>
      <c r="F85" s="31">
        <v>11919</v>
      </c>
      <c r="G85" s="31">
        <v>14657</v>
      </c>
      <c r="H85" s="31">
        <v>18255</v>
      </c>
      <c r="I85" s="31">
        <v>15827</v>
      </c>
      <c r="J85" s="31">
        <v>13387</v>
      </c>
      <c r="K85" s="31">
        <v>10405</v>
      </c>
      <c r="L85" s="31">
        <v>13655</v>
      </c>
      <c r="M85" s="31">
        <v>23030</v>
      </c>
      <c r="N85" s="31">
        <v>20441</v>
      </c>
      <c r="O85" s="31">
        <v>17097</v>
      </c>
      <c r="P85" s="31">
        <v>15399</v>
      </c>
      <c r="Q85" s="32">
        <v>189853</v>
      </c>
    </row>
    <row r="86" spans="1:17" x14ac:dyDescent="0.2">
      <c r="A86" s="32">
        <v>13</v>
      </c>
      <c r="B86" s="33" t="s">
        <v>199</v>
      </c>
      <c r="C86" s="31"/>
      <c r="D86" s="31"/>
      <c r="E86" s="31">
        <v>1322</v>
      </c>
      <c r="F86" s="31">
        <v>1432</v>
      </c>
      <c r="G86" s="31">
        <v>1589</v>
      </c>
      <c r="H86" s="31">
        <v>1659</v>
      </c>
      <c r="I86" s="31">
        <v>1750</v>
      </c>
      <c r="J86" s="31">
        <v>1309</v>
      </c>
      <c r="K86" s="31">
        <v>1208</v>
      </c>
      <c r="L86" s="31">
        <v>1321</v>
      </c>
      <c r="M86" s="31">
        <v>1814</v>
      </c>
      <c r="N86" s="31">
        <v>1441</v>
      </c>
      <c r="O86" s="31">
        <v>1180</v>
      </c>
      <c r="P86" s="31">
        <v>1289</v>
      </c>
      <c r="Q86" s="32">
        <v>17314</v>
      </c>
    </row>
    <row r="87" spans="1:17" x14ac:dyDescent="0.2">
      <c r="A87" s="32">
        <v>14</v>
      </c>
      <c r="B87" s="33" t="s">
        <v>200</v>
      </c>
      <c r="C87" s="31"/>
      <c r="D87" s="31"/>
      <c r="E87" s="31">
        <v>13883</v>
      </c>
      <c r="F87" s="31">
        <v>14057</v>
      </c>
      <c r="G87" s="31">
        <v>17164</v>
      </c>
      <c r="H87" s="31">
        <v>21552</v>
      </c>
      <c r="I87" s="31">
        <v>21347</v>
      </c>
      <c r="J87" s="31">
        <v>14549</v>
      </c>
      <c r="K87" s="31">
        <v>11815</v>
      </c>
      <c r="L87" s="31">
        <v>15190</v>
      </c>
      <c r="M87" s="31">
        <v>18569</v>
      </c>
      <c r="N87" s="31">
        <v>21717</v>
      </c>
      <c r="O87" s="31">
        <v>17320</v>
      </c>
      <c r="P87" s="31">
        <v>17463</v>
      </c>
      <c r="Q87" s="32">
        <v>204626</v>
      </c>
    </row>
    <row r="88" spans="1:17" x14ac:dyDescent="0.2">
      <c r="A88" s="32">
        <v>15</v>
      </c>
      <c r="B88" s="33" t="s">
        <v>176</v>
      </c>
      <c r="C88" s="31"/>
      <c r="D88" s="31"/>
      <c r="E88" s="31">
        <v>56678631</v>
      </c>
      <c r="F88" s="31">
        <v>54599604</v>
      </c>
      <c r="G88" s="31">
        <v>71452159</v>
      </c>
      <c r="H88" s="31">
        <v>81644264</v>
      </c>
      <c r="I88" s="31">
        <v>80024235</v>
      </c>
      <c r="J88" s="31">
        <v>59424968</v>
      </c>
      <c r="K88" s="31">
        <v>54129258</v>
      </c>
      <c r="L88" s="31">
        <v>64959811</v>
      </c>
      <c r="M88" s="31">
        <v>97506835</v>
      </c>
      <c r="N88" s="31">
        <v>93167062</v>
      </c>
      <c r="O88" s="31">
        <v>70994545</v>
      </c>
      <c r="P88" s="31">
        <v>68664213</v>
      </c>
      <c r="Q88" s="32">
        <v>853245585</v>
      </c>
    </row>
    <row r="89" spans="1:17" x14ac:dyDescent="0.2">
      <c r="A89" s="32">
        <v>17</v>
      </c>
      <c r="B89" s="33" t="s">
        <v>201</v>
      </c>
      <c r="C89" s="31"/>
      <c r="D89" s="31"/>
      <c r="E89" s="31">
        <v>348004</v>
      </c>
      <c r="F89" s="31">
        <v>307962</v>
      </c>
      <c r="G89" s="31">
        <v>399155</v>
      </c>
      <c r="H89" s="31">
        <v>456287</v>
      </c>
      <c r="I89" s="31">
        <v>437251</v>
      </c>
      <c r="J89" s="31">
        <v>321696</v>
      </c>
      <c r="K89" s="31">
        <v>298422</v>
      </c>
      <c r="L89" s="31">
        <v>380662</v>
      </c>
      <c r="M89" s="31">
        <v>580200</v>
      </c>
      <c r="N89" s="31">
        <v>570129</v>
      </c>
      <c r="O89" s="31">
        <v>395333</v>
      </c>
      <c r="P89" s="31">
        <v>383934</v>
      </c>
      <c r="Q89" s="32">
        <v>4879035</v>
      </c>
    </row>
    <row r="90" spans="1:17" x14ac:dyDescent="0.2">
      <c r="A90" s="32">
        <v>22</v>
      </c>
      <c r="B90" s="58" t="s">
        <v>202</v>
      </c>
      <c r="C90" s="88"/>
      <c r="D90" s="88"/>
      <c r="E90" s="88">
        <v>68367652</v>
      </c>
      <c r="F90" s="88">
        <v>58599899</v>
      </c>
      <c r="G90" s="88">
        <v>70705301</v>
      </c>
      <c r="H90" s="88">
        <v>82316052</v>
      </c>
      <c r="I90" s="88">
        <v>80793875</v>
      </c>
      <c r="J90" s="88">
        <v>60617879</v>
      </c>
      <c r="K90" s="88">
        <v>60483418</v>
      </c>
      <c r="L90" s="88">
        <v>80895610</v>
      </c>
      <c r="M90" s="88">
        <v>123344037</v>
      </c>
      <c r="N90" s="88">
        <v>120494511</v>
      </c>
      <c r="O90" s="88">
        <v>88974992</v>
      </c>
      <c r="P90" s="88">
        <v>83116963</v>
      </c>
      <c r="Q90" s="32">
        <v>978710189</v>
      </c>
    </row>
    <row r="91" spans="1:17" x14ac:dyDescent="0.2">
      <c r="B91" s="33" t="s">
        <v>21</v>
      </c>
      <c r="C91" s="31">
        <f t="shared" ref="C91:D91" si="59">SUM(C84:C90)</f>
        <v>0</v>
      </c>
      <c r="D91" s="31">
        <f t="shared" si="59"/>
        <v>0</v>
      </c>
      <c r="E91" s="31">
        <v>125579063</v>
      </c>
      <c r="F91" s="31">
        <v>113661598</v>
      </c>
      <c r="G91" s="31">
        <v>142766432</v>
      </c>
      <c r="H91" s="31">
        <v>164646884</v>
      </c>
      <c r="I91" s="31">
        <v>161475306</v>
      </c>
      <c r="J91" s="31">
        <v>120533224</v>
      </c>
      <c r="K91" s="31">
        <v>115060934</v>
      </c>
      <c r="L91" s="31">
        <v>146422574</v>
      </c>
      <c r="M91" s="31">
        <v>221731962</v>
      </c>
      <c r="N91" s="31">
        <v>214516679</v>
      </c>
      <c r="O91" s="31">
        <v>160591661</v>
      </c>
      <c r="P91" s="31">
        <v>152376442</v>
      </c>
      <c r="Q91" s="31">
        <v>1839362759</v>
      </c>
    </row>
    <row r="92" spans="1:17" x14ac:dyDescent="0.2">
      <c r="B92" s="33"/>
    </row>
    <row r="93" spans="1:17" x14ac:dyDescent="0.2">
      <c r="A93" s="32">
        <v>28</v>
      </c>
      <c r="B93" s="33" t="s">
        <v>203</v>
      </c>
      <c r="C93" s="31"/>
      <c r="D93" s="31"/>
      <c r="E93" s="31">
        <v>7596</v>
      </c>
      <c r="F93" s="31">
        <v>7370</v>
      </c>
      <c r="G93" s="31">
        <v>9223</v>
      </c>
      <c r="H93" s="31">
        <v>10966</v>
      </c>
      <c r="I93" s="31">
        <v>9337</v>
      </c>
      <c r="J93" s="31">
        <v>11545</v>
      </c>
      <c r="K93" s="31">
        <v>8203</v>
      </c>
      <c r="L93" s="31">
        <v>6905</v>
      </c>
      <c r="M93" s="31">
        <v>12942</v>
      </c>
      <c r="N93" s="31">
        <v>17001</v>
      </c>
      <c r="O93" s="31">
        <v>10850</v>
      </c>
      <c r="P93" s="31">
        <v>7683</v>
      </c>
      <c r="Q93" s="32">
        <v>119621</v>
      </c>
    </row>
    <row r="94" spans="1:17" x14ac:dyDescent="0.2">
      <c r="A94" s="32">
        <v>30</v>
      </c>
      <c r="B94" s="33" t="s">
        <v>204</v>
      </c>
      <c r="C94" s="31"/>
      <c r="D94" s="31"/>
      <c r="E94" s="31">
        <v>74873</v>
      </c>
      <c r="F94" s="31">
        <v>76785</v>
      </c>
      <c r="G94" s="31">
        <v>91440</v>
      </c>
      <c r="H94" s="31">
        <v>109620</v>
      </c>
      <c r="I94" s="31">
        <v>107507</v>
      </c>
      <c r="J94" s="31">
        <v>86526</v>
      </c>
      <c r="K94" s="31">
        <v>72601</v>
      </c>
      <c r="L94" s="31">
        <v>90034</v>
      </c>
      <c r="M94" s="31">
        <v>160304</v>
      </c>
      <c r="N94" s="31">
        <v>178133</v>
      </c>
      <c r="O94" s="31">
        <v>103306</v>
      </c>
      <c r="P94" s="31">
        <v>101118</v>
      </c>
      <c r="Q94" s="32">
        <v>1252247</v>
      </c>
    </row>
    <row r="95" spans="1:17" x14ac:dyDescent="0.2">
      <c r="A95" s="32">
        <v>32</v>
      </c>
      <c r="B95" s="33" t="s">
        <v>205</v>
      </c>
      <c r="C95" s="31"/>
      <c r="D95" s="31"/>
      <c r="E95" s="31">
        <v>93372</v>
      </c>
      <c r="F95" s="31">
        <v>74490</v>
      </c>
      <c r="G95" s="31">
        <v>99381</v>
      </c>
      <c r="H95" s="31">
        <v>120752</v>
      </c>
      <c r="I95" s="31">
        <v>112725</v>
      </c>
      <c r="J95" s="31">
        <v>90451</v>
      </c>
      <c r="K95" s="31">
        <v>78369</v>
      </c>
      <c r="L95" s="31">
        <v>102018</v>
      </c>
      <c r="M95" s="31">
        <v>186717</v>
      </c>
      <c r="N95" s="31">
        <v>184090</v>
      </c>
      <c r="O95" s="31">
        <v>126637</v>
      </c>
      <c r="P95" s="31">
        <v>102986</v>
      </c>
      <c r="Q95" s="32">
        <v>1371988</v>
      </c>
    </row>
    <row r="96" spans="1:17" x14ac:dyDescent="0.2">
      <c r="A96" s="32">
        <v>34</v>
      </c>
      <c r="B96" s="25" t="s">
        <v>206</v>
      </c>
      <c r="C96" s="25"/>
      <c r="D96" s="25"/>
      <c r="E96" s="25">
        <v>744</v>
      </c>
      <c r="F96" s="25">
        <v>593</v>
      </c>
      <c r="G96" s="25">
        <v>490</v>
      </c>
      <c r="H96" s="25">
        <v>549</v>
      </c>
      <c r="I96" s="25">
        <v>319</v>
      </c>
      <c r="J96" s="25">
        <v>539</v>
      </c>
      <c r="K96" s="25">
        <v>1468</v>
      </c>
      <c r="L96" s="25">
        <v>1086</v>
      </c>
      <c r="M96" s="25">
        <v>1583</v>
      </c>
      <c r="N96" s="25">
        <v>942</v>
      </c>
      <c r="O96" s="89">
        <v>980</v>
      </c>
      <c r="P96" s="88">
        <v>1114</v>
      </c>
      <c r="Q96" s="32">
        <v>10407</v>
      </c>
    </row>
    <row r="97" spans="1:17" x14ac:dyDescent="0.2">
      <c r="B97" s="33" t="s">
        <v>20</v>
      </c>
      <c r="C97" s="31">
        <f>SUM(C93:C96)</f>
        <v>0</v>
      </c>
      <c r="D97" s="31">
        <f t="shared" ref="D97" si="60">SUM(D93:D96)</f>
        <v>0</v>
      </c>
      <c r="E97" s="90">
        <v>176585</v>
      </c>
      <c r="F97" s="90">
        <v>159238</v>
      </c>
      <c r="G97" s="90">
        <v>200534</v>
      </c>
      <c r="H97" s="90">
        <v>241887</v>
      </c>
      <c r="I97" s="90">
        <v>229888</v>
      </c>
      <c r="J97" s="90">
        <v>189061</v>
      </c>
      <c r="K97" s="90">
        <v>160641</v>
      </c>
      <c r="L97" s="90">
        <v>200043</v>
      </c>
      <c r="M97" s="90">
        <v>361546</v>
      </c>
      <c r="N97" s="90">
        <v>380166</v>
      </c>
      <c r="O97" s="90">
        <v>241773</v>
      </c>
      <c r="P97" s="90">
        <v>212901</v>
      </c>
      <c r="Q97" s="31">
        <v>2754263</v>
      </c>
    </row>
    <row r="98" spans="1:17" x14ac:dyDescent="0.2">
      <c r="B98" s="33"/>
      <c r="E98" s="90"/>
    </row>
    <row r="99" spans="1:17" x14ac:dyDescent="0.2">
      <c r="A99" s="32">
        <v>36</v>
      </c>
      <c r="B99" s="42" t="s">
        <v>196</v>
      </c>
      <c r="C99" s="31"/>
      <c r="D99" s="31"/>
      <c r="E99" s="90">
        <v>5286</v>
      </c>
      <c r="F99" s="31">
        <v>4682</v>
      </c>
      <c r="G99" s="31">
        <v>6635</v>
      </c>
      <c r="H99" s="31">
        <v>7703</v>
      </c>
      <c r="I99" s="31">
        <v>9150</v>
      </c>
      <c r="J99" s="31">
        <v>7874</v>
      </c>
      <c r="K99" s="31">
        <v>7593</v>
      </c>
      <c r="L99" s="31">
        <v>4451</v>
      </c>
      <c r="M99" s="31">
        <v>16668</v>
      </c>
      <c r="N99" s="31">
        <v>17780</v>
      </c>
      <c r="O99" s="31">
        <v>12143</v>
      </c>
      <c r="P99" s="31">
        <v>10050</v>
      </c>
      <c r="Q99" s="31">
        <v>110015</v>
      </c>
    </row>
    <row r="100" spans="1:17" x14ac:dyDescent="0.2">
      <c r="B100" s="42"/>
      <c r="C100" s="31"/>
      <c r="D100" s="31"/>
      <c r="E100" s="90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</row>
    <row r="101" spans="1:17" x14ac:dyDescent="0.2">
      <c r="A101" s="32">
        <v>211</v>
      </c>
      <c r="B101" s="33" t="s">
        <v>227</v>
      </c>
      <c r="C101" s="31"/>
      <c r="D101" s="31"/>
      <c r="E101" s="90">
        <v>9763881</v>
      </c>
      <c r="F101" s="31">
        <v>10102528</v>
      </c>
      <c r="G101" s="31">
        <v>11662939</v>
      </c>
      <c r="H101" s="31">
        <v>12288486</v>
      </c>
      <c r="I101" s="31">
        <v>12255225</v>
      </c>
      <c r="J101" s="31">
        <v>10306853</v>
      </c>
      <c r="K101" s="31">
        <v>10138906</v>
      </c>
      <c r="L101" s="31">
        <v>11118686</v>
      </c>
      <c r="M101" s="31">
        <v>14507863</v>
      </c>
      <c r="N101" s="31">
        <v>14222923</v>
      </c>
      <c r="O101" s="31">
        <v>11633983</v>
      </c>
      <c r="P101" s="31">
        <v>11927432</v>
      </c>
      <c r="Q101" s="32">
        <v>139929705</v>
      </c>
    </row>
    <row r="102" spans="1:17" x14ac:dyDescent="0.2">
      <c r="B102" s="33"/>
      <c r="C102" s="31"/>
      <c r="D102" s="31"/>
      <c r="E102" s="90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</row>
    <row r="103" spans="1:17" x14ac:dyDescent="0.2">
      <c r="A103" s="32">
        <v>225</v>
      </c>
      <c r="B103" s="33" t="s">
        <v>226</v>
      </c>
      <c r="C103" s="31"/>
      <c r="D103" s="31"/>
      <c r="E103" s="90">
        <v>74919</v>
      </c>
      <c r="F103" s="31">
        <v>75533</v>
      </c>
      <c r="G103" s="31">
        <v>77312</v>
      </c>
      <c r="H103" s="31">
        <v>69558</v>
      </c>
      <c r="I103" s="31">
        <v>67628</v>
      </c>
      <c r="J103" s="31">
        <v>70412</v>
      </c>
      <c r="K103" s="31">
        <v>79022</v>
      </c>
      <c r="L103" s="31">
        <v>80473</v>
      </c>
      <c r="M103" s="31">
        <v>72997</v>
      </c>
      <c r="N103" s="31">
        <v>68952</v>
      </c>
      <c r="O103" s="31">
        <v>66070</v>
      </c>
      <c r="P103" s="31">
        <v>76661</v>
      </c>
      <c r="Q103" s="32">
        <v>879537</v>
      </c>
    </row>
    <row r="104" spans="1:17" x14ac:dyDescent="0.2">
      <c r="B104" s="33"/>
      <c r="E104" s="90"/>
    </row>
    <row r="105" spans="1:17" x14ac:dyDescent="0.2">
      <c r="A105" s="32">
        <v>227</v>
      </c>
      <c r="B105" s="32" t="s">
        <v>228</v>
      </c>
      <c r="E105" s="90">
        <v>662386</v>
      </c>
      <c r="F105" s="32">
        <v>765476</v>
      </c>
      <c r="G105" s="32">
        <v>785873</v>
      </c>
      <c r="H105" s="32">
        <v>646719</v>
      </c>
      <c r="I105" s="32">
        <v>691419</v>
      </c>
      <c r="J105" s="32">
        <v>616475</v>
      </c>
      <c r="K105" s="32">
        <v>693196</v>
      </c>
      <c r="L105" s="32">
        <v>705257</v>
      </c>
      <c r="M105" s="32">
        <v>632327</v>
      </c>
      <c r="N105" s="32">
        <v>551364</v>
      </c>
      <c r="O105" s="32">
        <v>535066</v>
      </c>
      <c r="P105" s="32">
        <v>663452</v>
      </c>
      <c r="Q105" s="31">
        <v>7949010</v>
      </c>
    </row>
    <row r="106" spans="1:17" x14ac:dyDescent="0.2">
      <c r="B106" s="35"/>
      <c r="C106" s="35"/>
      <c r="D106" s="35"/>
      <c r="E106" s="91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1"/>
    </row>
    <row r="107" spans="1:17" x14ac:dyDescent="0.2">
      <c r="A107" s="32">
        <v>204</v>
      </c>
      <c r="B107" s="32" t="s">
        <v>229</v>
      </c>
      <c r="E107" s="90">
        <v>74037</v>
      </c>
      <c r="F107" s="32">
        <v>88201</v>
      </c>
      <c r="G107" s="32">
        <v>80814</v>
      </c>
      <c r="H107" s="32">
        <v>75099</v>
      </c>
      <c r="I107" s="32">
        <v>72934</v>
      </c>
      <c r="J107" s="32">
        <v>72537</v>
      </c>
      <c r="K107" s="32">
        <v>85255</v>
      </c>
      <c r="L107" s="32">
        <v>88993</v>
      </c>
      <c r="M107" s="32">
        <v>74415</v>
      </c>
      <c r="N107" s="32">
        <v>60897</v>
      </c>
      <c r="O107" s="32">
        <v>64394</v>
      </c>
      <c r="P107" s="32">
        <v>78070</v>
      </c>
      <c r="Q107" s="35">
        <v>915646</v>
      </c>
    </row>
    <row r="108" spans="1:17" x14ac:dyDescent="0.2">
      <c r="A108" s="32">
        <v>213</v>
      </c>
      <c r="B108" s="35" t="s">
        <v>230</v>
      </c>
      <c r="C108" s="35"/>
      <c r="D108" s="35"/>
      <c r="E108" s="91">
        <v>170286</v>
      </c>
      <c r="F108" s="35">
        <v>187124</v>
      </c>
      <c r="G108" s="35">
        <v>171783</v>
      </c>
      <c r="H108" s="35">
        <v>162245</v>
      </c>
      <c r="I108" s="35">
        <v>169175</v>
      </c>
      <c r="J108" s="35">
        <v>150858</v>
      </c>
      <c r="K108" s="35">
        <v>193649</v>
      </c>
      <c r="L108" s="35">
        <v>198700</v>
      </c>
      <c r="M108" s="35">
        <v>237556</v>
      </c>
      <c r="N108" s="35">
        <v>405540</v>
      </c>
      <c r="O108" s="35">
        <v>12710</v>
      </c>
      <c r="P108" s="35">
        <v>189415</v>
      </c>
      <c r="Q108" s="35">
        <v>2249041</v>
      </c>
    </row>
    <row r="109" spans="1:17" x14ac:dyDescent="0.2">
      <c r="B109" s="39" t="s">
        <v>231</v>
      </c>
      <c r="C109" s="85"/>
      <c r="D109" s="85"/>
      <c r="E109" s="85">
        <v>244323</v>
      </c>
      <c r="F109" s="85">
        <v>275325</v>
      </c>
      <c r="G109" s="85">
        <v>252597</v>
      </c>
      <c r="H109" s="85">
        <v>237344</v>
      </c>
      <c r="I109" s="85">
        <v>242109</v>
      </c>
      <c r="J109" s="85">
        <v>223395</v>
      </c>
      <c r="K109" s="85">
        <v>278904</v>
      </c>
      <c r="L109" s="85">
        <v>287693</v>
      </c>
      <c r="M109" s="85">
        <v>311971</v>
      </c>
      <c r="N109" s="85">
        <v>466437</v>
      </c>
      <c r="O109" s="85">
        <v>77104</v>
      </c>
      <c r="P109" s="85">
        <v>267485</v>
      </c>
      <c r="Q109" s="31">
        <v>3164687</v>
      </c>
    </row>
    <row r="110" spans="1:17" x14ac:dyDescent="0.2">
      <c r="B110" s="33"/>
    </row>
    <row r="111" spans="1:17" x14ac:dyDescent="0.2">
      <c r="B111" s="33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>
        <f>SUM(E111:P111)</f>
        <v>0</v>
      </c>
    </row>
    <row r="113" spans="1:17" x14ac:dyDescent="0.2">
      <c r="A113" s="32">
        <v>214</v>
      </c>
      <c r="B113" s="33" t="s">
        <v>42</v>
      </c>
      <c r="C113" s="31"/>
      <c r="D113" s="31"/>
      <c r="E113" s="31">
        <v>184942</v>
      </c>
      <c r="F113" s="31">
        <v>135427</v>
      </c>
      <c r="G113" s="31">
        <v>75520</v>
      </c>
      <c r="H113" s="31">
        <v>63322</v>
      </c>
      <c r="I113" s="31">
        <v>84385</v>
      </c>
      <c r="J113" s="31">
        <v>90541</v>
      </c>
      <c r="K113" s="31">
        <v>133384</v>
      </c>
      <c r="L113" s="31">
        <v>127976</v>
      </c>
      <c r="M113" s="31">
        <v>114850</v>
      </c>
      <c r="N113" s="31">
        <v>109335</v>
      </c>
      <c r="O113" s="31">
        <v>113752</v>
      </c>
      <c r="P113" s="31">
        <v>165469</v>
      </c>
      <c r="Q113" s="31">
        <v>1398903</v>
      </c>
    </row>
    <row r="114" spans="1:17" x14ac:dyDescent="0.2">
      <c r="B114" s="33"/>
    </row>
    <row r="115" spans="1:17" x14ac:dyDescent="0.2">
      <c r="A115" s="32">
        <v>212</v>
      </c>
      <c r="B115" s="33" t="s">
        <v>302</v>
      </c>
      <c r="E115" s="32">
        <v>250</v>
      </c>
      <c r="F115" s="32">
        <v>306</v>
      </c>
      <c r="G115" s="32">
        <v>284</v>
      </c>
      <c r="H115" s="32">
        <v>238</v>
      </c>
      <c r="I115" s="32">
        <v>274</v>
      </c>
      <c r="J115" s="32">
        <v>235</v>
      </c>
      <c r="K115" s="32">
        <v>335</v>
      </c>
      <c r="L115" s="32">
        <v>340</v>
      </c>
      <c r="M115" s="32">
        <v>275</v>
      </c>
      <c r="N115" s="32">
        <v>220</v>
      </c>
      <c r="O115" s="32">
        <v>248</v>
      </c>
      <c r="P115" s="32">
        <v>313</v>
      </c>
      <c r="Q115" s="32">
        <v>3318</v>
      </c>
    </row>
    <row r="116" spans="1:17" x14ac:dyDescent="0.2">
      <c r="A116" s="32">
        <v>215</v>
      </c>
      <c r="B116" s="33" t="s">
        <v>43</v>
      </c>
      <c r="C116" s="31"/>
      <c r="D116" s="31"/>
      <c r="E116" s="31">
        <v>30578642</v>
      </c>
      <c r="F116" s="31">
        <v>34479543</v>
      </c>
      <c r="G116" s="31">
        <v>40921802</v>
      </c>
      <c r="H116" s="31">
        <v>40659640</v>
      </c>
      <c r="I116" s="31">
        <v>41853119</v>
      </c>
      <c r="J116" s="31">
        <v>34930443</v>
      </c>
      <c r="K116" s="31">
        <v>34060600</v>
      </c>
      <c r="L116" s="31">
        <v>33972257</v>
      </c>
      <c r="M116" s="31">
        <v>40463264</v>
      </c>
      <c r="N116" s="31">
        <v>37672588</v>
      </c>
      <c r="O116" s="31">
        <v>33729010</v>
      </c>
      <c r="P116" s="31">
        <v>35501000</v>
      </c>
      <c r="Q116" s="32">
        <v>438821908</v>
      </c>
    </row>
    <row r="117" spans="1:17" x14ac:dyDescent="0.2">
      <c r="A117" s="32">
        <v>218</v>
      </c>
      <c r="B117" s="25" t="s">
        <v>45</v>
      </c>
      <c r="C117" s="25"/>
      <c r="D117" s="25"/>
      <c r="E117" s="25">
        <v>12203</v>
      </c>
      <c r="F117" s="25">
        <v>13963</v>
      </c>
      <c r="G117" s="25">
        <v>12831</v>
      </c>
      <c r="H117" s="25">
        <v>15170</v>
      </c>
      <c r="I117" s="25">
        <v>15415</v>
      </c>
      <c r="J117" s="25">
        <v>12682</v>
      </c>
      <c r="K117" s="25">
        <v>15904</v>
      </c>
      <c r="L117" s="25">
        <v>16698</v>
      </c>
      <c r="M117" s="25">
        <v>22697</v>
      </c>
      <c r="N117" s="25">
        <v>20415</v>
      </c>
      <c r="O117" s="89">
        <v>18443</v>
      </c>
      <c r="P117" s="88">
        <v>14974</v>
      </c>
      <c r="Q117" s="32">
        <v>191395</v>
      </c>
    </row>
    <row r="118" spans="1:17" x14ac:dyDescent="0.2">
      <c r="B118" s="33" t="s">
        <v>12</v>
      </c>
      <c r="C118" s="31">
        <f>SUM(C116:C117)</f>
        <v>0</v>
      </c>
      <c r="D118" s="31">
        <f>SUM(D116:D117)</f>
        <v>0</v>
      </c>
      <c r="E118" s="31">
        <v>30591095</v>
      </c>
      <c r="F118" s="31">
        <v>34493812</v>
      </c>
      <c r="G118" s="31">
        <v>40934917</v>
      </c>
      <c r="H118" s="31">
        <v>40675048</v>
      </c>
      <c r="I118" s="31">
        <v>41868808</v>
      </c>
      <c r="J118" s="31">
        <v>34943360</v>
      </c>
      <c r="K118" s="31">
        <v>34076839</v>
      </c>
      <c r="L118" s="31">
        <v>33989295</v>
      </c>
      <c r="M118" s="31">
        <v>40486236</v>
      </c>
      <c r="N118" s="31">
        <v>37693223</v>
      </c>
      <c r="O118" s="31">
        <v>33747701</v>
      </c>
      <c r="P118" s="31">
        <v>35516287</v>
      </c>
      <c r="Q118" s="31">
        <v>439016621</v>
      </c>
    </row>
    <row r="119" spans="1:17" x14ac:dyDescent="0.2">
      <c r="B119" s="33"/>
    </row>
    <row r="120" spans="1:17" x14ac:dyDescent="0.2">
      <c r="A120" s="32">
        <v>223</v>
      </c>
      <c r="B120" s="33" t="s">
        <v>46</v>
      </c>
      <c r="C120" s="31"/>
      <c r="D120" s="31"/>
      <c r="E120" s="31">
        <v>54798</v>
      </c>
      <c r="F120" s="31">
        <v>30504</v>
      </c>
      <c r="G120" s="31">
        <v>51458</v>
      </c>
      <c r="H120" s="31">
        <v>65602</v>
      </c>
      <c r="I120" s="31">
        <v>61086</v>
      </c>
      <c r="J120" s="31">
        <v>58957</v>
      </c>
      <c r="K120" s="31">
        <v>23029</v>
      </c>
      <c r="L120" s="31">
        <v>65920</v>
      </c>
      <c r="M120" s="31">
        <v>115070</v>
      </c>
      <c r="N120" s="31">
        <v>119649</v>
      </c>
      <c r="O120" s="31">
        <v>74584</v>
      </c>
      <c r="P120" s="31">
        <v>58889</v>
      </c>
      <c r="Q120" s="31">
        <v>779546</v>
      </c>
    </row>
    <row r="122" spans="1:17" x14ac:dyDescent="0.2">
      <c r="A122" s="32">
        <v>229</v>
      </c>
      <c r="B122" s="33" t="s">
        <v>47</v>
      </c>
      <c r="C122" s="31"/>
      <c r="D122" s="31"/>
      <c r="E122" s="31">
        <v>586418</v>
      </c>
      <c r="F122" s="31">
        <v>666609</v>
      </c>
      <c r="G122" s="31">
        <v>730630</v>
      </c>
      <c r="H122" s="31">
        <v>722977</v>
      </c>
      <c r="I122" s="31">
        <v>695730</v>
      </c>
      <c r="J122" s="31">
        <v>657979</v>
      </c>
      <c r="K122" s="31">
        <v>672873</v>
      </c>
      <c r="L122" s="31">
        <v>722166</v>
      </c>
      <c r="M122" s="31">
        <v>800974</v>
      </c>
      <c r="N122" s="31">
        <v>792527</v>
      </c>
      <c r="O122" s="31">
        <v>591503</v>
      </c>
      <c r="P122" s="31">
        <v>694645</v>
      </c>
      <c r="Q122" s="31">
        <v>8335031</v>
      </c>
    </row>
    <row r="123" spans="1:17" x14ac:dyDescent="0.2">
      <c r="B123" s="33"/>
    </row>
    <row r="124" spans="1:17" x14ac:dyDescent="0.2">
      <c r="A124" s="32">
        <v>217</v>
      </c>
      <c r="B124" s="33" t="s">
        <v>48</v>
      </c>
      <c r="C124" s="31"/>
      <c r="D124" s="31"/>
      <c r="E124" s="31">
        <v>266859</v>
      </c>
      <c r="F124" s="31">
        <v>267878</v>
      </c>
      <c r="G124" s="31">
        <v>247524</v>
      </c>
      <c r="H124" s="31">
        <v>272182</v>
      </c>
      <c r="I124" s="31">
        <v>262285</v>
      </c>
      <c r="J124" s="31">
        <v>235946</v>
      </c>
      <c r="K124" s="31">
        <v>262266</v>
      </c>
      <c r="L124" s="31">
        <v>301435</v>
      </c>
      <c r="M124" s="31">
        <v>331460</v>
      </c>
      <c r="N124" s="31">
        <v>271678</v>
      </c>
      <c r="O124" s="31">
        <v>298083</v>
      </c>
      <c r="P124" s="31">
        <v>279860</v>
      </c>
      <c r="Q124" s="32">
        <v>3297456</v>
      </c>
    </row>
    <row r="125" spans="1:17" x14ac:dyDescent="0.2">
      <c r="A125" s="32">
        <v>220</v>
      </c>
      <c r="B125" s="25" t="s">
        <v>49</v>
      </c>
      <c r="C125" s="25"/>
      <c r="D125" s="25"/>
      <c r="E125" s="25">
        <v>451638</v>
      </c>
      <c r="F125" s="25">
        <v>487896</v>
      </c>
      <c r="G125" s="25">
        <v>412741</v>
      </c>
      <c r="H125" s="25">
        <v>209135</v>
      </c>
      <c r="I125" s="25">
        <v>279203</v>
      </c>
      <c r="J125" s="25">
        <v>246494</v>
      </c>
      <c r="K125" s="25">
        <v>481606</v>
      </c>
      <c r="L125" s="25">
        <v>569153</v>
      </c>
      <c r="M125" s="25">
        <v>527247</v>
      </c>
      <c r="N125" s="25">
        <v>396675</v>
      </c>
      <c r="O125" s="89">
        <v>507180</v>
      </c>
      <c r="P125" s="88">
        <v>285144</v>
      </c>
      <c r="Q125" s="32">
        <v>4854112</v>
      </c>
    </row>
    <row r="126" spans="1:17" x14ac:dyDescent="0.2">
      <c r="B126" s="33" t="s">
        <v>9</v>
      </c>
      <c r="C126" s="31">
        <f>SUM(C124:C125)</f>
        <v>0</v>
      </c>
      <c r="D126" s="31">
        <f t="shared" ref="D126" si="61">SUM(D124:D125)</f>
        <v>0</v>
      </c>
      <c r="E126" s="31">
        <v>718497</v>
      </c>
      <c r="F126" s="31">
        <v>755774</v>
      </c>
      <c r="G126" s="31">
        <v>660265</v>
      </c>
      <c r="H126" s="31">
        <v>481317</v>
      </c>
      <c r="I126" s="31">
        <v>541488</v>
      </c>
      <c r="J126" s="31">
        <v>482440</v>
      </c>
      <c r="K126" s="31">
        <v>743872</v>
      </c>
      <c r="L126" s="31">
        <v>870588</v>
      </c>
      <c r="M126" s="31">
        <v>858707</v>
      </c>
      <c r="N126" s="31">
        <v>668353</v>
      </c>
      <c r="O126" s="31">
        <v>805263</v>
      </c>
      <c r="P126" s="31">
        <v>565004</v>
      </c>
      <c r="Q126" s="31">
        <v>8151568</v>
      </c>
    </row>
    <row r="127" spans="1:17" x14ac:dyDescent="0.2">
      <c r="B127" s="33"/>
    </row>
    <row r="128" spans="1:17" x14ac:dyDescent="0.2">
      <c r="A128" s="32">
        <v>236</v>
      </c>
      <c r="B128" s="33" t="s">
        <v>72</v>
      </c>
      <c r="C128" s="31"/>
      <c r="D128" s="31"/>
      <c r="E128" s="31">
        <v>58464</v>
      </c>
      <c r="F128" s="31">
        <v>39195</v>
      </c>
      <c r="G128" s="31">
        <v>57199</v>
      </c>
      <c r="H128" s="31">
        <v>13086</v>
      </c>
      <c r="I128" s="31">
        <v>30710</v>
      </c>
      <c r="J128" s="31">
        <v>44113</v>
      </c>
      <c r="K128" s="31">
        <v>13991</v>
      </c>
      <c r="L128" s="31">
        <v>32235</v>
      </c>
      <c r="M128" s="31">
        <v>51297</v>
      </c>
      <c r="N128" s="31">
        <v>31337</v>
      </c>
      <c r="O128" s="31">
        <v>12815</v>
      </c>
      <c r="P128" s="31">
        <v>27806</v>
      </c>
      <c r="Q128" s="92">
        <v>412248</v>
      </c>
    </row>
    <row r="129" spans="1:17" x14ac:dyDescent="0.2">
      <c r="B129" s="33"/>
    </row>
    <row r="130" spans="1:17" x14ac:dyDescent="0.2">
      <c r="A130" s="32">
        <v>240</v>
      </c>
      <c r="B130" s="33" t="s">
        <v>50</v>
      </c>
      <c r="C130" s="31"/>
      <c r="D130" s="31"/>
      <c r="E130" s="31">
        <v>21507844</v>
      </c>
      <c r="F130" s="31">
        <v>25013396</v>
      </c>
      <c r="G130" s="31">
        <v>26186547</v>
      </c>
      <c r="H130" s="31">
        <v>24808739</v>
      </c>
      <c r="I130" s="31">
        <v>25815084</v>
      </c>
      <c r="J130" s="31">
        <v>22614823</v>
      </c>
      <c r="K130" s="31">
        <v>24799796</v>
      </c>
      <c r="L130" s="31">
        <v>25121920</v>
      </c>
      <c r="M130" s="31">
        <v>24755227</v>
      </c>
      <c r="N130" s="31">
        <v>21971190</v>
      </c>
      <c r="O130" s="31">
        <v>21788879</v>
      </c>
      <c r="P130" s="31">
        <v>24514071</v>
      </c>
      <c r="Q130" s="32">
        <v>288897516</v>
      </c>
    </row>
    <row r="131" spans="1:17" x14ac:dyDescent="0.2">
      <c r="A131" s="32">
        <v>242</v>
      </c>
      <c r="B131" s="25" t="s">
        <v>51</v>
      </c>
      <c r="C131" s="25"/>
      <c r="D131" s="25"/>
      <c r="E131" s="25">
        <v>459012</v>
      </c>
      <c r="F131" s="25">
        <v>517418</v>
      </c>
      <c r="G131" s="25">
        <v>680740</v>
      </c>
      <c r="H131" s="25">
        <v>674830</v>
      </c>
      <c r="I131" s="25">
        <v>702730</v>
      </c>
      <c r="J131" s="25">
        <v>545996</v>
      </c>
      <c r="K131" s="25">
        <v>520354</v>
      </c>
      <c r="L131" s="25">
        <v>534407</v>
      </c>
      <c r="M131" s="25">
        <v>644174</v>
      </c>
      <c r="N131" s="25">
        <v>635103</v>
      </c>
      <c r="O131" s="89">
        <v>481573</v>
      </c>
      <c r="P131" s="88">
        <v>523393</v>
      </c>
      <c r="Q131" s="32">
        <v>6919730</v>
      </c>
    </row>
    <row r="132" spans="1:17" x14ac:dyDescent="0.2">
      <c r="B132" s="33" t="s">
        <v>7</v>
      </c>
      <c r="C132" s="31">
        <f>SUM(C130:C131)</f>
        <v>0</v>
      </c>
      <c r="D132" s="31">
        <f t="shared" ref="D132" si="62">SUM(D130:D131)</f>
        <v>0</v>
      </c>
      <c r="E132" s="31">
        <v>21966856</v>
      </c>
      <c r="F132" s="31">
        <v>25530814</v>
      </c>
      <c r="G132" s="31">
        <v>26867287</v>
      </c>
      <c r="H132" s="31">
        <v>25483569</v>
      </c>
      <c r="I132" s="31">
        <v>26517814</v>
      </c>
      <c r="J132" s="31">
        <v>23160819</v>
      </c>
      <c r="K132" s="31">
        <v>25320150</v>
      </c>
      <c r="L132" s="31">
        <v>25656327</v>
      </c>
      <c r="M132" s="31">
        <v>25399401</v>
      </c>
      <c r="N132" s="31">
        <v>22606293</v>
      </c>
      <c r="O132" s="31">
        <v>22270452</v>
      </c>
      <c r="P132" s="31">
        <v>25037464</v>
      </c>
      <c r="Q132" s="31">
        <v>295817246</v>
      </c>
    </row>
    <row r="133" spans="1:17" x14ac:dyDescent="0.2">
      <c r="B133" s="33"/>
    </row>
    <row r="134" spans="1:17" x14ac:dyDescent="0.2">
      <c r="A134" s="32">
        <v>251</v>
      </c>
      <c r="B134" s="33" t="s">
        <v>52</v>
      </c>
      <c r="C134" s="31"/>
      <c r="D134" s="31"/>
      <c r="E134" s="31">
        <v>71009</v>
      </c>
      <c r="F134" s="31">
        <v>144559</v>
      </c>
      <c r="G134" s="31">
        <v>81232</v>
      </c>
      <c r="H134" s="31">
        <v>160733</v>
      </c>
      <c r="I134" s="31">
        <v>150123</v>
      </c>
      <c r="J134" s="31">
        <v>165315</v>
      </c>
      <c r="K134" s="31">
        <v>247664</v>
      </c>
      <c r="L134" s="31">
        <v>262413</v>
      </c>
      <c r="M134" s="31">
        <v>232952</v>
      </c>
      <c r="N134" s="31">
        <v>127880</v>
      </c>
      <c r="O134" s="31">
        <v>24147</v>
      </c>
      <c r="P134" s="31">
        <v>74749</v>
      </c>
      <c r="Q134" s="31">
        <v>1742776</v>
      </c>
    </row>
    <row r="135" spans="1:17" x14ac:dyDescent="0.2">
      <c r="B135" s="33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</row>
    <row r="136" spans="1:17" x14ac:dyDescent="0.2">
      <c r="A136" s="32">
        <v>256</v>
      </c>
      <c r="B136" s="33" t="s">
        <v>93</v>
      </c>
      <c r="C136" s="31">
        <v>0</v>
      </c>
      <c r="D136" s="31">
        <v>0</v>
      </c>
      <c r="E136" s="31">
        <v>227502</v>
      </c>
      <c r="F136" s="31">
        <v>620938</v>
      </c>
      <c r="G136" s="31">
        <v>426787</v>
      </c>
      <c r="H136" s="31">
        <v>380485</v>
      </c>
      <c r="I136" s="31">
        <v>408595</v>
      </c>
      <c r="J136" s="31">
        <v>405328</v>
      </c>
      <c r="K136" s="31">
        <v>445596</v>
      </c>
      <c r="L136" s="31">
        <v>458790</v>
      </c>
      <c r="M136" s="31">
        <v>427901</v>
      </c>
      <c r="N136" s="31">
        <v>376720</v>
      </c>
      <c r="O136" s="31">
        <v>375855</v>
      </c>
      <c r="P136" s="31">
        <v>480134</v>
      </c>
      <c r="Q136" s="31">
        <v>5034631</v>
      </c>
    </row>
    <row r="137" spans="1:17" x14ac:dyDescent="0.2">
      <c r="A137" s="32">
        <v>257</v>
      </c>
      <c r="B137" s="33" t="s">
        <v>232</v>
      </c>
      <c r="E137" s="92">
        <v>267688</v>
      </c>
      <c r="F137" s="92">
        <v>241900</v>
      </c>
      <c r="G137" s="92">
        <v>246659</v>
      </c>
      <c r="H137" s="92">
        <v>196616</v>
      </c>
      <c r="I137" s="92">
        <v>329403</v>
      </c>
      <c r="J137" s="92">
        <v>313588</v>
      </c>
      <c r="K137" s="92">
        <v>326064</v>
      </c>
      <c r="L137" s="92">
        <v>38484</v>
      </c>
      <c r="M137" s="92">
        <v>78264</v>
      </c>
      <c r="N137" s="92">
        <v>71262</v>
      </c>
      <c r="O137" s="92">
        <v>70045</v>
      </c>
      <c r="P137" s="92">
        <v>129283</v>
      </c>
      <c r="Q137" s="31">
        <v>2309256</v>
      </c>
    </row>
    <row r="138" spans="1:17" x14ac:dyDescent="0.2">
      <c r="B138" s="33"/>
    </row>
    <row r="139" spans="1:17" x14ac:dyDescent="0.2">
      <c r="A139" s="32">
        <v>244</v>
      </c>
      <c r="B139" s="33" t="s">
        <v>53</v>
      </c>
      <c r="C139" s="31"/>
      <c r="D139" s="31"/>
      <c r="E139" s="31">
        <v>5906810</v>
      </c>
      <c r="F139" s="31">
        <v>7301775</v>
      </c>
      <c r="G139" s="31">
        <v>6210114</v>
      </c>
      <c r="H139" s="31">
        <v>5992648</v>
      </c>
      <c r="I139" s="31">
        <v>6564576</v>
      </c>
      <c r="J139" s="31">
        <v>6107188</v>
      </c>
      <c r="K139" s="31">
        <v>6886272</v>
      </c>
      <c r="L139" s="31">
        <v>7274244</v>
      </c>
      <c r="M139" s="31">
        <v>7316732</v>
      </c>
      <c r="N139" s="31">
        <v>6615013</v>
      </c>
      <c r="O139" s="31">
        <v>7143653</v>
      </c>
      <c r="P139" s="31">
        <v>7776380</v>
      </c>
      <c r="Q139" s="31">
        <v>81095405</v>
      </c>
    </row>
    <row r="140" spans="1:17" x14ac:dyDescent="0.2">
      <c r="A140" s="32">
        <v>246</v>
      </c>
      <c r="B140" s="25" t="s">
        <v>54</v>
      </c>
      <c r="C140" s="25"/>
      <c r="D140" s="25"/>
      <c r="E140" s="25">
        <v>39681</v>
      </c>
      <c r="F140" s="25">
        <v>57466</v>
      </c>
      <c r="G140" s="25">
        <v>85894</v>
      </c>
      <c r="H140" s="25">
        <v>84713</v>
      </c>
      <c r="I140" s="25">
        <v>81365</v>
      </c>
      <c r="J140" s="25">
        <v>66308</v>
      </c>
      <c r="K140" s="25">
        <v>43408</v>
      </c>
      <c r="L140" s="25">
        <v>41228</v>
      </c>
      <c r="M140" s="25">
        <v>39742</v>
      </c>
      <c r="N140" s="25">
        <v>39202</v>
      </c>
      <c r="O140" s="89">
        <v>33853</v>
      </c>
      <c r="P140" s="88">
        <v>40778</v>
      </c>
      <c r="Q140" s="31">
        <v>653638</v>
      </c>
    </row>
    <row r="141" spans="1:17" x14ac:dyDescent="0.2">
      <c r="B141" s="33" t="s">
        <v>5</v>
      </c>
      <c r="C141" s="31">
        <f>SUM(C139:C140)</f>
        <v>0</v>
      </c>
      <c r="D141" s="31">
        <f t="shared" ref="D141" si="63">SUM(D139:D140)</f>
        <v>0</v>
      </c>
      <c r="E141" s="31">
        <v>5946491</v>
      </c>
      <c r="F141" s="31">
        <v>7359241</v>
      </c>
      <c r="G141" s="31">
        <v>6296008</v>
      </c>
      <c r="H141" s="31">
        <v>6077361</v>
      </c>
      <c r="I141" s="31">
        <v>6645941</v>
      </c>
      <c r="J141" s="31">
        <v>6173496</v>
      </c>
      <c r="K141" s="31">
        <v>6929680</v>
      </c>
      <c r="L141" s="31">
        <v>7315472</v>
      </c>
      <c r="M141" s="31">
        <v>7356474</v>
      </c>
      <c r="N141" s="31">
        <v>6654215</v>
      </c>
      <c r="O141" s="31">
        <v>7177506</v>
      </c>
      <c r="P141" s="31">
        <v>7817158</v>
      </c>
      <c r="Q141" s="31">
        <v>81749043</v>
      </c>
    </row>
    <row r="142" spans="1:17" x14ac:dyDescent="0.2">
      <c r="B142" s="33"/>
    </row>
    <row r="143" spans="1:17" x14ac:dyDescent="0.2">
      <c r="A143" s="32">
        <v>248</v>
      </c>
      <c r="B143" s="34" t="s">
        <v>73</v>
      </c>
      <c r="C143" s="31"/>
      <c r="D143" s="31"/>
      <c r="E143" s="31">
        <v>747052</v>
      </c>
      <c r="F143" s="31">
        <v>1391803</v>
      </c>
      <c r="G143" s="31">
        <v>2877015</v>
      </c>
      <c r="H143" s="31">
        <v>57154</v>
      </c>
      <c r="I143" s="31">
        <v>1173774</v>
      </c>
      <c r="J143" s="31">
        <v>1037930</v>
      </c>
      <c r="K143" s="31">
        <v>929197</v>
      </c>
      <c r="L143" s="31">
        <v>1059915</v>
      </c>
      <c r="M143" s="31">
        <v>876627</v>
      </c>
      <c r="N143" s="31">
        <v>850462</v>
      </c>
      <c r="O143" s="31">
        <v>892981</v>
      </c>
      <c r="P143" s="31">
        <v>1082504</v>
      </c>
      <c r="Q143" s="31">
        <f>SUM(E143:P143)</f>
        <v>12976414</v>
      </c>
    </row>
    <row r="144" spans="1:17" x14ac:dyDescent="0.2">
      <c r="B144" s="34"/>
    </row>
    <row r="145" spans="1:17" x14ac:dyDescent="0.2">
      <c r="A145" s="32">
        <v>250</v>
      </c>
      <c r="B145" s="34" t="s">
        <v>74</v>
      </c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>
        <f>SUM(E145:P145)</f>
        <v>0</v>
      </c>
    </row>
    <row r="146" spans="1:17" x14ac:dyDescent="0.2">
      <c r="B146" s="34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</row>
    <row r="147" spans="1:17" x14ac:dyDescent="0.2">
      <c r="A147" s="32">
        <v>260</v>
      </c>
      <c r="B147" s="34" t="s">
        <v>94</v>
      </c>
      <c r="C147" s="31"/>
      <c r="D147" s="31"/>
      <c r="E147" s="31">
        <v>6319215</v>
      </c>
      <c r="F147" s="31">
        <v>7449968</v>
      </c>
      <c r="G147" s="31">
        <v>7581774</v>
      </c>
      <c r="H147" s="31">
        <v>5847232</v>
      </c>
      <c r="I147" s="31">
        <v>7140117</v>
      </c>
      <c r="J147" s="31">
        <v>7660476</v>
      </c>
      <c r="K147" s="31">
        <v>7499777</v>
      </c>
      <c r="L147" s="31">
        <v>6717796</v>
      </c>
      <c r="M147" s="31">
        <v>7769308</v>
      </c>
      <c r="N147" s="31">
        <v>6890662</v>
      </c>
      <c r="O147" s="31">
        <v>6684726</v>
      </c>
      <c r="P147" s="31">
        <v>7387590</v>
      </c>
      <c r="Q147" s="31">
        <f>SUM(E147:P147)</f>
        <v>84948641</v>
      </c>
    </row>
    <row r="148" spans="1:17" x14ac:dyDescent="0.2">
      <c r="B148" s="34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</row>
    <row r="149" spans="1:17" x14ac:dyDescent="0.2">
      <c r="A149" s="32">
        <v>264</v>
      </c>
      <c r="B149" s="34" t="s">
        <v>95</v>
      </c>
      <c r="C149" s="31"/>
      <c r="D149" s="31"/>
      <c r="E149" s="31">
        <v>107816</v>
      </c>
      <c r="F149" s="31">
        <v>115009</v>
      </c>
      <c r="G149" s="31">
        <v>133540</v>
      </c>
      <c r="H149" s="31">
        <v>108403</v>
      </c>
      <c r="I149" s="31">
        <v>121012</v>
      </c>
      <c r="J149" s="31">
        <v>130180</v>
      </c>
      <c r="K149" s="31">
        <v>134339</v>
      </c>
      <c r="L149" s="31">
        <v>142188</v>
      </c>
      <c r="M149" s="31">
        <v>183476</v>
      </c>
      <c r="N149" s="31">
        <v>195726</v>
      </c>
      <c r="O149" s="31">
        <v>178952</v>
      </c>
      <c r="P149" s="31">
        <v>131424</v>
      </c>
      <c r="Q149" s="31">
        <f>SUM(E149:P149)</f>
        <v>1682065</v>
      </c>
    </row>
    <row r="150" spans="1:17" x14ac:dyDescent="0.2">
      <c r="B150" s="34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</row>
    <row r="151" spans="1:17" x14ac:dyDescent="0.2"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</row>
    <row r="152" spans="1:17" x14ac:dyDescent="0.2">
      <c r="A152" s="32">
        <v>330</v>
      </c>
      <c r="B152" s="32" t="s">
        <v>233</v>
      </c>
      <c r="C152" s="31"/>
      <c r="D152" s="31"/>
      <c r="E152" s="31">
        <v>2162339</v>
      </c>
      <c r="F152" s="31">
        <v>2291041</v>
      </c>
      <c r="G152" s="31">
        <v>2038397</v>
      </c>
      <c r="H152" s="31">
        <v>2245670</v>
      </c>
      <c r="I152" s="31">
        <v>2402878</v>
      </c>
      <c r="J152" s="31">
        <v>2118419</v>
      </c>
      <c r="K152" s="31">
        <v>2341624</v>
      </c>
      <c r="L152" s="31">
        <v>2761043</v>
      </c>
      <c r="M152" s="31">
        <v>2281226</v>
      </c>
      <c r="N152" s="31">
        <v>1838103</v>
      </c>
      <c r="O152" s="31">
        <v>1929598</v>
      </c>
      <c r="P152" s="31">
        <v>1932186</v>
      </c>
    </row>
    <row r="153" spans="1:17" x14ac:dyDescent="0.2">
      <c r="A153" s="32">
        <v>331</v>
      </c>
      <c r="B153" s="32" t="s">
        <v>97</v>
      </c>
      <c r="C153" s="31"/>
      <c r="D153" s="31"/>
      <c r="E153" s="31">
        <v>11976000</v>
      </c>
      <c r="F153" s="31">
        <v>12528000</v>
      </c>
      <c r="G153" s="31">
        <v>10392000</v>
      </c>
      <c r="H153" s="31">
        <v>11856000</v>
      </c>
      <c r="I153" s="31">
        <v>12144000</v>
      </c>
      <c r="J153" s="31">
        <v>10392000</v>
      </c>
      <c r="K153" s="31">
        <v>11616000</v>
      </c>
      <c r="L153" s="31">
        <v>9768000</v>
      </c>
      <c r="M153" s="31">
        <v>11832000</v>
      </c>
      <c r="N153" s="31">
        <v>11880000</v>
      </c>
      <c r="O153" s="31">
        <v>10392000</v>
      </c>
      <c r="P153" s="31">
        <v>10776001</v>
      </c>
    </row>
    <row r="154" spans="1:17" x14ac:dyDescent="0.2">
      <c r="A154" s="32">
        <v>332</v>
      </c>
      <c r="B154" s="34" t="s">
        <v>234</v>
      </c>
      <c r="C154" s="31"/>
      <c r="D154" s="31"/>
      <c r="E154" s="31">
        <v>1423096</v>
      </c>
      <c r="F154" s="31">
        <v>1443388</v>
      </c>
      <c r="G154" s="31">
        <v>1304087</v>
      </c>
      <c r="H154" s="31">
        <v>1372452</v>
      </c>
      <c r="I154" s="31">
        <v>1367677</v>
      </c>
      <c r="J154" s="31">
        <v>1068062</v>
      </c>
      <c r="K154" s="31">
        <v>1513789</v>
      </c>
      <c r="L154" s="31">
        <v>1452798</v>
      </c>
      <c r="M154" s="31">
        <v>1650010</v>
      </c>
      <c r="N154" s="31">
        <v>1521215</v>
      </c>
      <c r="O154" s="31">
        <v>1513420</v>
      </c>
      <c r="P154" s="31">
        <v>1648161</v>
      </c>
      <c r="Q154" s="31">
        <f>SUM(E154:P154)</f>
        <v>17278155</v>
      </c>
    </row>
    <row r="155" spans="1:17" x14ac:dyDescent="0.2">
      <c r="A155" s="32">
        <v>333</v>
      </c>
      <c r="B155" s="32" t="s">
        <v>97</v>
      </c>
      <c r="C155" s="31"/>
      <c r="D155" s="31"/>
      <c r="E155" s="31">
        <v>5451216</v>
      </c>
      <c r="F155" s="31">
        <v>4472815</v>
      </c>
      <c r="G155" s="31">
        <v>3343003</v>
      </c>
      <c r="H155" s="31">
        <v>4326800</v>
      </c>
      <c r="I155" s="31">
        <v>3930924</v>
      </c>
      <c r="J155" s="31">
        <v>3417127</v>
      </c>
      <c r="K155" s="31">
        <v>4424979</v>
      </c>
      <c r="L155" s="31">
        <v>4753437</v>
      </c>
      <c r="M155" s="31">
        <v>4146085</v>
      </c>
      <c r="N155" s="31">
        <v>4084436</v>
      </c>
      <c r="O155" s="31">
        <v>4406736</v>
      </c>
      <c r="P155" s="31">
        <v>4729314</v>
      </c>
    </row>
    <row r="156" spans="1:17" x14ac:dyDescent="0.2">
      <c r="B156" s="34"/>
    </row>
    <row r="157" spans="1:17" x14ac:dyDescent="0.2">
      <c r="A157" s="32">
        <v>356</v>
      </c>
      <c r="B157" s="34" t="s">
        <v>98</v>
      </c>
      <c r="C157" s="31"/>
      <c r="D157" s="31"/>
      <c r="E157" s="31">
        <v>1238619</v>
      </c>
      <c r="F157" s="31">
        <v>1257505</v>
      </c>
      <c r="G157" s="31">
        <v>1275535</v>
      </c>
      <c r="H157" s="31">
        <v>1195234</v>
      </c>
      <c r="I157" s="31">
        <v>1253956</v>
      </c>
      <c r="J157" s="31">
        <v>1189806</v>
      </c>
      <c r="K157" s="31">
        <v>1384022</v>
      </c>
      <c r="L157" s="31">
        <v>1422034</v>
      </c>
      <c r="M157" s="31">
        <v>1468073</v>
      </c>
      <c r="N157" s="31">
        <v>1349315</v>
      </c>
      <c r="O157" s="31">
        <v>1265733</v>
      </c>
      <c r="P157" s="31">
        <v>1377937</v>
      </c>
      <c r="Q157" s="31">
        <f>SUM(E157:P157)</f>
        <v>15677769</v>
      </c>
    </row>
    <row r="158" spans="1:17" x14ac:dyDescent="0.2">
      <c r="B158" s="33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</row>
    <row r="159" spans="1:17" x14ac:dyDescent="0.2">
      <c r="A159" s="32">
        <v>358</v>
      </c>
      <c r="B159" s="35" t="s">
        <v>99</v>
      </c>
      <c r="C159" s="35"/>
      <c r="D159" s="35"/>
      <c r="E159" s="35">
        <v>21670598</v>
      </c>
      <c r="F159" s="35">
        <v>23530724</v>
      </c>
      <c r="G159" s="35">
        <v>24186114</v>
      </c>
      <c r="H159" s="35">
        <v>21892040</v>
      </c>
      <c r="I159" s="35">
        <v>22748900</v>
      </c>
      <c r="J159" s="35">
        <v>20753807</v>
      </c>
      <c r="K159" s="35">
        <v>24169837</v>
      </c>
      <c r="L159" s="35">
        <v>22623591</v>
      </c>
      <c r="M159" s="35">
        <v>20795813</v>
      </c>
      <c r="N159" s="35">
        <v>18577530</v>
      </c>
      <c r="O159" s="35">
        <v>19764789</v>
      </c>
      <c r="P159" s="35">
        <v>23812883</v>
      </c>
      <c r="Q159" s="31">
        <f>SUM(E159:P159)</f>
        <v>264526626</v>
      </c>
    </row>
    <row r="160" spans="1:17" x14ac:dyDescent="0.2">
      <c r="A160" s="93">
        <v>370</v>
      </c>
      <c r="B160" s="93" t="s">
        <v>235</v>
      </c>
      <c r="C160" s="35"/>
      <c r="D160" s="35"/>
      <c r="E160" s="35">
        <v>769762</v>
      </c>
      <c r="F160" s="35">
        <v>1807838</v>
      </c>
      <c r="G160" s="35">
        <v>1245600</v>
      </c>
      <c r="H160" s="35">
        <v>1310400</v>
      </c>
      <c r="I160" s="35">
        <v>1260000</v>
      </c>
      <c r="J160" s="35">
        <v>1238400</v>
      </c>
      <c r="K160" s="35">
        <v>1252800</v>
      </c>
      <c r="L160" s="35">
        <v>1202400</v>
      </c>
      <c r="M160" s="35">
        <v>1015200</v>
      </c>
      <c r="N160" s="35">
        <v>1000800</v>
      </c>
      <c r="O160" s="35">
        <v>1065600</v>
      </c>
      <c r="P160" s="35">
        <v>964800</v>
      </c>
      <c r="Q160" s="31">
        <f>SUM(E160:P160)</f>
        <v>14133600</v>
      </c>
    </row>
    <row r="161" spans="1:17" x14ac:dyDescent="0.2">
      <c r="A161" s="38"/>
      <c r="B161" s="39" t="s">
        <v>306</v>
      </c>
      <c r="C161" s="85"/>
      <c r="D161" s="85"/>
      <c r="E161" s="85">
        <v>22440360</v>
      </c>
      <c r="F161" s="85">
        <v>25338562</v>
      </c>
      <c r="G161" s="85">
        <v>25431714</v>
      </c>
      <c r="H161" s="85">
        <v>23202440</v>
      </c>
      <c r="I161" s="85">
        <v>24008900</v>
      </c>
      <c r="J161" s="85">
        <v>21992207</v>
      </c>
      <c r="K161" s="85">
        <v>25422637</v>
      </c>
      <c r="L161" s="85">
        <v>23825991</v>
      </c>
      <c r="M161" s="85">
        <v>21811013</v>
      </c>
      <c r="N161" s="85">
        <v>19578330</v>
      </c>
      <c r="O161" s="85">
        <v>20830389</v>
      </c>
      <c r="P161" s="85">
        <v>24777683</v>
      </c>
      <c r="Q161" s="85">
        <f>SUM(E161:P161)</f>
        <v>278660226</v>
      </c>
    </row>
    <row r="162" spans="1:17" x14ac:dyDescent="0.2">
      <c r="A162" s="40"/>
      <c r="B162" s="41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</row>
    <row r="163" spans="1:17" x14ac:dyDescent="0.2">
      <c r="A163" s="40">
        <v>359</v>
      </c>
      <c r="B163" s="41" t="s">
        <v>236</v>
      </c>
      <c r="E163" s="35">
        <v>10801598</v>
      </c>
      <c r="F163" s="35">
        <v>16671180</v>
      </c>
      <c r="G163" s="35">
        <v>30934954</v>
      </c>
      <c r="H163" s="35">
        <v>34476598</v>
      </c>
      <c r="I163" s="35">
        <v>36810072</v>
      </c>
      <c r="J163" s="35">
        <v>26388195</v>
      </c>
      <c r="K163" s="35">
        <v>33119274</v>
      </c>
      <c r="L163" s="35">
        <v>33825748</v>
      </c>
      <c r="M163" s="35">
        <v>26120831</v>
      </c>
      <c r="N163" s="35">
        <v>27597585</v>
      </c>
      <c r="O163" s="35">
        <v>15473014</v>
      </c>
      <c r="P163" s="35">
        <v>27826547</v>
      </c>
      <c r="Q163" s="35">
        <f>SUM(E163:P163)</f>
        <v>320045596</v>
      </c>
    </row>
    <row r="164" spans="1:17" x14ac:dyDescent="0.2">
      <c r="A164" s="40">
        <v>371</v>
      </c>
      <c r="B164" s="41" t="s">
        <v>236</v>
      </c>
      <c r="E164" s="35">
        <v>98470359</v>
      </c>
      <c r="F164" s="35">
        <v>154156471</v>
      </c>
      <c r="G164" s="35">
        <v>55344550</v>
      </c>
      <c r="H164" s="35">
        <v>108604894</v>
      </c>
      <c r="I164" s="35">
        <v>107455409</v>
      </c>
      <c r="J164" s="35">
        <v>101884877</v>
      </c>
      <c r="K164" s="35">
        <v>106602278</v>
      </c>
      <c r="L164" s="35">
        <v>98757475</v>
      </c>
      <c r="M164" s="35">
        <v>103224754</v>
      </c>
      <c r="N164" s="35">
        <v>104542222</v>
      </c>
      <c r="O164" s="35">
        <v>93651223</v>
      </c>
      <c r="P164" s="35">
        <v>104342721</v>
      </c>
      <c r="Q164" s="35">
        <f>SUM(E164:P164)</f>
        <v>1237037233</v>
      </c>
    </row>
    <row r="165" spans="1:17" x14ac:dyDescent="0.2">
      <c r="A165" s="38" t="s">
        <v>237</v>
      </c>
      <c r="B165" s="39"/>
      <c r="C165" s="85"/>
      <c r="D165" s="85"/>
      <c r="E165" s="85">
        <v>109271957</v>
      </c>
      <c r="F165" s="85">
        <v>170827651</v>
      </c>
      <c r="G165" s="85">
        <v>86279504</v>
      </c>
      <c r="H165" s="85">
        <v>143081492</v>
      </c>
      <c r="I165" s="85">
        <v>144265481</v>
      </c>
      <c r="J165" s="85">
        <v>128273072</v>
      </c>
      <c r="K165" s="85">
        <v>139721552</v>
      </c>
      <c r="L165" s="85">
        <v>132583223</v>
      </c>
      <c r="M165" s="85">
        <v>129345585</v>
      </c>
      <c r="N165" s="85">
        <v>132139807</v>
      </c>
      <c r="O165" s="85">
        <v>109124237</v>
      </c>
      <c r="P165" s="85">
        <v>132169268</v>
      </c>
      <c r="Q165" s="35"/>
    </row>
    <row r="166" spans="1:17" x14ac:dyDescent="0.2">
      <c r="A166" s="40"/>
      <c r="B166" s="41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</row>
    <row r="167" spans="1:17" x14ac:dyDescent="0.2">
      <c r="A167" s="32">
        <v>360</v>
      </c>
      <c r="B167" s="33" t="s">
        <v>103</v>
      </c>
      <c r="C167" s="31"/>
      <c r="D167" s="31"/>
      <c r="E167" s="31">
        <v>953083</v>
      </c>
      <c r="F167" s="31">
        <v>818000</v>
      </c>
      <c r="G167" s="31">
        <v>717000</v>
      </c>
      <c r="H167" s="31">
        <v>696000</v>
      </c>
      <c r="I167" s="31">
        <v>714000</v>
      </c>
      <c r="J167" s="31">
        <v>732000</v>
      </c>
      <c r="K167" s="31">
        <v>848000</v>
      </c>
      <c r="L167" s="31">
        <v>807000</v>
      </c>
      <c r="M167" s="31">
        <v>772000</v>
      </c>
      <c r="N167" s="31">
        <v>929000</v>
      </c>
      <c r="O167" s="31">
        <v>777000</v>
      </c>
      <c r="P167" s="31">
        <v>829000</v>
      </c>
    </row>
    <row r="168" spans="1:17" x14ac:dyDescent="0.2">
      <c r="A168" s="32">
        <v>372</v>
      </c>
      <c r="B168" s="58" t="s">
        <v>104</v>
      </c>
      <c r="C168" s="88"/>
      <c r="D168" s="88"/>
      <c r="E168" s="88">
        <v>18001862</v>
      </c>
      <c r="F168" s="88">
        <v>18079132</v>
      </c>
      <c r="G168" s="88">
        <v>24251091</v>
      </c>
      <c r="H168" s="88">
        <v>18524568</v>
      </c>
      <c r="I168" s="88">
        <v>16245379</v>
      </c>
      <c r="J168" s="88">
        <v>16458615</v>
      </c>
      <c r="K168" s="88">
        <v>20871546</v>
      </c>
      <c r="L168" s="88">
        <v>13046989</v>
      </c>
      <c r="M168" s="88">
        <v>21793641</v>
      </c>
      <c r="N168" s="88">
        <v>13932673</v>
      </c>
      <c r="O168" s="88">
        <v>16516937</v>
      </c>
      <c r="P168" s="88">
        <v>24938838</v>
      </c>
    </row>
    <row r="169" spans="1:17" x14ac:dyDescent="0.2">
      <c r="B169" s="33" t="s">
        <v>105</v>
      </c>
      <c r="C169" s="31">
        <f>SUM(C167:C168)</f>
        <v>0</v>
      </c>
      <c r="D169" s="31">
        <f t="shared" ref="D169" si="64">SUM(D167:D168)</f>
        <v>0</v>
      </c>
      <c r="E169" s="31">
        <v>18954945</v>
      </c>
      <c r="F169" s="31">
        <v>18897132</v>
      </c>
      <c r="G169" s="31">
        <v>24968091</v>
      </c>
      <c r="H169" s="31">
        <v>19220568</v>
      </c>
      <c r="I169" s="31">
        <v>16959379</v>
      </c>
      <c r="J169" s="31">
        <v>17190615</v>
      </c>
      <c r="K169" s="31">
        <v>21719546</v>
      </c>
      <c r="L169" s="31">
        <v>13853989</v>
      </c>
      <c r="M169" s="31">
        <v>22565641</v>
      </c>
      <c r="N169" s="31">
        <v>14861673</v>
      </c>
      <c r="O169" s="31">
        <v>17293937</v>
      </c>
      <c r="P169" s="31">
        <v>25767838</v>
      </c>
      <c r="Q169" s="31">
        <f>SUM(E169:P169)</f>
        <v>232253354</v>
      </c>
    </row>
    <row r="170" spans="1:17" x14ac:dyDescent="0.2">
      <c r="B170" s="33"/>
    </row>
    <row r="171" spans="1:17" x14ac:dyDescent="0.2">
      <c r="A171" s="32">
        <v>540</v>
      </c>
      <c r="B171" s="33" t="s">
        <v>76</v>
      </c>
      <c r="C171" s="31"/>
      <c r="D171" s="31"/>
      <c r="E171" s="31">
        <v>132718</v>
      </c>
      <c r="F171" s="31">
        <v>155276</v>
      </c>
      <c r="G171" s="31">
        <v>172448</v>
      </c>
      <c r="H171" s="31">
        <v>145396</v>
      </c>
      <c r="I171" s="31">
        <v>150588</v>
      </c>
      <c r="J171" s="31">
        <v>133505</v>
      </c>
      <c r="K171" s="31">
        <v>168681</v>
      </c>
      <c r="L171" s="31">
        <v>139568</v>
      </c>
      <c r="M171" s="31">
        <v>150853</v>
      </c>
      <c r="N171" s="31">
        <v>124487</v>
      </c>
      <c r="O171" s="31">
        <v>136026</v>
      </c>
      <c r="P171" s="31">
        <v>154411</v>
      </c>
      <c r="Q171" s="31">
        <f>SUM(E171:P171)</f>
        <v>1763957</v>
      </c>
    </row>
    <row r="172" spans="1:17" x14ac:dyDescent="0.2">
      <c r="B172" s="33"/>
    </row>
    <row r="173" spans="1:17" x14ac:dyDescent="0.2">
      <c r="B173" s="33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</row>
    <row r="174" spans="1:17" x14ac:dyDescent="0.2">
      <c r="B174" s="33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</row>
    <row r="175" spans="1:17" x14ac:dyDescent="0.2">
      <c r="A175" s="32">
        <v>93</v>
      </c>
      <c r="B175" s="33" t="s">
        <v>207</v>
      </c>
      <c r="C175" s="31"/>
      <c r="D175" s="31"/>
      <c r="E175" s="31">
        <v>31846</v>
      </c>
      <c r="F175" s="31">
        <v>33700</v>
      </c>
      <c r="G175" s="31">
        <v>27608</v>
      </c>
      <c r="H175" s="31">
        <v>28546</v>
      </c>
      <c r="I175" s="31">
        <v>29562</v>
      </c>
      <c r="J175" s="31">
        <v>34624</v>
      </c>
      <c r="K175" s="31">
        <v>51390</v>
      </c>
      <c r="L175" s="31">
        <v>54656</v>
      </c>
      <c r="M175" s="31">
        <v>42871</v>
      </c>
      <c r="N175" s="31">
        <v>35308</v>
      </c>
      <c r="O175" s="31">
        <v>32229</v>
      </c>
      <c r="P175" s="31">
        <v>41723</v>
      </c>
      <c r="Q175" s="31">
        <v>444063</v>
      </c>
    </row>
    <row r="176" spans="1:17" x14ac:dyDescent="0.2">
      <c r="A176" s="32">
        <v>94</v>
      </c>
      <c r="B176" s="33" t="s">
        <v>208</v>
      </c>
      <c r="C176" s="31"/>
      <c r="D176" s="31"/>
      <c r="E176" s="31">
        <v>608638</v>
      </c>
      <c r="F176" s="31">
        <v>619250</v>
      </c>
      <c r="G176" s="31">
        <v>511707</v>
      </c>
      <c r="H176" s="31">
        <v>542298</v>
      </c>
      <c r="I176" s="31">
        <v>667291</v>
      </c>
      <c r="J176" s="31">
        <v>648639</v>
      </c>
      <c r="K176" s="31">
        <v>931982</v>
      </c>
      <c r="L176" s="31">
        <v>1007060</v>
      </c>
      <c r="M176" s="31">
        <v>823109</v>
      </c>
      <c r="N176" s="31">
        <v>628086</v>
      </c>
      <c r="O176" s="31">
        <v>612317</v>
      </c>
      <c r="P176" s="31">
        <v>780512</v>
      </c>
      <c r="Q176" s="31">
        <v>8380889</v>
      </c>
    </row>
    <row r="177" spans="1:17" x14ac:dyDescent="0.2">
      <c r="A177" s="32">
        <v>95</v>
      </c>
      <c r="B177" s="33" t="s">
        <v>209</v>
      </c>
      <c r="C177" s="31"/>
      <c r="D177" s="31"/>
      <c r="E177" s="31">
        <v>9524</v>
      </c>
      <c r="F177" s="31">
        <v>9706</v>
      </c>
      <c r="G177" s="31">
        <v>8131</v>
      </c>
      <c r="H177" s="31">
        <v>8358</v>
      </c>
      <c r="I177" s="31">
        <v>10929</v>
      </c>
      <c r="J177" s="31">
        <v>10536</v>
      </c>
      <c r="K177" s="31">
        <v>15753</v>
      </c>
      <c r="L177" s="31">
        <v>16124</v>
      </c>
      <c r="M177" s="31">
        <v>13868</v>
      </c>
      <c r="N177" s="31">
        <v>10687</v>
      </c>
      <c r="O177" s="31">
        <v>10743</v>
      </c>
      <c r="P177" s="31">
        <v>13231</v>
      </c>
      <c r="Q177" s="31">
        <v>137590</v>
      </c>
    </row>
    <row r="178" spans="1:17" x14ac:dyDescent="0.2">
      <c r="A178" s="32">
        <v>97</v>
      </c>
      <c r="B178" s="33" t="s">
        <v>210</v>
      </c>
      <c r="C178" s="31"/>
      <c r="D178" s="31"/>
      <c r="E178" s="31">
        <v>112832</v>
      </c>
      <c r="F178" s="31">
        <v>114202</v>
      </c>
      <c r="G178" s="31">
        <v>93826</v>
      </c>
      <c r="H178" s="31">
        <v>100191</v>
      </c>
      <c r="I178" s="31">
        <v>123698</v>
      </c>
      <c r="J178" s="31">
        <v>119599</v>
      </c>
      <c r="K178" s="31">
        <v>177493</v>
      </c>
      <c r="L178" s="31">
        <v>189275</v>
      </c>
      <c r="M178" s="31">
        <v>158641</v>
      </c>
      <c r="N178" s="31">
        <v>121588</v>
      </c>
      <c r="O178" s="31">
        <v>113610</v>
      </c>
      <c r="P178" s="31">
        <v>151817</v>
      </c>
      <c r="Q178" s="31">
        <v>1576772</v>
      </c>
    </row>
    <row r="179" spans="1:17" x14ac:dyDescent="0.2">
      <c r="A179" s="32">
        <v>98</v>
      </c>
      <c r="B179" s="33" t="s">
        <v>211</v>
      </c>
      <c r="C179" s="31"/>
      <c r="D179" s="31"/>
      <c r="E179" s="31">
        <v>35651</v>
      </c>
      <c r="F179" s="31">
        <v>35841</v>
      </c>
      <c r="G179" s="31">
        <v>28136</v>
      </c>
      <c r="H179" s="31">
        <v>32146</v>
      </c>
      <c r="I179" s="31">
        <v>40458</v>
      </c>
      <c r="J179" s="31">
        <v>37297</v>
      </c>
      <c r="K179" s="31">
        <v>56966</v>
      </c>
      <c r="L179" s="31">
        <v>64661</v>
      </c>
      <c r="M179" s="31">
        <v>46277</v>
      </c>
      <c r="N179" s="31">
        <v>39041</v>
      </c>
      <c r="O179" s="31">
        <v>37008</v>
      </c>
      <c r="P179" s="31">
        <v>50263</v>
      </c>
      <c r="Q179" s="31">
        <v>503745</v>
      </c>
    </row>
    <row r="180" spans="1:17" x14ac:dyDescent="0.2">
      <c r="A180" s="32">
        <v>99</v>
      </c>
      <c r="B180" s="33" t="s">
        <v>212</v>
      </c>
      <c r="C180" s="31"/>
      <c r="D180" s="31"/>
      <c r="E180" s="31">
        <v>290</v>
      </c>
      <c r="F180" s="31">
        <v>299</v>
      </c>
      <c r="G180" s="31">
        <v>263</v>
      </c>
      <c r="H180" s="31">
        <v>259</v>
      </c>
      <c r="I180" s="31">
        <v>332</v>
      </c>
      <c r="J180" s="31">
        <v>340</v>
      </c>
      <c r="K180" s="31">
        <v>488</v>
      </c>
      <c r="L180" s="31">
        <v>552</v>
      </c>
      <c r="M180" s="31">
        <v>459</v>
      </c>
      <c r="N180" s="31">
        <v>298</v>
      </c>
      <c r="O180" s="31">
        <v>328</v>
      </c>
      <c r="P180" s="31">
        <v>434</v>
      </c>
      <c r="Q180" s="31">
        <v>4342</v>
      </c>
    </row>
    <row r="181" spans="1:17" x14ac:dyDescent="0.2">
      <c r="A181" s="32">
        <v>103</v>
      </c>
      <c r="B181" s="33" t="s">
        <v>213</v>
      </c>
      <c r="C181" s="31"/>
      <c r="D181" s="31"/>
      <c r="E181" s="31">
        <v>255</v>
      </c>
      <c r="F181" s="31">
        <v>238</v>
      </c>
      <c r="G181" s="31">
        <v>234</v>
      </c>
      <c r="H181" s="31">
        <v>216</v>
      </c>
      <c r="I181" s="31">
        <v>289</v>
      </c>
      <c r="J181" s="31">
        <v>291</v>
      </c>
      <c r="K181" s="31">
        <v>443</v>
      </c>
      <c r="L181" s="31">
        <v>447</v>
      </c>
      <c r="M181" s="31">
        <v>394</v>
      </c>
      <c r="N181" s="31">
        <v>253</v>
      </c>
      <c r="O181" s="31">
        <v>293</v>
      </c>
      <c r="P181" s="31">
        <v>384</v>
      </c>
      <c r="Q181" s="31">
        <v>3737</v>
      </c>
    </row>
    <row r="182" spans="1:17" x14ac:dyDescent="0.2">
      <c r="A182" s="32">
        <v>107</v>
      </c>
      <c r="B182" s="33" t="s">
        <v>214</v>
      </c>
      <c r="C182" s="31"/>
      <c r="D182" s="31"/>
      <c r="E182" s="31">
        <v>117437</v>
      </c>
      <c r="F182" s="31">
        <v>119614</v>
      </c>
      <c r="G182" s="31">
        <v>98815</v>
      </c>
      <c r="H182" s="31">
        <v>105364</v>
      </c>
      <c r="I182" s="31">
        <v>131673</v>
      </c>
      <c r="J182" s="31">
        <v>125990</v>
      </c>
      <c r="K182" s="31">
        <v>196534</v>
      </c>
      <c r="L182" s="31">
        <v>192902</v>
      </c>
      <c r="M182" s="31">
        <v>164690</v>
      </c>
      <c r="N182" s="31">
        <v>127603</v>
      </c>
      <c r="O182" s="31">
        <v>121973</v>
      </c>
      <c r="P182" s="31">
        <v>162913</v>
      </c>
      <c r="Q182" s="31">
        <v>1665508</v>
      </c>
    </row>
    <row r="183" spans="1:17" x14ac:dyDescent="0.2">
      <c r="A183" s="32">
        <v>109</v>
      </c>
      <c r="B183" s="33" t="s">
        <v>215</v>
      </c>
      <c r="C183" s="31"/>
      <c r="D183" s="31"/>
      <c r="E183" s="31">
        <v>552421</v>
      </c>
      <c r="F183" s="31">
        <v>558597</v>
      </c>
      <c r="G183" s="31">
        <v>450213</v>
      </c>
      <c r="H183" s="31">
        <v>491141</v>
      </c>
      <c r="I183" s="31">
        <v>627268</v>
      </c>
      <c r="J183" s="31">
        <v>595655</v>
      </c>
      <c r="K183" s="31">
        <v>862118</v>
      </c>
      <c r="L183" s="31">
        <v>944348</v>
      </c>
      <c r="M183" s="31">
        <v>770963</v>
      </c>
      <c r="N183" s="31">
        <v>599297</v>
      </c>
      <c r="O183" s="31">
        <v>557058</v>
      </c>
      <c r="P183" s="31">
        <v>729762</v>
      </c>
      <c r="Q183" s="31">
        <v>7738841</v>
      </c>
    </row>
    <row r="184" spans="1:17" x14ac:dyDescent="0.2">
      <c r="A184" s="32">
        <v>110</v>
      </c>
      <c r="B184" s="33" t="s">
        <v>216</v>
      </c>
      <c r="C184" s="31"/>
      <c r="D184" s="31"/>
      <c r="E184" s="31">
        <v>14016</v>
      </c>
      <c r="F184" s="31">
        <v>15280</v>
      </c>
      <c r="G184" s="31">
        <v>12099</v>
      </c>
      <c r="H184" s="31">
        <v>13428</v>
      </c>
      <c r="I184" s="31">
        <v>16954</v>
      </c>
      <c r="J184" s="31">
        <v>15719</v>
      </c>
      <c r="K184" s="31">
        <v>24914</v>
      </c>
      <c r="L184" s="31">
        <v>24815</v>
      </c>
      <c r="M184" s="31">
        <v>20116</v>
      </c>
      <c r="N184" s="31">
        <v>16531</v>
      </c>
      <c r="O184" s="31">
        <v>17777</v>
      </c>
      <c r="P184" s="31">
        <v>17971</v>
      </c>
      <c r="Q184" s="31">
        <v>209620</v>
      </c>
    </row>
    <row r="185" spans="1:17" x14ac:dyDescent="0.2">
      <c r="A185" s="32">
        <v>111</v>
      </c>
      <c r="B185" s="33" t="s">
        <v>217</v>
      </c>
      <c r="C185" s="31"/>
      <c r="D185" s="31"/>
      <c r="E185" s="31">
        <v>27422</v>
      </c>
      <c r="F185" s="31">
        <v>22293</v>
      </c>
      <c r="G185" s="31">
        <v>20117</v>
      </c>
      <c r="H185" s="31">
        <v>21289</v>
      </c>
      <c r="I185" s="31">
        <v>26241</v>
      </c>
      <c r="J185" s="31">
        <v>26822</v>
      </c>
      <c r="K185" s="31">
        <v>38305</v>
      </c>
      <c r="L185" s="31">
        <v>42589</v>
      </c>
      <c r="M185" s="31">
        <v>33963</v>
      </c>
      <c r="N185" s="31">
        <v>28237</v>
      </c>
      <c r="O185" s="31">
        <v>27145</v>
      </c>
      <c r="P185" s="31">
        <v>32970</v>
      </c>
      <c r="Q185" s="31">
        <v>347393</v>
      </c>
    </row>
    <row r="186" spans="1:17" x14ac:dyDescent="0.2">
      <c r="A186" s="32">
        <v>113</v>
      </c>
      <c r="B186" s="33" t="s">
        <v>218</v>
      </c>
      <c r="C186" s="31"/>
      <c r="D186" s="31"/>
      <c r="E186" s="31">
        <v>919080</v>
      </c>
      <c r="F186" s="31">
        <v>915676</v>
      </c>
      <c r="G186" s="31">
        <v>749341</v>
      </c>
      <c r="H186" s="31">
        <v>783958</v>
      </c>
      <c r="I186" s="31">
        <v>956012</v>
      </c>
      <c r="J186" s="31">
        <v>929967</v>
      </c>
      <c r="K186" s="31">
        <v>1334893</v>
      </c>
      <c r="L186" s="31">
        <v>1398766</v>
      </c>
      <c r="M186" s="31">
        <v>1127242</v>
      </c>
      <c r="N186" s="31">
        <v>862266</v>
      </c>
      <c r="O186" s="31">
        <v>847241</v>
      </c>
      <c r="P186" s="31">
        <v>1060916</v>
      </c>
      <c r="Q186" s="31">
        <v>11885358</v>
      </c>
    </row>
    <row r="187" spans="1:17" x14ac:dyDescent="0.2">
      <c r="A187" s="32">
        <v>116</v>
      </c>
      <c r="B187" s="33" t="s">
        <v>219</v>
      </c>
      <c r="C187" s="31"/>
      <c r="D187" s="31"/>
      <c r="E187" s="31">
        <v>119830</v>
      </c>
      <c r="F187" s="31">
        <v>124265</v>
      </c>
      <c r="G187" s="31">
        <v>103464</v>
      </c>
      <c r="H187" s="31">
        <v>108745</v>
      </c>
      <c r="I187" s="31">
        <v>139192</v>
      </c>
      <c r="J187" s="31">
        <v>132171</v>
      </c>
      <c r="K187" s="31">
        <v>166301</v>
      </c>
      <c r="L187" s="31">
        <v>215590</v>
      </c>
      <c r="M187" s="31">
        <v>183844</v>
      </c>
      <c r="N187" s="31">
        <v>138455</v>
      </c>
      <c r="O187" s="31">
        <v>94843</v>
      </c>
      <c r="P187" s="31">
        <v>161106</v>
      </c>
      <c r="Q187" s="31">
        <v>1687806</v>
      </c>
    </row>
    <row r="188" spans="1:17" x14ac:dyDescent="0.2">
      <c r="A188" s="32">
        <v>120</v>
      </c>
      <c r="B188" s="33" t="s">
        <v>220</v>
      </c>
      <c r="C188" s="31"/>
      <c r="D188" s="31"/>
      <c r="E188" s="31">
        <v>157</v>
      </c>
      <c r="F188" s="31">
        <v>182</v>
      </c>
      <c r="G188" s="31">
        <v>208</v>
      </c>
      <c r="H188" s="31">
        <v>86</v>
      </c>
      <c r="I188" s="31">
        <v>195</v>
      </c>
      <c r="J188" s="31">
        <v>186</v>
      </c>
      <c r="K188" s="31">
        <v>288</v>
      </c>
      <c r="L188" s="31">
        <v>339</v>
      </c>
      <c r="M188" s="31">
        <v>248</v>
      </c>
      <c r="N188" s="31">
        <v>175</v>
      </c>
      <c r="O188" s="31">
        <v>167</v>
      </c>
      <c r="P188" s="31">
        <v>255</v>
      </c>
      <c r="Q188" s="31">
        <v>2486</v>
      </c>
    </row>
    <row r="189" spans="1:17" x14ac:dyDescent="0.2">
      <c r="A189" s="32">
        <v>122</v>
      </c>
      <c r="B189" s="33" t="s">
        <v>221</v>
      </c>
      <c r="C189" s="31"/>
      <c r="D189" s="31"/>
      <c r="E189" s="31">
        <v>3397</v>
      </c>
      <c r="F189" s="31">
        <v>3384</v>
      </c>
      <c r="G189" s="31">
        <v>2627</v>
      </c>
      <c r="H189" s="31">
        <v>3011</v>
      </c>
      <c r="I189" s="31">
        <v>3827</v>
      </c>
      <c r="J189" s="31">
        <v>3588</v>
      </c>
      <c r="K189" s="31">
        <v>5398</v>
      </c>
      <c r="L189" s="31">
        <v>6032</v>
      </c>
      <c r="M189" s="31">
        <v>4601</v>
      </c>
      <c r="N189" s="31">
        <v>3873</v>
      </c>
      <c r="O189" s="31">
        <v>3607</v>
      </c>
      <c r="P189" s="31">
        <v>4896</v>
      </c>
      <c r="Q189" s="31">
        <v>48241</v>
      </c>
    </row>
    <row r="190" spans="1:17" x14ac:dyDescent="0.2">
      <c r="A190" s="32">
        <v>126</v>
      </c>
      <c r="B190" s="33" t="s">
        <v>222</v>
      </c>
      <c r="C190" s="31"/>
      <c r="D190" s="31"/>
      <c r="E190" s="31">
        <v>425</v>
      </c>
      <c r="F190" s="31">
        <v>387</v>
      </c>
      <c r="G190" s="31">
        <v>374</v>
      </c>
      <c r="H190" s="31">
        <v>375</v>
      </c>
      <c r="I190" s="31">
        <v>443</v>
      </c>
      <c r="J190" s="31">
        <v>471</v>
      </c>
      <c r="K190" s="31">
        <v>699</v>
      </c>
      <c r="L190" s="31">
        <v>735</v>
      </c>
      <c r="M190" s="31">
        <v>573</v>
      </c>
      <c r="N190" s="31">
        <v>541</v>
      </c>
      <c r="O190" s="31">
        <v>648</v>
      </c>
      <c r="P190" s="31">
        <v>793</v>
      </c>
      <c r="Q190" s="31">
        <v>6464</v>
      </c>
    </row>
    <row r="191" spans="1:17" x14ac:dyDescent="0.2">
      <c r="A191" s="32">
        <v>130</v>
      </c>
      <c r="B191" s="33" t="s">
        <v>223</v>
      </c>
      <c r="C191" s="31"/>
      <c r="D191" s="31"/>
      <c r="E191" s="31">
        <v>208</v>
      </c>
      <c r="F191" s="31">
        <v>247</v>
      </c>
      <c r="G191" s="31">
        <v>212</v>
      </c>
      <c r="H191" s="31">
        <v>229</v>
      </c>
      <c r="I191" s="31">
        <v>698</v>
      </c>
      <c r="J191" s="31">
        <v>907</v>
      </c>
      <c r="K191" s="31">
        <v>1340</v>
      </c>
      <c r="L191" s="31">
        <v>1465</v>
      </c>
      <c r="M191" s="31">
        <v>1236</v>
      </c>
      <c r="N191" s="31">
        <v>940</v>
      </c>
      <c r="O191" s="31">
        <v>957</v>
      </c>
      <c r="P191" s="31">
        <v>1159</v>
      </c>
      <c r="Q191" s="31">
        <v>9598</v>
      </c>
    </row>
    <row r="192" spans="1:17" x14ac:dyDescent="0.2">
      <c r="A192" s="32">
        <v>131</v>
      </c>
      <c r="B192" s="33" t="s">
        <v>224</v>
      </c>
      <c r="C192" s="31"/>
      <c r="D192" s="31"/>
      <c r="E192" s="31">
        <v>34666</v>
      </c>
      <c r="F192" s="31">
        <v>35387</v>
      </c>
      <c r="G192" s="31">
        <v>27965</v>
      </c>
      <c r="H192" s="31">
        <v>32222</v>
      </c>
      <c r="I192" s="31">
        <v>39423</v>
      </c>
      <c r="J192" s="31">
        <v>36533</v>
      </c>
      <c r="K192" s="31">
        <v>53953</v>
      </c>
      <c r="L192" s="31">
        <v>59777</v>
      </c>
      <c r="M192" s="31">
        <v>38600</v>
      </c>
      <c r="N192" s="31">
        <v>35862</v>
      </c>
      <c r="O192" s="31">
        <v>31060</v>
      </c>
      <c r="P192" s="31">
        <v>35998</v>
      </c>
      <c r="Q192" s="31">
        <v>461446</v>
      </c>
    </row>
    <row r="193" spans="1:17" x14ac:dyDescent="0.2">
      <c r="A193" s="32">
        <v>136</v>
      </c>
      <c r="B193" s="33" t="s">
        <v>225</v>
      </c>
      <c r="C193" s="31"/>
      <c r="D193" s="31"/>
      <c r="E193" s="31">
        <v>1473</v>
      </c>
      <c r="F193" s="31">
        <v>1370</v>
      </c>
      <c r="G193" s="31">
        <v>1276</v>
      </c>
      <c r="H193" s="31">
        <v>1262</v>
      </c>
      <c r="I193" s="31">
        <v>1618</v>
      </c>
      <c r="J193" s="31">
        <v>1600</v>
      </c>
      <c r="K193" s="31">
        <v>2521</v>
      </c>
      <c r="L193" s="31">
        <v>2531</v>
      </c>
      <c r="M193" s="31">
        <v>2333</v>
      </c>
      <c r="N193" s="31">
        <v>1830</v>
      </c>
      <c r="O193" s="31">
        <v>1795</v>
      </c>
      <c r="P193" s="31">
        <v>2273</v>
      </c>
      <c r="Q193" s="31">
        <v>21882</v>
      </c>
    </row>
    <row r="194" spans="1:17" x14ac:dyDescent="0.2">
      <c r="A194" s="32">
        <v>150</v>
      </c>
      <c r="B194" s="33" t="s">
        <v>295</v>
      </c>
      <c r="C194" s="31"/>
      <c r="D194" s="31"/>
      <c r="E194" s="31">
        <v>118529</v>
      </c>
      <c r="F194" s="31">
        <v>132729</v>
      </c>
      <c r="G194" s="31">
        <v>115925</v>
      </c>
      <c r="H194" s="31">
        <v>130985</v>
      </c>
      <c r="I194" s="31">
        <v>167017</v>
      </c>
      <c r="J194" s="31">
        <v>190025</v>
      </c>
      <c r="K194" s="31">
        <v>282092</v>
      </c>
      <c r="L194" s="31">
        <v>329667</v>
      </c>
      <c r="M194" s="31">
        <v>300586</v>
      </c>
      <c r="N194" s="31">
        <v>251879</v>
      </c>
      <c r="O194" s="31">
        <v>261304</v>
      </c>
      <c r="P194" s="31">
        <v>341143</v>
      </c>
      <c r="Q194" s="31">
        <v>2621881</v>
      </c>
    </row>
    <row r="195" spans="1:17" x14ac:dyDescent="0.2">
      <c r="A195" s="32">
        <v>151</v>
      </c>
      <c r="B195" s="33" t="s">
        <v>307</v>
      </c>
      <c r="C195" s="31"/>
      <c r="D195" s="31"/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87</v>
      </c>
      <c r="Q195" s="31">
        <v>87</v>
      </c>
    </row>
    <row r="196" spans="1:17" x14ac:dyDescent="0.2">
      <c r="A196" s="32">
        <v>152</v>
      </c>
      <c r="B196" s="33" t="s">
        <v>298</v>
      </c>
      <c r="C196" s="31"/>
      <c r="D196" s="31"/>
      <c r="E196" s="31">
        <v>0</v>
      </c>
      <c r="F196" s="31">
        <v>0</v>
      </c>
      <c r="G196" s="31">
        <v>0</v>
      </c>
      <c r="H196" s="31">
        <v>36</v>
      </c>
      <c r="I196" s="31">
        <v>66</v>
      </c>
      <c r="J196" s="31">
        <v>68</v>
      </c>
      <c r="K196" s="31">
        <v>84</v>
      </c>
      <c r="L196" s="31">
        <v>96</v>
      </c>
      <c r="M196" s="31">
        <v>78</v>
      </c>
      <c r="N196" s="31">
        <v>90</v>
      </c>
      <c r="O196" s="31">
        <v>125</v>
      </c>
      <c r="P196" s="31">
        <v>356</v>
      </c>
      <c r="Q196" s="31">
        <v>999</v>
      </c>
    </row>
    <row r="197" spans="1:17" x14ac:dyDescent="0.2">
      <c r="A197" s="32">
        <v>153</v>
      </c>
      <c r="B197" s="33" t="s">
        <v>305</v>
      </c>
      <c r="C197" s="31"/>
      <c r="D197" s="31"/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301</v>
      </c>
      <c r="Q197" s="31">
        <v>301</v>
      </c>
    </row>
    <row r="198" spans="1:17" x14ac:dyDescent="0.2">
      <c r="A198" s="32">
        <v>160</v>
      </c>
      <c r="B198" s="33" t="s">
        <v>299</v>
      </c>
      <c r="C198" s="31"/>
      <c r="D198" s="31"/>
      <c r="E198" s="31">
        <v>68</v>
      </c>
      <c r="F198" s="31">
        <v>137</v>
      </c>
      <c r="G198" s="31">
        <v>108</v>
      </c>
      <c r="H198" s="31">
        <v>115</v>
      </c>
      <c r="I198" s="31">
        <v>150</v>
      </c>
      <c r="J198" s="31">
        <v>147</v>
      </c>
      <c r="K198" s="31">
        <v>254</v>
      </c>
      <c r="L198" s="31">
        <v>262</v>
      </c>
      <c r="M198" s="31">
        <v>209</v>
      </c>
      <c r="N198" s="31">
        <v>193</v>
      </c>
      <c r="O198" s="31">
        <v>225</v>
      </c>
      <c r="P198" s="31">
        <v>321</v>
      </c>
      <c r="Q198" s="31">
        <v>2189</v>
      </c>
    </row>
    <row r="199" spans="1:17" x14ac:dyDescent="0.2">
      <c r="A199" s="32">
        <v>162</v>
      </c>
      <c r="B199" s="33" t="s">
        <v>298</v>
      </c>
      <c r="C199" s="31"/>
      <c r="D199" s="31"/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>
        <v>0</v>
      </c>
      <c r="N199" s="31">
        <v>0</v>
      </c>
      <c r="O199" s="31">
        <v>0</v>
      </c>
      <c r="P199" s="31">
        <v>0</v>
      </c>
      <c r="Q199" s="31">
        <v>0</v>
      </c>
    </row>
    <row r="200" spans="1:17" x14ac:dyDescent="0.2">
      <c r="A200" s="32">
        <v>165</v>
      </c>
      <c r="B200" s="33" t="s">
        <v>298</v>
      </c>
      <c r="C200" s="31"/>
      <c r="D200" s="31"/>
      <c r="E200" s="31">
        <v>580</v>
      </c>
      <c r="F200" s="31">
        <v>1029</v>
      </c>
      <c r="G200" s="31">
        <v>1045</v>
      </c>
      <c r="H200" s="31">
        <v>1245</v>
      </c>
      <c r="I200" s="31">
        <v>1731</v>
      </c>
      <c r="J200" s="31">
        <v>2237</v>
      </c>
      <c r="K200" s="31">
        <v>3614</v>
      </c>
      <c r="L200" s="31">
        <v>4878</v>
      </c>
      <c r="M200" s="31">
        <v>6249</v>
      </c>
      <c r="N200" s="31">
        <v>6250</v>
      </c>
      <c r="O200" s="31">
        <v>8791</v>
      </c>
      <c r="P200" s="31">
        <v>14432</v>
      </c>
      <c r="Q200" s="31">
        <v>52081</v>
      </c>
    </row>
    <row r="201" spans="1:17" x14ac:dyDescent="0.2">
      <c r="A201" s="32">
        <v>166</v>
      </c>
      <c r="B201" s="33" t="s">
        <v>300</v>
      </c>
      <c r="C201" s="31"/>
      <c r="D201" s="31"/>
      <c r="E201" s="31">
        <v>0</v>
      </c>
      <c r="F201" s="31">
        <v>0</v>
      </c>
      <c r="G201" s="31">
        <v>88</v>
      </c>
      <c r="H201" s="31">
        <v>252</v>
      </c>
      <c r="I201" s="31">
        <v>1803</v>
      </c>
      <c r="J201" s="31">
        <v>4146</v>
      </c>
      <c r="K201" s="31">
        <v>6542</v>
      </c>
      <c r="L201" s="31">
        <v>8180</v>
      </c>
      <c r="M201" s="31">
        <v>7542</v>
      </c>
      <c r="N201" s="31">
        <v>8146</v>
      </c>
      <c r="O201" s="31">
        <v>7786</v>
      </c>
      <c r="P201" s="31">
        <v>11244</v>
      </c>
      <c r="Q201" s="31">
        <v>55729</v>
      </c>
    </row>
    <row r="202" spans="1:17" x14ac:dyDescent="0.2">
      <c r="A202" s="32">
        <v>175</v>
      </c>
      <c r="B202" s="33" t="s">
        <v>301</v>
      </c>
      <c r="C202" s="31"/>
      <c r="D202" s="31"/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</row>
    <row r="203" spans="1:17" x14ac:dyDescent="0.2">
      <c r="A203" s="32">
        <v>201</v>
      </c>
      <c r="B203" s="33" t="s">
        <v>301</v>
      </c>
      <c r="C203" s="31"/>
      <c r="D203" s="31"/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</row>
    <row r="204" spans="1:17" x14ac:dyDescent="0.2">
      <c r="A204" s="36"/>
      <c r="B204" s="37" t="s">
        <v>18</v>
      </c>
      <c r="C204" s="94">
        <f>SUM(C173:C193)</f>
        <v>0</v>
      </c>
      <c r="D204" s="94">
        <f>SUM(D173:D193)</f>
        <v>0</v>
      </c>
      <c r="E204" s="94">
        <v>2708745</v>
      </c>
      <c r="F204" s="94">
        <v>2743813</v>
      </c>
      <c r="G204" s="94">
        <v>2253782</v>
      </c>
      <c r="H204" s="94">
        <v>2405757</v>
      </c>
      <c r="I204" s="94">
        <v>2986870</v>
      </c>
      <c r="J204" s="94">
        <v>2917558</v>
      </c>
      <c r="K204" s="94">
        <v>4214365</v>
      </c>
      <c r="L204" s="94">
        <v>4565747</v>
      </c>
      <c r="M204" s="94">
        <v>3748692</v>
      </c>
      <c r="N204" s="94">
        <v>2917429</v>
      </c>
      <c r="O204" s="94">
        <v>2789030</v>
      </c>
      <c r="P204" s="94">
        <v>3617260</v>
      </c>
      <c r="Q204" s="94">
        <v>37869048</v>
      </c>
    </row>
    <row r="205" spans="1:17" x14ac:dyDescent="0.2">
      <c r="B205" s="33"/>
    </row>
    <row r="206" spans="1:17" x14ac:dyDescent="0.2">
      <c r="A206" s="32">
        <v>528</v>
      </c>
      <c r="B206" s="33" t="s">
        <v>75</v>
      </c>
      <c r="C206" s="31"/>
      <c r="D206" s="31"/>
      <c r="E206" s="31">
        <v>637749</v>
      </c>
      <c r="F206" s="31">
        <v>560476</v>
      </c>
      <c r="G206" s="31">
        <v>505887</v>
      </c>
      <c r="H206" s="31">
        <v>547276</v>
      </c>
      <c r="I206" s="31">
        <v>608631</v>
      </c>
      <c r="J206" s="31">
        <v>667044</v>
      </c>
      <c r="K206" s="31">
        <v>779127</v>
      </c>
      <c r="L206" s="31">
        <v>852516</v>
      </c>
      <c r="M206" s="31">
        <v>909243</v>
      </c>
      <c r="N206" s="31">
        <v>875006</v>
      </c>
      <c r="O206" s="31">
        <v>741178</v>
      </c>
      <c r="P206" s="31">
        <v>742436</v>
      </c>
      <c r="Q206" s="31">
        <v>8426569</v>
      </c>
    </row>
    <row r="207" spans="1:17" x14ac:dyDescent="0.2">
      <c r="B207" s="33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</row>
    <row r="208" spans="1:17" x14ac:dyDescent="0.2">
      <c r="B208" s="32" t="s">
        <v>0</v>
      </c>
      <c r="C208" s="31"/>
      <c r="D208" s="31"/>
      <c r="E208" s="31">
        <f t="shared" ref="E208:O208" si="65">E206+E204+E171+E169+E165+E161+E157+E153+E152+E149+E147+E145+E143+E141+E137+E136+E134+E99+E101+E103+E105+E132+E128+E126+E122+E120+E118+E113+E109+E97+E91+E155+E154</f>
        <v>380752030</v>
      </c>
      <c r="F208" s="31">
        <f t="shared" si="65"/>
        <v>444535592</v>
      </c>
      <c r="G208" s="31">
        <f t="shared" si="65"/>
        <v>400737061</v>
      </c>
      <c r="H208" s="31">
        <f t="shared" si="65"/>
        <v>468070571</v>
      </c>
      <c r="I208" s="31">
        <f t="shared" si="65"/>
        <v>470818995</v>
      </c>
      <c r="J208" s="31">
        <f t="shared" si="65"/>
        <v>396631231</v>
      </c>
      <c r="K208" s="31">
        <f t="shared" si="65"/>
        <v>417221973</v>
      </c>
      <c r="L208" s="31">
        <f t="shared" si="65"/>
        <v>432257088</v>
      </c>
      <c r="M208" s="31">
        <f t="shared" si="65"/>
        <v>522295292</v>
      </c>
      <c r="N208" s="31">
        <f t="shared" si="65"/>
        <v>498581746</v>
      </c>
      <c r="O208" s="31">
        <f t="shared" si="65"/>
        <v>416600366</v>
      </c>
      <c r="P208" s="31">
        <f>P206+P204+P171+P169+P165+P161+P157+P153+P152+P149+P147+P145+P143+P141+P137+P136+P134+P99+P101+P103+P105+P132+P128+P126+P122+P120+P118+P113+P109+P97+P91+P155+P154</f>
        <v>452395324</v>
      </c>
      <c r="Q208" s="31">
        <f>SUM(E208:P208)</f>
        <v>5300897269</v>
      </c>
    </row>
    <row r="209" spans="1:17" x14ac:dyDescent="0.2">
      <c r="B209" s="33"/>
    </row>
    <row r="210" spans="1:17" x14ac:dyDescent="0.2">
      <c r="A210" s="32" t="s">
        <v>240</v>
      </c>
      <c r="B210" s="34" t="s">
        <v>78</v>
      </c>
      <c r="C210" s="31"/>
      <c r="D210" s="31"/>
      <c r="E210" s="31">
        <f t="shared" ref="E210:P210" si="66">E208-E78</f>
        <v>0</v>
      </c>
      <c r="F210" s="31">
        <f t="shared" si="66"/>
        <v>0</v>
      </c>
      <c r="G210" s="31">
        <f t="shared" si="66"/>
        <v>0</v>
      </c>
      <c r="H210" s="31">
        <f t="shared" si="66"/>
        <v>0</v>
      </c>
      <c r="I210" s="31">
        <f t="shared" si="66"/>
        <v>0</v>
      </c>
      <c r="J210" s="31">
        <f t="shared" si="66"/>
        <v>0</v>
      </c>
      <c r="K210" s="31">
        <f t="shared" si="66"/>
        <v>0</v>
      </c>
      <c r="L210" s="31">
        <f t="shared" si="66"/>
        <v>0</v>
      </c>
      <c r="M210" s="31">
        <f t="shared" si="66"/>
        <v>0</v>
      </c>
      <c r="N210" s="31">
        <f t="shared" si="66"/>
        <v>0</v>
      </c>
      <c r="O210" s="31">
        <f t="shared" si="66"/>
        <v>0</v>
      </c>
      <c r="P210" s="31">
        <f t="shared" si="66"/>
        <v>0</v>
      </c>
    </row>
    <row r="211" spans="1:17" x14ac:dyDescent="0.2">
      <c r="B211" s="34"/>
      <c r="Q211" s="31"/>
    </row>
    <row r="212" spans="1:17" x14ac:dyDescent="0.2">
      <c r="B212" s="34" t="s">
        <v>238</v>
      </c>
      <c r="E212" s="92">
        <v>380752030</v>
      </c>
      <c r="F212" s="92">
        <v>444535592</v>
      </c>
      <c r="G212" s="92">
        <v>400737061</v>
      </c>
      <c r="H212" s="92">
        <v>468070571</v>
      </c>
      <c r="I212" s="92">
        <v>470818995</v>
      </c>
      <c r="J212" s="92">
        <v>396631231</v>
      </c>
      <c r="K212" s="92">
        <v>417221973</v>
      </c>
      <c r="L212" s="92">
        <v>432257088</v>
      </c>
      <c r="M212" s="92">
        <v>522295292</v>
      </c>
      <c r="N212" s="92">
        <v>498581746</v>
      </c>
      <c r="O212" s="92">
        <v>416600366</v>
      </c>
      <c r="P212" s="92">
        <v>452395324</v>
      </c>
      <c r="Q212" s="92">
        <v>5300897269</v>
      </c>
    </row>
    <row r="213" spans="1:17" x14ac:dyDescent="0.2">
      <c r="B213" s="32" t="s">
        <v>239</v>
      </c>
      <c r="E213" s="95">
        <f>E208-E212</f>
        <v>0</v>
      </c>
      <c r="F213" s="95">
        <f t="shared" ref="F213:O213" si="67">F208-F212</f>
        <v>0</v>
      </c>
      <c r="G213" s="95">
        <f t="shared" si="67"/>
        <v>0</v>
      </c>
      <c r="H213" s="95">
        <f t="shared" si="67"/>
        <v>0</v>
      </c>
      <c r="I213" s="95">
        <f t="shared" si="67"/>
        <v>0</v>
      </c>
      <c r="J213" s="95">
        <f t="shared" si="67"/>
        <v>0</v>
      </c>
      <c r="K213" s="95">
        <f t="shared" si="67"/>
        <v>0</v>
      </c>
      <c r="L213" s="95">
        <f t="shared" si="67"/>
        <v>0</v>
      </c>
      <c r="M213" s="95">
        <f t="shared" si="67"/>
        <v>0</v>
      </c>
      <c r="N213" s="95">
        <f t="shared" si="67"/>
        <v>0</v>
      </c>
      <c r="O213" s="95">
        <f t="shared" si="67"/>
        <v>0</v>
      </c>
      <c r="P213" s="95">
        <f>P208-P212</f>
        <v>0</v>
      </c>
      <c r="Q213" s="95">
        <f>Q208-Q212</f>
        <v>0</v>
      </c>
    </row>
    <row r="214" spans="1:17" x14ac:dyDescent="0.2">
      <c r="B214" s="32" t="s">
        <v>172</v>
      </c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</row>
    <row r="215" spans="1:17" x14ac:dyDescent="0.2">
      <c r="B215" s="32" t="s">
        <v>174</v>
      </c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</row>
    <row r="216" spans="1:17" x14ac:dyDescent="0.2">
      <c r="B216" s="32" t="s">
        <v>0</v>
      </c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</row>
    <row r="217" spans="1:17" x14ac:dyDescent="0.2">
      <c r="B217" s="32" t="s">
        <v>173</v>
      </c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</row>
    <row r="218" spans="1:17" x14ac:dyDescent="0.2">
      <c r="E218" s="92">
        <v>380752030</v>
      </c>
      <c r="F218" s="92">
        <v>444535592</v>
      </c>
      <c r="G218" s="92">
        <v>400737061</v>
      </c>
      <c r="H218" s="92">
        <v>468070571</v>
      </c>
      <c r="I218" s="92">
        <v>470818995</v>
      </c>
      <c r="J218" s="92">
        <v>396631231</v>
      </c>
      <c r="K218" s="92">
        <v>417221973</v>
      </c>
      <c r="L218" s="92">
        <v>432257088</v>
      </c>
      <c r="M218" s="92">
        <v>522295292</v>
      </c>
      <c r="N218" s="92">
        <v>498581746</v>
      </c>
      <c r="O218" s="92">
        <v>416600366</v>
      </c>
      <c r="P218" s="92">
        <v>452395324</v>
      </c>
      <c r="Q218" s="92">
        <v>5300897269</v>
      </c>
    </row>
    <row r="220" spans="1:17" x14ac:dyDescent="0.2"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7" x14ac:dyDescent="0.2">
      <c r="B221" s="51" t="s">
        <v>304</v>
      </c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204"/>
  <sheetViews>
    <sheetView zoomScale="80" zoomScaleNormal="80" workbookViewId="0">
      <pane xSplit="2" ySplit="8" topLeftCell="C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G23" sqref="G23"/>
    </sheetView>
  </sheetViews>
  <sheetFormatPr defaultColWidth="9.140625" defaultRowHeight="14.25" x14ac:dyDescent="0.2"/>
  <cols>
    <col min="1" max="1" width="15.5703125" style="32" customWidth="1"/>
    <col min="2" max="2" width="34.85546875" style="32" customWidth="1"/>
    <col min="3" max="3" width="8.85546875" style="32" customWidth="1"/>
    <col min="4" max="4" width="8.85546875" style="32" bestFit="1" customWidth="1"/>
    <col min="5" max="5" width="12.7109375" style="32" bestFit="1" customWidth="1"/>
    <col min="6" max="6" width="13.5703125" style="32" bestFit="1" customWidth="1"/>
    <col min="7" max="7" width="13.140625" style="32" bestFit="1" customWidth="1"/>
    <col min="8" max="8" width="13.42578125" style="32" bestFit="1" customWidth="1"/>
    <col min="9" max="9" width="12.7109375" style="32" bestFit="1" customWidth="1"/>
    <col min="10" max="10" width="12.42578125" style="32" bestFit="1" customWidth="1"/>
    <col min="11" max="11" width="13.140625" style="32" bestFit="1" customWidth="1"/>
    <col min="12" max="12" width="12.42578125" style="32" bestFit="1" customWidth="1"/>
    <col min="13" max="13" width="12.85546875" style="32" bestFit="1" customWidth="1"/>
    <col min="14" max="14" width="13.85546875" style="32" bestFit="1" customWidth="1"/>
    <col min="15" max="16" width="13.85546875" style="32" customWidth="1"/>
    <col min="17" max="17" width="14.28515625" style="32" bestFit="1" customWidth="1"/>
    <col min="18" max="18" width="11.28515625" style="32" bestFit="1" customWidth="1"/>
    <col min="19" max="16384" width="9.140625" style="32"/>
  </cols>
  <sheetData>
    <row r="1" spans="2:17" x14ac:dyDescent="0.2">
      <c r="B1" s="32" t="s">
        <v>70</v>
      </c>
      <c r="F1" s="78"/>
    </row>
    <row r="2" spans="2:17" x14ac:dyDescent="0.2">
      <c r="B2" s="32" t="s">
        <v>71</v>
      </c>
    </row>
    <row r="3" spans="2:17" x14ac:dyDescent="0.2">
      <c r="B3" s="32" t="str">
        <f>'B&amp;A kWh'!B3</f>
        <v>TEST YEAR ENDED March 31, 2023</v>
      </c>
    </row>
    <row r="4" spans="2:17" x14ac:dyDescent="0.2">
      <c r="B4" s="33"/>
    </row>
    <row r="5" spans="2:17" x14ac:dyDescent="0.2">
      <c r="B5" s="33" t="s">
        <v>171</v>
      </c>
    </row>
    <row r="6" spans="2:17" x14ac:dyDescent="0.2">
      <c r="B6" s="33"/>
    </row>
    <row r="7" spans="2:17" ht="15" x14ac:dyDescent="0.25">
      <c r="B7" s="79" t="s">
        <v>80</v>
      </c>
      <c r="E7" s="32">
        <v>2022</v>
      </c>
      <c r="O7" s="32">
        <v>2023</v>
      </c>
    </row>
    <row r="8" spans="2:17" x14ac:dyDescent="0.2">
      <c r="B8" s="33" t="s">
        <v>22</v>
      </c>
      <c r="C8" s="80"/>
      <c r="D8" s="80"/>
      <c r="E8" s="80" t="s">
        <v>109</v>
      </c>
      <c r="F8" s="80" t="s">
        <v>110</v>
      </c>
      <c r="G8" s="80" t="s">
        <v>111</v>
      </c>
      <c r="H8" s="80" t="s">
        <v>112</v>
      </c>
      <c r="I8" s="80" t="s">
        <v>113</v>
      </c>
      <c r="J8" s="80" t="s">
        <v>114</v>
      </c>
      <c r="K8" s="80" t="s">
        <v>115</v>
      </c>
      <c r="L8" s="80" t="s">
        <v>116</v>
      </c>
      <c r="M8" s="80" t="s">
        <v>117</v>
      </c>
      <c r="N8" s="80" t="s">
        <v>106</v>
      </c>
      <c r="O8" s="80" t="s">
        <v>107</v>
      </c>
      <c r="P8" s="80" t="s">
        <v>108</v>
      </c>
      <c r="Q8" s="32" t="s">
        <v>293</v>
      </c>
    </row>
    <row r="10" spans="2:17" ht="15" x14ac:dyDescent="0.25">
      <c r="B10" s="24" t="s">
        <v>21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ht="15" x14ac:dyDescent="0.25">
      <c r="B11" s="24"/>
    </row>
    <row r="12" spans="2:17" ht="15" x14ac:dyDescent="0.25">
      <c r="B12" s="24" t="s">
        <v>20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ht="15" x14ac:dyDescent="0.25">
      <c r="B13" s="24"/>
    </row>
    <row r="14" spans="2:17" ht="15" x14ac:dyDescent="0.25">
      <c r="B14" s="24" t="s">
        <v>19</v>
      </c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ht="15" x14ac:dyDescent="0.25">
      <c r="B15" s="24"/>
    </row>
    <row r="16" spans="2:17" ht="15" x14ac:dyDescent="0.25">
      <c r="B16" s="43" t="s">
        <v>172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17" ht="15" x14ac:dyDescent="0.25">
      <c r="B17" s="43" t="s">
        <v>174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17" ht="15" x14ac:dyDescent="0.25">
      <c r="B18" s="24" t="s">
        <v>18</v>
      </c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17" ht="15" x14ac:dyDescent="0.25">
      <c r="B19" s="24"/>
    </row>
    <row r="20" spans="2:17" ht="15" x14ac:dyDescent="0.25">
      <c r="B20" s="24" t="s">
        <v>17</v>
      </c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17" ht="15" x14ac:dyDescent="0.25">
      <c r="B21" s="24"/>
    </row>
    <row r="22" spans="2:17" ht="15" x14ac:dyDescent="0.25">
      <c r="B22" s="24" t="s">
        <v>16</v>
      </c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</row>
    <row r="23" spans="2:17" ht="15" x14ac:dyDescent="0.25">
      <c r="B23" s="24"/>
    </row>
    <row r="24" spans="2:17" ht="15" x14ac:dyDescent="0.25">
      <c r="B24" s="24" t="s">
        <v>15</v>
      </c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</row>
    <row r="25" spans="2:17" ht="15" x14ac:dyDescent="0.25">
      <c r="B25" s="24"/>
    </row>
    <row r="26" spans="2:17" ht="15" x14ac:dyDescent="0.25">
      <c r="B26" s="24" t="s">
        <v>14</v>
      </c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</row>
    <row r="27" spans="2:17" ht="15" x14ac:dyDescent="0.25">
      <c r="B27" s="24"/>
    </row>
    <row r="28" spans="2:17" ht="15" x14ac:dyDescent="0.25">
      <c r="B28" s="24" t="s">
        <v>13</v>
      </c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</row>
    <row r="29" spans="2:17" ht="15" x14ac:dyDescent="0.25">
      <c r="B29" s="24"/>
    </row>
    <row r="30" spans="2:17" ht="15" x14ac:dyDescent="0.25">
      <c r="B30" s="24" t="s">
        <v>12</v>
      </c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</row>
    <row r="31" spans="2:17" ht="15" x14ac:dyDescent="0.25">
      <c r="B31" s="24"/>
    </row>
    <row r="32" spans="2:17" ht="15" x14ac:dyDescent="0.25">
      <c r="B32" s="24" t="s">
        <v>11</v>
      </c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</row>
    <row r="33" spans="1:21" ht="15" x14ac:dyDescent="0.25">
      <c r="B33" s="24"/>
    </row>
    <row r="34" spans="1:21" ht="15" x14ac:dyDescent="0.25">
      <c r="B34" s="24" t="s">
        <v>10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</row>
    <row r="35" spans="1:21" ht="15" x14ac:dyDescent="0.25">
      <c r="B35" s="24"/>
    </row>
    <row r="36" spans="1:21" ht="15" x14ac:dyDescent="0.25">
      <c r="B36" s="24" t="s">
        <v>9</v>
      </c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</row>
    <row r="37" spans="1:21" ht="15" x14ac:dyDescent="0.25">
      <c r="B37" s="24"/>
    </row>
    <row r="38" spans="1:21" ht="15" x14ac:dyDescent="0.25">
      <c r="B38" s="24" t="s">
        <v>8</v>
      </c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</row>
    <row r="39" spans="1:21" ht="15" x14ac:dyDescent="0.25">
      <c r="B39" s="24"/>
    </row>
    <row r="40" spans="1:21" ht="15" x14ac:dyDescent="0.25">
      <c r="B40" s="147" t="s">
        <v>310</v>
      </c>
      <c r="C40" s="31"/>
      <c r="D40" s="31"/>
      <c r="E40" s="31">
        <v>67975</v>
      </c>
      <c r="F40" s="31">
        <v>66547</v>
      </c>
      <c r="G40" s="31">
        <v>68244</v>
      </c>
      <c r="H40" s="31">
        <v>70809</v>
      </c>
      <c r="I40" s="31">
        <v>69049</v>
      </c>
      <c r="J40" s="31">
        <v>68866</v>
      </c>
      <c r="K40" s="31">
        <v>66662</v>
      </c>
      <c r="L40" s="31">
        <v>65890</v>
      </c>
      <c r="M40" s="31">
        <v>69119</v>
      </c>
      <c r="N40" s="31">
        <v>71682</v>
      </c>
      <c r="O40" s="31">
        <v>68865</v>
      </c>
      <c r="P40" s="31">
        <v>68337</v>
      </c>
      <c r="Q40" s="31">
        <f>SUM(E40:P40)</f>
        <v>822045</v>
      </c>
      <c r="U40" s="32">
        <v>40</v>
      </c>
    </row>
    <row r="41" spans="1:21" ht="15" x14ac:dyDescent="0.25">
      <c r="B41" s="24"/>
      <c r="U41" s="32">
        <v>41</v>
      </c>
    </row>
    <row r="42" spans="1:21" ht="15" x14ac:dyDescent="0.25">
      <c r="A42" s="148"/>
      <c r="B42" s="24" t="s">
        <v>6</v>
      </c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>
        <f>SUM(E42:P42)</f>
        <v>0</v>
      </c>
      <c r="U42" s="32">
        <v>42</v>
      </c>
    </row>
    <row r="43" spans="1:21" ht="15" x14ac:dyDescent="0.25">
      <c r="B43" s="24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U43" s="32">
        <v>43</v>
      </c>
    </row>
    <row r="44" spans="1:21" ht="15" x14ac:dyDescent="0.25">
      <c r="B44" s="24" t="s">
        <v>118</v>
      </c>
      <c r="C44" s="31"/>
      <c r="D44" s="31"/>
      <c r="E44" s="31">
        <v>515</v>
      </c>
      <c r="F44" s="31">
        <v>1025</v>
      </c>
      <c r="G44" s="31">
        <v>735</v>
      </c>
      <c r="H44" s="31">
        <v>723</v>
      </c>
      <c r="I44" s="31">
        <v>777</v>
      </c>
      <c r="J44" s="31">
        <v>728</v>
      </c>
      <c r="K44" s="31">
        <v>733</v>
      </c>
      <c r="L44" s="31">
        <v>729</v>
      </c>
      <c r="M44" s="31">
        <v>748</v>
      </c>
      <c r="N44" s="31">
        <v>779</v>
      </c>
      <c r="O44" s="31">
        <v>864</v>
      </c>
      <c r="P44" s="31">
        <v>859</v>
      </c>
      <c r="Q44" s="31">
        <f>SUM(E44:P44)</f>
        <v>9215</v>
      </c>
      <c r="U44" s="32">
        <v>44</v>
      </c>
    </row>
    <row r="45" spans="1:21" ht="15" x14ac:dyDescent="0.25">
      <c r="B45" s="24"/>
      <c r="U45" s="32">
        <v>45</v>
      </c>
    </row>
    <row r="46" spans="1:21" ht="15" x14ac:dyDescent="0.25">
      <c r="B46" s="24" t="s">
        <v>241</v>
      </c>
      <c r="E46" s="32">
        <v>639</v>
      </c>
      <c r="F46" s="32">
        <v>140</v>
      </c>
      <c r="G46" s="32">
        <v>452</v>
      </c>
      <c r="H46" s="32">
        <v>867</v>
      </c>
      <c r="I46" s="32">
        <v>118</v>
      </c>
      <c r="J46" s="32">
        <v>2163</v>
      </c>
      <c r="K46" s="32">
        <v>115</v>
      </c>
      <c r="L46" s="32">
        <v>1185</v>
      </c>
      <c r="M46" s="32">
        <v>120</v>
      </c>
      <c r="N46" s="32">
        <v>817</v>
      </c>
      <c r="O46" s="32">
        <v>364</v>
      </c>
      <c r="P46" s="32">
        <v>-634</v>
      </c>
      <c r="Q46" s="31">
        <f>SUM(E46:P46)</f>
        <v>6346</v>
      </c>
      <c r="U46" s="32">
        <v>46</v>
      </c>
    </row>
    <row r="47" spans="1:21" ht="15" x14ac:dyDescent="0.25">
      <c r="B47" s="24"/>
      <c r="U47" s="32">
        <v>47</v>
      </c>
    </row>
    <row r="48" spans="1:21" ht="15" x14ac:dyDescent="0.25">
      <c r="B48" s="24"/>
      <c r="Q48" s="40"/>
      <c r="U48" s="32">
        <v>48</v>
      </c>
    </row>
    <row r="49" spans="2:21" ht="15" x14ac:dyDescent="0.25">
      <c r="B49" s="24" t="s">
        <v>283</v>
      </c>
      <c r="E49" s="92">
        <v>22857</v>
      </c>
      <c r="F49" s="92">
        <v>25295</v>
      </c>
      <c r="G49" s="92">
        <v>22832</v>
      </c>
      <c r="H49" s="92">
        <v>25372</v>
      </c>
      <c r="I49" s="92">
        <v>26797</v>
      </c>
      <c r="J49" s="92">
        <v>25814</v>
      </c>
      <c r="K49" s="92">
        <v>26277</v>
      </c>
      <c r="L49" s="92">
        <v>27068</v>
      </c>
      <c r="M49" s="92">
        <v>27081</v>
      </c>
      <c r="N49" s="92">
        <v>29802</v>
      </c>
      <c r="O49" s="92">
        <v>29399</v>
      </c>
      <c r="P49" s="92">
        <v>27992</v>
      </c>
      <c r="Q49" s="35">
        <f>SUM(E49:P49)</f>
        <v>316586</v>
      </c>
      <c r="U49" s="32">
        <v>49</v>
      </c>
    </row>
    <row r="50" spans="2:21" ht="15" x14ac:dyDescent="0.25">
      <c r="B50" s="24" t="s">
        <v>284</v>
      </c>
      <c r="E50" s="32">
        <v>128</v>
      </c>
      <c r="F50" s="32">
        <v>151</v>
      </c>
      <c r="G50" s="32">
        <v>229</v>
      </c>
      <c r="H50" s="32">
        <v>223</v>
      </c>
      <c r="I50" s="32">
        <v>212</v>
      </c>
      <c r="J50" s="32">
        <v>212</v>
      </c>
      <c r="K50" s="32">
        <v>202</v>
      </c>
      <c r="L50" s="32">
        <v>137</v>
      </c>
      <c r="M50" s="32">
        <v>137</v>
      </c>
      <c r="N50" s="32">
        <v>137</v>
      </c>
      <c r="O50" s="32">
        <v>137</v>
      </c>
      <c r="P50" s="32">
        <v>137</v>
      </c>
      <c r="Q50" s="35">
        <f>SUM(E50:P50)</f>
        <v>2042</v>
      </c>
      <c r="U50" s="32">
        <v>50</v>
      </c>
    </row>
    <row r="51" spans="2:21" ht="15" x14ac:dyDescent="0.25">
      <c r="B51" s="24" t="s">
        <v>5</v>
      </c>
      <c r="C51" s="31"/>
      <c r="D51" s="31"/>
      <c r="E51" s="85">
        <f>SUM(E49:E50)</f>
        <v>22985</v>
      </c>
      <c r="F51" s="85">
        <f t="shared" ref="F51:P51" si="0">SUM(F49:F50)</f>
        <v>25446</v>
      </c>
      <c r="G51" s="85">
        <f t="shared" si="0"/>
        <v>23061</v>
      </c>
      <c r="H51" s="85">
        <f t="shared" si="0"/>
        <v>25595</v>
      </c>
      <c r="I51" s="85">
        <f t="shared" si="0"/>
        <v>27009</v>
      </c>
      <c r="J51" s="85">
        <f t="shared" si="0"/>
        <v>26026</v>
      </c>
      <c r="K51" s="85">
        <f t="shared" si="0"/>
        <v>26479</v>
      </c>
      <c r="L51" s="85">
        <f t="shared" si="0"/>
        <v>27205</v>
      </c>
      <c r="M51" s="85">
        <f t="shared" si="0"/>
        <v>27218</v>
      </c>
      <c r="N51" s="85">
        <f t="shared" si="0"/>
        <v>29939</v>
      </c>
      <c r="O51" s="85">
        <f t="shared" si="0"/>
        <v>29536</v>
      </c>
      <c r="P51" s="85">
        <f t="shared" si="0"/>
        <v>28129</v>
      </c>
      <c r="Q51" s="85">
        <f>SUM(E51:P51)</f>
        <v>318628</v>
      </c>
      <c r="U51" s="32">
        <v>51</v>
      </c>
    </row>
    <row r="52" spans="2:21" ht="15" x14ac:dyDescent="0.25">
      <c r="B52" s="24"/>
      <c r="U52" s="32">
        <v>52</v>
      </c>
    </row>
    <row r="53" spans="2:21" ht="15" x14ac:dyDescent="0.25">
      <c r="B53" s="24" t="s">
        <v>4</v>
      </c>
      <c r="C53" s="31"/>
      <c r="D53" s="31"/>
      <c r="E53" s="31">
        <v>3040</v>
      </c>
      <c r="F53" s="31">
        <v>3352</v>
      </c>
      <c r="G53" s="31">
        <v>4269</v>
      </c>
      <c r="H53" s="31">
        <v>1454</v>
      </c>
      <c r="I53" s="31">
        <v>2857</v>
      </c>
      <c r="J53" s="31">
        <v>2105</v>
      </c>
      <c r="K53" s="31">
        <v>1960</v>
      </c>
      <c r="L53" s="31">
        <v>1890</v>
      </c>
      <c r="M53" s="31">
        <v>1948</v>
      </c>
      <c r="N53" s="31">
        <v>1993</v>
      </c>
      <c r="O53" s="31">
        <v>2235</v>
      </c>
      <c r="P53" s="31">
        <v>2168</v>
      </c>
      <c r="Q53" s="31">
        <f>SUM(E53:P53)</f>
        <v>29271</v>
      </c>
      <c r="U53" s="32">
        <v>53</v>
      </c>
    </row>
    <row r="54" spans="2:21" ht="15" x14ac:dyDescent="0.25">
      <c r="B54" s="24"/>
      <c r="U54" s="32">
        <v>54</v>
      </c>
    </row>
    <row r="55" spans="2:21" ht="15" x14ac:dyDescent="0.25">
      <c r="B55" s="24" t="s">
        <v>3</v>
      </c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>
        <f>SUM(E55:P55)</f>
        <v>0</v>
      </c>
      <c r="U55" s="32">
        <v>55</v>
      </c>
    </row>
    <row r="56" spans="2:21" ht="15" x14ac:dyDescent="0.25">
      <c r="B56" s="24"/>
      <c r="U56" s="32">
        <v>56</v>
      </c>
    </row>
    <row r="57" spans="2:21" ht="15" x14ac:dyDescent="0.25">
      <c r="B57" s="24" t="s">
        <v>119</v>
      </c>
      <c r="C57" s="31"/>
      <c r="D57" s="31"/>
      <c r="E57" s="31">
        <v>28592</v>
      </c>
      <c r="F57" s="31">
        <v>27884</v>
      </c>
      <c r="G57" s="31">
        <v>27561</v>
      </c>
      <c r="H57" s="31">
        <v>24327</v>
      </c>
      <c r="I57" s="31">
        <v>26220</v>
      </c>
      <c r="J57" s="31">
        <v>29213</v>
      </c>
      <c r="K57" s="31">
        <v>28296</v>
      </c>
      <c r="L57" s="31">
        <v>26826</v>
      </c>
      <c r="M57" s="31">
        <v>28880</v>
      </c>
      <c r="N57" s="31">
        <v>28614</v>
      </c>
      <c r="O57" s="31">
        <v>27059</v>
      </c>
      <c r="P57" s="31">
        <v>30402</v>
      </c>
      <c r="Q57" s="31">
        <f>SUM(E57:P57)</f>
        <v>333874</v>
      </c>
      <c r="U57" s="32">
        <v>57</v>
      </c>
    </row>
    <row r="58" spans="2:21" ht="15" x14ac:dyDescent="0.25">
      <c r="B58" s="24"/>
      <c r="U58" s="32">
        <v>58</v>
      </c>
    </row>
    <row r="59" spans="2:21" ht="15" x14ac:dyDescent="0.25">
      <c r="B59" s="24" t="s">
        <v>120</v>
      </c>
      <c r="C59" s="31"/>
      <c r="D59" s="31"/>
      <c r="E59" s="31">
        <v>538</v>
      </c>
      <c r="F59" s="31">
        <v>491</v>
      </c>
      <c r="G59" s="31">
        <v>460</v>
      </c>
      <c r="H59" s="31">
        <v>453</v>
      </c>
      <c r="I59" s="31">
        <v>453</v>
      </c>
      <c r="J59" s="31">
        <v>576</v>
      </c>
      <c r="K59" s="31">
        <v>548</v>
      </c>
      <c r="L59" s="31">
        <v>533</v>
      </c>
      <c r="M59" s="31">
        <v>506</v>
      </c>
      <c r="N59" s="31">
        <v>623</v>
      </c>
      <c r="O59" s="31">
        <v>643</v>
      </c>
      <c r="P59" s="31">
        <v>533</v>
      </c>
      <c r="Q59" s="31">
        <f>SUM(E59:P59)</f>
        <v>6357</v>
      </c>
      <c r="U59" s="32">
        <v>59</v>
      </c>
    </row>
    <row r="60" spans="2:21" ht="15" x14ac:dyDescent="0.25">
      <c r="B60" s="24"/>
      <c r="U60" s="32">
        <v>60</v>
      </c>
    </row>
    <row r="61" spans="2:21" ht="15" x14ac:dyDescent="0.25">
      <c r="B61" s="24" t="s">
        <v>242</v>
      </c>
      <c r="C61" s="31"/>
      <c r="D61" s="31"/>
      <c r="E61" s="31">
        <v>10525</v>
      </c>
      <c r="F61" s="31">
        <v>6423.9999999999991</v>
      </c>
      <c r="G61" s="31">
        <v>8415</v>
      </c>
      <c r="H61" s="31">
        <v>10453</v>
      </c>
      <c r="I61" s="31">
        <v>6490</v>
      </c>
      <c r="J61" s="31">
        <v>8431</v>
      </c>
      <c r="K61" s="31">
        <v>12218</v>
      </c>
      <c r="L61" s="31">
        <v>8310</v>
      </c>
      <c r="M61" s="31">
        <v>8685</v>
      </c>
      <c r="N61" s="31">
        <v>6962</v>
      </c>
      <c r="O61" s="31">
        <v>6964</v>
      </c>
      <c r="P61" s="31">
        <v>1465</v>
      </c>
      <c r="Q61" s="31">
        <f>SUM(E61:P61)</f>
        <v>95342</v>
      </c>
      <c r="U61" s="32">
        <v>61</v>
      </c>
    </row>
    <row r="62" spans="2:21" ht="15" x14ac:dyDescent="0.25">
      <c r="B62" s="24"/>
      <c r="U62" s="32">
        <v>62</v>
      </c>
    </row>
    <row r="63" spans="2:21" ht="15" x14ac:dyDescent="0.25">
      <c r="B63" s="24" t="s">
        <v>122</v>
      </c>
      <c r="C63" s="31"/>
      <c r="D63" s="31"/>
      <c r="E63" s="31">
        <v>19104</v>
      </c>
      <c r="F63" s="31">
        <v>18960</v>
      </c>
      <c r="G63" s="31">
        <v>19200</v>
      </c>
      <c r="H63" s="31">
        <v>19152</v>
      </c>
      <c r="I63" s="31">
        <v>19104</v>
      </c>
      <c r="J63" s="31">
        <v>19104</v>
      </c>
      <c r="K63" s="31">
        <v>19128</v>
      </c>
      <c r="L63" s="31">
        <v>19056</v>
      </c>
      <c r="M63" s="31">
        <f>L63</f>
        <v>19056</v>
      </c>
      <c r="N63" s="31">
        <v>19056</v>
      </c>
      <c r="O63" s="31">
        <v>18960</v>
      </c>
      <c r="P63" s="31">
        <f>O63</f>
        <v>18960</v>
      </c>
      <c r="Q63" s="31">
        <f>SUM(E63:P63)</f>
        <v>228840</v>
      </c>
      <c r="U63" s="32">
        <v>63</v>
      </c>
    </row>
    <row r="64" spans="2:21" ht="15" x14ac:dyDescent="0.25">
      <c r="B64" s="24"/>
      <c r="U64" s="32">
        <v>64</v>
      </c>
    </row>
    <row r="65" spans="2:21" ht="15" x14ac:dyDescent="0.25">
      <c r="B65" s="24" t="s">
        <v>243</v>
      </c>
      <c r="C65" s="31"/>
      <c r="D65" s="31"/>
      <c r="E65" s="31">
        <v>3654.0000000000005</v>
      </c>
      <c r="F65" s="31">
        <v>3570.0000000000005</v>
      </c>
      <c r="G65" s="31">
        <v>3864.0000000000005</v>
      </c>
      <c r="H65" s="31">
        <v>3486</v>
      </c>
      <c r="I65" s="31">
        <v>3948</v>
      </c>
      <c r="J65" s="31">
        <v>3738.0000000000005</v>
      </c>
      <c r="K65" s="31">
        <v>3780.0000000000005</v>
      </c>
      <c r="L65" s="31">
        <v>3906.0000000000005</v>
      </c>
      <c r="M65" s="31">
        <v>3990.0000000000005</v>
      </c>
      <c r="N65" s="31">
        <v>3906.0000000000005</v>
      </c>
      <c r="O65" s="31">
        <v>4116</v>
      </c>
      <c r="P65" s="31">
        <v>4200</v>
      </c>
      <c r="Q65" s="31">
        <f>SUM(E65:P65)</f>
        <v>46158</v>
      </c>
      <c r="U65" s="32">
        <v>65</v>
      </c>
    </row>
    <row r="66" spans="2:21" ht="15" x14ac:dyDescent="0.25">
      <c r="B66" s="24"/>
      <c r="U66" s="32">
        <v>66</v>
      </c>
    </row>
    <row r="67" spans="2:21" ht="15" x14ac:dyDescent="0.25">
      <c r="B67" s="24" t="s">
        <v>244</v>
      </c>
      <c r="C67" s="31"/>
      <c r="D67" s="31"/>
      <c r="E67" s="31">
        <v>22116.000000000004</v>
      </c>
      <c r="F67" s="31">
        <v>10548</v>
      </c>
      <c r="G67" s="31"/>
      <c r="H67" s="31">
        <v>10368.000000000002</v>
      </c>
      <c r="I67" s="31">
        <v>20364.000000000004</v>
      </c>
      <c r="J67" s="31">
        <v>10272.000000000002</v>
      </c>
      <c r="K67" s="31">
        <v>10728</v>
      </c>
      <c r="L67" s="31">
        <v>10812</v>
      </c>
      <c r="M67" s="31">
        <v>11016.000000000002</v>
      </c>
      <c r="N67" s="31">
        <v>11052.000000000002</v>
      </c>
      <c r="O67" s="31">
        <v>11052.000000000002</v>
      </c>
      <c r="P67" s="31">
        <v>11232.000000000002</v>
      </c>
      <c r="Q67" s="31">
        <f>SUM(E67:P67)</f>
        <v>139560.00000000003</v>
      </c>
      <c r="U67" s="32">
        <v>67</v>
      </c>
    </row>
    <row r="68" spans="2:21" ht="15" x14ac:dyDescent="0.25">
      <c r="B68" s="24"/>
      <c r="U68" s="32">
        <v>68</v>
      </c>
    </row>
    <row r="69" spans="2:21" ht="15" x14ac:dyDescent="0.25">
      <c r="B69" s="24" t="s">
        <v>123</v>
      </c>
      <c r="C69" s="31"/>
      <c r="D69" s="31"/>
      <c r="E69" s="31">
        <v>2585</v>
      </c>
      <c r="F69" s="31">
        <v>2634</v>
      </c>
      <c r="G69" s="31">
        <v>2759</v>
      </c>
      <c r="H69" s="31">
        <v>2643</v>
      </c>
      <c r="I69" s="31">
        <v>2687</v>
      </c>
      <c r="J69" s="31">
        <v>2915</v>
      </c>
      <c r="K69" s="31">
        <v>2638</v>
      </c>
      <c r="L69" s="31">
        <v>2611</v>
      </c>
      <c r="M69" s="31">
        <v>2696</v>
      </c>
      <c r="N69" s="31">
        <v>3107</v>
      </c>
      <c r="O69" s="31">
        <v>2759</v>
      </c>
      <c r="P69" s="31">
        <v>2716</v>
      </c>
      <c r="Q69" s="31">
        <f>SUM(E69:P69)</f>
        <v>32750</v>
      </c>
      <c r="U69" s="32">
        <v>69</v>
      </c>
    </row>
    <row r="70" spans="2:21" ht="15" x14ac:dyDescent="0.25">
      <c r="B70" s="24"/>
      <c r="U70" s="32">
        <v>70</v>
      </c>
    </row>
    <row r="71" spans="2:21" ht="15" x14ac:dyDescent="0.25">
      <c r="B71" s="24" t="s">
        <v>317</v>
      </c>
      <c r="C71" s="31"/>
      <c r="D71" s="31"/>
      <c r="E71" s="31">
        <v>54469</v>
      </c>
      <c r="F71" s="31">
        <v>49919</v>
      </c>
      <c r="G71" s="31">
        <v>56759</v>
      </c>
      <c r="H71" s="31">
        <v>58343</v>
      </c>
      <c r="I71" s="31">
        <v>59845</v>
      </c>
      <c r="J71" s="31">
        <v>55762</v>
      </c>
      <c r="K71" s="31">
        <v>54016</v>
      </c>
      <c r="L71" s="31">
        <v>50402</v>
      </c>
      <c r="M71" s="31">
        <v>56979</v>
      </c>
      <c r="N71" s="31">
        <v>55190</v>
      </c>
      <c r="O71" s="31">
        <v>53224.105385509494</v>
      </c>
      <c r="P71" s="31">
        <v>62038.325842696628</v>
      </c>
      <c r="Q71" s="31">
        <f>SUM(E71:P71)</f>
        <v>666946.43122820614</v>
      </c>
      <c r="U71" s="32">
        <v>71</v>
      </c>
    </row>
    <row r="72" spans="2:21" ht="15" x14ac:dyDescent="0.25">
      <c r="B72" s="24"/>
      <c r="U72" s="32">
        <v>72</v>
      </c>
    </row>
    <row r="73" spans="2:21" ht="15" x14ac:dyDescent="0.25">
      <c r="B73" s="24" t="s">
        <v>279</v>
      </c>
      <c r="C73" s="31"/>
      <c r="D73" s="31"/>
      <c r="E73" s="31">
        <v>37344.000000000007</v>
      </c>
      <c r="F73" s="31">
        <v>64067.000000000007</v>
      </c>
      <c r="G73" s="31">
        <v>59261</v>
      </c>
      <c r="H73" s="31">
        <v>53670.482524778301</v>
      </c>
      <c r="I73" s="31">
        <v>96668.000000000015</v>
      </c>
      <c r="J73" s="31">
        <v>57604.000000000007</v>
      </c>
      <c r="K73" s="31">
        <v>74143.459050599893</v>
      </c>
      <c r="L73" s="31">
        <v>57919.000000000007</v>
      </c>
      <c r="M73" s="31">
        <v>66314</v>
      </c>
      <c r="N73" s="31">
        <v>71329</v>
      </c>
      <c r="O73" s="31">
        <v>53240</v>
      </c>
      <c r="P73" s="31">
        <v>83812.000000000015</v>
      </c>
      <c r="Q73" s="31">
        <f>SUM(E73:P73)</f>
        <v>775371.94157537818</v>
      </c>
      <c r="U73" s="32">
        <v>73</v>
      </c>
    </row>
    <row r="74" spans="2:21" ht="15" x14ac:dyDescent="0.25">
      <c r="B74" s="24" t="s">
        <v>278</v>
      </c>
      <c r="E74" s="31">
        <v>154035</v>
      </c>
      <c r="F74" s="31">
        <v>20828</v>
      </c>
      <c r="G74" s="31">
        <v>152073.00000000003</v>
      </c>
      <c r="H74" s="31">
        <v>156663</v>
      </c>
      <c r="I74" s="31">
        <v>157589</v>
      </c>
      <c r="J74" s="31">
        <v>152878</v>
      </c>
      <c r="K74" s="31">
        <v>150732</v>
      </c>
      <c r="L74" s="31">
        <v>150776</v>
      </c>
      <c r="M74" s="31">
        <v>148556</v>
      </c>
      <c r="N74" s="31">
        <v>284422.00000000006</v>
      </c>
      <c r="O74" s="31">
        <v>149718</v>
      </c>
      <c r="P74" s="31">
        <v>150946</v>
      </c>
      <c r="Q74" s="31">
        <f t="shared" ref="Q74" si="1">SUM(E74:P74)</f>
        <v>1829216</v>
      </c>
      <c r="U74" s="32">
        <v>74</v>
      </c>
    </row>
    <row r="75" spans="2:21" ht="15" x14ac:dyDescent="0.25">
      <c r="B75" s="24" t="s">
        <v>280</v>
      </c>
      <c r="E75" s="85">
        <f>SUM(E73:E74)</f>
        <v>191379</v>
      </c>
      <c r="F75" s="85">
        <f t="shared" ref="F75:P75" si="2">SUM(F73:F74)</f>
        <v>84895</v>
      </c>
      <c r="G75" s="85">
        <f t="shared" si="2"/>
        <v>211334.00000000003</v>
      </c>
      <c r="H75" s="85">
        <f t="shared" si="2"/>
        <v>210333.48252477829</v>
      </c>
      <c r="I75" s="85">
        <f t="shared" si="2"/>
        <v>254257</v>
      </c>
      <c r="J75" s="85">
        <f t="shared" si="2"/>
        <v>210482</v>
      </c>
      <c r="K75" s="85">
        <f t="shared" si="2"/>
        <v>224875.45905059989</v>
      </c>
      <c r="L75" s="85">
        <f t="shared" si="2"/>
        <v>208695</v>
      </c>
      <c r="M75" s="85">
        <f t="shared" si="2"/>
        <v>214870</v>
      </c>
      <c r="N75" s="85">
        <f t="shared" si="2"/>
        <v>355751.00000000006</v>
      </c>
      <c r="O75" s="85">
        <f t="shared" si="2"/>
        <v>202958</v>
      </c>
      <c r="P75" s="85">
        <f t="shared" si="2"/>
        <v>234758</v>
      </c>
      <c r="Q75" s="85">
        <f>SUM(E75:P75)</f>
        <v>2604587.9415753782</v>
      </c>
      <c r="U75" s="32">
        <v>75</v>
      </c>
    </row>
    <row r="76" spans="2:21" ht="15" x14ac:dyDescent="0.25">
      <c r="B76" s="24"/>
      <c r="U76" s="32">
        <v>76</v>
      </c>
    </row>
    <row r="77" spans="2:21" ht="15" x14ac:dyDescent="0.25">
      <c r="B77" s="24" t="s">
        <v>281</v>
      </c>
      <c r="C77" s="31"/>
      <c r="D77" s="31"/>
      <c r="E77" s="31">
        <v>4381.141949152543</v>
      </c>
      <c r="F77" s="31">
        <v>0</v>
      </c>
      <c r="G77" s="31">
        <v>6416.0000000000009</v>
      </c>
      <c r="H77" s="31">
        <v>3692.0000000000005</v>
      </c>
      <c r="I77" s="31">
        <v>3968.0000000000005</v>
      </c>
      <c r="J77" s="31">
        <v>0</v>
      </c>
      <c r="K77" s="31">
        <v>3624.0000000000005</v>
      </c>
      <c r="L77" s="31">
        <v>2381</v>
      </c>
      <c r="M77" s="31">
        <v>5824.0000000000009</v>
      </c>
      <c r="N77" s="31">
        <v>2604.0000000000005</v>
      </c>
      <c r="O77" s="31">
        <v>2381</v>
      </c>
      <c r="P77" s="31">
        <v>2381</v>
      </c>
      <c r="Q77" s="31">
        <f>SUM(E77:P77)</f>
        <v>37652.141949152545</v>
      </c>
      <c r="U77" s="32">
        <v>77</v>
      </c>
    </row>
    <row r="78" spans="2:21" ht="15" x14ac:dyDescent="0.25">
      <c r="B78" s="24" t="s">
        <v>282</v>
      </c>
      <c r="C78" s="31"/>
      <c r="D78" s="31"/>
      <c r="E78" s="31">
        <v>27099.000000000004</v>
      </c>
      <c r="F78" s="31">
        <v>26565.000000000004</v>
      </c>
      <c r="G78" s="31">
        <v>31207.000000000004</v>
      </c>
      <c r="H78" s="31">
        <v>32195.000000000004</v>
      </c>
      <c r="I78" s="31">
        <v>30657.000000000004</v>
      </c>
      <c r="J78" s="31">
        <v>26117.000000000004</v>
      </c>
      <c r="K78" s="31">
        <v>30095</v>
      </c>
      <c r="L78" s="31">
        <v>30359</v>
      </c>
      <c r="M78" s="31">
        <v>30847.000000000004</v>
      </c>
      <c r="N78" s="31">
        <v>25956</v>
      </c>
      <c r="O78" s="31">
        <v>26203.000000000004</v>
      </c>
      <c r="P78" s="31">
        <v>35201</v>
      </c>
      <c r="Q78" s="31">
        <f>SUM(E78:P78)</f>
        <v>352501.00000000006</v>
      </c>
      <c r="U78" s="32">
        <v>78</v>
      </c>
    </row>
    <row r="79" spans="2:21" ht="15" x14ac:dyDescent="0.25">
      <c r="B79" s="24" t="s">
        <v>126</v>
      </c>
      <c r="C79" s="31"/>
      <c r="D79" s="31"/>
      <c r="E79" s="85">
        <f>SUM(E77:E78)</f>
        <v>31480.141949152545</v>
      </c>
      <c r="F79" s="85">
        <f t="shared" ref="F79:P79" si="3">SUM(F77:F78)</f>
        <v>26565.000000000004</v>
      </c>
      <c r="G79" s="85">
        <f t="shared" si="3"/>
        <v>37623.000000000007</v>
      </c>
      <c r="H79" s="85">
        <f t="shared" si="3"/>
        <v>35887.000000000007</v>
      </c>
      <c r="I79" s="85">
        <f t="shared" si="3"/>
        <v>34625.000000000007</v>
      </c>
      <c r="J79" s="85">
        <f t="shared" si="3"/>
        <v>26117.000000000004</v>
      </c>
      <c r="K79" s="85">
        <f t="shared" si="3"/>
        <v>33719</v>
      </c>
      <c r="L79" s="85">
        <f t="shared" si="3"/>
        <v>32740</v>
      </c>
      <c r="M79" s="85">
        <f t="shared" si="3"/>
        <v>36671.000000000007</v>
      </c>
      <c r="N79" s="85">
        <f t="shared" si="3"/>
        <v>28560</v>
      </c>
      <c r="O79" s="85">
        <f t="shared" si="3"/>
        <v>28584.000000000004</v>
      </c>
      <c r="P79" s="85">
        <f t="shared" si="3"/>
        <v>37582</v>
      </c>
      <c r="Q79" s="85">
        <f>SUM(E79:P79)</f>
        <v>390153.14194915257</v>
      </c>
      <c r="U79" s="32">
        <v>79</v>
      </c>
    </row>
    <row r="80" spans="2:21" ht="15" x14ac:dyDescent="0.25">
      <c r="B80" s="81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149"/>
    </row>
    <row r="81" spans="1:18" ht="15" x14ac:dyDescent="0.25">
      <c r="B81" s="84" t="s">
        <v>0</v>
      </c>
      <c r="C81" s="31">
        <f>SUM(C10:C77)</f>
        <v>0</v>
      </c>
      <c r="D81" s="31">
        <f t="shared" ref="D81" si="4">SUM(D10:D77)</f>
        <v>0</v>
      </c>
      <c r="E81" s="31">
        <f>SUM(E40,E44,E46,E51,E53,E55,E61,E63,E65,E67,E69,E71,E75,E79)</f>
        <v>430466.14194915257</v>
      </c>
      <c r="F81" s="31">
        <f t="shared" ref="F81:P81" si="5">SUM(F40,F44,F46,F51,F53,F55,F61,F63,F65,F67,F69,F71,F75,F79)</f>
        <v>300025</v>
      </c>
      <c r="G81" s="31">
        <f t="shared" si="5"/>
        <v>436715</v>
      </c>
      <c r="H81" s="31">
        <f t="shared" si="5"/>
        <v>450113.48252477829</v>
      </c>
      <c r="I81" s="31">
        <f t="shared" si="5"/>
        <v>501130</v>
      </c>
      <c r="J81" s="31">
        <f t="shared" si="5"/>
        <v>436709</v>
      </c>
      <c r="K81" s="31">
        <f t="shared" si="5"/>
        <v>457051.45905059989</v>
      </c>
      <c r="L81" s="31">
        <f t="shared" si="5"/>
        <v>433431</v>
      </c>
      <c r="M81" s="31">
        <f t="shared" si="5"/>
        <v>453116</v>
      </c>
      <c r="N81" s="31">
        <f t="shared" si="5"/>
        <v>588794</v>
      </c>
      <c r="O81" s="31">
        <f t="shared" si="5"/>
        <v>430481.10538550949</v>
      </c>
      <c r="P81" s="31">
        <f t="shared" si="5"/>
        <v>471810.32584269659</v>
      </c>
      <c r="Q81" s="31">
        <f>SUM(E81:P81)</f>
        <v>5389842.5147527363</v>
      </c>
      <c r="R81" s="31">
        <f>SUM(Q79,Q75,Q71,Q69,Q67,Q65,Q63,Q61,Q55,Q53,Q51,Q46,Q44,Q40)</f>
        <v>5389842.5147527363</v>
      </c>
    </row>
    <row r="82" spans="1:18" x14ac:dyDescent="0.2">
      <c r="C82" s="31">
        <f t="shared" ref="C82:N82" si="6">+C81-C191</f>
        <v>0</v>
      </c>
      <c r="D82" s="31">
        <f t="shared" si="6"/>
        <v>0</v>
      </c>
      <c r="E82" s="31">
        <f t="shared" si="6"/>
        <v>430466.14194915257</v>
      </c>
      <c r="F82" s="31">
        <f t="shared" si="6"/>
        <v>300025</v>
      </c>
      <c r="G82" s="31">
        <f t="shared" si="6"/>
        <v>436715</v>
      </c>
      <c r="H82" s="31">
        <f t="shared" si="6"/>
        <v>450113.48252477829</v>
      </c>
      <c r="I82" s="31">
        <f t="shared" si="6"/>
        <v>501130</v>
      </c>
      <c r="J82" s="31">
        <f t="shared" si="6"/>
        <v>436709</v>
      </c>
      <c r="K82" s="31">
        <f t="shared" si="6"/>
        <v>457051.45905059989</v>
      </c>
      <c r="L82" s="31">
        <f t="shared" si="6"/>
        <v>433431</v>
      </c>
      <c r="M82" s="31">
        <f t="shared" si="6"/>
        <v>453116</v>
      </c>
      <c r="N82" s="31">
        <f t="shared" si="6"/>
        <v>588794</v>
      </c>
      <c r="O82" s="31">
        <f t="shared" ref="O82:P82" si="7">+O81-O191</f>
        <v>430481.10538550949</v>
      </c>
      <c r="P82" s="31">
        <f t="shared" si="7"/>
        <v>471810.32584269659</v>
      </c>
    </row>
    <row r="83" spans="1:18" x14ac:dyDescent="0.2">
      <c r="B83" s="33"/>
    </row>
    <row r="84" spans="1:18" x14ac:dyDescent="0.2">
      <c r="B84" s="33"/>
    </row>
    <row r="85" spans="1:18" x14ac:dyDescent="0.2">
      <c r="B85" s="33" t="s">
        <v>22</v>
      </c>
      <c r="C85" s="80">
        <f>C8</f>
        <v>0</v>
      </c>
      <c r="D85" s="80">
        <f t="shared" ref="D85:P85" si="8">D8</f>
        <v>0</v>
      </c>
      <c r="E85" s="80" t="str">
        <f t="shared" si="8"/>
        <v>Apr</v>
      </c>
      <c r="F85" s="80" t="str">
        <f t="shared" si="8"/>
        <v>May</v>
      </c>
      <c r="G85" s="80" t="str">
        <f t="shared" si="8"/>
        <v>Jun</v>
      </c>
      <c r="H85" s="80" t="str">
        <f t="shared" si="8"/>
        <v>Jul</v>
      </c>
      <c r="I85" s="80" t="str">
        <f t="shared" si="8"/>
        <v>Aug</v>
      </c>
      <c r="J85" s="80" t="str">
        <f t="shared" si="8"/>
        <v>Sep</v>
      </c>
      <c r="K85" s="80" t="str">
        <f t="shared" si="8"/>
        <v>Oct</v>
      </c>
      <c r="L85" s="80" t="str">
        <f t="shared" si="8"/>
        <v>Nov</v>
      </c>
      <c r="M85" s="80" t="str">
        <f t="shared" si="8"/>
        <v>Dec</v>
      </c>
      <c r="N85" s="80" t="str">
        <f t="shared" si="8"/>
        <v>Jan</v>
      </c>
      <c r="O85" s="80" t="str">
        <f t="shared" si="8"/>
        <v>Feb</v>
      </c>
      <c r="P85" s="80" t="str">
        <f t="shared" si="8"/>
        <v>Mar</v>
      </c>
    </row>
    <row r="86" spans="1:18" x14ac:dyDescent="0.2">
      <c r="B86" s="86"/>
    </row>
    <row r="87" spans="1:18" ht="16.5" hidden="1" customHeight="1" x14ac:dyDescent="0.2">
      <c r="A87" s="32">
        <v>11</v>
      </c>
      <c r="B87" s="33" t="s">
        <v>23</v>
      </c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</row>
    <row r="88" spans="1:18" hidden="1" x14ac:dyDescent="0.2">
      <c r="A88" s="32">
        <v>12</v>
      </c>
      <c r="B88" s="33" t="s">
        <v>24</v>
      </c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</row>
    <row r="89" spans="1:18" hidden="1" x14ac:dyDescent="0.2">
      <c r="A89" s="32">
        <v>13</v>
      </c>
      <c r="B89" s="33" t="s">
        <v>25</v>
      </c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</row>
    <row r="90" spans="1:18" hidden="1" x14ac:dyDescent="0.2">
      <c r="A90" s="32">
        <v>15</v>
      </c>
      <c r="B90" s="33" t="s">
        <v>26</v>
      </c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</row>
    <row r="91" spans="1:18" hidden="1" x14ac:dyDescent="0.2">
      <c r="A91" s="32">
        <v>17</v>
      </c>
      <c r="B91" s="33" t="s">
        <v>27</v>
      </c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</row>
    <row r="92" spans="1:18" hidden="1" x14ac:dyDescent="0.2">
      <c r="A92" s="32">
        <v>22</v>
      </c>
      <c r="B92" s="58" t="s">
        <v>28</v>
      </c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</row>
    <row r="93" spans="1:18" hidden="1" x14ac:dyDescent="0.2">
      <c r="B93" s="33" t="s">
        <v>21</v>
      </c>
      <c r="C93" s="31">
        <f t="shared" ref="C93:P93" si="9">SUM(C87:C92)</f>
        <v>0</v>
      </c>
      <c r="D93" s="31">
        <f t="shared" si="9"/>
        <v>0</v>
      </c>
      <c r="E93" s="31">
        <f t="shared" si="9"/>
        <v>0</v>
      </c>
      <c r="F93" s="31">
        <f t="shared" si="9"/>
        <v>0</v>
      </c>
      <c r="G93" s="31">
        <f t="shared" si="9"/>
        <v>0</v>
      </c>
      <c r="H93" s="31">
        <f t="shared" si="9"/>
        <v>0</v>
      </c>
      <c r="I93" s="31">
        <f t="shared" si="9"/>
        <v>0</v>
      </c>
      <c r="J93" s="31">
        <f t="shared" si="9"/>
        <v>0</v>
      </c>
      <c r="K93" s="31">
        <f t="shared" si="9"/>
        <v>0</v>
      </c>
      <c r="L93" s="31">
        <f t="shared" si="9"/>
        <v>0</v>
      </c>
      <c r="M93" s="31">
        <f t="shared" si="9"/>
        <v>0</v>
      </c>
      <c r="N93" s="31">
        <f t="shared" si="9"/>
        <v>0</v>
      </c>
      <c r="O93" s="31">
        <f t="shared" si="9"/>
        <v>0</v>
      </c>
      <c r="P93" s="31">
        <f t="shared" si="9"/>
        <v>0</v>
      </c>
    </row>
    <row r="94" spans="1:18" hidden="1" x14ac:dyDescent="0.2">
      <c r="B94" s="33"/>
    </row>
    <row r="95" spans="1:18" hidden="1" x14ac:dyDescent="0.2">
      <c r="A95" s="32">
        <v>28</v>
      </c>
      <c r="B95" s="33" t="s">
        <v>29</v>
      </c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</row>
    <row r="96" spans="1:18" hidden="1" x14ac:dyDescent="0.2">
      <c r="A96" s="32">
        <v>30</v>
      </c>
      <c r="B96" s="33" t="s">
        <v>30</v>
      </c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</row>
    <row r="97" spans="1:17" hidden="1" x14ac:dyDescent="0.2">
      <c r="A97" s="32">
        <v>32</v>
      </c>
      <c r="B97" s="33" t="s">
        <v>31</v>
      </c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</row>
    <row r="98" spans="1:17" hidden="1" x14ac:dyDescent="0.2">
      <c r="A98" s="32">
        <v>34</v>
      </c>
      <c r="B98" s="25" t="s">
        <v>32</v>
      </c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89"/>
      <c r="P98" s="88"/>
    </row>
    <row r="99" spans="1:17" hidden="1" x14ac:dyDescent="0.2">
      <c r="B99" s="33" t="s">
        <v>20</v>
      </c>
      <c r="C99" s="31">
        <f>SUM(C95:C98)</f>
        <v>0</v>
      </c>
      <c r="D99" s="31">
        <f t="shared" ref="D99:P99" si="10">SUM(D95:D98)</f>
        <v>0</v>
      </c>
      <c r="E99" s="31">
        <f t="shared" si="10"/>
        <v>0</v>
      </c>
      <c r="F99" s="31">
        <f t="shared" si="10"/>
        <v>0</v>
      </c>
      <c r="G99" s="31">
        <f t="shared" si="10"/>
        <v>0</v>
      </c>
      <c r="H99" s="31">
        <f t="shared" si="10"/>
        <v>0</v>
      </c>
      <c r="I99" s="31">
        <f t="shared" si="10"/>
        <v>0</v>
      </c>
      <c r="J99" s="31">
        <f t="shared" si="10"/>
        <v>0</v>
      </c>
      <c r="K99" s="31">
        <f t="shared" si="10"/>
        <v>0</v>
      </c>
      <c r="L99" s="31">
        <f t="shared" si="10"/>
        <v>0</v>
      </c>
      <c r="M99" s="31">
        <f t="shared" si="10"/>
        <v>0</v>
      </c>
      <c r="N99" s="31">
        <f t="shared" si="10"/>
        <v>0</v>
      </c>
      <c r="O99" s="31">
        <f t="shared" si="10"/>
        <v>0</v>
      </c>
      <c r="P99" s="31">
        <f t="shared" si="10"/>
        <v>0</v>
      </c>
    </row>
    <row r="100" spans="1:17" hidden="1" x14ac:dyDescent="0.2">
      <c r="B100" s="33"/>
    </row>
    <row r="101" spans="1:17" hidden="1" x14ac:dyDescent="0.2">
      <c r="A101" s="32">
        <v>36</v>
      </c>
      <c r="B101" s="42" t="s">
        <v>33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</row>
    <row r="102" spans="1:17" hidden="1" x14ac:dyDescent="0.2">
      <c r="B102" s="42"/>
    </row>
    <row r="103" spans="1:17" hidden="1" x14ac:dyDescent="0.2">
      <c r="A103" s="32">
        <v>27</v>
      </c>
      <c r="B103" s="33" t="s">
        <v>34</v>
      </c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</row>
    <row r="104" spans="1:17" hidden="1" x14ac:dyDescent="0.2">
      <c r="B104" s="33"/>
    </row>
    <row r="105" spans="1:17" hidden="1" x14ac:dyDescent="0.2">
      <c r="A105" s="32">
        <v>211</v>
      </c>
      <c r="B105" s="33" t="s">
        <v>35</v>
      </c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</row>
    <row r="106" spans="1:17" hidden="1" x14ac:dyDescent="0.2">
      <c r="A106" s="32">
        <v>212</v>
      </c>
      <c r="B106" s="25" t="s">
        <v>36</v>
      </c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89"/>
      <c r="O106" s="89"/>
      <c r="P106" s="89"/>
      <c r="Q106" s="35"/>
    </row>
    <row r="107" spans="1:17" hidden="1" x14ac:dyDescent="0.2">
      <c r="B107" s="33" t="s">
        <v>37</v>
      </c>
      <c r="C107" s="31">
        <f>SUM(C105:C106)</f>
        <v>0</v>
      </c>
      <c r="D107" s="31">
        <f t="shared" ref="D107:N107" si="11">SUM(D105:D106)</f>
        <v>0</v>
      </c>
      <c r="E107" s="31">
        <f t="shared" si="11"/>
        <v>0</v>
      </c>
      <c r="F107" s="31">
        <f t="shared" si="11"/>
        <v>0</v>
      </c>
      <c r="G107" s="31">
        <f t="shared" si="11"/>
        <v>0</v>
      </c>
      <c r="H107" s="31">
        <f t="shared" si="11"/>
        <v>0</v>
      </c>
      <c r="I107" s="31">
        <f t="shared" si="11"/>
        <v>0</v>
      </c>
      <c r="J107" s="31">
        <f t="shared" si="11"/>
        <v>0</v>
      </c>
      <c r="K107" s="31">
        <f t="shared" si="11"/>
        <v>0</v>
      </c>
      <c r="L107" s="31">
        <f t="shared" si="11"/>
        <v>0</v>
      </c>
      <c r="M107" s="31">
        <f t="shared" si="11"/>
        <v>0</v>
      </c>
      <c r="N107" s="31">
        <f t="shared" si="11"/>
        <v>0</v>
      </c>
      <c r="O107" s="31">
        <f t="shared" ref="O107:P107" si="12">SUM(O105:O106)</f>
        <v>0</v>
      </c>
      <c r="P107" s="31">
        <f t="shared" si="12"/>
        <v>0</v>
      </c>
    </row>
    <row r="108" spans="1:17" hidden="1" x14ac:dyDescent="0.2">
      <c r="B108" s="33"/>
    </row>
    <row r="109" spans="1:17" hidden="1" x14ac:dyDescent="0.2">
      <c r="A109" s="32">
        <v>225</v>
      </c>
      <c r="B109" s="33" t="s">
        <v>38</v>
      </c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</row>
    <row r="110" spans="1:17" hidden="1" x14ac:dyDescent="0.2">
      <c r="B110" s="33"/>
    </row>
    <row r="111" spans="1:17" hidden="1" x14ac:dyDescent="0.2">
      <c r="A111" s="32">
        <v>204</v>
      </c>
      <c r="B111" s="33" t="s">
        <v>39</v>
      </c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</row>
    <row r="112" spans="1:17" hidden="1" x14ac:dyDescent="0.2">
      <c r="A112" s="32">
        <v>213</v>
      </c>
      <c r="B112" s="25" t="s">
        <v>40</v>
      </c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</row>
    <row r="113" spans="1:18" hidden="1" x14ac:dyDescent="0.2">
      <c r="B113" s="33" t="s">
        <v>14</v>
      </c>
      <c r="C113" s="31">
        <f>SUM(C111:C112)</f>
        <v>0</v>
      </c>
      <c r="D113" s="31">
        <f t="shared" ref="D113:N113" si="13">SUM(D111:D112)</f>
        <v>0</v>
      </c>
      <c r="E113" s="31">
        <f t="shared" si="13"/>
        <v>0</v>
      </c>
      <c r="F113" s="31">
        <f t="shared" si="13"/>
        <v>0</v>
      </c>
      <c r="G113" s="31">
        <f t="shared" si="13"/>
        <v>0</v>
      </c>
      <c r="H113" s="31">
        <f t="shared" si="13"/>
        <v>0</v>
      </c>
      <c r="I113" s="31">
        <f t="shared" si="13"/>
        <v>0</v>
      </c>
      <c r="J113" s="31">
        <f t="shared" si="13"/>
        <v>0</v>
      </c>
      <c r="K113" s="31">
        <f t="shared" si="13"/>
        <v>0</v>
      </c>
      <c r="L113" s="31">
        <f t="shared" si="13"/>
        <v>0</v>
      </c>
      <c r="M113" s="31">
        <f t="shared" si="13"/>
        <v>0</v>
      </c>
      <c r="N113" s="31">
        <f t="shared" si="13"/>
        <v>0</v>
      </c>
      <c r="O113" s="31">
        <f t="shared" ref="O113:P113" si="14">SUM(O111:O112)</f>
        <v>0</v>
      </c>
      <c r="P113" s="31">
        <f t="shared" si="14"/>
        <v>0</v>
      </c>
    </row>
    <row r="114" spans="1:18" hidden="1" x14ac:dyDescent="0.2">
      <c r="B114" s="33"/>
    </row>
    <row r="115" spans="1:18" hidden="1" x14ac:dyDescent="0.2">
      <c r="A115" s="32">
        <v>227</v>
      </c>
      <c r="B115" s="33" t="s">
        <v>41</v>
      </c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</row>
    <row r="116" spans="1:18" hidden="1" x14ac:dyDescent="0.2"/>
    <row r="117" spans="1:18" hidden="1" x14ac:dyDescent="0.2">
      <c r="A117" s="32">
        <v>214</v>
      </c>
      <c r="B117" s="33" t="s">
        <v>42</v>
      </c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</row>
    <row r="118" spans="1:18" hidden="1" x14ac:dyDescent="0.2">
      <c r="B118" s="33"/>
    </row>
    <row r="119" spans="1:18" hidden="1" x14ac:dyDescent="0.2">
      <c r="A119" s="32">
        <v>215</v>
      </c>
      <c r="B119" s="33" t="s">
        <v>43</v>
      </c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</row>
    <row r="120" spans="1:18" hidden="1" x14ac:dyDescent="0.2">
      <c r="A120" s="32">
        <v>216</v>
      </c>
      <c r="B120" s="33" t="s">
        <v>44</v>
      </c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</row>
    <row r="121" spans="1:18" hidden="1" x14ac:dyDescent="0.2">
      <c r="A121" s="32">
        <v>218</v>
      </c>
      <c r="B121" s="25" t="s">
        <v>45</v>
      </c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89"/>
      <c r="P121" s="88"/>
    </row>
    <row r="122" spans="1:18" hidden="1" x14ac:dyDescent="0.2">
      <c r="B122" s="33" t="s">
        <v>12</v>
      </c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>
        <f>SUM(E122:P122)</f>
        <v>0</v>
      </c>
      <c r="R122" s="32" t="s">
        <v>163</v>
      </c>
    </row>
    <row r="123" spans="1:18" hidden="1" x14ac:dyDescent="0.2">
      <c r="B123" s="33"/>
    </row>
    <row r="124" spans="1:18" hidden="1" x14ac:dyDescent="0.2">
      <c r="A124" s="32">
        <v>223</v>
      </c>
      <c r="B124" s="33" t="s">
        <v>46</v>
      </c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</row>
    <row r="125" spans="1:18" hidden="1" x14ac:dyDescent="0.2"/>
    <row r="126" spans="1:18" hidden="1" x14ac:dyDescent="0.2">
      <c r="A126" s="32">
        <v>229</v>
      </c>
      <c r="B126" s="33" t="s">
        <v>47</v>
      </c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</row>
    <row r="127" spans="1:18" hidden="1" x14ac:dyDescent="0.2">
      <c r="B127" s="33"/>
    </row>
    <row r="128" spans="1:18" hidden="1" x14ac:dyDescent="0.2">
      <c r="A128" s="32">
        <v>217</v>
      </c>
      <c r="B128" s="33" t="s">
        <v>48</v>
      </c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</row>
    <row r="129" spans="1:18" hidden="1" x14ac:dyDescent="0.2">
      <c r="A129" s="32">
        <v>220</v>
      </c>
      <c r="B129" s="25" t="s">
        <v>49</v>
      </c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89"/>
      <c r="P129" s="88"/>
    </row>
    <row r="130" spans="1:18" hidden="1" x14ac:dyDescent="0.2">
      <c r="B130" s="33" t="s">
        <v>9</v>
      </c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>
        <f>SUM(E130:P130)</f>
        <v>0</v>
      </c>
      <c r="R130" s="32" t="s">
        <v>163</v>
      </c>
    </row>
    <row r="131" spans="1:18" hidden="1" x14ac:dyDescent="0.2">
      <c r="B131" s="33"/>
    </row>
    <row r="132" spans="1:18" hidden="1" x14ac:dyDescent="0.2">
      <c r="A132" s="32">
        <v>236</v>
      </c>
      <c r="B132" s="33" t="s">
        <v>72</v>
      </c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>
        <f>SUM(E132:P132)</f>
        <v>0</v>
      </c>
      <c r="R132" s="32" t="s">
        <v>163</v>
      </c>
    </row>
    <row r="133" spans="1:18" hidden="1" x14ac:dyDescent="0.2">
      <c r="B133" s="33"/>
    </row>
    <row r="134" spans="1:18" hidden="1" x14ac:dyDescent="0.2">
      <c r="A134" s="32">
        <v>240</v>
      </c>
      <c r="B134" s="33" t="s">
        <v>50</v>
      </c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</row>
    <row r="135" spans="1:18" hidden="1" x14ac:dyDescent="0.2">
      <c r="A135" s="32">
        <v>242</v>
      </c>
      <c r="B135" s="25" t="s">
        <v>51</v>
      </c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89"/>
      <c r="P135" s="88"/>
    </row>
    <row r="136" spans="1:18" hidden="1" x14ac:dyDescent="0.2">
      <c r="B136" s="33" t="s">
        <v>7</v>
      </c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>
        <f>SUM(E136:P136)</f>
        <v>0</v>
      </c>
      <c r="R136" s="32" t="s">
        <v>163</v>
      </c>
    </row>
    <row r="137" spans="1:18" hidden="1" x14ac:dyDescent="0.2">
      <c r="B137" s="33"/>
    </row>
    <row r="138" spans="1:18" hidden="1" x14ac:dyDescent="0.2">
      <c r="A138" s="32">
        <v>251</v>
      </c>
      <c r="B138" s="33" t="s">
        <v>52</v>
      </c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</row>
    <row r="139" spans="1:18" hidden="1" x14ac:dyDescent="0.2">
      <c r="B139" s="33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</row>
    <row r="140" spans="1:18" hidden="1" x14ac:dyDescent="0.2">
      <c r="A140" s="32">
        <v>256</v>
      </c>
      <c r="B140" s="33" t="s">
        <v>93</v>
      </c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>
        <f>SUM(E140:P140)</f>
        <v>0</v>
      </c>
      <c r="R140" s="32" t="s">
        <v>163</v>
      </c>
    </row>
    <row r="141" spans="1:18" hidden="1" x14ac:dyDescent="0.2">
      <c r="B141" s="33"/>
    </row>
    <row r="142" spans="1:18" hidden="1" x14ac:dyDescent="0.2">
      <c r="A142" s="32">
        <v>244</v>
      </c>
      <c r="B142" s="33" t="s">
        <v>53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</row>
    <row r="143" spans="1:18" hidden="1" x14ac:dyDescent="0.2">
      <c r="A143" s="32">
        <v>246</v>
      </c>
      <c r="B143" s="25" t="s">
        <v>54</v>
      </c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89"/>
      <c r="P143" s="88"/>
    </row>
    <row r="144" spans="1:18" hidden="1" x14ac:dyDescent="0.2">
      <c r="B144" s="33" t="s">
        <v>5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>
        <f>SUM(E144:P144)</f>
        <v>0</v>
      </c>
      <c r="R144" s="32" t="s">
        <v>163</v>
      </c>
    </row>
    <row r="145" spans="1:18" hidden="1" x14ac:dyDescent="0.2">
      <c r="B145" s="33"/>
    </row>
    <row r="146" spans="1:18" hidden="1" x14ac:dyDescent="0.2">
      <c r="A146" s="32">
        <v>248</v>
      </c>
      <c r="B146" s="34" t="s">
        <v>73</v>
      </c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>
        <f>SUM(E146:P146)</f>
        <v>0</v>
      </c>
      <c r="R146" s="32" t="s">
        <v>163</v>
      </c>
    </row>
    <row r="147" spans="1:18" hidden="1" x14ac:dyDescent="0.2">
      <c r="B147" s="34"/>
    </row>
    <row r="148" spans="1:18" hidden="1" x14ac:dyDescent="0.2">
      <c r="A148" s="32">
        <v>250</v>
      </c>
      <c r="B148" s="34" t="s">
        <v>74</v>
      </c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>
        <f>SUM(E148:P148)</f>
        <v>0</v>
      </c>
      <c r="R148" s="32" t="s">
        <v>163</v>
      </c>
    </row>
    <row r="149" spans="1:18" hidden="1" x14ac:dyDescent="0.2">
      <c r="B149" s="34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</row>
    <row r="150" spans="1:18" hidden="1" x14ac:dyDescent="0.2">
      <c r="A150" s="32">
        <v>260</v>
      </c>
      <c r="B150" s="34" t="s">
        <v>94</v>
      </c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>
        <f>SUM(E150:P150)</f>
        <v>0</v>
      </c>
      <c r="R150" s="32" t="s">
        <v>163</v>
      </c>
    </row>
    <row r="151" spans="1:18" hidden="1" x14ac:dyDescent="0.2">
      <c r="B151" s="34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</row>
    <row r="152" spans="1:18" hidden="1" x14ac:dyDescent="0.2">
      <c r="A152" s="32">
        <v>264</v>
      </c>
      <c r="B152" s="34" t="s">
        <v>95</v>
      </c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>
        <f>SUM(E152:P152)</f>
        <v>0</v>
      </c>
      <c r="R152" s="32" t="s">
        <v>163</v>
      </c>
    </row>
    <row r="153" spans="1:18" hidden="1" x14ac:dyDescent="0.2"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</row>
    <row r="154" spans="1:18" hidden="1" x14ac:dyDescent="0.2">
      <c r="A154" s="32">
        <v>321</v>
      </c>
      <c r="B154" s="34" t="s">
        <v>96</v>
      </c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>
        <f>SUM(E154:P154)</f>
        <v>0</v>
      </c>
      <c r="R154" s="32" t="s">
        <v>163</v>
      </c>
    </row>
    <row r="155" spans="1:18" hidden="1" x14ac:dyDescent="0.2"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</row>
    <row r="156" spans="1:18" hidden="1" x14ac:dyDescent="0.2">
      <c r="A156" s="32">
        <v>331</v>
      </c>
      <c r="B156" s="32" t="s">
        <v>97</v>
      </c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>
        <f>SUM(E156:P156)</f>
        <v>0</v>
      </c>
      <c r="R156" s="32" t="s">
        <v>163</v>
      </c>
    </row>
    <row r="157" spans="1:18" hidden="1" x14ac:dyDescent="0.2">
      <c r="B157" s="34"/>
    </row>
    <row r="158" spans="1:18" hidden="1" x14ac:dyDescent="0.2">
      <c r="A158" s="32">
        <v>356</v>
      </c>
      <c r="B158" s="34" t="s">
        <v>98</v>
      </c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>
        <f>SUM(E158:P158)</f>
        <v>0</v>
      </c>
      <c r="R158" s="32" t="s">
        <v>163</v>
      </c>
    </row>
    <row r="159" spans="1:18" hidden="1" x14ac:dyDescent="0.2">
      <c r="B159" s="57" t="s">
        <v>165</v>
      </c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>
        <f>SUM(E159:P159)</f>
        <v>0</v>
      </c>
      <c r="R159" s="32" t="s">
        <v>163</v>
      </c>
    </row>
    <row r="160" spans="1:18" hidden="1" x14ac:dyDescent="0.2">
      <c r="A160" s="32">
        <v>358</v>
      </c>
      <c r="B160" s="35" t="s">
        <v>99</v>
      </c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1">
        <f>SUM(E160:P160)</f>
        <v>0</v>
      </c>
      <c r="R160" s="32" t="s">
        <v>163</v>
      </c>
    </row>
    <row r="161" spans="1:18" hidden="1" x14ac:dyDescent="0.2">
      <c r="B161" s="33" t="s">
        <v>166</v>
      </c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>
        <f>SUM(E161:P161)</f>
        <v>0</v>
      </c>
      <c r="R161" s="32" t="s">
        <v>163</v>
      </c>
    </row>
    <row r="162" spans="1:18" hidden="1" x14ac:dyDescent="0.2">
      <c r="A162" s="32">
        <v>359</v>
      </c>
      <c r="B162" s="33" t="s">
        <v>100</v>
      </c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</row>
    <row r="163" spans="1:18" hidden="1" x14ac:dyDescent="0.2">
      <c r="A163" s="32">
        <v>371</v>
      </c>
      <c r="B163" s="58" t="s">
        <v>101</v>
      </c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</row>
    <row r="164" spans="1:18" hidden="1" x14ac:dyDescent="0.2">
      <c r="B164" s="33" t="s">
        <v>102</v>
      </c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>
        <f>SUM(E164:P164)</f>
        <v>0</v>
      </c>
      <c r="R164" s="32" t="s">
        <v>163</v>
      </c>
    </row>
    <row r="165" spans="1:18" hidden="1" x14ac:dyDescent="0.2">
      <c r="B165" s="32" t="s">
        <v>167</v>
      </c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>
        <f>SUM(E165:P165)</f>
        <v>0</v>
      </c>
      <c r="R165" s="32" t="s">
        <v>163</v>
      </c>
    </row>
    <row r="166" spans="1:18" hidden="1" x14ac:dyDescent="0.2">
      <c r="A166" s="32">
        <v>360</v>
      </c>
      <c r="B166" s="33" t="s">
        <v>103</v>
      </c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</row>
    <row r="167" spans="1:18" hidden="1" x14ac:dyDescent="0.2">
      <c r="A167" s="32">
        <v>372</v>
      </c>
      <c r="B167" s="58" t="s">
        <v>104</v>
      </c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</row>
    <row r="168" spans="1:18" hidden="1" x14ac:dyDescent="0.2">
      <c r="B168" s="33" t="s">
        <v>105</v>
      </c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>
        <f>SUM(E168:P168)</f>
        <v>0</v>
      </c>
      <c r="R168" s="32" t="s">
        <v>163</v>
      </c>
    </row>
    <row r="169" spans="1:18" hidden="1" x14ac:dyDescent="0.2">
      <c r="B169" s="57" t="s">
        <v>168</v>
      </c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>
        <f>SUM(E169:P169)</f>
        <v>0</v>
      </c>
      <c r="R169" s="32" t="s">
        <v>163</v>
      </c>
    </row>
    <row r="170" spans="1:18" hidden="1" x14ac:dyDescent="0.2">
      <c r="A170" s="32">
        <v>540</v>
      </c>
      <c r="B170" s="33" t="s">
        <v>76</v>
      </c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</row>
    <row r="171" spans="1:18" hidden="1" x14ac:dyDescent="0.2">
      <c r="B171" s="33"/>
    </row>
    <row r="172" spans="1:18" hidden="1" x14ac:dyDescent="0.2">
      <c r="A172" s="32">
        <v>93</v>
      </c>
      <c r="B172" s="33" t="s">
        <v>55</v>
      </c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</row>
    <row r="173" spans="1:18" hidden="1" x14ac:dyDescent="0.2">
      <c r="A173" s="32">
        <v>94</v>
      </c>
      <c r="B173" s="33" t="s">
        <v>56</v>
      </c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</row>
    <row r="174" spans="1:18" hidden="1" x14ac:dyDescent="0.2">
      <c r="A174" s="32">
        <v>95</v>
      </c>
      <c r="B174" s="33" t="s">
        <v>57</v>
      </c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</row>
    <row r="175" spans="1:18" hidden="1" x14ac:dyDescent="0.2">
      <c r="A175" s="32">
        <v>97</v>
      </c>
      <c r="B175" s="33" t="s">
        <v>58</v>
      </c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</row>
    <row r="176" spans="1:18" hidden="1" x14ac:dyDescent="0.2">
      <c r="A176" s="32">
        <v>98</v>
      </c>
      <c r="B176" s="33" t="s">
        <v>59</v>
      </c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</row>
    <row r="177" spans="1:17" hidden="1" x14ac:dyDescent="0.2">
      <c r="A177" s="32">
        <v>99</v>
      </c>
      <c r="B177" s="33" t="s">
        <v>60</v>
      </c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</row>
    <row r="178" spans="1:17" hidden="1" x14ac:dyDescent="0.2">
      <c r="A178" s="32">
        <v>107</v>
      </c>
      <c r="B178" s="33" t="s">
        <v>61</v>
      </c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</row>
    <row r="179" spans="1:17" hidden="1" x14ac:dyDescent="0.2">
      <c r="A179" s="32">
        <v>109</v>
      </c>
      <c r="B179" s="33" t="s">
        <v>62</v>
      </c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</row>
    <row r="180" spans="1:17" hidden="1" x14ac:dyDescent="0.2">
      <c r="A180" s="32">
        <v>110</v>
      </c>
      <c r="B180" s="33" t="s">
        <v>63</v>
      </c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</row>
    <row r="181" spans="1:17" hidden="1" x14ac:dyDescent="0.2">
      <c r="A181" s="32">
        <v>111</v>
      </c>
      <c r="B181" s="33" t="s">
        <v>64</v>
      </c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</row>
    <row r="182" spans="1:17" hidden="1" x14ac:dyDescent="0.2">
      <c r="A182" s="32">
        <v>113</v>
      </c>
      <c r="B182" s="33" t="s">
        <v>65</v>
      </c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</row>
    <row r="183" spans="1:17" hidden="1" x14ac:dyDescent="0.2">
      <c r="A183" s="32">
        <v>116</v>
      </c>
      <c r="B183" s="33" t="s">
        <v>66</v>
      </c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</row>
    <row r="184" spans="1:17" hidden="1" x14ac:dyDescent="0.2">
      <c r="A184" s="32">
        <v>120</v>
      </c>
      <c r="B184" s="33" t="s">
        <v>67</v>
      </c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</row>
    <row r="185" spans="1:17" hidden="1" x14ac:dyDescent="0.2">
      <c r="A185" s="32">
        <v>122</v>
      </c>
      <c r="B185" s="33" t="s">
        <v>68</v>
      </c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</row>
    <row r="186" spans="1:17" hidden="1" x14ac:dyDescent="0.2">
      <c r="A186" s="32">
        <v>131</v>
      </c>
      <c r="B186" s="25" t="s">
        <v>69</v>
      </c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89"/>
      <c r="P186" s="88"/>
    </row>
    <row r="187" spans="1:17" hidden="1" x14ac:dyDescent="0.2">
      <c r="B187" s="33" t="s">
        <v>18</v>
      </c>
      <c r="C187" s="31">
        <f>SUM(C172:C186)</f>
        <v>0</v>
      </c>
      <c r="D187" s="31">
        <f t="shared" ref="D187:P187" si="15">SUM(D172:D186)</f>
        <v>0</v>
      </c>
      <c r="E187" s="31">
        <f t="shared" si="15"/>
        <v>0</v>
      </c>
      <c r="F187" s="31">
        <f t="shared" si="15"/>
        <v>0</v>
      </c>
      <c r="G187" s="31">
        <f t="shared" si="15"/>
        <v>0</v>
      </c>
      <c r="H187" s="31">
        <f t="shared" si="15"/>
        <v>0</v>
      </c>
      <c r="I187" s="31">
        <f t="shared" si="15"/>
        <v>0</v>
      </c>
      <c r="J187" s="31">
        <f t="shared" si="15"/>
        <v>0</v>
      </c>
      <c r="K187" s="31">
        <f t="shared" si="15"/>
        <v>0</v>
      </c>
      <c r="L187" s="31">
        <f t="shared" si="15"/>
        <v>0</v>
      </c>
      <c r="M187" s="31">
        <f t="shared" si="15"/>
        <v>0</v>
      </c>
      <c r="N187" s="31">
        <f t="shared" si="15"/>
        <v>0</v>
      </c>
      <c r="O187" s="31">
        <f t="shared" si="15"/>
        <v>0</v>
      </c>
      <c r="P187" s="31">
        <f t="shared" si="15"/>
        <v>0</v>
      </c>
    </row>
    <row r="188" spans="1:17" hidden="1" x14ac:dyDescent="0.2">
      <c r="B188" s="33"/>
    </row>
    <row r="189" spans="1:17" hidden="1" x14ac:dyDescent="0.2">
      <c r="A189" s="32">
        <v>528</v>
      </c>
      <c r="B189" s="33" t="s">
        <v>75</v>
      </c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</row>
    <row r="190" spans="1:17" hidden="1" x14ac:dyDescent="0.2"/>
    <row r="191" spans="1:17" hidden="1" x14ac:dyDescent="0.2">
      <c r="B191" s="32" t="s">
        <v>0</v>
      </c>
      <c r="C191" s="31">
        <f>C93+C99+C101+C103+C107+C109+C113+C115+C117+C122+C124+C126+C130+C132+C136+C138+C140+C144+C146+C148+C150+C152+C154+C156+C158+C159+C160+C161+C164+C165+C168+C169+C170+C187+C189</f>
        <v>0</v>
      </c>
      <c r="D191" s="31">
        <f t="shared" ref="D191:N191" si="16">D93+D99+D101+D103+D107+D109+D113+D115+D117+D122+D124+D126+D130+D132+D136+D138+D140+D144+D146+D148+D150+D152+D154+D156+D158+D159+D160+D161+D164+D165+D168+D169+D170+D187+D189</f>
        <v>0</v>
      </c>
      <c r="E191" s="31">
        <f t="shared" si="16"/>
        <v>0</v>
      </c>
      <c r="F191" s="31">
        <f t="shared" si="16"/>
        <v>0</v>
      </c>
      <c r="G191" s="31">
        <f t="shared" si="16"/>
        <v>0</v>
      </c>
      <c r="H191" s="31">
        <f t="shared" si="16"/>
        <v>0</v>
      </c>
      <c r="I191" s="31">
        <f t="shared" si="16"/>
        <v>0</v>
      </c>
      <c r="J191" s="31">
        <f t="shared" si="16"/>
        <v>0</v>
      </c>
      <c r="K191" s="31">
        <f t="shared" si="16"/>
        <v>0</v>
      </c>
      <c r="L191" s="31">
        <f t="shared" si="16"/>
        <v>0</v>
      </c>
      <c r="M191" s="31">
        <f t="shared" si="16"/>
        <v>0</v>
      </c>
      <c r="N191" s="31">
        <f t="shared" si="16"/>
        <v>0</v>
      </c>
      <c r="O191" s="31">
        <f t="shared" ref="O191:P191" si="17">O93+O99+O101+O103+O107+O109+O113+O115+O117+O122+O124+O126+O130+O132+O136+O138+O140+O144+O146+O148+O150+O152+O154+O156+O158+O159+O160+O161+O164+O165+O168+O169+O170+O187+O189</f>
        <v>0</v>
      </c>
      <c r="P191" s="31">
        <f t="shared" si="17"/>
        <v>0</v>
      </c>
      <c r="Q191" s="31">
        <f>SUM(E191:P191)</f>
        <v>0</v>
      </c>
    </row>
    <row r="192" spans="1:17" hidden="1" x14ac:dyDescent="0.2">
      <c r="B192" s="33"/>
    </row>
    <row r="193" spans="1:16" hidden="1" x14ac:dyDescent="0.2">
      <c r="B193" s="34" t="s">
        <v>78</v>
      </c>
      <c r="C193" s="31">
        <f>C191-C81</f>
        <v>0</v>
      </c>
      <c r="D193" s="31">
        <f t="shared" ref="D193:N193" si="18">D191-D81</f>
        <v>0</v>
      </c>
      <c r="E193" s="31">
        <f t="shared" si="18"/>
        <v>-430466.14194915257</v>
      </c>
      <c r="F193" s="31">
        <f t="shared" si="18"/>
        <v>-300025</v>
      </c>
      <c r="G193" s="31">
        <f t="shared" si="18"/>
        <v>-436715</v>
      </c>
      <c r="H193" s="31">
        <f t="shared" si="18"/>
        <v>-450113.48252477829</v>
      </c>
      <c r="I193" s="31">
        <f t="shared" si="18"/>
        <v>-501130</v>
      </c>
      <c r="J193" s="31">
        <f t="shared" si="18"/>
        <v>-436709</v>
      </c>
      <c r="K193" s="31">
        <f t="shared" si="18"/>
        <v>-457051.45905059989</v>
      </c>
      <c r="L193" s="31">
        <f t="shared" si="18"/>
        <v>-433431</v>
      </c>
      <c r="M193" s="31">
        <f t="shared" si="18"/>
        <v>-453116</v>
      </c>
      <c r="N193" s="31">
        <f t="shared" si="18"/>
        <v>-588794</v>
      </c>
      <c r="O193" s="31">
        <f t="shared" ref="O193:P193" si="19">O191-O81</f>
        <v>-430481.10538550949</v>
      </c>
      <c r="P193" s="31">
        <f t="shared" si="19"/>
        <v>-471810.32584269659</v>
      </c>
    </row>
    <row r="194" spans="1:16" hidden="1" x14ac:dyDescent="0.2">
      <c r="B194" s="34"/>
    </row>
    <row r="195" spans="1:16" hidden="1" x14ac:dyDescent="0.2">
      <c r="A195" s="32" t="s">
        <v>127</v>
      </c>
      <c r="B195" s="34" t="s">
        <v>170</v>
      </c>
    </row>
    <row r="196" spans="1:16" hidden="1" x14ac:dyDescent="0.2"/>
    <row r="197" spans="1:16" hidden="1" x14ac:dyDescent="0.2">
      <c r="B197" s="32" t="s">
        <v>172</v>
      </c>
      <c r="E197" s="96">
        <v>0</v>
      </c>
      <c r="F197" s="96">
        <v>0</v>
      </c>
      <c r="G197" s="96">
        <v>0</v>
      </c>
      <c r="H197" s="96">
        <v>0</v>
      </c>
      <c r="I197" s="96">
        <v>0</v>
      </c>
      <c r="J197" s="96">
        <v>0</v>
      </c>
      <c r="K197" s="96">
        <v>0</v>
      </c>
      <c r="L197" s="96">
        <v>0</v>
      </c>
      <c r="M197" s="96">
        <v>0</v>
      </c>
      <c r="N197" s="96">
        <v>0</v>
      </c>
      <c r="O197" s="96">
        <v>0</v>
      </c>
      <c r="P197" s="96">
        <v>0</v>
      </c>
    </row>
    <row r="198" spans="1:16" hidden="1" x14ac:dyDescent="0.2">
      <c r="B198" s="32" t="s">
        <v>174</v>
      </c>
      <c r="E198" s="96">
        <v>0</v>
      </c>
      <c r="F198" s="96">
        <v>0</v>
      </c>
      <c r="G198" s="96">
        <v>0</v>
      </c>
      <c r="H198" s="96">
        <v>0</v>
      </c>
      <c r="I198" s="96">
        <v>0</v>
      </c>
      <c r="J198" s="96">
        <v>0</v>
      </c>
      <c r="K198" s="96">
        <v>0</v>
      </c>
      <c r="L198" s="96">
        <v>0</v>
      </c>
      <c r="M198" s="96">
        <v>0</v>
      </c>
      <c r="N198" s="96">
        <v>0</v>
      </c>
      <c r="O198" s="96">
        <v>0</v>
      </c>
      <c r="P198" s="96">
        <v>0</v>
      </c>
    </row>
    <row r="199" spans="1:16" hidden="1" x14ac:dyDescent="0.2">
      <c r="B199" s="32" t="s">
        <v>0</v>
      </c>
      <c r="E199" s="96">
        <f>E197+E198</f>
        <v>0</v>
      </c>
      <c r="F199" s="96">
        <f t="shared" ref="F199:P199" si="20">F197+F198</f>
        <v>0</v>
      </c>
      <c r="G199" s="96">
        <f t="shared" si="20"/>
        <v>0</v>
      </c>
      <c r="H199" s="96">
        <f t="shared" si="20"/>
        <v>0</v>
      </c>
      <c r="I199" s="96">
        <f t="shared" si="20"/>
        <v>0</v>
      </c>
      <c r="J199" s="96">
        <f t="shared" si="20"/>
        <v>0</v>
      </c>
      <c r="K199" s="96">
        <f t="shared" si="20"/>
        <v>0</v>
      </c>
      <c r="L199" s="96">
        <f t="shared" si="20"/>
        <v>0</v>
      </c>
      <c r="M199" s="96">
        <f t="shared" si="20"/>
        <v>0</v>
      </c>
      <c r="N199" s="96">
        <f t="shared" si="20"/>
        <v>0</v>
      </c>
      <c r="O199" s="96">
        <f t="shared" si="20"/>
        <v>0</v>
      </c>
      <c r="P199" s="96">
        <f t="shared" si="20"/>
        <v>0</v>
      </c>
    </row>
    <row r="200" spans="1:16" hidden="1" x14ac:dyDescent="0.2">
      <c r="B200" s="32" t="s">
        <v>173</v>
      </c>
      <c r="E200" s="96">
        <f>E199-E187</f>
        <v>0</v>
      </c>
      <c r="F200" s="96">
        <f t="shared" ref="F200:P200" si="21">F199-F187</f>
        <v>0</v>
      </c>
      <c r="G200" s="96">
        <f t="shared" si="21"/>
        <v>0</v>
      </c>
      <c r="H200" s="96">
        <f t="shared" si="21"/>
        <v>0</v>
      </c>
      <c r="I200" s="96">
        <f t="shared" si="21"/>
        <v>0</v>
      </c>
      <c r="J200" s="96">
        <f t="shared" si="21"/>
        <v>0</v>
      </c>
      <c r="K200" s="96">
        <f t="shared" si="21"/>
        <v>0</v>
      </c>
      <c r="L200" s="96">
        <f t="shared" si="21"/>
        <v>0</v>
      </c>
      <c r="M200" s="96">
        <f t="shared" si="21"/>
        <v>0</v>
      </c>
      <c r="N200" s="96">
        <f t="shared" si="21"/>
        <v>0</v>
      </c>
      <c r="O200" s="96">
        <f t="shared" si="21"/>
        <v>0</v>
      </c>
      <c r="P200" s="96">
        <f t="shared" si="21"/>
        <v>0</v>
      </c>
    </row>
    <row r="201" spans="1:16" hidden="1" x14ac:dyDescent="0.2"/>
    <row r="204" spans="1:16" x14ac:dyDescent="0.2">
      <c r="B204" s="51" t="s">
        <v>309</v>
      </c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4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216"/>
  <sheetViews>
    <sheetView zoomScaleNormal="100" workbookViewId="0">
      <pane xSplit="2" ySplit="9" topLeftCell="C10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F1" sqref="F1:N2"/>
    </sheetView>
  </sheetViews>
  <sheetFormatPr defaultRowHeight="12.75" x14ac:dyDescent="0.2"/>
  <cols>
    <col min="1" max="1" width="9.140625" style="51"/>
    <col min="2" max="2" width="20.42578125" style="51" customWidth="1"/>
    <col min="3" max="4" width="1" style="51" customWidth="1"/>
    <col min="5" max="14" width="16" style="51" bestFit="1" customWidth="1"/>
    <col min="15" max="16" width="11.140625" style="51" customWidth="1"/>
    <col min="17" max="17" width="12.7109375" style="51" bestFit="1" customWidth="1"/>
    <col min="18" max="16384" width="9.140625" style="51"/>
  </cols>
  <sheetData>
    <row r="1" spans="1:17" x14ac:dyDescent="0.2">
      <c r="B1" s="51" t="s">
        <v>70</v>
      </c>
      <c r="F1" s="128"/>
      <c r="G1" s="128"/>
      <c r="H1" s="128"/>
      <c r="I1" s="128"/>
      <c r="J1" s="128"/>
      <c r="K1" s="128"/>
      <c r="L1" s="128"/>
      <c r="M1" s="128"/>
      <c r="N1" s="128"/>
      <c r="O1" s="129"/>
      <c r="P1" s="129"/>
    </row>
    <row r="2" spans="1:17" x14ac:dyDescent="0.2">
      <c r="B2" s="51" t="s">
        <v>71</v>
      </c>
      <c r="F2" s="128"/>
      <c r="G2" s="128"/>
      <c r="H2" s="128"/>
      <c r="I2" s="128"/>
      <c r="J2" s="128"/>
      <c r="K2" s="128"/>
      <c r="L2" s="128"/>
      <c r="M2" s="128"/>
      <c r="N2" s="128"/>
      <c r="O2" s="129"/>
      <c r="P2" s="129"/>
    </row>
    <row r="3" spans="1:17" x14ac:dyDescent="0.2">
      <c r="B3" s="63" t="str">
        <f>'B&amp;A kWh'!B3</f>
        <v>TEST YEAR ENDED March 31, 2023</v>
      </c>
    </row>
    <row r="4" spans="1:17" x14ac:dyDescent="0.2">
      <c r="B4" s="50"/>
    </row>
    <row r="5" spans="1:17" x14ac:dyDescent="0.2">
      <c r="B5" s="55" t="s">
        <v>153</v>
      </c>
    </row>
    <row r="6" spans="1:17" x14ac:dyDescent="0.2">
      <c r="B6" s="130" t="s">
        <v>85</v>
      </c>
      <c r="C6" s="45"/>
      <c r="D6" s="45"/>
      <c r="E6" s="45"/>
    </row>
    <row r="7" spans="1:17" x14ac:dyDescent="0.2">
      <c r="B7" s="50"/>
    </row>
    <row r="8" spans="1:17" ht="14.25" x14ac:dyDescent="0.2">
      <c r="B8" s="45" t="s">
        <v>80</v>
      </c>
      <c r="E8" s="51">
        <v>2022</v>
      </c>
      <c r="O8" s="51">
        <v>2023</v>
      </c>
      <c r="Q8" s="32" t="s">
        <v>293</v>
      </c>
    </row>
    <row r="9" spans="1:17" x14ac:dyDescent="0.2">
      <c r="B9" s="50" t="s">
        <v>22</v>
      </c>
      <c r="C9" s="100" t="s">
        <v>106</v>
      </c>
      <c r="D9" s="100" t="s">
        <v>107</v>
      </c>
      <c r="E9" s="100" t="s">
        <v>109</v>
      </c>
      <c r="F9" s="100" t="s">
        <v>110</v>
      </c>
      <c r="G9" s="100" t="s">
        <v>111</v>
      </c>
      <c r="H9" s="100" t="s">
        <v>112</v>
      </c>
      <c r="I9" s="100" t="s">
        <v>113</v>
      </c>
      <c r="J9" s="100" t="s">
        <v>114</v>
      </c>
      <c r="K9" s="100" t="s">
        <v>115</v>
      </c>
      <c r="L9" s="100" t="s">
        <v>116</v>
      </c>
      <c r="M9" s="100" t="s">
        <v>117</v>
      </c>
      <c r="N9" s="100" t="s">
        <v>106</v>
      </c>
      <c r="O9" s="100" t="s">
        <v>107</v>
      </c>
      <c r="P9" s="100" t="s">
        <v>108</v>
      </c>
      <c r="Q9" s="100" t="s">
        <v>0</v>
      </c>
    </row>
    <row r="10" spans="1:17" ht="15" x14ac:dyDescent="0.25">
      <c r="A10" s="51">
        <v>10</v>
      </c>
      <c r="B10" s="24" t="s">
        <v>21</v>
      </c>
      <c r="C10" s="131"/>
      <c r="D10" s="131">
        <f>+D90</f>
        <v>0</v>
      </c>
      <c r="E10" s="31">
        <f t="shared" ref="E10:F10" si="0">+E91</f>
        <v>0</v>
      </c>
      <c r="F10" s="31">
        <f t="shared" si="0"/>
        <v>0</v>
      </c>
      <c r="G10" s="31">
        <f t="shared" ref="G10:P10" si="1">+G91</f>
        <v>0</v>
      </c>
      <c r="H10" s="31">
        <f t="shared" si="1"/>
        <v>0</v>
      </c>
      <c r="I10" s="31">
        <f t="shared" si="1"/>
        <v>0</v>
      </c>
      <c r="J10" s="31">
        <f t="shared" si="1"/>
        <v>0</v>
      </c>
      <c r="K10" s="31">
        <f t="shared" si="1"/>
        <v>0</v>
      </c>
      <c r="L10" s="31">
        <f t="shared" si="1"/>
        <v>0</v>
      </c>
      <c r="M10" s="31">
        <f t="shared" si="1"/>
        <v>0</v>
      </c>
      <c r="N10" s="31">
        <f t="shared" si="1"/>
        <v>0</v>
      </c>
      <c r="O10" s="31">
        <f t="shared" si="1"/>
        <v>0</v>
      </c>
      <c r="P10" s="31">
        <f t="shared" si="1"/>
        <v>0</v>
      </c>
      <c r="Q10" s="131"/>
    </row>
    <row r="11" spans="1:17" ht="15" x14ac:dyDescent="0.25">
      <c r="A11" s="51">
        <v>11</v>
      </c>
      <c r="B11" s="24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7" ht="15" x14ac:dyDescent="0.25">
      <c r="A12" s="51">
        <v>12</v>
      </c>
      <c r="B12" s="24" t="s">
        <v>20</v>
      </c>
      <c r="C12" s="131">
        <f>+C96</f>
        <v>0</v>
      </c>
      <c r="D12" s="131">
        <f>+D96</f>
        <v>0</v>
      </c>
      <c r="E12" s="31">
        <f t="shared" ref="E12:F12" si="2">+E97</f>
        <v>0</v>
      </c>
      <c r="F12" s="31">
        <f t="shared" si="2"/>
        <v>0</v>
      </c>
      <c r="G12" s="31">
        <f t="shared" ref="G12:P12" si="3">+G97</f>
        <v>0</v>
      </c>
      <c r="H12" s="31">
        <f t="shared" si="3"/>
        <v>0</v>
      </c>
      <c r="I12" s="31">
        <f t="shared" si="3"/>
        <v>0</v>
      </c>
      <c r="J12" s="31">
        <f t="shared" si="3"/>
        <v>0</v>
      </c>
      <c r="K12" s="31">
        <f t="shared" si="3"/>
        <v>0</v>
      </c>
      <c r="L12" s="31">
        <f t="shared" si="3"/>
        <v>0</v>
      </c>
      <c r="M12" s="31">
        <f t="shared" si="3"/>
        <v>0</v>
      </c>
      <c r="N12" s="31">
        <f t="shared" si="3"/>
        <v>0</v>
      </c>
      <c r="O12" s="31">
        <f t="shared" si="3"/>
        <v>0</v>
      </c>
      <c r="P12" s="31">
        <f t="shared" si="3"/>
        <v>0</v>
      </c>
      <c r="Q12" s="131"/>
    </row>
    <row r="13" spans="1:17" ht="15" x14ac:dyDescent="0.25">
      <c r="A13" s="51">
        <v>13</v>
      </c>
      <c r="B13" s="24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7" ht="15" x14ac:dyDescent="0.25">
      <c r="A14" s="51">
        <v>14</v>
      </c>
      <c r="B14" s="24" t="s">
        <v>19</v>
      </c>
      <c r="C14" s="131">
        <f>+C98</f>
        <v>0</v>
      </c>
      <c r="D14" s="131">
        <f>+D98</f>
        <v>0</v>
      </c>
      <c r="E14" s="31">
        <f t="shared" ref="E14:F14" si="4">+E99</f>
        <v>0</v>
      </c>
      <c r="F14" s="31">
        <f t="shared" si="4"/>
        <v>0</v>
      </c>
      <c r="G14" s="31">
        <f t="shared" ref="G14:P14" si="5">+G99</f>
        <v>0</v>
      </c>
      <c r="H14" s="31">
        <f t="shared" si="5"/>
        <v>0</v>
      </c>
      <c r="I14" s="31">
        <f t="shared" si="5"/>
        <v>0</v>
      </c>
      <c r="J14" s="31">
        <f t="shared" si="5"/>
        <v>0</v>
      </c>
      <c r="K14" s="31">
        <f t="shared" si="5"/>
        <v>0</v>
      </c>
      <c r="L14" s="31">
        <f t="shared" si="5"/>
        <v>0</v>
      </c>
      <c r="M14" s="31">
        <f t="shared" si="5"/>
        <v>0</v>
      </c>
      <c r="N14" s="31">
        <f t="shared" si="5"/>
        <v>0</v>
      </c>
      <c r="O14" s="31">
        <f t="shared" si="5"/>
        <v>0</v>
      </c>
      <c r="P14" s="31">
        <f t="shared" si="5"/>
        <v>0</v>
      </c>
      <c r="Q14" s="131"/>
    </row>
    <row r="15" spans="1:17" ht="15" x14ac:dyDescent="0.25">
      <c r="A15" s="51">
        <v>15</v>
      </c>
      <c r="B15" s="24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</row>
    <row r="16" spans="1:17" ht="15" x14ac:dyDescent="0.25">
      <c r="A16" s="51">
        <v>16</v>
      </c>
      <c r="B16" s="43" t="s">
        <v>172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131"/>
    </row>
    <row r="17" spans="1:17" ht="15" x14ac:dyDescent="0.25">
      <c r="A17" s="51">
        <v>17</v>
      </c>
      <c r="B17" s="43" t="s">
        <v>174</v>
      </c>
      <c r="E17" s="31">
        <f>E18-E16</f>
        <v>1093252</v>
      </c>
      <c r="F17" s="31">
        <f>F18-F16</f>
        <v>976113</v>
      </c>
      <c r="G17" s="31">
        <f t="shared" ref="G17:P17" si="6">G18-G16</f>
        <v>871970</v>
      </c>
      <c r="H17" s="31">
        <f t="shared" si="6"/>
        <v>928094</v>
      </c>
      <c r="I17" s="31">
        <f t="shared" si="6"/>
        <v>1053621</v>
      </c>
      <c r="J17" s="31">
        <f t="shared" si="6"/>
        <v>1161044</v>
      </c>
      <c r="K17" s="31">
        <f t="shared" si="6"/>
        <v>1298641</v>
      </c>
      <c r="L17" s="31">
        <f t="shared" si="6"/>
        <v>1422037</v>
      </c>
      <c r="M17" s="31">
        <f t="shared" si="6"/>
        <v>1524509</v>
      </c>
      <c r="N17" s="31">
        <f t="shared" si="6"/>
        <v>1475470</v>
      </c>
      <c r="O17" s="31">
        <f t="shared" si="6"/>
        <v>1201144</v>
      </c>
      <c r="P17" s="31">
        <f t="shared" si="6"/>
        <v>1210713</v>
      </c>
      <c r="Q17" s="131"/>
    </row>
    <row r="18" spans="1:17" ht="15" x14ac:dyDescent="0.25">
      <c r="A18" s="51">
        <v>18</v>
      </c>
      <c r="B18" s="43" t="s">
        <v>18</v>
      </c>
      <c r="C18" s="131" t="e">
        <f>+#REF!</f>
        <v>#REF!</v>
      </c>
      <c r="D18" s="131" t="e">
        <f>+#REF!</f>
        <v>#REF!</v>
      </c>
      <c r="E18" s="31">
        <f>+E201</f>
        <v>1093252</v>
      </c>
      <c r="F18" s="31">
        <f>+F201</f>
        <v>976113</v>
      </c>
      <c r="G18" s="31">
        <f t="shared" ref="G18:P18" si="7">+G201</f>
        <v>871970</v>
      </c>
      <c r="H18" s="31">
        <f t="shared" si="7"/>
        <v>928094</v>
      </c>
      <c r="I18" s="31">
        <f t="shared" si="7"/>
        <v>1053621</v>
      </c>
      <c r="J18" s="31">
        <f t="shared" si="7"/>
        <v>1161044</v>
      </c>
      <c r="K18" s="31">
        <f t="shared" si="7"/>
        <v>1298641</v>
      </c>
      <c r="L18" s="31">
        <f t="shared" si="7"/>
        <v>1422037</v>
      </c>
      <c r="M18" s="31">
        <f t="shared" si="7"/>
        <v>1524509</v>
      </c>
      <c r="N18" s="31">
        <f t="shared" si="7"/>
        <v>1475470</v>
      </c>
      <c r="O18" s="31">
        <f t="shared" si="7"/>
        <v>1201144</v>
      </c>
      <c r="P18" s="31">
        <f t="shared" si="7"/>
        <v>1210713</v>
      </c>
      <c r="Q18" s="131"/>
    </row>
    <row r="19" spans="1:17" ht="15" x14ac:dyDescent="0.25">
      <c r="A19" s="51">
        <v>19</v>
      </c>
      <c r="B19" s="24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</row>
    <row r="20" spans="1:17" ht="15" x14ac:dyDescent="0.25">
      <c r="A20" s="51">
        <v>20</v>
      </c>
      <c r="B20" s="24" t="s">
        <v>17</v>
      </c>
      <c r="C20" s="131">
        <f>+C104</f>
        <v>0</v>
      </c>
      <c r="D20" s="131">
        <f>+D104</f>
        <v>0</v>
      </c>
      <c r="E20" s="31">
        <f>E101</f>
        <v>10333163</v>
      </c>
      <c r="F20" s="31">
        <f>F101</f>
        <v>9291370</v>
      </c>
      <c r="G20" s="31">
        <f t="shared" ref="G20:P20" si="8">G101</f>
        <v>10441520</v>
      </c>
      <c r="H20" s="31">
        <f t="shared" si="8"/>
        <v>11907567</v>
      </c>
      <c r="I20" s="31">
        <f t="shared" si="8"/>
        <v>11882385</v>
      </c>
      <c r="J20" s="31">
        <f t="shared" si="8"/>
        <v>11216040</v>
      </c>
      <c r="K20" s="31">
        <f t="shared" si="8"/>
        <v>9451320</v>
      </c>
      <c r="L20" s="31">
        <f t="shared" si="8"/>
        <v>9355072</v>
      </c>
      <c r="M20" s="31">
        <f t="shared" si="8"/>
        <v>12904482</v>
      </c>
      <c r="N20" s="31">
        <f t="shared" si="8"/>
        <v>15470207</v>
      </c>
      <c r="O20" s="31">
        <f t="shared" si="8"/>
        <v>12715398</v>
      </c>
      <c r="P20" s="31">
        <f t="shared" si="8"/>
        <v>10852461</v>
      </c>
      <c r="Q20" s="131"/>
    </row>
    <row r="21" spans="1:17" ht="15" x14ac:dyDescent="0.25">
      <c r="A21" s="51">
        <v>21</v>
      </c>
      <c r="B21" s="24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7" ht="15" x14ac:dyDescent="0.25">
      <c r="A22" s="51">
        <v>22</v>
      </c>
      <c r="B22" s="24" t="s">
        <v>16</v>
      </c>
      <c r="C22" s="131">
        <f>+C106</f>
        <v>0</v>
      </c>
      <c r="D22" s="131">
        <f>+D106</f>
        <v>0</v>
      </c>
      <c r="E22" s="31">
        <f>E103</f>
        <v>76626</v>
      </c>
      <c r="F22" s="31">
        <f>F103</f>
        <v>69473</v>
      </c>
      <c r="G22" s="31">
        <f t="shared" ref="G22:P22" si="9">G103</f>
        <v>74982</v>
      </c>
      <c r="H22" s="31">
        <f t="shared" si="9"/>
        <v>75780</v>
      </c>
      <c r="I22" s="31">
        <f t="shared" si="9"/>
        <v>65638</v>
      </c>
      <c r="J22" s="31">
        <f t="shared" si="9"/>
        <v>78331</v>
      </c>
      <c r="K22" s="31">
        <f t="shared" si="9"/>
        <v>71865</v>
      </c>
      <c r="L22" s="31">
        <f t="shared" si="9"/>
        <v>67836</v>
      </c>
      <c r="M22" s="31">
        <f t="shared" si="9"/>
        <v>79182</v>
      </c>
      <c r="N22" s="31">
        <f t="shared" si="9"/>
        <v>81582</v>
      </c>
      <c r="O22" s="31">
        <f t="shared" si="9"/>
        <v>70998</v>
      </c>
      <c r="P22" s="31">
        <f t="shared" si="9"/>
        <v>69553</v>
      </c>
      <c r="Q22" s="131"/>
    </row>
    <row r="23" spans="1:17" ht="15" x14ac:dyDescent="0.25">
      <c r="A23" s="51">
        <v>23</v>
      </c>
      <c r="B23" s="24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</row>
    <row r="24" spans="1:17" ht="15" x14ac:dyDescent="0.25">
      <c r="A24" s="51">
        <v>24</v>
      </c>
      <c r="B24" s="24" t="s">
        <v>15</v>
      </c>
      <c r="C24" s="131">
        <f>+C112</f>
        <v>0</v>
      </c>
      <c r="D24" s="131">
        <f>+D112</f>
        <v>0</v>
      </c>
      <c r="E24" s="31">
        <f>+E105</f>
        <v>659973</v>
      </c>
      <c r="F24" s="31">
        <f>+F105</f>
        <v>683667</v>
      </c>
      <c r="G24" s="31">
        <f t="shared" ref="G24:P24" si="10">+G105</f>
        <v>729925</v>
      </c>
      <c r="H24" s="31">
        <f t="shared" si="10"/>
        <v>709781</v>
      </c>
      <c r="I24" s="31">
        <f t="shared" si="10"/>
        <v>703262</v>
      </c>
      <c r="J24" s="31">
        <f t="shared" si="10"/>
        <v>687844</v>
      </c>
      <c r="K24" s="31">
        <f t="shared" si="10"/>
        <v>636141</v>
      </c>
      <c r="L24" s="31">
        <f t="shared" si="10"/>
        <v>606817</v>
      </c>
      <c r="M24" s="31">
        <f t="shared" si="10"/>
        <v>668649</v>
      </c>
      <c r="N24" s="31">
        <f t="shared" si="10"/>
        <v>690382</v>
      </c>
      <c r="O24" s="31">
        <f t="shared" si="10"/>
        <v>589978</v>
      </c>
      <c r="P24" s="31">
        <f t="shared" si="10"/>
        <v>595582</v>
      </c>
      <c r="Q24" s="131"/>
    </row>
    <row r="25" spans="1:17" ht="15" x14ac:dyDescent="0.25">
      <c r="A25" s="51">
        <v>25</v>
      </c>
      <c r="B25" s="24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</row>
    <row r="26" spans="1:17" ht="15" x14ac:dyDescent="0.25">
      <c r="A26" s="51">
        <v>26</v>
      </c>
      <c r="B26" s="24" t="s">
        <v>14</v>
      </c>
      <c r="C26" s="131">
        <f>+C110</f>
        <v>0</v>
      </c>
      <c r="D26" s="131">
        <f>+D110</f>
        <v>0</v>
      </c>
      <c r="E26" s="31">
        <f t="shared" ref="E26:F26" si="11">+E109</f>
        <v>242525</v>
      </c>
      <c r="F26" s="31">
        <f t="shared" si="11"/>
        <v>247748</v>
      </c>
      <c r="G26" s="31">
        <f t="shared" ref="G26:P26" si="12">+G109</f>
        <v>246814</v>
      </c>
      <c r="H26" s="31">
        <f t="shared" si="12"/>
        <v>248721</v>
      </c>
      <c r="I26" s="31">
        <f t="shared" si="12"/>
        <v>244222</v>
      </c>
      <c r="J26" s="31">
        <f t="shared" si="12"/>
        <v>245592</v>
      </c>
      <c r="K26" s="31">
        <f t="shared" si="12"/>
        <v>243505</v>
      </c>
      <c r="L26" s="31">
        <f t="shared" si="12"/>
        <v>244205</v>
      </c>
      <c r="M26" s="31">
        <f t="shared" si="12"/>
        <v>286473</v>
      </c>
      <c r="N26" s="31">
        <f t="shared" si="12"/>
        <v>421808</v>
      </c>
      <c r="O26" s="31">
        <f t="shared" si="12"/>
        <v>237663</v>
      </c>
      <c r="P26" s="31">
        <f t="shared" si="12"/>
        <v>236955</v>
      </c>
      <c r="Q26" s="131"/>
    </row>
    <row r="27" spans="1:17" ht="15" x14ac:dyDescent="0.25">
      <c r="A27" s="51">
        <v>27</v>
      </c>
      <c r="B27" s="24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</row>
    <row r="28" spans="1:17" ht="15" x14ac:dyDescent="0.25">
      <c r="A28" s="51">
        <v>28</v>
      </c>
      <c r="B28" s="24" t="s">
        <v>13</v>
      </c>
      <c r="C28" s="131">
        <f>+C114</f>
        <v>0</v>
      </c>
      <c r="D28" s="131">
        <f>+D114</f>
        <v>0</v>
      </c>
      <c r="E28" s="31">
        <f>+E113</f>
        <v>167933</v>
      </c>
      <c r="F28" s="31">
        <f>+F113</f>
        <v>129023</v>
      </c>
      <c r="G28" s="31">
        <f t="shared" ref="G28:P28" si="13">+G113</f>
        <v>95053</v>
      </c>
      <c r="H28" s="31">
        <f t="shared" si="13"/>
        <v>80669</v>
      </c>
      <c r="I28" s="31">
        <f t="shared" si="13"/>
        <v>82886</v>
      </c>
      <c r="J28" s="31">
        <f t="shared" si="13"/>
        <v>93873</v>
      </c>
      <c r="K28" s="31">
        <f t="shared" si="13"/>
        <v>111522</v>
      </c>
      <c r="L28" s="31">
        <f t="shared" si="13"/>
        <v>113970</v>
      </c>
      <c r="M28" s="31">
        <f t="shared" si="13"/>
        <v>126773</v>
      </c>
      <c r="N28" s="31">
        <f t="shared" si="13"/>
        <v>130698</v>
      </c>
      <c r="O28" s="31">
        <f t="shared" si="13"/>
        <v>118629</v>
      </c>
      <c r="P28" s="31">
        <f t="shared" si="13"/>
        <v>141025</v>
      </c>
      <c r="Q28" s="131"/>
    </row>
    <row r="29" spans="1:17" ht="15" x14ac:dyDescent="0.25">
      <c r="A29" s="51">
        <v>29</v>
      </c>
      <c r="B29" s="24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</row>
    <row r="30" spans="1:17" ht="15" x14ac:dyDescent="0.25">
      <c r="A30" s="51">
        <v>30</v>
      </c>
      <c r="B30" s="24" t="s">
        <v>12</v>
      </c>
      <c r="C30" s="131">
        <f>+C119</f>
        <v>0</v>
      </c>
      <c r="D30" s="131">
        <f>+D119</f>
        <v>0</v>
      </c>
      <c r="E30" s="31">
        <f t="shared" ref="E30:F30" si="14">+E117</f>
        <v>31339829</v>
      </c>
      <c r="F30" s="31">
        <f t="shared" si="14"/>
        <v>30628898</v>
      </c>
      <c r="G30" s="31">
        <f t="shared" ref="G30:P30" si="15">+G117</f>
        <v>35424323</v>
      </c>
      <c r="H30" s="31">
        <f t="shared" si="15"/>
        <v>39924779</v>
      </c>
      <c r="I30" s="31">
        <f t="shared" si="15"/>
        <v>40130896</v>
      </c>
      <c r="J30" s="31">
        <f t="shared" si="15"/>
        <v>37922008</v>
      </c>
      <c r="K30" s="31">
        <f t="shared" si="15"/>
        <v>31731374</v>
      </c>
      <c r="L30" s="31">
        <f t="shared" si="15"/>
        <v>29466246</v>
      </c>
      <c r="M30" s="31">
        <f t="shared" si="15"/>
        <v>37307127</v>
      </c>
      <c r="N30" s="31">
        <f t="shared" si="15"/>
        <v>42082641</v>
      </c>
      <c r="O30" s="31">
        <f t="shared" si="15"/>
        <v>36032396</v>
      </c>
      <c r="P30" s="31">
        <f t="shared" si="15"/>
        <v>31776783</v>
      </c>
      <c r="Q30" s="131"/>
    </row>
    <row r="31" spans="1:17" ht="15" x14ac:dyDescent="0.25">
      <c r="A31" s="51">
        <v>31</v>
      </c>
      <c r="B31" s="24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</row>
    <row r="32" spans="1:17" ht="15" x14ac:dyDescent="0.25">
      <c r="A32" s="51">
        <v>32</v>
      </c>
      <c r="B32" s="24" t="s">
        <v>11</v>
      </c>
      <c r="C32" s="131">
        <f>+C121</f>
        <v>0</v>
      </c>
      <c r="D32" s="131">
        <f>+D121</f>
        <v>0</v>
      </c>
      <c r="E32" s="31">
        <f>+E119</f>
        <v>67964</v>
      </c>
      <c r="F32" s="31">
        <f>+F119</f>
        <v>39288</v>
      </c>
      <c r="G32" s="31">
        <f t="shared" ref="G32:P32" si="16">+G119</f>
        <v>49269</v>
      </c>
      <c r="H32" s="31">
        <f t="shared" si="16"/>
        <v>60594</v>
      </c>
      <c r="I32" s="31">
        <f t="shared" si="16"/>
        <v>63409</v>
      </c>
      <c r="J32" s="31">
        <f t="shared" si="16"/>
        <v>61853</v>
      </c>
      <c r="K32" s="31">
        <f t="shared" si="16"/>
        <v>28172</v>
      </c>
      <c r="L32" s="31">
        <f t="shared" si="16"/>
        <v>50780</v>
      </c>
      <c r="M32" s="31">
        <f t="shared" si="16"/>
        <v>96950</v>
      </c>
      <c r="N32" s="31">
        <f t="shared" si="16"/>
        <v>127442</v>
      </c>
      <c r="O32" s="31">
        <f t="shared" si="16"/>
        <v>87892</v>
      </c>
      <c r="P32" s="31">
        <f t="shared" si="16"/>
        <v>61686</v>
      </c>
      <c r="Q32" s="131"/>
    </row>
    <row r="33" spans="1:17" ht="15" x14ac:dyDescent="0.25">
      <c r="A33" s="51">
        <v>33</v>
      </c>
      <c r="B33" s="24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</row>
    <row r="34" spans="1:17" ht="15" x14ac:dyDescent="0.25">
      <c r="A34" s="51">
        <v>34</v>
      </c>
      <c r="B34" s="24" t="s">
        <v>10</v>
      </c>
      <c r="C34" s="131">
        <f>+C123</f>
        <v>0</v>
      </c>
      <c r="D34" s="131">
        <f>+D123</f>
        <v>0</v>
      </c>
      <c r="E34" s="31">
        <f>+E121</f>
        <v>624414</v>
      </c>
      <c r="F34" s="31">
        <f>+F121</f>
        <v>607373</v>
      </c>
      <c r="G34" s="31">
        <f t="shared" ref="G34:P34" si="17">+G121</f>
        <v>637182</v>
      </c>
      <c r="H34" s="31">
        <f t="shared" si="17"/>
        <v>781956</v>
      </c>
      <c r="I34" s="31">
        <f t="shared" si="17"/>
        <v>695776</v>
      </c>
      <c r="J34" s="31">
        <f t="shared" si="17"/>
        <v>726923</v>
      </c>
      <c r="K34" s="31">
        <f t="shared" si="17"/>
        <v>631481</v>
      </c>
      <c r="L34" s="31">
        <f t="shared" si="17"/>
        <v>641523</v>
      </c>
      <c r="M34" s="31">
        <f t="shared" si="17"/>
        <v>793535</v>
      </c>
      <c r="N34" s="31">
        <f t="shared" si="17"/>
        <v>888505</v>
      </c>
      <c r="O34" s="31">
        <f t="shared" si="17"/>
        <v>654037</v>
      </c>
      <c r="P34" s="31">
        <f t="shared" si="17"/>
        <v>677016</v>
      </c>
      <c r="Q34" s="131"/>
    </row>
    <row r="35" spans="1:17" ht="15" x14ac:dyDescent="0.25">
      <c r="A35" s="51">
        <v>35</v>
      </c>
      <c r="B35" s="24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</row>
    <row r="36" spans="1:17" ht="15" x14ac:dyDescent="0.25">
      <c r="A36" s="51">
        <v>36</v>
      </c>
      <c r="B36" s="24" t="s">
        <v>9</v>
      </c>
      <c r="C36" s="131">
        <f>+C127</f>
        <v>0</v>
      </c>
      <c r="D36" s="131">
        <f>+D127</f>
        <v>0</v>
      </c>
      <c r="E36" s="31">
        <f>+E125</f>
        <v>289340</v>
      </c>
      <c r="F36" s="31">
        <f>+F125</f>
        <v>272530</v>
      </c>
      <c r="G36" s="31">
        <f t="shared" ref="G36:P36" si="18">+G125</f>
        <v>259730</v>
      </c>
      <c r="H36" s="31">
        <f t="shared" si="18"/>
        <v>282680</v>
      </c>
      <c r="I36" s="31">
        <f t="shared" si="18"/>
        <v>285160</v>
      </c>
      <c r="J36" s="31">
        <f t="shared" si="18"/>
        <v>269090</v>
      </c>
      <c r="K36" s="31">
        <f t="shared" si="18"/>
        <v>251820</v>
      </c>
      <c r="L36" s="31">
        <f t="shared" si="18"/>
        <v>266930</v>
      </c>
      <c r="M36" s="31">
        <f t="shared" si="18"/>
        <v>342880</v>
      </c>
      <c r="N36" s="31">
        <f t="shared" si="18"/>
        <v>392850</v>
      </c>
      <c r="O36" s="31">
        <f t="shared" si="18"/>
        <v>341180</v>
      </c>
      <c r="P36" s="31">
        <f t="shared" si="18"/>
        <v>300930</v>
      </c>
      <c r="Q36" s="131"/>
    </row>
    <row r="37" spans="1:17" ht="15" x14ac:dyDescent="0.25">
      <c r="A37" s="51">
        <v>37</v>
      </c>
      <c r="B37" s="24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</row>
    <row r="38" spans="1:17" ht="15" x14ac:dyDescent="0.25">
      <c r="A38" s="51">
        <v>38</v>
      </c>
      <c r="B38" s="24" t="s">
        <v>8</v>
      </c>
      <c r="C38" s="131">
        <f>+C129</f>
        <v>0</v>
      </c>
      <c r="D38" s="131">
        <f>+D129</f>
        <v>0</v>
      </c>
      <c r="E38" s="31">
        <f t="shared" ref="E38:F38" si="19">+E127</f>
        <v>0</v>
      </c>
      <c r="F38" s="31">
        <f t="shared" si="19"/>
        <v>0</v>
      </c>
      <c r="G38" s="31">
        <f t="shared" ref="G38:P38" si="20">+G127</f>
        <v>0</v>
      </c>
      <c r="H38" s="31">
        <f t="shared" si="20"/>
        <v>0</v>
      </c>
      <c r="I38" s="31">
        <f t="shared" si="20"/>
        <v>0</v>
      </c>
      <c r="J38" s="31">
        <f t="shared" si="20"/>
        <v>0</v>
      </c>
      <c r="K38" s="31">
        <f t="shared" si="20"/>
        <v>0</v>
      </c>
      <c r="L38" s="31">
        <f t="shared" si="20"/>
        <v>0</v>
      </c>
      <c r="M38" s="31">
        <f t="shared" si="20"/>
        <v>0</v>
      </c>
      <c r="N38" s="31">
        <f t="shared" si="20"/>
        <v>0</v>
      </c>
      <c r="O38" s="31">
        <f t="shared" si="20"/>
        <v>0</v>
      </c>
      <c r="P38" s="31">
        <f t="shared" si="20"/>
        <v>0</v>
      </c>
      <c r="Q38" s="131"/>
    </row>
    <row r="39" spans="1:17" ht="15" x14ac:dyDescent="0.25">
      <c r="A39" s="51">
        <v>39</v>
      </c>
      <c r="B39" s="24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7" ht="15" x14ac:dyDescent="0.25">
      <c r="A40" s="51">
        <v>40</v>
      </c>
      <c r="B40" s="24" t="s">
        <v>7</v>
      </c>
      <c r="C40" s="131">
        <f>+C133</f>
        <v>0</v>
      </c>
      <c r="D40" s="131">
        <f>+D133</f>
        <v>0</v>
      </c>
      <c r="E40" s="31">
        <f t="shared" ref="E40:F40" si="21">+E131</f>
        <v>19842388</v>
      </c>
      <c r="F40" s="31">
        <f t="shared" si="21"/>
        <v>19969070</v>
      </c>
      <c r="G40" s="31">
        <f t="shared" ref="G40:P40" si="22">+G131</f>
        <v>22181791</v>
      </c>
      <c r="H40" s="31">
        <f t="shared" si="22"/>
        <v>23832799</v>
      </c>
      <c r="I40" s="31">
        <f t="shared" si="22"/>
        <v>23778390</v>
      </c>
      <c r="J40" s="31">
        <f t="shared" si="22"/>
        <v>22826023</v>
      </c>
      <c r="K40" s="31">
        <f t="shared" si="22"/>
        <v>20693856</v>
      </c>
      <c r="L40" s="31">
        <f t="shared" si="22"/>
        <v>19612766</v>
      </c>
      <c r="M40" s="31">
        <f t="shared" si="22"/>
        <v>23125035</v>
      </c>
      <c r="N40" s="31">
        <f t="shared" si="22"/>
        <v>24538311</v>
      </c>
      <c r="O40" s="31">
        <f t="shared" si="22"/>
        <v>21817914</v>
      </c>
      <c r="P40" s="31">
        <f t="shared" si="22"/>
        <v>20163068</v>
      </c>
      <c r="Q40" s="131"/>
    </row>
    <row r="41" spans="1:17" ht="15" x14ac:dyDescent="0.25">
      <c r="A41" s="51">
        <v>41</v>
      </c>
      <c r="B41" s="24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</row>
    <row r="42" spans="1:17" ht="15" x14ac:dyDescent="0.25">
      <c r="A42" s="51">
        <v>42</v>
      </c>
      <c r="B42" s="24" t="s">
        <v>6</v>
      </c>
      <c r="C42" s="131">
        <f>+C135</f>
        <v>0</v>
      </c>
      <c r="D42" s="131">
        <f>+D135</f>
        <v>0</v>
      </c>
      <c r="E42" s="31">
        <f t="shared" ref="E42:F42" si="23">+E133</f>
        <v>74604</v>
      </c>
      <c r="F42" s="31">
        <f t="shared" si="23"/>
        <v>111388</v>
      </c>
      <c r="G42" s="31">
        <f t="shared" ref="G42:P42" si="24">+G133</f>
        <v>94028</v>
      </c>
      <c r="H42" s="31">
        <f t="shared" si="24"/>
        <v>142348</v>
      </c>
      <c r="I42" s="31">
        <f t="shared" si="24"/>
        <v>143284</v>
      </c>
      <c r="J42" s="31">
        <f t="shared" si="24"/>
        <v>160564</v>
      </c>
      <c r="K42" s="31">
        <f t="shared" si="24"/>
        <v>193940</v>
      </c>
      <c r="L42" s="31">
        <f t="shared" si="24"/>
        <v>218360</v>
      </c>
      <c r="M42" s="31">
        <f t="shared" si="24"/>
        <v>261756</v>
      </c>
      <c r="N42" s="31">
        <f t="shared" si="24"/>
        <v>191408</v>
      </c>
      <c r="O42" s="31">
        <f t="shared" si="24"/>
        <v>79636</v>
      </c>
      <c r="P42" s="31">
        <f t="shared" si="24"/>
        <v>75156</v>
      </c>
      <c r="Q42" s="131"/>
    </row>
    <row r="43" spans="1:17" ht="15" x14ac:dyDescent="0.25">
      <c r="A43" s="51">
        <v>43</v>
      </c>
      <c r="B43" s="24"/>
      <c r="C43" s="131"/>
      <c r="D43" s="1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</row>
    <row r="44" spans="1:17" ht="15" x14ac:dyDescent="0.25">
      <c r="A44" s="51">
        <v>44</v>
      </c>
      <c r="B44" s="24" t="s">
        <v>118</v>
      </c>
      <c r="C44" s="131">
        <f>C137</f>
        <v>0</v>
      </c>
      <c r="D44" s="131">
        <f>D137</f>
        <v>0</v>
      </c>
      <c r="E44" s="31">
        <f>E135</f>
        <v>279984</v>
      </c>
      <c r="F44" s="31">
        <f>F135</f>
        <v>524912</v>
      </c>
      <c r="G44" s="31">
        <f t="shared" ref="G44:P44" si="25">G135</f>
        <v>419728</v>
      </c>
      <c r="H44" s="31">
        <f t="shared" si="25"/>
        <v>408304</v>
      </c>
      <c r="I44" s="31">
        <f t="shared" si="25"/>
        <v>389664</v>
      </c>
      <c r="J44" s="31">
        <f t="shared" si="25"/>
        <v>444256</v>
      </c>
      <c r="K44" s="31">
        <f t="shared" si="25"/>
        <v>407296</v>
      </c>
      <c r="L44" s="31">
        <f t="shared" si="25"/>
        <v>388800</v>
      </c>
      <c r="M44" s="31">
        <f t="shared" si="25"/>
        <v>455072</v>
      </c>
      <c r="N44" s="31">
        <f t="shared" si="25"/>
        <v>463264</v>
      </c>
      <c r="O44" s="31">
        <f t="shared" si="25"/>
        <v>403296</v>
      </c>
      <c r="P44" s="31">
        <f t="shared" si="25"/>
        <v>426272</v>
      </c>
      <c r="Q44" s="131"/>
    </row>
    <row r="45" spans="1:17" ht="15" x14ac:dyDescent="0.25">
      <c r="A45" s="51">
        <v>45</v>
      </c>
      <c r="B45" s="24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</row>
    <row r="46" spans="1:17" ht="15" x14ac:dyDescent="0.25">
      <c r="A46" s="51">
        <v>46</v>
      </c>
      <c r="B46" s="24" t="s">
        <v>241</v>
      </c>
      <c r="C46" s="131">
        <f>+C141</f>
        <v>0</v>
      </c>
      <c r="D46" s="131">
        <f>+D141</f>
        <v>0</v>
      </c>
      <c r="E46" s="31">
        <f>E136</f>
        <v>0</v>
      </c>
      <c r="F46" s="31">
        <f>F136</f>
        <v>0</v>
      </c>
      <c r="G46" s="31">
        <f t="shared" ref="G46:P46" si="26">G136</f>
        <v>0</v>
      </c>
      <c r="H46" s="31">
        <f t="shared" si="26"/>
        <v>0</v>
      </c>
      <c r="I46" s="31">
        <f t="shared" si="26"/>
        <v>0</v>
      </c>
      <c r="J46" s="31">
        <f t="shared" si="26"/>
        <v>0</v>
      </c>
      <c r="K46" s="31">
        <f t="shared" si="26"/>
        <v>0</v>
      </c>
      <c r="L46" s="31">
        <f t="shared" si="26"/>
        <v>0</v>
      </c>
      <c r="M46" s="31">
        <f t="shared" si="26"/>
        <v>0</v>
      </c>
      <c r="N46" s="31">
        <f t="shared" si="26"/>
        <v>0</v>
      </c>
      <c r="O46" s="31">
        <f t="shared" si="26"/>
        <v>0</v>
      </c>
      <c r="P46" s="31">
        <f t="shared" si="26"/>
        <v>0</v>
      </c>
      <c r="Q46" s="131"/>
    </row>
    <row r="47" spans="1:17" ht="15" x14ac:dyDescent="0.25">
      <c r="A47" s="51">
        <v>47</v>
      </c>
      <c r="B47" s="24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</row>
    <row r="48" spans="1:17" ht="15" x14ac:dyDescent="0.25">
      <c r="A48" s="51">
        <v>48</v>
      </c>
      <c r="B48" s="24" t="s">
        <v>5</v>
      </c>
      <c r="C48" s="131">
        <f>+C143</f>
        <v>0</v>
      </c>
      <c r="D48" s="131">
        <f>+D143</f>
        <v>0</v>
      </c>
      <c r="E48" s="31">
        <f>+E140</f>
        <v>2439370</v>
      </c>
      <c r="F48" s="31">
        <f>+F140</f>
        <v>2455580</v>
      </c>
      <c r="G48" s="31">
        <f t="shared" ref="G48:P48" si="27">+G140</f>
        <v>2620270</v>
      </c>
      <c r="H48" s="31">
        <f t="shared" si="27"/>
        <v>2890030</v>
      </c>
      <c r="I48" s="31">
        <f t="shared" si="27"/>
        <v>2782380</v>
      </c>
      <c r="J48" s="31">
        <f t="shared" si="27"/>
        <v>2698500</v>
      </c>
      <c r="K48" s="31">
        <f t="shared" si="27"/>
        <v>2508270</v>
      </c>
      <c r="L48" s="31">
        <f t="shared" si="27"/>
        <v>2193660</v>
      </c>
      <c r="M48" s="31">
        <f t="shared" si="27"/>
        <v>2720520</v>
      </c>
      <c r="N48" s="31">
        <f t="shared" si="27"/>
        <v>3000700</v>
      </c>
      <c r="O48" s="31">
        <f t="shared" si="27"/>
        <v>2761670</v>
      </c>
      <c r="P48" s="31">
        <f t="shared" si="27"/>
        <v>2541150</v>
      </c>
      <c r="Q48" s="131"/>
    </row>
    <row r="49" spans="1:17" ht="15" x14ac:dyDescent="0.25">
      <c r="A49" s="51">
        <v>49</v>
      </c>
      <c r="B49" s="24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</row>
    <row r="50" spans="1:17" ht="15" x14ac:dyDescent="0.25">
      <c r="A50" s="51">
        <v>50</v>
      </c>
      <c r="B50" s="24" t="s">
        <v>4</v>
      </c>
      <c r="C50" s="131">
        <f>+C145</f>
        <v>0</v>
      </c>
      <c r="D50" s="131">
        <f>+D145</f>
        <v>0</v>
      </c>
      <c r="E50" s="31">
        <f>+E142</f>
        <v>434000</v>
      </c>
      <c r="F50" s="31">
        <f>+F142</f>
        <v>687925</v>
      </c>
      <c r="G50" s="31">
        <f t="shared" ref="G50:P50" si="28">+G142</f>
        <v>1483350</v>
      </c>
      <c r="H50" s="31">
        <f t="shared" si="28"/>
        <v>560025</v>
      </c>
      <c r="I50" s="31">
        <f t="shared" si="28"/>
        <v>577375</v>
      </c>
      <c r="J50" s="31">
        <f t="shared" si="28"/>
        <v>515275</v>
      </c>
      <c r="K50" s="31">
        <f t="shared" si="28"/>
        <v>468425</v>
      </c>
      <c r="L50" s="31">
        <f t="shared" si="28"/>
        <v>433750</v>
      </c>
      <c r="M50" s="31">
        <f t="shared" si="28"/>
        <v>474500</v>
      </c>
      <c r="N50" s="31">
        <f t="shared" si="28"/>
        <v>525600</v>
      </c>
      <c r="O50" s="31">
        <f t="shared" si="28"/>
        <v>475050</v>
      </c>
      <c r="P50" s="31">
        <f t="shared" si="28"/>
        <v>405950</v>
      </c>
      <c r="Q50" s="131"/>
    </row>
    <row r="51" spans="1:17" ht="15" x14ac:dyDescent="0.25">
      <c r="A51" s="51">
        <v>51</v>
      </c>
      <c r="B51" s="24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</row>
    <row r="52" spans="1:17" ht="15" x14ac:dyDescent="0.25">
      <c r="A52" s="51">
        <v>52</v>
      </c>
      <c r="B52" s="24" t="s">
        <v>3</v>
      </c>
      <c r="C52" s="131">
        <f>C147</f>
        <v>0</v>
      </c>
      <c r="D52" s="131">
        <f>D147</f>
        <v>0</v>
      </c>
      <c r="E52" s="31">
        <f>+E144</f>
        <v>0</v>
      </c>
      <c r="F52" s="31">
        <f>+F144</f>
        <v>0</v>
      </c>
      <c r="G52" s="31">
        <f t="shared" ref="G52:P52" si="29">+G144</f>
        <v>0</v>
      </c>
      <c r="H52" s="31">
        <f t="shared" si="29"/>
        <v>0</v>
      </c>
      <c r="I52" s="31">
        <f t="shared" si="29"/>
        <v>0</v>
      </c>
      <c r="J52" s="31">
        <f t="shared" si="29"/>
        <v>0</v>
      </c>
      <c r="K52" s="31">
        <f t="shared" si="29"/>
        <v>0</v>
      </c>
      <c r="L52" s="31">
        <f t="shared" si="29"/>
        <v>0</v>
      </c>
      <c r="M52" s="31">
        <f t="shared" si="29"/>
        <v>0</v>
      </c>
      <c r="N52" s="31">
        <f t="shared" si="29"/>
        <v>0</v>
      </c>
      <c r="O52" s="31">
        <f t="shared" si="29"/>
        <v>0</v>
      </c>
      <c r="P52" s="31">
        <f t="shared" si="29"/>
        <v>0</v>
      </c>
      <c r="Q52" s="131"/>
    </row>
    <row r="53" spans="1:17" ht="15" x14ac:dyDescent="0.25">
      <c r="A53" s="51">
        <v>53</v>
      </c>
      <c r="B53" s="24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</row>
    <row r="54" spans="1:17" ht="15" x14ac:dyDescent="0.25">
      <c r="A54" s="51">
        <v>54</v>
      </c>
      <c r="B54" s="24" t="s">
        <v>119</v>
      </c>
      <c r="C54" s="131">
        <f>C149</f>
        <v>0</v>
      </c>
      <c r="D54" s="131">
        <f>D149</f>
        <v>0</v>
      </c>
      <c r="E54" s="31">
        <f>E146</f>
        <v>6723862</v>
      </c>
      <c r="F54" s="31">
        <f>F146</f>
        <v>6767236</v>
      </c>
      <c r="G54" s="31">
        <f t="shared" ref="G54:P54" si="30">G146</f>
        <v>7132438</v>
      </c>
      <c r="H54" s="31">
        <f t="shared" si="30"/>
        <v>6668686</v>
      </c>
      <c r="I54" s="31">
        <f t="shared" si="30"/>
        <v>6974666</v>
      </c>
      <c r="J54" s="31">
        <f t="shared" si="30"/>
        <v>7953658</v>
      </c>
      <c r="K54" s="31">
        <f t="shared" si="30"/>
        <v>6891664</v>
      </c>
      <c r="L54" s="31">
        <f t="shared" si="30"/>
        <v>6208900</v>
      </c>
      <c r="M54" s="31">
        <f t="shared" si="30"/>
        <v>7588826</v>
      </c>
      <c r="N54" s="31">
        <f t="shared" si="30"/>
        <v>8246542</v>
      </c>
      <c r="O54" s="31">
        <f t="shared" si="30"/>
        <v>6936634</v>
      </c>
      <c r="P54" s="31">
        <f t="shared" si="30"/>
        <v>7109594</v>
      </c>
      <c r="Q54" s="131"/>
    </row>
    <row r="55" spans="1:17" ht="15" x14ac:dyDescent="0.25">
      <c r="A55" s="51">
        <v>55</v>
      </c>
      <c r="B55" s="24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7" ht="15" x14ac:dyDescent="0.25">
      <c r="A56" s="51">
        <v>56</v>
      </c>
      <c r="B56" s="24" t="s">
        <v>120</v>
      </c>
      <c r="C56" s="131">
        <f>C151</f>
        <v>0</v>
      </c>
      <c r="D56" s="131">
        <f>D151</f>
        <v>0</v>
      </c>
      <c r="E56" s="31">
        <f>E148</f>
        <v>130500</v>
      </c>
      <c r="F56" s="31">
        <f>F148</f>
        <v>125700</v>
      </c>
      <c r="G56" s="31">
        <f t="shared" ref="G56:P56" si="31">G148</f>
        <v>110700</v>
      </c>
      <c r="H56" s="31">
        <f t="shared" si="31"/>
        <v>119100</v>
      </c>
      <c r="I56" s="31">
        <f t="shared" si="31"/>
        <v>118200</v>
      </c>
      <c r="J56" s="31">
        <f t="shared" si="31"/>
        <v>142800</v>
      </c>
      <c r="K56" s="31">
        <f t="shared" si="31"/>
        <v>118200</v>
      </c>
      <c r="L56" s="31">
        <f t="shared" si="31"/>
        <v>115200</v>
      </c>
      <c r="M56" s="31">
        <f t="shared" si="31"/>
        <v>170100</v>
      </c>
      <c r="N56" s="31">
        <f t="shared" si="31"/>
        <v>217500</v>
      </c>
      <c r="O56" s="31">
        <f t="shared" si="31"/>
        <v>191700</v>
      </c>
      <c r="P56" s="31">
        <f t="shared" si="31"/>
        <v>136800</v>
      </c>
      <c r="Q56" s="131"/>
    </row>
    <row r="57" spans="1:17" ht="15" x14ac:dyDescent="0.25">
      <c r="A57" s="51">
        <v>57</v>
      </c>
      <c r="B57" s="24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</row>
    <row r="58" spans="1:17" ht="15" x14ac:dyDescent="0.25">
      <c r="A58" s="51">
        <v>58</v>
      </c>
      <c r="B58" s="24" t="s">
        <v>242</v>
      </c>
      <c r="C58" s="131">
        <f>C153</f>
        <v>0</v>
      </c>
      <c r="D58" s="131">
        <f>D153</f>
        <v>0</v>
      </c>
      <c r="E58" s="31">
        <f>E151</f>
        <v>0</v>
      </c>
      <c r="F58" s="31">
        <f>F151</f>
        <v>0</v>
      </c>
      <c r="G58" s="31">
        <f t="shared" ref="G58:P58" si="32">G151</f>
        <v>0</v>
      </c>
      <c r="H58" s="31">
        <f t="shared" si="32"/>
        <v>0</v>
      </c>
      <c r="I58" s="31">
        <f t="shared" si="32"/>
        <v>0</v>
      </c>
      <c r="J58" s="31">
        <f t="shared" si="32"/>
        <v>0</v>
      </c>
      <c r="K58" s="31">
        <f t="shared" si="32"/>
        <v>0</v>
      </c>
      <c r="L58" s="31">
        <f t="shared" si="32"/>
        <v>0</v>
      </c>
      <c r="M58" s="31">
        <f t="shared" si="32"/>
        <v>0</v>
      </c>
      <c r="N58" s="31">
        <f t="shared" si="32"/>
        <v>0</v>
      </c>
      <c r="O58" s="31">
        <f t="shared" si="32"/>
        <v>0</v>
      </c>
      <c r="P58" s="31">
        <f t="shared" si="32"/>
        <v>0</v>
      </c>
      <c r="Q58" s="131"/>
    </row>
    <row r="59" spans="1:17" ht="15" x14ac:dyDescent="0.25">
      <c r="A59" s="51">
        <v>59</v>
      </c>
      <c r="B59" s="24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</row>
    <row r="60" spans="1:17" ht="15" x14ac:dyDescent="0.25">
      <c r="A60" s="51">
        <v>60</v>
      </c>
      <c r="B60" s="24" t="s">
        <v>122</v>
      </c>
      <c r="C60" s="131">
        <f>C155</f>
        <v>0</v>
      </c>
      <c r="D60" s="131">
        <f>D155</f>
        <v>0</v>
      </c>
      <c r="E60" s="31">
        <f>E152</f>
        <v>0</v>
      </c>
      <c r="F60" s="31">
        <f>F152</f>
        <v>0</v>
      </c>
      <c r="G60" s="31">
        <f t="shared" ref="G60:P60" si="33">G152</f>
        <v>0</v>
      </c>
      <c r="H60" s="31">
        <f t="shared" si="33"/>
        <v>0</v>
      </c>
      <c r="I60" s="31">
        <f t="shared" si="33"/>
        <v>0</v>
      </c>
      <c r="J60" s="31">
        <f t="shared" si="33"/>
        <v>0</v>
      </c>
      <c r="K60" s="31">
        <f t="shared" si="33"/>
        <v>0</v>
      </c>
      <c r="L60" s="31">
        <f t="shared" si="33"/>
        <v>0</v>
      </c>
      <c r="M60" s="31">
        <f t="shared" si="33"/>
        <v>0</v>
      </c>
      <c r="N60" s="31">
        <f t="shared" si="33"/>
        <v>0</v>
      </c>
      <c r="O60" s="31">
        <f t="shared" si="33"/>
        <v>0</v>
      </c>
      <c r="P60" s="31">
        <f t="shared" si="33"/>
        <v>0</v>
      </c>
      <c r="Q60" s="131"/>
    </row>
    <row r="61" spans="1:17" ht="15" x14ac:dyDescent="0.25">
      <c r="A61" s="51">
        <v>61</v>
      </c>
      <c r="B61" s="24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</row>
    <row r="62" spans="1:17" ht="15" x14ac:dyDescent="0.25">
      <c r="A62" s="51">
        <v>62</v>
      </c>
      <c r="B62" s="24" t="s">
        <v>243</v>
      </c>
      <c r="C62" s="131">
        <f>C157</f>
        <v>0</v>
      </c>
      <c r="D62" s="131">
        <f>D157</f>
        <v>0</v>
      </c>
      <c r="E62" s="31">
        <f>E153</f>
        <v>0</v>
      </c>
      <c r="F62" s="31">
        <f>F153</f>
        <v>0</v>
      </c>
      <c r="G62" s="31">
        <f t="shared" ref="G62:P62" si="34">G153</f>
        <v>0</v>
      </c>
      <c r="H62" s="31">
        <f t="shared" si="34"/>
        <v>0</v>
      </c>
      <c r="I62" s="31">
        <f t="shared" si="34"/>
        <v>0</v>
      </c>
      <c r="J62" s="31">
        <f t="shared" si="34"/>
        <v>0</v>
      </c>
      <c r="K62" s="31">
        <f t="shared" si="34"/>
        <v>0</v>
      </c>
      <c r="L62" s="31">
        <f t="shared" si="34"/>
        <v>0</v>
      </c>
      <c r="M62" s="31">
        <f t="shared" si="34"/>
        <v>0</v>
      </c>
      <c r="N62" s="31">
        <f t="shared" si="34"/>
        <v>0</v>
      </c>
      <c r="O62" s="31">
        <f t="shared" si="34"/>
        <v>0</v>
      </c>
      <c r="P62" s="31">
        <f t="shared" si="34"/>
        <v>0</v>
      </c>
      <c r="Q62" s="131"/>
    </row>
    <row r="63" spans="1:17" ht="15" x14ac:dyDescent="0.25">
      <c r="A63" s="51">
        <v>63</v>
      </c>
      <c r="B63" s="24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</row>
    <row r="64" spans="1:17" ht="15" x14ac:dyDescent="0.25">
      <c r="A64" s="51">
        <v>64</v>
      </c>
      <c r="B64" s="24" t="s">
        <v>244</v>
      </c>
      <c r="C64" s="131">
        <f>C161</f>
        <v>0</v>
      </c>
      <c r="D64" s="131">
        <f>D161</f>
        <v>0</v>
      </c>
      <c r="E64" s="31">
        <f>E154</f>
        <v>0</v>
      </c>
      <c r="F64" s="31">
        <f>F154</f>
        <v>0</v>
      </c>
      <c r="G64" s="31">
        <f t="shared" ref="G64:P64" si="35">G154</f>
        <v>0</v>
      </c>
      <c r="H64" s="31">
        <f t="shared" si="35"/>
        <v>0</v>
      </c>
      <c r="I64" s="31">
        <f t="shared" si="35"/>
        <v>0</v>
      </c>
      <c r="J64" s="31">
        <f t="shared" si="35"/>
        <v>0</v>
      </c>
      <c r="K64" s="31">
        <f t="shared" si="35"/>
        <v>0</v>
      </c>
      <c r="L64" s="31">
        <f t="shared" si="35"/>
        <v>0</v>
      </c>
      <c r="M64" s="31">
        <f t="shared" si="35"/>
        <v>0</v>
      </c>
      <c r="N64" s="31">
        <f t="shared" si="35"/>
        <v>0</v>
      </c>
      <c r="O64" s="31">
        <f t="shared" si="35"/>
        <v>0</v>
      </c>
      <c r="P64" s="31">
        <f t="shared" si="35"/>
        <v>0</v>
      </c>
      <c r="Q64" s="131"/>
    </row>
    <row r="65" spans="1:18" ht="15" x14ac:dyDescent="0.25">
      <c r="A65" s="51">
        <v>65</v>
      </c>
      <c r="B65" s="24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</row>
    <row r="66" spans="1:18" ht="15" x14ac:dyDescent="0.25">
      <c r="A66" s="51">
        <v>66</v>
      </c>
      <c r="B66" s="24" t="s">
        <v>123</v>
      </c>
      <c r="C66" s="131">
        <f>C174</f>
        <v>0</v>
      </c>
      <c r="D66" s="131">
        <f>D174</f>
        <v>0</v>
      </c>
      <c r="E66" s="31">
        <f>E156</f>
        <v>1278000</v>
      </c>
      <c r="F66" s="31">
        <f>F156</f>
        <v>1177920</v>
      </c>
      <c r="G66" s="31">
        <f t="shared" ref="G66:P66" si="36">G156</f>
        <v>1226160</v>
      </c>
      <c r="H66" s="31">
        <f t="shared" si="36"/>
        <v>1286640</v>
      </c>
      <c r="I66" s="31">
        <f t="shared" si="36"/>
        <v>1211760</v>
      </c>
      <c r="J66" s="31">
        <f t="shared" si="36"/>
        <v>1278720</v>
      </c>
      <c r="K66" s="31">
        <f t="shared" si="36"/>
        <v>1229040</v>
      </c>
      <c r="L66" s="31">
        <f t="shared" si="36"/>
        <v>1263600</v>
      </c>
      <c r="M66" s="31">
        <f t="shared" si="36"/>
        <v>1479600</v>
      </c>
      <c r="N66" s="31">
        <f t="shared" si="36"/>
        <v>1550880</v>
      </c>
      <c r="O66" s="31">
        <f t="shared" si="36"/>
        <v>1379520</v>
      </c>
      <c r="P66" s="31">
        <f t="shared" si="36"/>
        <v>1281600</v>
      </c>
      <c r="Q66" s="131"/>
    </row>
    <row r="67" spans="1:18" ht="15" x14ac:dyDescent="0.25">
      <c r="A67" s="51">
        <v>67</v>
      </c>
      <c r="B67" s="24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</row>
    <row r="68" spans="1:18" ht="15" x14ac:dyDescent="0.25">
      <c r="A68" s="51">
        <v>68</v>
      </c>
      <c r="B68" s="24" t="s">
        <v>124</v>
      </c>
      <c r="C68" s="131">
        <f>C178</f>
        <v>0</v>
      </c>
      <c r="D68" s="131">
        <f>D178</f>
        <v>0</v>
      </c>
      <c r="E68" s="31">
        <f>E160</f>
        <v>8977800</v>
      </c>
      <c r="F68" s="31">
        <f>F160</f>
        <v>9276000</v>
      </c>
      <c r="G68" s="31">
        <f t="shared" ref="G68:P68" si="37">G160</f>
        <v>10606080</v>
      </c>
      <c r="H68" s="31">
        <f t="shared" si="37"/>
        <v>10969440</v>
      </c>
      <c r="I68" s="31">
        <f t="shared" si="37"/>
        <v>10790280</v>
      </c>
      <c r="J68" s="31">
        <f t="shared" si="37"/>
        <v>11151960</v>
      </c>
      <c r="K68" s="31">
        <f t="shared" si="37"/>
        <v>9404400</v>
      </c>
      <c r="L68" s="31">
        <f t="shared" si="37"/>
        <v>9044640</v>
      </c>
      <c r="M68" s="31">
        <f t="shared" si="37"/>
        <v>9208560</v>
      </c>
      <c r="N68" s="31">
        <f t="shared" si="37"/>
        <v>9479160</v>
      </c>
      <c r="O68" s="31">
        <f t="shared" si="37"/>
        <v>8391480</v>
      </c>
      <c r="P68" s="31">
        <f t="shared" si="37"/>
        <v>8524920</v>
      </c>
      <c r="Q68" s="131"/>
    </row>
    <row r="69" spans="1:18" ht="15" x14ac:dyDescent="0.25">
      <c r="A69" s="51">
        <v>69</v>
      </c>
      <c r="B69" s="24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</row>
    <row r="70" spans="1:18" ht="15" x14ac:dyDescent="0.25">
      <c r="A70" s="51">
        <v>70</v>
      </c>
      <c r="B70" s="24" t="s">
        <v>125</v>
      </c>
      <c r="C70" s="131">
        <f>C176</f>
        <v>0</v>
      </c>
      <c r="D70" s="131">
        <f>D176</f>
        <v>0</v>
      </c>
      <c r="E70" s="31">
        <f>E164</f>
        <v>1425600</v>
      </c>
      <c r="F70" s="31">
        <f>F164</f>
        <v>11563750</v>
      </c>
      <c r="G70" s="31">
        <f t="shared" ref="G70:P70" si="38">G164</f>
        <v>14844800</v>
      </c>
      <c r="H70" s="31">
        <f t="shared" si="38"/>
        <v>21380850</v>
      </c>
      <c r="I70" s="31">
        <f t="shared" si="38"/>
        <v>35675300</v>
      </c>
      <c r="J70" s="31">
        <f t="shared" si="38"/>
        <v>23098150</v>
      </c>
      <c r="K70" s="31">
        <f t="shared" si="38"/>
        <v>23939050</v>
      </c>
      <c r="L70" s="31">
        <f t="shared" si="38"/>
        <v>22756000</v>
      </c>
      <c r="M70" s="31">
        <f t="shared" si="38"/>
        <v>18762050</v>
      </c>
      <c r="N70" s="31">
        <f t="shared" si="38"/>
        <v>16238700</v>
      </c>
      <c r="O70" s="31">
        <f t="shared" si="38"/>
        <v>14852750</v>
      </c>
      <c r="P70" s="31">
        <f t="shared" si="38"/>
        <v>27508550</v>
      </c>
      <c r="Q70" s="131"/>
    </row>
    <row r="71" spans="1:18" ht="15" x14ac:dyDescent="0.25">
      <c r="A71" s="51">
        <v>71</v>
      </c>
      <c r="B71" s="24"/>
      <c r="C71" s="131"/>
      <c r="D71" s="131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131"/>
    </row>
    <row r="72" spans="1:18" ht="15" x14ac:dyDescent="0.25">
      <c r="A72" s="51">
        <v>72</v>
      </c>
      <c r="B72" s="24" t="s">
        <v>126</v>
      </c>
      <c r="C72" s="131"/>
      <c r="D72" s="131"/>
      <c r="E72" s="31">
        <f t="shared" ref="E72:F72" si="39">E168</f>
        <v>0</v>
      </c>
      <c r="F72" s="31">
        <f t="shared" si="39"/>
        <v>0</v>
      </c>
      <c r="G72" s="31">
        <f t="shared" ref="G72:P72" si="40">G168</f>
        <v>0</v>
      </c>
      <c r="H72" s="31">
        <f t="shared" si="40"/>
        <v>0</v>
      </c>
      <c r="I72" s="31">
        <f t="shared" si="40"/>
        <v>0</v>
      </c>
      <c r="J72" s="31">
        <f t="shared" si="40"/>
        <v>0</v>
      </c>
      <c r="K72" s="31">
        <f t="shared" si="40"/>
        <v>0</v>
      </c>
      <c r="L72" s="31">
        <f t="shared" si="40"/>
        <v>0</v>
      </c>
      <c r="M72" s="31">
        <f t="shared" si="40"/>
        <v>0</v>
      </c>
      <c r="N72" s="31">
        <f t="shared" si="40"/>
        <v>0</v>
      </c>
      <c r="O72" s="31">
        <f t="shared" si="40"/>
        <v>0</v>
      </c>
      <c r="P72" s="31">
        <f t="shared" si="40"/>
        <v>0</v>
      </c>
      <c r="Q72" s="131"/>
    </row>
    <row r="73" spans="1:18" ht="15" x14ac:dyDescent="0.25">
      <c r="A73" s="51">
        <v>73</v>
      </c>
      <c r="B73" s="24"/>
      <c r="C73" s="131"/>
      <c r="D73" s="131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131"/>
    </row>
    <row r="74" spans="1:18" ht="15" x14ac:dyDescent="0.25">
      <c r="A74" s="51">
        <v>74</v>
      </c>
      <c r="B74" s="24" t="s">
        <v>2</v>
      </c>
      <c r="C74" s="131"/>
      <c r="D74" s="131"/>
      <c r="E74" s="31">
        <f>E203</f>
        <v>0</v>
      </c>
      <c r="F74" s="31">
        <f>F203</f>
        <v>0</v>
      </c>
      <c r="G74" s="31">
        <f t="shared" ref="G74:P74" si="41">G203</f>
        <v>0</v>
      </c>
      <c r="H74" s="31">
        <f t="shared" si="41"/>
        <v>0</v>
      </c>
      <c r="I74" s="31">
        <f t="shared" si="41"/>
        <v>0</v>
      </c>
      <c r="J74" s="31">
        <f t="shared" si="41"/>
        <v>0</v>
      </c>
      <c r="K74" s="31">
        <f t="shared" si="41"/>
        <v>0</v>
      </c>
      <c r="L74" s="31">
        <f t="shared" si="41"/>
        <v>0</v>
      </c>
      <c r="M74" s="31">
        <f t="shared" si="41"/>
        <v>0</v>
      </c>
      <c r="N74" s="31">
        <f t="shared" si="41"/>
        <v>0</v>
      </c>
      <c r="O74" s="31">
        <f t="shared" si="41"/>
        <v>0</v>
      </c>
      <c r="P74" s="31">
        <f t="shared" si="41"/>
        <v>0</v>
      </c>
      <c r="Q74" s="131"/>
    </row>
    <row r="75" spans="1:18" ht="15" x14ac:dyDescent="0.25">
      <c r="A75" s="51">
        <v>75</v>
      </c>
      <c r="B75" s="24"/>
      <c r="C75" s="131"/>
      <c r="D75" s="131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131"/>
    </row>
    <row r="76" spans="1:18" ht="15" x14ac:dyDescent="0.25">
      <c r="A76" s="51">
        <v>76</v>
      </c>
      <c r="B76" s="24" t="s">
        <v>1</v>
      </c>
      <c r="C76" s="131"/>
      <c r="D76" s="131"/>
      <c r="E76" s="31">
        <f>E170</f>
        <v>142689</v>
      </c>
      <c r="F76" s="31">
        <f>F170</f>
        <v>135139</v>
      </c>
      <c r="G76" s="31">
        <f t="shared" ref="G76:P76" si="42">G170</f>
        <v>155381</v>
      </c>
      <c r="H76" s="31">
        <f t="shared" si="42"/>
        <v>159414</v>
      </c>
      <c r="I76" s="31">
        <f t="shared" si="42"/>
        <v>150710</v>
      </c>
      <c r="J76" s="31">
        <f t="shared" si="42"/>
        <v>149083</v>
      </c>
      <c r="K76" s="31">
        <f t="shared" si="42"/>
        <v>155340</v>
      </c>
      <c r="L76" s="31">
        <f t="shared" si="42"/>
        <v>122418</v>
      </c>
      <c r="M76" s="31">
        <f t="shared" si="42"/>
        <v>145915</v>
      </c>
      <c r="N76" s="31">
        <f t="shared" si="42"/>
        <v>161021</v>
      </c>
      <c r="O76" s="31">
        <f t="shared" si="42"/>
        <v>150330</v>
      </c>
      <c r="P76" s="31">
        <f t="shared" si="42"/>
        <v>139503</v>
      </c>
      <c r="Q76" s="131"/>
    </row>
    <row r="77" spans="1:18" ht="15" x14ac:dyDescent="0.25">
      <c r="B77" s="24" t="s">
        <v>0</v>
      </c>
      <c r="C77" s="131" t="e">
        <f>SUM(C10:C70)</f>
        <v>#REF!</v>
      </c>
      <c r="D77" s="131" t="e">
        <f>SUM(D10:D70)</f>
        <v>#REF!</v>
      </c>
      <c r="E77" s="131">
        <f>SUM(E10:E76)-E18</f>
        <v>86643816</v>
      </c>
      <c r="F77" s="131">
        <f>SUM(F10:F76)-F18</f>
        <v>95740103</v>
      </c>
      <c r="G77" s="131">
        <f t="shared" ref="G77:P77" si="43">SUM(G10:G76)-G18</f>
        <v>109705494</v>
      </c>
      <c r="H77" s="131">
        <f t="shared" si="43"/>
        <v>123418257</v>
      </c>
      <c r="I77" s="131">
        <f t="shared" si="43"/>
        <v>137799264</v>
      </c>
      <c r="J77" s="131">
        <f t="shared" si="43"/>
        <v>122881587</v>
      </c>
      <c r="K77" s="131">
        <f t="shared" si="43"/>
        <v>110465322</v>
      </c>
      <c r="L77" s="131">
        <f t="shared" si="43"/>
        <v>104593510</v>
      </c>
      <c r="M77" s="131">
        <f t="shared" si="43"/>
        <v>118522494</v>
      </c>
      <c r="N77" s="131">
        <f t="shared" si="43"/>
        <v>126374671</v>
      </c>
      <c r="O77" s="131">
        <f t="shared" si="43"/>
        <v>109489295</v>
      </c>
      <c r="P77" s="131">
        <f t="shared" si="43"/>
        <v>114235267</v>
      </c>
      <c r="Q77" s="131">
        <f>SUM(E77:P77)</f>
        <v>1359869080</v>
      </c>
      <c r="R77" s="131">
        <f>Q77-Q205</f>
        <v>0</v>
      </c>
    </row>
    <row r="78" spans="1:18" ht="15" x14ac:dyDescent="0.25">
      <c r="B78" s="24" t="s">
        <v>274</v>
      </c>
      <c r="C78" s="131" t="e">
        <f>+C77-C180</f>
        <v>#REF!</v>
      </c>
      <c r="D78" s="131" t="e">
        <f>+D77-D180</f>
        <v>#REF!</v>
      </c>
      <c r="E78" s="131">
        <f>+E77-E205</f>
        <v>0</v>
      </c>
      <c r="F78" s="131">
        <f>+F77-F205</f>
        <v>0</v>
      </c>
      <c r="G78" s="131">
        <f t="shared" ref="G78:P78" si="44">+G77-G180</f>
        <v>109705272</v>
      </c>
      <c r="H78" s="131">
        <f t="shared" si="44"/>
        <v>123418020</v>
      </c>
      <c r="I78" s="131">
        <f t="shared" si="44"/>
        <v>137798994</v>
      </c>
      <c r="J78" s="131">
        <f t="shared" si="44"/>
        <v>122881290</v>
      </c>
      <c r="K78" s="131">
        <f t="shared" si="44"/>
        <v>110464974</v>
      </c>
      <c r="L78" s="131">
        <f t="shared" si="44"/>
        <v>104593144</v>
      </c>
      <c r="M78" s="131">
        <f t="shared" si="44"/>
        <v>118522098</v>
      </c>
      <c r="N78" s="131">
        <f t="shared" si="44"/>
        <v>126374281</v>
      </c>
      <c r="O78" s="131">
        <f t="shared" si="44"/>
        <v>109488968</v>
      </c>
      <c r="P78" s="131">
        <f t="shared" si="44"/>
        <v>114234940</v>
      </c>
    </row>
    <row r="79" spans="1:18" x14ac:dyDescent="0.2">
      <c r="C79" s="131"/>
      <c r="D79" s="131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</row>
    <row r="80" spans="1:18" x14ac:dyDescent="0.2">
      <c r="B80" s="50"/>
    </row>
    <row r="81" spans="1:16" x14ac:dyDescent="0.2">
      <c r="B81" s="50" t="s">
        <v>22</v>
      </c>
      <c r="C81" s="100" t="str">
        <f t="shared" ref="C81:P81" si="45">C9</f>
        <v>Jan</v>
      </c>
      <c r="D81" s="100" t="str">
        <f t="shared" si="45"/>
        <v>Feb</v>
      </c>
      <c r="E81" s="100" t="str">
        <f t="shared" si="45"/>
        <v>Apr</v>
      </c>
      <c r="F81" s="100" t="str">
        <f t="shared" si="45"/>
        <v>May</v>
      </c>
      <c r="G81" s="100" t="str">
        <f t="shared" si="45"/>
        <v>Jun</v>
      </c>
      <c r="H81" s="100" t="str">
        <f t="shared" si="45"/>
        <v>Jul</v>
      </c>
      <c r="I81" s="100" t="str">
        <f t="shared" si="45"/>
        <v>Aug</v>
      </c>
      <c r="J81" s="100" t="str">
        <f t="shared" si="45"/>
        <v>Sep</v>
      </c>
      <c r="K81" s="100" t="str">
        <f t="shared" si="45"/>
        <v>Oct</v>
      </c>
      <c r="L81" s="100" t="str">
        <f t="shared" si="45"/>
        <v>Nov</v>
      </c>
      <c r="M81" s="100" t="str">
        <f t="shared" si="45"/>
        <v>Dec</v>
      </c>
      <c r="N81" s="100" t="str">
        <f t="shared" si="45"/>
        <v>Jan</v>
      </c>
      <c r="O81" s="100" t="str">
        <f t="shared" si="45"/>
        <v>Feb</v>
      </c>
      <c r="P81" s="100" t="str">
        <f t="shared" si="45"/>
        <v>Mar</v>
      </c>
    </row>
    <row r="82" spans="1:16" x14ac:dyDescent="0.2">
      <c r="B82" s="132">
        <v>2016</v>
      </c>
    </row>
    <row r="83" spans="1:16" x14ac:dyDescent="0.2">
      <c r="B83" s="132"/>
    </row>
    <row r="84" spans="1:16" x14ac:dyDescent="0.2">
      <c r="A84" s="51">
        <v>11</v>
      </c>
      <c r="B84" s="50" t="s">
        <v>197</v>
      </c>
      <c r="C84" s="131"/>
      <c r="D84" s="131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</row>
    <row r="85" spans="1:16" x14ac:dyDescent="0.2">
      <c r="A85" s="51">
        <v>12</v>
      </c>
      <c r="B85" s="50" t="s">
        <v>198</v>
      </c>
      <c r="C85" s="131"/>
      <c r="D85" s="131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</row>
    <row r="86" spans="1:16" x14ac:dyDescent="0.2">
      <c r="A86" s="51">
        <v>13</v>
      </c>
      <c r="B86" s="50" t="s">
        <v>199</v>
      </c>
      <c r="C86" s="131"/>
      <c r="D86" s="131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</row>
    <row r="87" spans="1:16" x14ac:dyDescent="0.2">
      <c r="A87" s="51">
        <v>14</v>
      </c>
      <c r="B87" s="50" t="s">
        <v>200</v>
      </c>
      <c r="C87" s="131"/>
      <c r="D87" s="131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</row>
    <row r="88" spans="1:16" x14ac:dyDescent="0.2">
      <c r="A88" s="51">
        <v>15</v>
      </c>
      <c r="B88" s="50" t="s">
        <v>176</v>
      </c>
      <c r="C88" s="131"/>
      <c r="D88" s="131"/>
      <c r="E88" s="131">
        <v>578</v>
      </c>
      <c r="F88" s="131">
        <v>460</v>
      </c>
      <c r="G88" s="131">
        <v>772</v>
      </c>
      <c r="H88" s="131">
        <v>857</v>
      </c>
      <c r="I88" s="131">
        <v>872</v>
      </c>
      <c r="J88" s="131">
        <v>908</v>
      </c>
      <c r="K88" s="131">
        <v>310</v>
      </c>
      <c r="L88" s="131">
        <v>552</v>
      </c>
      <c r="M88" s="131">
        <v>1001</v>
      </c>
      <c r="N88" s="131">
        <v>793</v>
      </c>
      <c r="O88" s="131">
        <v>692</v>
      </c>
      <c r="P88" s="131">
        <v>898</v>
      </c>
    </row>
    <row r="89" spans="1:16" x14ac:dyDescent="0.2">
      <c r="A89" s="51">
        <v>17</v>
      </c>
      <c r="B89" s="133" t="s">
        <v>201</v>
      </c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</row>
    <row r="90" spans="1:16" x14ac:dyDescent="0.2">
      <c r="A90" s="51">
        <v>22</v>
      </c>
      <c r="B90" s="50" t="s">
        <v>202</v>
      </c>
      <c r="C90" s="131"/>
      <c r="D90" s="131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</row>
    <row r="91" spans="1:16" x14ac:dyDescent="0.2">
      <c r="B91" s="50" t="s">
        <v>21</v>
      </c>
    </row>
    <row r="92" spans="1:16" x14ac:dyDescent="0.2">
      <c r="B92" s="50"/>
      <c r="C92" s="131"/>
      <c r="D92" s="131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</row>
    <row r="93" spans="1:16" x14ac:dyDescent="0.2">
      <c r="A93" s="51">
        <v>28</v>
      </c>
      <c r="B93" s="50" t="s">
        <v>203</v>
      </c>
      <c r="C93" s="131"/>
      <c r="D93" s="131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</row>
    <row r="94" spans="1:16" x14ac:dyDescent="0.2">
      <c r="A94" s="51">
        <v>30</v>
      </c>
      <c r="B94" s="50" t="s">
        <v>204</v>
      </c>
      <c r="C94" s="131"/>
      <c r="D94" s="131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</row>
    <row r="95" spans="1:16" x14ac:dyDescent="0.2">
      <c r="A95" s="51">
        <v>32</v>
      </c>
      <c r="B95" s="19" t="s">
        <v>205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</row>
    <row r="96" spans="1:16" x14ac:dyDescent="0.2">
      <c r="A96" s="51">
        <v>34</v>
      </c>
      <c r="B96" s="50" t="s">
        <v>206</v>
      </c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</row>
    <row r="97" spans="1:17" x14ac:dyDescent="0.2">
      <c r="B97" s="50" t="s">
        <v>20</v>
      </c>
    </row>
    <row r="98" spans="1:17" x14ac:dyDescent="0.2">
      <c r="B98" s="135"/>
      <c r="C98" s="131"/>
      <c r="D98" s="131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</row>
    <row r="99" spans="1:17" x14ac:dyDescent="0.2">
      <c r="A99" s="51">
        <v>36</v>
      </c>
      <c r="B99" s="135" t="s">
        <v>196</v>
      </c>
    </row>
    <row r="100" spans="1:17" x14ac:dyDescent="0.2">
      <c r="B100" s="50"/>
      <c r="C100" s="131"/>
      <c r="D100" s="131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</row>
    <row r="101" spans="1:17" x14ac:dyDescent="0.2">
      <c r="A101" s="51">
        <v>211</v>
      </c>
      <c r="B101" s="50" t="s">
        <v>227</v>
      </c>
      <c r="E101" s="61">
        <v>10333163</v>
      </c>
      <c r="F101" s="61">
        <v>9291370</v>
      </c>
      <c r="G101" s="61">
        <v>10441520</v>
      </c>
      <c r="H101" s="61">
        <v>11907567</v>
      </c>
      <c r="I101" s="61">
        <v>11882385</v>
      </c>
      <c r="J101" s="61">
        <v>11216040</v>
      </c>
      <c r="K101" s="61">
        <v>9451320</v>
      </c>
      <c r="L101" s="61">
        <v>9355072</v>
      </c>
      <c r="M101" s="61">
        <v>12904482</v>
      </c>
      <c r="N101" s="61">
        <v>15470207</v>
      </c>
      <c r="O101" s="61">
        <v>12715398</v>
      </c>
      <c r="P101" s="61">
        <v>10852461</v>
      </c>
      <c r="Q101" s="51">
        <v>135820985</v>
      </c>
    </row>
    <row r="102" spans="1:17" x14ac:dyDescent="0.2">
      <c r="B102" s="50"/>
      <c r="C102" s="131"/>
      <c r="D102" s="13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</row>
    <row r="103" spans="1:17" x14ac:dyDescent="0.2">
      <c r="A103" s="62">
        <v>225</v>
      </c>
      <c r="B103" s="54" t="s">
        <v>226</v>
      </c>
      <c r="C103" s="54"/>
      <c r="D103" s="54"/>
      <c r="E103" s="136">
        <v>76626</v>
      </c>
      <c r="F103" s="136">
        <v>69473</v>
      </c>
      <c r="G103" s="136">
        <v>74982</v>
      </c>
      <c r="H103" s="136">
        <v>75780</v>
      </c>
      <c r="I103" s="136">
        <v>65638</v>
      </c>
      <c r="J103" s="136">
        <v>78331</v>
      </c>
      <c r="K103" s="136">
        <v>71865</v>
      </c>
      <c r="L103" s="136">
        <v>67836</v>
      </c>
      <c r="M103" s="136">
        <v>79182</v>
      </c>
      <c r="N103" s="136">
        <v>81582</v>
      </c>
      <c r="O103" s="136">
        <v>70998</v>
      </c>
      <c r="P103" s="136">
        <v>69553</v>
      </c>
      <c r="Q103" s="54">
        <v>881846</v>
      </c>
    </row>
    <row r="104" spans="1:17" x14ac:dyDescent="0.2">
      <c r="B104" s="50"/>
      <c r="C104" s="131"/>
      <c r="D104" s="13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</row>
    <row r="105" spans="1:17" x14ac:dyDescent="0.2">
      <c r="A105" s="51">
        <v>227</v>
      </c>
      <c r="B105" s="50" t="s">
        <v>228</v>
      </c>
      <c r="E105" s="61">
        <v>659973</v>
      </c>
      <c r="F105" s="61">
        <v>683667</v>
      </c>
      <c r="G105" s="61">
        <v>729925</v>
      </c>
      <c r="H105" s="61">
        <v>709781</v>
      </c>
      <c r="I105" s="61">
        <v>703262</v>
      </c>
      <c r="J105" s="61">
        <v>687844</v>
      </c>
      <c r="K105" s="61">
        <v>636141</v>
      </c>
      <c r="L105" s="61">
        <v>606817</v>
      </c>
      <c r="M105" s="61">
        <v>668649</v>
      </c>
      <c r="N105" s="61">
        <v>690382</v>
      </c>
      <c r="O105" s="61">
        <v>589978</v>
      </c>
      <c r="P105" s="61">
        <v>595582</v>
      </c>
      <c r="Q105" s="51">
        <v>7962001</v>
      </c>
    </row>
    <row r="106" spans="1:17" x14ac:dyDescent="0.2">
      <c r="B106" s="50"/>
      <c r="C106" s="131"/>
      <c r="D106" s="13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</row>
    <row r="107" spans="1:17" x14ac:dyDescent="0.2">
      <c r="A107" s="51">
        <v>204</v>
      </c>
      <c r="B107" s="50" t="s">
        <v>229</v>
      </c>
      <c r="E107" s="61">
        <v>73102</v>
      </c>
      <c r="F107" s="61">
        <v>78325</v>
      </c>
      <c r="G107" s="61">
        <v>77391</v>
      </c>
      <c r="H107" s="61">
        <v>79361</v>
      </c>
      <c r="I107" s="61">
        <v>75113</v>
      </c>
      <c r="J107" s="61">
        <v>76483</v>
      </c>
      <c r="K107" s="61">
        <v>74857</v>
      </c>
      <c r="L107" s="61">
        <v>75996</v>
      </c>
      <c r="M107" s="61">
        <v>79260</v>
      </c>
      <c r="N107" s="61">
        <v>77257</v>
      </c>
      <c r="O107" s="61">
        <v>69427</v>
      </c>
      <c r="P107" s="61">
        <v>69584</v>
      </c>
      <c r="Q107" s="51">
        <v>906156</v>
      </c>
    </row>
    <row r="108" spans="1:17" x14ac:dyDescent="0.2">
      <c r="A108" s="51">
        <v>213</v>
      </c>
      <c r="B108" s="50" t="s">
        <v>230</v>
      </c>
      <c r="C108" s="131"/>
      <c r="D108" s="131"/>
      <c r="E108" s="61">
        <v>169423</v>
      </c>
      <c r="F108" s="61">
        <v>169423</v>
      </c>
      <c r="G108" s="61">
        <v>169423</v>
      </c>
      <c r="H108" s="61">
        <v>169360</v>
      </c>
      <c r="I108" s="61">
        <v>169109</v>
      </c>
      <c r="J108" s="61">
        <v>169109</v>
      </c>
      <c r="K108" s="61">
        <v>168648</v>
      </c>
      <c r="L108" s="61">
        <v>168209</v>
      </c>
      <c r="M108" s="61">
        <v>207213</v>
      </c>
      <c r="N108" s="61">
        <v>344551</v>
      </c>
      <c r="O108" s="61">
        <v>168236</v>
      </c>
      <c r="P108" s="61">
        <v>167371</v>
      </c>
      <c r="Q108" s="51">
        <v>2240075</v>
      </c>
    </row>
    <row r="109" spans="1:17" x14ac:dyDescent="0.2">
      <c r="B109" s="19" t="s">
        <v>231</v>
      </c>
      <c r="C109" s="19"/>
      <c r="D109" s="19"/>
      <c r="E109" s="137">
        <f>SUM(E107:E108)</f>
        <v>242525</v>
      </c>
      <c r="F109" s="138">
        <f t="shared" ref="F109:P109" si="46">SUM(F107:F108)</f>
        <v>247748</v>
      </c>
      <c r="G109" s="138">
        <f t="shared" si="46"/>
        <v>246814</v>
      </c>
      <c r="H109" s="138">
        <f t="shared" si="46"/>
        <v>248721</v>
      </c>
      <c r="I109" s="138">
        <f t="shared" si="46"/>
        <v>244222</v>
      </c>
      <c r="J109" s="138">
        <f t="shared" si="46"/>
        <v>245592</v>
      </c>
      <c r="K109" s="138">
        <f t="shared" si="46"/>
        <v>243505</v>
      </c>
      <c r="L109" s="138">
        <f t="shared" si="46"/>
        <v>244205</v>
      </c>
      <c r="M109" s="138">
        <f t="shared" si="46"/>
        <v>286473</v>
      </c>
      <c r="N109" s="138">
        <f t="shared" si="46"/>
        <v>421808</v>
      </c>
      <c r="O109" s="138">
        <f t="shared" si="46"/>
        <v>237663</v>
      </c>
      <c r="P109" s="138">
        <f t="shared" si="46"/>
        <v>236955</v>
      </c>
    </row>
    <row r="110" spans="1:17" x14ac:dyDescent="0.2">
      <c r="B110" s="50"/>
      <c r="C110" s="131"/>
      <c r="D110" s="131"/>
      <c r="E110" s="136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</row>
    <row r="111" spans="1:17" x14ac:dyDescent="0.2">
      <c r="B111" s="50"/>
      <c r="E111" s="136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</row>
    <row r="112" spans="1:17" x14ac:dyDescent="0.2">
      <c r="B112" s="50"/>
      <c r="C112" s="131"/>
      <c r="D112" s="13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</row>
    <row r="113" spans="1:17" x14ac:dyDescent="0.2">
      <c r="A113" s="51">
        <v>214</v>
      </c>
      <c r="B113" s="51" t="s">
        <v>42</v>
      </c>
      <c r="E113" s="61">
        <v>167933</v>
      </c>
      <c r="F113" s="61">
        <v>129023</v>
      </c>
      <c r="G113" s="61">
        <v>95053</v>
      </c>
      <c r="H113" s="61">
        <v>80669</v>
      </c>
      <c r="I113" s="61">
        <v>82886</v>
      </c>
      <c r="J113" s="61">
        <v>93873</v>
      </c>
      <c r="K113" s="61">
        <v>111522</v>
      </c>
      <c r="L113" s="61">
        <v>113970</v>
      </c>
      <c r="M113" s="61">
        <v>126773</v>
      </c>
      <c r="N113" s="61">
        <v>130698</v>
      </c>
      <c r="O113" s="61">
        <v>118629</v>
      </c>
      <c r="P113" s="61">
        <v>141025</v>
      </c>
      <c r="Q113" s="51">
        <v>1392054</v>
      </c>
    </row>
    <row r="114" spans="1:17" ht="14.25" x14ac:dyDescent="0.2">
      <c r="A114" s="51">
        <v>212</v>
      </c>
      <c r="B114" s="33" t="s">
        <v>303</v>
      </c>
      <c r="C114" s="131"/>
      <c r="D114" s="131"/>
      <c r="E114" s="61">
        <v>261</v>
      </c>
      <c r="F114" s="61">
        <v>258</v>
      </c>
      <c r="G114" s="61">
        <v>284</v>
      </c>
      <c r="H114" s="61">
        <v>253</v>
      </c>
      <c r="I114" s="61">
        <v>265</v>
      </c>
      <c r="J114" s="61">
        <v>270</v>
      </c>
      <c r="K114" s="61">
        <v>296</v>
      </c>
      <c r="L114" s="61">
        <v>269</v>
      </c>
      <c r="M114" s="61">
        <v>301</v>
      </c>
      <c r="N114" s="61">
        <v>293</v>
      </c>
      <c r="O114" s="61">
        <v>286</v>
      </c>
      <c r="P114" s="61">
        <v>267</v>
      </c>
      <c r="Q114" s="51">
        <v>3303</v>
      </c>
    </row>
    <row r="115" spans="1:17" x14ac:dyDescent="0.2">
      <c r="A115" s="51">
        <v>215</v>
      </c>
      <c r="B115" s="50" t="s">
        <v>43</v>
      </c>
      <c r="E115" s="61">
        <v>31322768</v>
      </c>
      <c r="F115" s="61">
        <v>30614720</v>
      </c>
      <c r="G115" s="61">
        <v>35410759</v>
      </c>
      <c r="H115" s="61">
        <v>39909806</v>
      </c>
      <c r="I115" s="61">
        <v>40115751</v>
      </c>
      <c r="J115" s="61">
        <v>37907338</v>
      </c>
      <c r="K115" s="61">
        <v>31715798</v>
      </c>
      <c r="L115" s="61">
        <v>29452137</v>
      </c>
      <c r="M115" s="61">
        <v>37288106</v>
      </c>
      <c r="N115" s="61">
        <v>42059388</v>
      </c>
      <c r="O115" s="61">
        <v>36010350</v>
      </c>
      <c r="P115" s="61">
        <v>31761316</v>
      </c>
      <c r="Q115" s="51">
        <v>423568237</v>
      </c>
    </row>
    <row r="116" spans="1:17" x14ac:dyDescent="0.2">
      <c r="A116" s="51">
        <v>218</v>
      </c>
      <c r="B116" s="50" t="s">
        <v>45</v>
      </c>
      <c r="C116" s="131"/>
      <c r="D116" s="131"/>
      <c r="E116" s="61">
        <v>16800</v>
      </c>
      <c r="F116" s="61">
        <v>13920</v>
      </c>
      <c r="G116" s="61">
        <v>13280</v>
      </c>
      <c r="H116" s="61">
        <v>14720</v>
      </c>
      <c r="I116" s="61">
        <v>14880</v>
      </c>
      <c r="J116" s="61">
        <v>14400</v>
      </c>
      <c r="K116" s="61">
        <v>15280</v>
      </c>
      <c r="L116" s="61">
        <v>13840</v>
      </c>
      <c r="M116" s="61">
        <v>18720</v>
      </c>
      <c r="N116" s="61">
        <v>22960</v>
      </c>
      <c r="O116" s="61">
        <v>21760</v>
      </c>
      <c r="P116" s="61">
        <v>15200</v>
      </c>
      <c r="Q116" s="51">
        <v>195760</v>
      </c>
    </row>
    <row r="117" spans="1:17" x14ac:dyDescent="0.2">
      <c r="B117" s="50" t="s">
        <v>12</v>
      </c>
      <c r="C117" s="131"/>
      <c r="D117" s="131"/>
      <c r="E117" s="139">
        <f>SUM(E114:E116)</f>
        <v>31339829</v>
      </c>
      <c r="F117" s="139">
        <f t="shared" ref="F117:P117" si="47">SUM(F114:F116)</f>
        <v>30628898</v>
      </c>
      <c r="G117" s="139">
        <f t="shared" si="47"/>
        <v>35424323</v>
      </c>
      <c r="H117" s="139">
        <f t="shared" si="47"/>
        <v>39924779</v>
      </c>
      <c r="I117" s="139">
        <f t="shared" si="47"/>
        <v>40130896</v>
      </c>
      <c r="J117" s="139">
        <f t="shared" si="47"/>
        <v>37922008</v>
      </c>
      <c r="K117" s="139">
        <f t="shared" si="47"/>
        <v>31731374</v>
      </c>
      <c r="L117" s="139">
        <f t="shared" si="47"/>
        <v>29466246</v>
      </c>
      <c r="M117" s="139">
        <f t="shared" si="47"/>
        <v>37307127</v>
      </c>
      <c r="N117" s="139">
        <f t="shared" si="47"/>
        <v>42082641</v>
      </c>
      <c r="O117" s="139">
        <f t="shared" si="47"/>
        <v>36032396</v>
      </c>
      <c r="P117" s="139">
        <f t="shared" si="47"/>
        <v>31776783</v>
      </c>
    </row>
    <row r="118" spans="1:17" x14ac:dyDescent="0.2">
      <c r="A118" s="62"/>
      <c r="B118" s="54"/>
      <c r="C118" s="54"/>
      <c r="D118" s="54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</row>
    <row r="119" spans="1:17" x14ac:dyDescent="0.2">
      <c r="A119" s="62">
        <v>223</v>
      </c>
      <c r="B119" s="140" t="s">
        <v>46</v>
      </c>
      <c r="C119" s="54"/>
      <c r="D119" s="54"/>
      <c r="E119" s="136">
        <v>67964</v>
      </c>
      <c r="F119" s="136">
        <v>39288</v>
      </c>
      <c r="G119" s="136">
        <v>49269</v>
      </c>
      <c r="H119" s="136">
        <v>60594</v>
      </c>
      <c r="I119" s="136">
        <v>63409</v>
      </c>
      <c r="J119" s="136">
        <v>61853</v>
      </c>
      <c r="K119" s="136">
        <v>28172</v>
      </c>
      <c r="L119" s="136">
        <v>50780</v>
      </c>
      <c r="M119" s="136">
        <v>96950</v>
      </c>
      <c r="N119" s="136">
        <v>127442</v>
      </c>
      <c r="O119" s="61">
        <v>87892</v>
      </c>
      <c r="P119" s="61">
        <v>61686</v>
      </c>
      <c r="Q119" s="51">
        <v>795299</v>
      </c>
    </row>
    <row r="120" spans="1:17" x14ac:dyDescent="0.2">
      <c r="B120" s="50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</row>
    <row r="121" spans="1:17" x14ac:dyDescent="0.2">
      <c r="A121" s="51">
        <v>229</v>
      </c>
      <c r="B121" s="50" t="s">
        <v>47</v>
      </c>
      <c r="C121" s="131"/>
      <c r="D121" s="131"/>
      <c r="E121" s="61">
        <v>624414</v>
      </c>
      <c r="F121" s="61">
        <v>607373</v>
      </c>
      <c r="G121" s="61">
        <v>637182</v>
      </c>
      <c r="H121" s="61">
        <v>781956</v>
      </c>
      <c r="I121" s="61">
        <v>695776</v>
      </c>
      <c r="J121" s="61">
        <v>726923</v>
      </c>
      <c r="K121" s="61">
        <v>631481</v>
      </c>
      <c r="L121" s="61">
        <v>641523</v>
      </c>
      <c r="M121" s="61">
        <v>793535</v>
      </c>
      <c r="N121" s="61">
        <v>888505</v>
      </c>
      <c r="O121" s="61">
        <v>654037</v>
      </c>
      <c r="P121" s="61">
        <v>677016</v>
      </c>
      <c r="Q121" s="51">
        <v>8359721</v>
      </c>
    </row>
    <row r="122" spans="1:17" x14ac:dyDescent="0.2"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</row>
    <row r="123" spans="1:17" x14ac:dyDescent="0.2">
      <c r="A123" s="51">
        <v>217</v>
      </c>
      <c r="B123" s="50" t="s">
        <v>48</v>
      </c>
      <c r="C123" s="131"/>
      <c r="D123" s="131"/>
      <c r="E123" s="61">
        <v>205100</v>
      </c>
      <c r="F123" s="61">
        <v>195010</v>
      </c>
      <c r="G123" s="61">
        <v>190490</v>
      </c>
      <c r="H123" s="61">
        <v>211400</v>
      </c>
      <c r="I123" s="61">
        <v>209440</v>
      </c>
      <c r="J123" s="61">
        <v>195290</v>
      </c>
      <c r="K123" s="61">
        <v>181380</v>
      </c>
      <c r="L123" s="61">
        <v>191570</v>
      </c>
      <c r="M123" s="61">
        <v>242320</v>
      </c>
      <c r="N123" s="61">
        <v>276810</v>
      </c>
      <c r="O123" s="61">
        <v>246620</v>
      </c>
      <c r="P123" s="61">
        <v>207330</v>
      </c>
      <c r="Q123" s="51">
        <v>2552760</v>
      </c>
    </row>
    <row r="124" spans="1:17" x14ac:dyDescent="0.2">
      <c r="A124" s="51">
        <v>220</v>
      </c>
      <c r="B124" s="50" t="s">
        <v>49</v>
      </c>
      <c r="E124" s="61">
        <v>84240</v>
      </c>
      <c r="F124" s="61">
        <v>77520</v>
      </c>
      <c r="G124" s="61">
        <v>69240</v>
      </c>
      <c r="H124" s="61">
        <v>71280</v>
      </c>
      <c r="I124" s="61">
        <v>75720</v>
      </c>
      <c r="J124" s="61">
        <v>73800</v>
      </c>
      <c r="K124" s="61">
        <v>70440</v>
      </c>
      <c r="L124" s="61">
        <v>75360</v>
      </c>
      <c r="M124" s="61">
        <v>100560</v>
      </c>
      <c r="N124" s="61">
        <v>116040</v>
      </c>
      <c r="O124" s="61">
        <v>94560</v>
      </c>
      <c r="P124" s="61">
        <v>93600</v>
      </c>
      <c r="Q124" s="51">
        <v>1002360</v>
      </c>
    </row>
    <row r="125" spans="1:17" x14ac:dyDescent="0.2">
      <c r="B125" s="50" t="s">
        <v>9</v>
      </c>
      <c r="C125" s="131"/>
      <c r="D125" s="131"/>
      <c r="E125" s="139">
        <f>SUM(E123:E124)</f>
        <v>289340</v>
      </c>
      <c r="F125" s="139">
        <f t="shared" ref="F125:P125" si="48">SUM(F123:F124)</f>
        <v>272530</v>
      </c>
      <c r="G125" s="139">
        <f t="shared" si="48"/>
        <v>259730</v>
      </c>
      <c r="H125" s="139">
        <f t="shared" si="48"/>
        <v>282680</v>
      </c>
      <c r="I125" s="139">
        <f t="shared" si="48"/>
        <v>285160</v>
      </c>
      <c r="J125" s="139">
        <f t="shared" si="48"/>
        <v>269090</v>
      </c>
      <c r="K125" s="139">
        <f t="shared" si="48"/>
        <v>251820</v>
      </c>
      <c r="L125" s="139">
        <f t="shared" si="48"/>
        <v>266930</v>
      </c>
      <c r="M125" s="139">
        <f t="shared" si="48"/>
        <v>342880</v>
      </c>
      <c r="N125" s="139">
        <f t="shared" si="48"/>
        <v>392850</v>
      </c>
      <c r="O125" s="139">
        <f t="shared" si="48"/>
        <v>341180</v>
      </c>
      <c r="P125" s="139">
        <f t="shared" si="48"/>
        <v>300930</v>
      </c>
    </row>
    <row r="126" spans="1:17" x14ac:dyDescent="0.2">
      <c r="B126" s="54"/>
      <c r="C126" s="141"/>
      <c r="D126" s="142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</row>
    <row r="127" spans="1:17" x14ac:dyDescent="0.2">
      <c r="A127" s="51">
        <v>236</v>
      </c>
      <c r="B127" s="140" t="s">
        <v>72</v>
      </c>
      <c r="C127" s="131"/>
      <c r="D127" s="131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61"/>
      <c r="P127" s="61"/>
    </row>
    <row r="128" spans="1:17" x14ac:dyDescent="0.2">
      <c r="B128" s="50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</row>
    <row r="129" spans="1:17" x14ac:dyDescent="0.2">
      <c r="A129" s="51">
        <v>240</v>
      </c>
      <c r="B129" s="55" t="s">
        <v>50</v>
      </c>
      <c r="C129" s="131"/>
      <c r="D129" s="131"/>
      <c r="E129" s="61">
        <v>19371068</v>
      </c>
      <c r="F129" s="61">
        <v>19501670</v>
      </c>
      <c r="G129" s="61">
        <v>21590151</v>
      </c>
      <c r="H129" s="61">
        <v>23134999</v>
      </c>
      <c r="I129" s="61">
        <v>23086390</v>
      </c>
      <c r="J129" s="61">
        <v>22208543</v>
      </c>
      <c r="K129" s="61">
        <v>20174136</v>
      </c>
      <c r="L129" s="61">
        <v>19145926</v>
      </c>
      <c r="M129" s="61">
        <v>22511595</v>
      </c>
      <c r="N129" s="61">
        <v>23807071</v>
      </c>
      <c r="O129" s="61">
        <v>21253874</v>
      </c>
      <c r="P129" s="61">
        <v>19680948</v>
      </c>
      <c r="Q129" s="51">
        <v>255466371</v>
      </c>
    </row>
    <row r="130" spans="1:17" x14ac:dyDescent="0.2">
      <c r="A130" s="51">
        <v>242</v>
      </c>
      <c r="B130" s="50" t="s">
        <v>51</v>
      </c>
      <c r="E130" s="61">
        <v>471320</v>
      </c>
      <c r="F130" s="61">
        <v>467400</v>
      </c>
      <c r="G130" s="61">
        <v>591640</v>
      </c>
      <c r="H130" s="61">
        <v>697800</v>
      </c>
      <c r="I130" s="61">
        <v>692000</v>
      </c>
      <c r="J130" s="61">
        <v>617480</v>
      </c>
      <c r="K130" s="61">
        <v>519720</v>
      </c>
      <c r="L130" s="61">
        <v>466840</v>
      </c>
      <c r="M130" s="61">
        <v>613440</v>
      </c>
      <c r="N130" s="61">
        <v>731240</v>
      </c>
      <c r="O130" s="61">
        <v>564040</v>
      </c>
      <c r="P130" s="61">
        <v>482120</v>
      </c>
      <c r="Q130" s="51">
        <v>6915040</v>
      </c>
    </row>
    <row r="131" spans="1:17" x14ac:dyDescent="0.2">
      <c r="B131" s="50" t="s">
        <v>7</v>
      </c>
      <c r="C131" s="131"/>
      <c r="D131" s="131"/>
      <c r="E131" s="139">
        <f>SUM(E129:E130)</f>
        <v>19842388</v>
      </c>
      <c r="F131" s="139">
        <f t="shared" ref="F131:P131" si="49">SUM(F129:F130)</f>
        <v>19969070</v>
      </c>
      <c r="G131" s="139">
        <f t="shared" si="49"/>
        <v>22181791</v>
      </c>
      <c r="H131" s="139">
        <f t="shared" si="49"/>
        <v>23832799</v>
      </c>
      <c r="I131" s="139">
        <f t="shared" si="49"/>
        <v>23778390</v>
      </c>
      <c r="J131" s="139">
        <f t="shared" si="49"/>
        <v>22826023</v>
      </c>
      <c r="K131" s="139">
        <f t="shared" si="49"/>
        <v>20693856</v>
      </c>
      <c r="L131" s="139">
        <f t="shared" si="49"/>
        <v>19612766</v>
      </c>
      <c r="M131" s="139">
        <f t="shared" si="49"/>
        <v>23125035</v>
      </c>
      <c r="N131" s="139">
        <f t="shared" si="49"/>
        <v>24538311</v>
      </c>
      <c r="O131" s="139">
        <f t="shared" si="49"/>
        <v>21817914</v>
      </c>
      <c r="P131" s="139">
        <f t="shared" si="49"/>
        <v>20163068</v>
      </c>
    </row>
    <row r="132" spans="1:17" x14ac:dyDescent="0.2">
      <c r="B132" s="54"/>
      <c r="C132" s="141"/>
      <c r="D132" s="14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</row>
    <row r="133" spans="1:17" x14ac:dyDescent="0.2">
      <c r="A133" s="51">
        <v>251</v>
      </c>
      <c r="B133" s="140" t="s">
        <v>52</v>
      </c>
      <c r="C133" s="131"/>
      <c r="D133" s="131"/>
      <c r="E133" s="136">
        <v>74604</v>
      </c>
      <c r="F133" s="136">
        <v>111388</v>
      </c>
      <c r="G133" s="136">
        <v>94028</v>
      </c>
      <c r="H133" s="136">
        <v>142348</v>
      </c>
      <c r="I133" s="136">
        <v>143284</v>
      </c>
      <c r="J133" s="136">
        <v>160564</v>
      </c>
      <c r="K133" s="136">
        <v>193940</v>
      </c>
      <c r="L133" s="136">
        <v>218360</v>
      </c>
      <c r="M133" s="136">
        <v>261756</v>
      </c>
      <c r="N133" s="136">
        <v>191408</v>
      </c>
      <c r="O133" s="136">
        <v>79636</v>
      </c>
      <c r="P133" s="61">
        <v>75156</v>
      </c>
      <c r="Q133" s="51">
        <v>1746472</v>
      </c>
    </row>
    <row r="134" spans="1:17" x14ac:dyDescent="0.2">
      <c r="B134" s="50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</row>
    <row r="135" spans="1:17" x14ac:dyDescent="0.2">
      <c r="A135" s="51">
        <v>256</v>
      </c>
      <c r="B135" s="50" t="s">
        <v>93</v>
      </c>
      <c r="C135" s="131"/>
      <c r="D135" s="131"/>
      <c r="E135" s="61">
        <v>279984</v>
      </c>
      <c r="F135" s="61">
        <v>524912</v>
      </c>
      <c r="G135" s="61">
        <v>419728</v>
      </c>
      <c r="H135" s="61">
        <v>408304</v>
      </c>
      <c r="I135" s="61">
        <v>389664</v>
      </c>
      <c r="J135" s="61">
        <v>444256</v>
      </c>
      <c r="K135" s="61">
        <v>407296</v>
      </c>
      <c r="L135" s="61">
        <v>388800</v>
      </c>
      <c r="M135" s="61">
        <v>455072</v>
      </c>
      <c r="N135" s="61">
        <v>463264</v>
      </c>
      <c r="O135" s="61">
        <v>403296</v>
      </c>
      <c r="P135" s="61">
        <v>426272</v>
      </c>
      <c r="Q135" s="51">
        <v>5010848</v>
      </c>
    </row>
    <row r="136" spans="1:17" x14ac:dyDescent="0.2">
      <c r="A136" s="51">
        <v>257</v>
      </c>
      <c r="B136" s="50" t="s">
        <v>232</v>
      </c>
      <c r="C136" s="131"/>
      <c r="D136" s="13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</row>
    <row r="137" spans="1:17" x14ac:dyDescent="0.2">
      <c r="B137" s="50"/>
      <c r="C137" s="131"/>
      <c r="D137" s="13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</row>
    <row r="138" spans="1:17" x14ac:dyDescent="0.2">
      <c r="A138" s="51">
        <v>244</v>
      </c>
      <c r="B138" s="50" t="s">
        <v>53</v>
      </c>
      <c r="E138" s="61">
        <v>2397970</v>
      </c>
      <c r="F138" s="61">
        <v>2407700</v>
      </c>
      <c r="G138" s="61">
        <v>2548090</v>
      </c>
      <c r="H138" s="61">
        <v>2801830</v>
      </c>
      <c r="I138" s="61">
        <v>2700660</v>
      </c>
      <c r="J138" s="61">
        <v>2626680</v>
      </c>
      <c r="K138" s="61">
        <v>2457870</v>
      </c>
      <c r="L138" s="61">
        <v>2155320</v>
      </c>
      <c r="M138" s="61">
        <v>2671920</v>
      </c>
      <c r="N138" s="61">
        <v>2963260</v>
      </c>
      <c r="O138" s="61">
        <v>2724410</v>
      </c>
      <c r="P138" s="61">
        <v>2504610</v>
      </c>
      <c r="Q138" s="51">
        <v>30960320</v>
      </c>
    </row>
    <row r="139" spans="1:17" x14ac:dyDescent="0.2">
      <c r="A139" s="51">
        <v>246</v>
      </c>
      <c r="B139" s="50" t="s">
        <v>54</v>
      </c>
      <c r="C139" s="131"/>
      <c r="D139" s="131"/>
      <c r="E139" s="61">
        <v>41400</v>
      </c>
      <c r="F139" s="61">
        <v>47880</v>
      </c>
      <c r="G139" s="61">
        <v>72180</v>
      </c>
      <c r="H139" s="61">
        <v>88200</v>
      </c>
      <c r="I139" s="61">
        <v>81720</v>
      </c>
      <c r="J139" s="61">
        <v>71820</v>
      </c>
      <c r="K139" s="61">
        <v>50400</v>
      </c>
      <c r="L139" s="61">
        <v>38340</v>
      </c>
      <c r="M139" s="61">
        <v>48600</v>
      </c>
      <c r="N139" s="61">
        <v>37440</v>
      </c>
      <c r="O139" s="61">
        <v>37260</v>
      </c>
      <c r="P139" s="61">
        <v>36540</v>
      </c>
      <c r="Q139" s="51">
        <v>651780</v>
      </c>
    </row>
    <row r="140" spans="1:17" x14ac:dyDescent="0.2">
      <c r="B140" s="19" t="s">
        <v>5</v>
      </c>
      <c r="C140" s="19"/>
      <c r="D140" s="19"/>
      <c r="E140" s="138">
        <f>SUM(E138:E139)</f>
        <v>2439370</v>
      </c>
      <c r="F140" s="138">
        <f t="shared" ref="F140:O140" si="50">SUM(F138:F139)</f>
        <v>2455580</v>
      </c>
      <c r="G140" s="138">
        <f t="shared" si="50"/>
        <v>2620270</v>
      </c>
      <c r="H140" s="138">
        <f t="shared" si="50"/>
        <v>2890030</v>
      </c>
      <c r="I140" s="138">
        <f t="shared" si="50"/>
        <v>2782380</v>
      </c>
      <c r="J140" s="138">
        <f t="shared" si="50"/>
        <v>2698500</v>
      </c>
      <c r="K140" s="138">
        <f t="shared" si="50"/>
        <v>2508270</v>
      </c>
      <c r="L140" s="138">
        <f t="shared" si="50"/>
        <v>2193660</v>
      </c>
      <c r="M140" s="138">
        <f t="shared" si="50"/>
        <v>2720520</v>
      </c>
      <c r="N140" s="138">
        <f t="shared" si="50"/>
        <v>3000700</v>
      </c>
      <c r="O140" s="138">
        <f t="shared" si="50"/>
        <v>2761670</v>
      </c>
      <c r="P140" s="138">
        <f>SUM(P138:P139)</f>
        <v>2541150</v>
      </c>
    </row>
    <row r="141" spans="1:17" x14ac:dyDescent="0.2">
      <c r="B141" s="50"/>
      <c r="C141" s="131"/>
      <c r="D141" s="13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</row>
    <row r="142" spans="1:17" x14ac:dyDescent="0.2">
      <c r="A142" s="51">
        <v>248</v>
      </c>
      <c r="B142" s="50" t="s">
        <v>73</v>
      </c>
      <c r="E142" s="61">
        <v>434000</v>
      </c>
      <c r="F142" s="61">
        <v>687925</v>
      </c>
      <c r="G142" s="61">
        <v>1483350</v>
      </c>
      <c r="H142" s="61">
        <v>560025</v>
      </c>
      <c r="I142" s="61">
        <v>577375</v>
      </c>
      <c r="J142" s="61">
        <v>515275</v>
      </c>
      <c r="K142" s="61">
        <v>468425</v>
      </c>
      <c r="L142" s="61">
        <v>433750</v>
      </c>
      <c r="M142" s="61">
        <v>474500</v>
      </c>
      <c r="N142" s="61">
        <v>525600</v>
      </c>
      <c r="O142" s="61">
        <v>475050</v>
      </c>
      <c r="P142" s="61">
        <v>405950</v>
      </c>
      <c r="Q142" s="51">
        <v>7041225</v>
      </c>
    </row>
    <row r="143" spans="1:17" x14ac:dyDescent="0.2">
      <c r="B143" s="52"/>
      <c r="C143" s="131"/>
      <c r="D143" s="13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</row>
    <row r="144" spans="1:17" x14ac:dyDescent="0.2">
      <c r="A144" s="51">
        <v>250</v>
      </c>
      <c r="B144" s="53" t="s">
        <v>74</v>
      </c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</row>
    <row r="145" spans="1:17" x14ac:dyDescent="0.2">
      <c r="B145" s="52"/>
      <c r="C145" s="131"/>
      <c r="D145" s="13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</row>
    <row r="146" spans="1:17" x14ac:dyDescent="0.2">
      <c r="A146" s="51">
        <v>260</v>
      </c>
      <c r="B146" s="52" t="s">
        <v>94</v>
      </c>
      <c r="C146" s="131"/>
      <c r="D146" s="131"/>
      <c r="E146" s="61">
        <v>6723862</v>
      </c>
      <c r="F146" s="61">
        <v>6767236</v>
      </c>
      <c r="G146" s="61">
        <v>7132438</v>
      </c>
      <c r="H146" s="61">
        <v>6668686</v>
      </c>
      <c r="I146" s="61">
        <v>6974666</v>
      </c>
      <c r="J146" s="61">
        <v>7953658</v>
      </c>
      <c r="K146" s="61">
        <v>6891664</v>
      </c>
      <c r="L146" s="61">
        <v>6208900</v>
      </c>
      <c r="M146" s="61">
        <v>7588826</v>
      </c>
      <c r="N146" s="61">
        <v>8246542</v>
      </c>
      <c r="O146" s="61">
        <v>6936634</v>
      </c>
      <c r="P146" s="61">
        <v>7109594</v>
      </c>
      <c r="Q146" s="51">
        <v>85202706</v>
      </c>
    </row>
    <row r="147" spans="1:17" x14ac:dyDescent="0.2">
      <c r="B147" s="52"/>
      <c r="C147" s="131"/>
      <c r="D147" s="13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</row>
    <row r="148" spans="1:17" x14ac:dyDescent="0.2">
      <c r="A148" s="51">
        <v>264</v>
      </c>
      <c r="B148" s="52" t="s">
        <v>95</v>
      </c>
      <c r="C148" s="131"/>
      <c r="D148" s="131"/>
      <c r="E148" s="61">
        <v>130500</v>
      </c>
      <c r="F148" s="61">
        <v>125700</v>
      </c>
      <c r="G148" s="61">
        <v>110700</v>
      </c>
      <c r="H148" s="61">
        <v>119100</v>
      </c>
      <c r="I148" s="61">
        <v>118200</v>
      </c>
      <c r="J148" s="61">
        <v>142800</v>
      </c>
      <c r="K148" s="61">
        <v>118200</v>
      </c>
      <c r="L148" s="61">
        <v>115200</v>
      </c>
      <c r="M148" s="61">
        <v>170100</v>
      </c>
      <c r="N148" s="61">
        <v>217500</v>
      </c>
      <c r="O148" s="61">
        <v>191700</v>
      </c>
      <c r="P148" s="61">
        <v>136800</v>
      </c>
      <c r="Q148" s="51">
        <v>1696500</v>
      </c>
    </row>
    <row r="149" spans="1:17" x14ac:dyDescent="0.2">
      <c r="B149" s="52"/>
      <c r="C149" s="131"/>
      <c r="D149" s="13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</row>
    <row r="150" spans="1:17" x14ac:dyDescent="0.2">
      <c r="C150" s="131"/>
      <c r="D150" s="13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</row>
    <row r="151" spans="1:17" x14ac:dyDescent="0.2">
      <c r="A151" s="51">
        <v>330</v>
      </c>
      <c r="B151" s="52" t="s">
        <v>233</v>
      </c>
      <c r="C151" s="131"/>
      <c r="D151" s="13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</row>
    <row r="152" spans="1:17" x14ac:dyDescent="0.2">
      <c r="A152" s="51">
        <v>331</v>
      </c>
      <c r="B152" s="51" t="s">
        <v>97</v>
      </c>
      <c r="C152" s="131"/>
      <c r="D152" s="13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</row>
    <row r="153" spans="1:17" x14ac:dyDescent="0.2">
      <c r="A153" s="51">
        <v>332</v>
      </c>
      <c r="B153" s="51" t="s">
        <v>234</v>
      </c>
      <c r="C153" s="131"/>
      <c r="D153" s="13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</row>
    <row r="154" spans="1:17" x14ac:dyDescent="0.2">
      <c r="A154" s="51">
        <v>333</v>
      </c>
      <c r="B154" s="53" t="s">
        <v>97</v>
      </c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</row>
    <row r="155" spans="1:17" x14ac:dyDescent="0.2">
      <c r="B155" s="52"/>
      <c r="C155" s="131"/>
      <c r="D155" s="13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</row>
    <row r="156" spans="1:17" x14ac:dyDescent="0.2">
      <c r="A156" s="51">
        <v>356</v>
      </c>
      <c r="B156" s="50" t="s">
        <v>98</v>
      </c>
      <c r="C156" s="131"/>
      <c r="D156" s="131"/>
      <c r="E156" s="61">
        <v>1278000</v>
      </c>
      <c r="F156" s="61">
        <v>1177920</v>
      </c>
      <c r="G156" s="61">
        <v>1226160</v>
      </c>
      <c r="H156" s="61">
        <v>1286640</v>
      </c>
      <c r="I156" s="61">
        <v>1211760</v>
      </c>
      <c r="J156" s="61">
        <v>1278720</v>
      </c>
      <c r="K156" s="61">
        <v>1229040</v>
      </c>
      <c r="L156" s="61">
        <v>1263600</v>
      </c>
      <c r="M156" s="61">
        <v>1479600</v>
      </c>
      <c r="N156" s="61">
        <v>1550880</v>
      </c>
      <c r="O156" s="61">
        <v>1379520</v>
      </c>
      <c r="P156" s="61">
        <v>1281600</v>
      </c>
      <c r="Q156" s="51">
        <v>15643440</v>
      </c>
    </row>
    <row r="157" spans="1:17" x14ac:dyDescent="0.2">
      <c r="B157" s="54"/>
      <c r="C157" s="54"/>
      <c r="D157" s="54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</row>
    <row r="158" spans="1:17" x14ac:dyDescent="0.2">
      <c r="A158" s="51">
        <v>358</v>
      </c>
      <c r="B158" s="50" t="s">
        <v>99</v>
      </c>
      <c r="C158" s="131"/>
      <c r="D158" s="131"/>
      <c r="E158" s="61">
        <v>8977800</v>
      </c>
      <c r="F158" s="61">
        <v>9276000</v>
      </c>
      <c r="G158" s="61">
        <v>10606080</v>
      </c>
      <c r="H158" s="61">
        <v>10969440</v>
      </c>
      <c r="I158" s="61">
        <v>10790280</v>
      </c>
      <c r="J158" s="61">
        <v>11151960</v>
      </c>
      <c r="K158" s="61">
        <v>9404400</v>
      </c>
      <c r="L158" s="61">
        <v>9044640</v>
      </c>
      <c r="M158" s="61">
        <v>9208560</v>
      </c>
      <c r="N158" s="61">
        <v>9479160</v>
      </c>
      <c r="O158" s="61">
        <v>8391480</v>
      </c>
      <c r="P158" s="61">
        <v>8524920</v>
      </c>
      <c r="Q158" s="51">
        <v>115824720</v>
      </c>
    </row>
    <row r="159" spans="1:17" x14ac:dyDescent="0.2">
      <c r="A159" s="51">
        <v>370</v>
      </c>
      <c r="B159" s="55" t="s">
        <v>235</v>
      </c>
      <c r="C159" s="131"/>
      <c r="D159" s="13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</row>
    <row r="160" spans="1:17" x14ac:dyDescent="0.2">
      <c r="B160" s="56" t="s">
        <v>102</v>
      </c>
      <c r="C160" s="134"/>
      <c r="D160" s="134"/>
      <c r="E160" s="143">
        <f>SUM(E158:E159)</f>
        <v>8977800</v>
      </c>
      <c r="F160" s="143">
        <f t="shared" ref="F160:P160" si="51">SUM(F158:F159)</f>
        <v>9276000</v>
      </c>
      <c r="G160" s="143">
        <f t="shared" si="51"/>
        <v>10606080</v>
      </c>
      <c r="H160" s="143">
        <f t="shared" si="51"/>
        <v>10969440</v>
      </c>
      <c r="I160" s="143">
        <f t="shared" si="51"/>
        <v>10790280</v>
      </c>
      <c r="J160" s="143">
        <f t="shared" si="51"/>
        <v>11151960</v>
      </c>
      <c r="K160" s="143">
        <f t="shared" si="51"/>
        <v>9404400</v>
      </c>
      <c r="L160" s="143">
        <f t="shared" si="51"/>
        <v>9044640</v>
      </c>
      <c r="M160" s="143">
        <f t="shared" si="51"/>
        <v>9208560</v>
      </c>
      <c r="N160" s="143">
        <f t="shared" si="51"/>
        <v>9479160</v>
      </c>
      <c r="O160" s="143">
        <f t="shared" si="51"/>
        <v>8391480</v>
      </c>
      <c r="P160" s="143">
        <f t="shared" si="51"/>
        <v>8524920</v>
      </c>
    </row>
    <row r="161" spans="1:17" x14ac:dyDescent="0.2">
      <c r="B161" s="55"/>
      <c r="C161" s="131"/>
      <c r="D161" s="13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</row>
    <row r="162" spans="1:17" x14ac:dyDescent="0.2">
      <c r="A162" s="51">
        <v>359</v>
      </c>
      <c r="B162" s="51" t="s">
        <v>236</v>
      </c>
      <c r="E162" s="61">
        <v>1425600</v>
      </c>
      <c r="F162" s="61">
        <v>11563750</v>
      </c>
      <c r="G162" s="61">
        <v>14844800</v>
      </c>
      <c r="H162" s="61">
        <v>21380850</v>
      </c>
      <c r="I162" s="61">
        <v>35675300</v>
      </c>
      <c r="J162" s="61">
        <v>23098150</v>
      </c>
      <c r="K162" s="61">
        <v>23939050</v>
      </c>
      <c r="L162" s="61">
        <v>22756000</v>
      </c>
      <c r="M162" s="61">
        <v>18762050</v>
      </c>
      <c r="N162" s="61">
        <v>16238700</v>
      </c>
      <c r="O162" s="61">
        <v>14852750</v>
      </c>
      <c r="P162" s="61">
        <v>27508550</v>
      </c>
      <c r="Q162" s="51">
        <v>232045550</v>
      </c>
    </row>
    <row r="163" spans="1:17" x14ac:dyDescent="0.2">
      <c r="A163" s="51">
        <v>371</v>
      </c>
      <c r="B163" s="55" t="s">
        <v>236</v>
      </c>
      <c r="C163" s="131"/>
      <c r="D163" s="13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</row>
    <row r="164" spans="1:17" x14ac:dyDescent="0.2">
      <c r="A164" s="51" t="s">
        <v>237</v>
      </c>
      <c r="B164" s="55"/>
      <c r="C164" s="131"/>
      <c r="D164" s="131"/>
      <c r="E164" s="139">
        <f>SUM(E162:E163)</f>
        <v>1425600</v>
      </c>
      <c r="F164" s="139">
        <f t="shared" ref="F164:P164" si="52">SUM(F162:F163)</f>
        <v>11563750</v>
      </c>
      <c r="G164" s="139">
        <f t="shared" si="52"/>
        <v>14844800</v>
      </c>
      <c r="H164" s="139">
        <f t="shared" si="52"/>
        <v>21380850</v>
      </c>
      <c r="I164" s="139">
        <f t="shared" si="52"/>
        <v>35675300</v>
      </c>
      <c r="J164" s="139">
        <f t="shared" si="52"/>
        <v>23098150</v>
      </c>
      <c r="K164" s="139">
        <f t="shared" si="52"/>
        <v>23939050</v>
      </c>
      <c r="L164" s="139">
        <f t="shared" si="52"/>
        <v>22756000</v>
      </c>
      <c r="M164" s="139">
        <f t="shared" si="52"/>
        <v>18762050</v>
      </c>
      <c r="N164" s="139">
        <f t="shared" si="52"/>
        <v>16238700</v>
      </c>
      <c r="O164" s="139">
        <f t="shared" si="52"/>
        <v>14852750</v>
      </c>
      <c r="P164" s="139">
        <f t="shared" si="52"/>
        <v>27508550</v>
      </c>
    </row>
    <row r="165" spans="1:17" x14ac:dyDescent="0.2">
      <c r="B165" s="55"/>
      <c r="C165" s="131"/>
      <c r="D165" s="13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</row>
    <row r="166" spans="1:17" x14ac:dyDescent="0.2">
      <c r="A166" s="51">
        <v>360</v>
      </c>
      <c r="B166" s="55" t="s">
        <v>103</v>
      </c>
      <c r="C166" s="131"/>
      <c r="D166" s="13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</row>
    <row r="167" spans="1:17" x14ac:dyDescent="0.2">
      <c r="A167" s="51">
        <v>372</v>
      </c>
      <c r="B167" s="55" t="s">
        <v>104</v>
      </c>
      <c r="C167" s="131"/>
      <c r="D167" s="13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</row>
    <row r="168" spans="1:17" x14ac:dyDescent="0.2">
      <c r="B168" s="55" t="s">
        <v>105</v>
      </c>
      <c r="C168" s="131"/>
      <c r="D168" s="13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</row>
    <row r="169" spans="1:17" x14ac:dyDescent="0.2">
      <c r="B169" s="55"/>
      <c r="C169" s="131"/>
      <c r="D169" s="13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</row>
    <row r="170" spans="1:17" x14ac:dyDescent="0.2">
      <c r="A170" s="51">
        <v>540</v>
      </c>
      <c r="B170" s="55" t="s">
        <v>76</v>
      </c>
      <c r="C170" s="131"/>
      <c r="D170" s="131"/>
      <c r="E170" s="61">
        <v>142689</v>
      </c>
      <c r="F170" s="61">
        <v>135139</v>
      </c>
      <c r="G170" s="61">
        <v>155381</v>
      </c>
      <c r="H170" s="61">
        <v>159414</v>
      </c>
      <c r="I170" s="61">
        <v>150710</v>
      </c>
      <c r="J170" s="61">
        <v>149083</v>
      </c>
      <c r="K170" s="61">
        <v>155340</v>
      </c>
      <c r="L170" s="61">
        <v>122418</v>
      </c>
      <c r="M170" s="61">
        <v>145915</v>
      </c>
      <c r="N170" s="61">
        <v>161021</v>
      </c>
      <c r="O170" s="61">
        <v>150330</v>
      </c>
      <c r="P170" s="61">
        <v>139503</v>
      </c>
      <c r="Q170" s="51">
        <v>1766943</v>
      </c>
    </row>
    <row r="171" spans="1:17" x14ac:dyDescent="0.2">
      <c r="B171" s="55"/>
      <c r="C171" s="131"/>
      <c r="D171" s="13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</row>
    <row r="172" spans="1:17" x14ac:dyDescent="0.2">
      <c r="B172" s="55"/>
      <c r="C172" s="131"/>
      <c r="D172" s="13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</row>
    <row r="173" spans="1:17" x14ac:dyDescent="0.2">
      <c r="B173" s="133"/>
      <c r="C173" s="134"/>
      <c r="D173" s="13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</row>
    <row r="174" spans="1:17" x14ac:dyDescent="0.2">
      <c r="A174" s="51">
        <v>93</v>
      </c>
      <c r="B174" s="55" t="s">
        <v>207</v>
      </c>
      <c r="C174" s="131"/>
      <c r="D174" s="131"/>
      <c r="E174" s="61">
        <v>8595</v>
      </c>
      <c r="F174" s="61">
        <v>7562</v>
      </c>
      <c r="G174" s="61">
        <v>6782</v>
      </c>
      <c r="H174" s="61">
        <v>7080</v>
      </c>
      <c r="I174" s="61">
        <v>7908</v>
      </c>
      <c r="J174" s="61">
        <v>8694</v>
      </c>
      <c r="K174" s="61">
        <v>10097</v>
      </c>
      <c r="L174" s="61">
        <v>10750</v>
      </c>
      <c r="M174" s="61">
        <v>11500</v>
      </c>
      <c r="N174" s="61">
        <v>11460</v>
      </c>
      <c r="O174" s="61">
        <v>9272</v>
      </c>
      <c r="P174" s="61">
        <v>9230</v>
      </c>
      <c r="Q174" s="51">
        <v>108930</v>
      </c>
    </row>
    <row r="175" spans="1:17" x14ac:dyDescent="0.2">
      <c r="A175" s="51">
        <v>94</v>
      </c>
      <c r="B175" s="50" t="s">
        <v>208</v>
      </c>
      <c r="E175" s="61">
        <v>60361</v>
      </c>
      <c r="F175" s="61">
        <v>52816</v>
      </c>
      <c r="G175" s="61">
        <v>47431</v>
      </c>
      <c r="H175" s="61">
        <v>50415</v>
      </c>
      <c r="I175" s="61">
        <v>56230</v>
      </c>
      <c r="J175" s="61">
        <v>61844</v>
      </c>
      <c r="K175" s="61">
        <v>70553</v>
      </c>
      <c r="L175" s="61">
        <v>74623</v>
      </c>
      <c r="M175" s="61">
        <v>79802</v>
      </c>
      <c r="N175" s="61">
        <v>77166</v>
      </c>
      <c r="O175" s="61">
        <v>64369</v>
      </c>
      <c r="P175" s="61">
        <v>63980</v>
      </c>
      <c r="Q175" s="51">
        <v>759590</v>
      </c>
    </row>
    <row r="176" spans="1:17" x14ac:dyDescent="0.2">
      <c r="A176" s="51">
        <v>95</v>
      </c>
      <c r="B176" s="55" t="s">
        <v>209</v>
      </c>
      <c r="C176" s="131"/>
      <c r="D176" s="131"/>
      <c r="E176" s="61">
        <v>8520</v>
      </c>
      <c r="F176" s="61">
        <v>7616</v>
      </c>
      <c r="G176" s="61">
        <v>6840</v>
      </c>
      <c r="H176" s="61">
        <v>7260</v>
      </c>
      <c r="I176" s="61">
        <v>8280</v>
      </c>
      <c r="J176" s="61">
        <v>9120</v>
      </c>
      <c r="K176" s="61">
        <v>10778</v>
      </c>
      <c r="L176" s="61">
        <v>11092</v>
      </c>
      <c r="M176" s="61">
        <v>11977</v>
      </c>
      <c r="N176" s="61">
        <v>11741</v>
      </c>
      <c r="O176" s="61">
        <v>9853</v>
      </c>
      <c r="P176" s="61">
        <v>9853</v>
      </c>
      <c r="Q176" s="51">
        <v>112930</v>
      </c>
    </row>
    <row r="177" spans="1:17" x14ac:dyDescent="0.2">
      <c r="A177" s="51">
        <v>97</v>
      </c>
      <c r="B177" s="50" t="s">
        <v>210</v>
      </c>
      <c r="E177" s="61">
        <v>54575</v>
      </c>
      <c r="F177" s="61">
        <v>48908</v>
      </c>
      <c r="G177" s="61">
        <v>43842</v>
      </c>
      <c r="H177" s="61">
        <v>46609</v>
      </c>
      <c r="I177" s="61">
        <v>52891</v>
      </c>
      <c r="J177" s="61">
        <v>57593</v>
      </c>
      <c r="K177" s="61">
        <v>67497</v>
      </c>
      <c r="L177" s="61">
        <v>71057</v>
      </c>
      <c r="M177" s="61">
        <v>76963</v>
      </c>
      <c r="N177" s="61">
        <v>74908</v>
      </c>
      <c r="O177" s="61">
        <v>60800</v>
      </c>
      <c r="P177" s="61">
        <v>62531</v>
      </c>
      <c r="Q177" s="51">
        <v>718174</v>
      </c>
    </row>
    <row r="178" spans="1:17" x14ac:dyDescent="0.2">
      <c r="A178" s="51">
        <v>98</v>
      </c>
      <c r="B178" s="55" t="s">
        <v>211</v>
      </c>
      <c r="C178" s="131"/>
      <c r="D178" s="131"/>
      <c r="E178" s="61">
        <v>31975</v>
      </c>
      <c r="F178" s="61">
        <v>28689</v>
      </c>
      <c r="G178" s="61">
        <v>25740</v>
      </c>
      <c r="H178" s="61">
        <v>27520</v>
      </c>
      <c r="I178" s="61">
        <v>31385</v>
      </c>
      <c r="J178" s="61">
        <v>34416</v>
      </c>
      <c r="K178" s="61">
        <v>40122</v>
      </c>
      <c r="L178" s="61">
        <v>42180</v>
      </c>
      <c r="M178" s="61">
        <v>45949</v>
      </c>
      <c r="N178" s="61">
        <v>44602</v>
      </c>
      <c r="O178" s="61">
        <v>36826</v>
      </c>
      <c r="P178" s="61">
        <v>37136</v>
      </c>
      <c r="Q178" s="51">
        <v>426540</v>
      </c>
    </row>
    <row r="179" spans="1:17" x14ac:dyDescent="0.2">
      <c r="A179" s="51">
        <v>99</v>
      </c>
      <c r="B179" s="51" t="s">
        <v>212</v>
      </c>
      <c r="E179" s="61">
        <v>325</v>
      </c>
      <c r="F179" s="61">
        <v>290</v>
      </c>
      <c r="G179" s="61">
        <v>260</v>
      </c>
      <c r="H179" s="61">
        <v>275</v>
      </c>
      <c r="I179" s="61">
        <v>315</v>
      </c>
      <c r="J179" s="61">
        <v>345</v>
      </c>
      <c r="K179" s="61">
        <v>405</v>
      </c>
      <c r="L179" s="61">
        <v>430</v>
      </c>
      <c r="M179" s="61">
        <v>460</v>
      </c>
      <c r="N179" s="61">
        <v>455</v>
      </c>
      <c r="O179" s="61">
        <v>380</v>
      </c>
      <c r="P179" s="61">
        <v>380</v>
      </c>
      <c r="Q179" s="51">
        <v>4320</v>
      </c>
    </row>
    <row r="180" spans="1:17" x14ac:dyDescent="0.2">
      <c r="A180" s="51">
        <v>103</v>
      </c>
      <c r="B180" s="51" t="s">
        <v>213</v>
      </c>
      <c r="C180" s="131"/>
      <c r="D180" s="131"/>
      <c r="E180" s="61">
        <v>279</v>
      </c>
      <c r="F180" s="61">
        <v>249</v>
      </c>
      <c r="G180" s="61">
        <v>222</v>
      </c>
      <c r="H180" s="61">
        <v>237</v>
      </c>
      <c r="I180" s="61">
        <v>270</v>
      </c>
      <c r="J180" s="61">
        <v>297</v>
      </c>
      <c r="K180" s="61">
        <v>348</v>
      </c>
      <c r="L180" s="61">
        <v>366</v>
      </c>
      <c r="M180" s="61">
        <v>396</v>
      </c>
      <c r="N180" s="61">
        <v>390</v>
      </c>
      <c r="O180" s="61">
        <v>327</v>
      </c>
      <c r="P180" s="61">
        <v>327</v>
      </c>
      <c r="Q180" s="51">
        <v>3708</v>
      </c>
    </row>
    <row r="181" spans="1:17" x14ac:dyDescent="0.2">
      <c r="A181" s="51">
        <v>107</v>
      </c>
      <c r="B181" s="50" t="s">
        <v>214</v>
      </c>
      <c r="C181" s="20"/>
      <c r="E181" s="61">
        <v>81849</v>
      </c>
      <c r="F181" s="61">
        <v>72953</v>
      </c>
      <c r="G181" s="61">
        <v>65488</v>
      </c>
      <c r="H181" s="61">
        <v>69440</v>
      </c>
      <c r="I181" s="61">
        <v>78695</v>
      </c>
      <c r="J181" s="61">
        <v>85775</v>
      </c>
      <c r="K181" s="61">
        <v>99648</v>
      </c>
      <c r="L181" s="61">
        <v>104740</v>
      </c>
      <c r="M181" s="61">
        <v>112504</v>
      </c>
      <c r="N181" s="61">
        <v>109213</v>
      </c>
      <c r="O181" s="61">
        <v>88444</v>
      </c>
      <c r="P181" s="61">
        <v>90799</v>
      </c>
      <c r="Q181" s="51">
        <v>1059548</v>
      </c>
    </row>
    <row r="182" spans="1:17" x14ac:dyDescent="0.2">
      <c r="A182" s="51">
        <v>109</v>
      </c>
      <c r="B182" s="52" t="s">
        <v>215</v>
      </c>
      <c r="C182" s="131"/>
      <c r="D182" s="131"/>
      <c r="E182" s="61">
        <v>500872</v>
      </c>
      <c r="F182" s="61">
        <v>449136</v>
      </c>
      <c r="G182" s="61">
        <v>398612</v>
      </c>
      <c r="H182" s="61">
        <v>424588</v>
      </c>
      <c r="I182" s="61">
        <v>484015</v>
      </c>
      <c r="J182" s="61">
        <v>530271</v>
      </c>
      <c r="K182" s="61">
        <v>599684</v>
      </c>
      <c r="L182" s="61">
        <v>650667</v>
      </c>
      <c r="M182" s="61">
        <v>695578</v>
      </c>
      <c r="N182" s="61">
        <v>667768</v>
      </c>
      <c r="O182" s="61">
        <v>539455</v>
      </c>
      <c r="P182" s="61">
        <v>542982</v>
      </c>
      <c r="Q182" s="51">
        <v>6483628</v>
      </c>
    </row>
    <row r="183" spans="1:17" x14ac:dyDescent="0.2">
      <c r="A183" s="51">
        <v>110</v>
      </c>
      <c r="B183" s="53" t="s">
        <v>216</v>
      </c>
      <c r="E183" s="61">
        <v>11414</v>
      </c>
      <c r="F183" s="61">
        <v>10749</v>
      </c>
      <c r="G183" s="61">
        <v>9576</v>
      </c>
      <c r="H183" s="61">
        <v>10241</v>
      </c>
      <c r="I183" s="61">
        <v>11739</v>
      </c>
      <c r="J183" s="61">
        <v>12726</v>
      </c>
      <c r="K183" s="61">
        <v>15013</v>
      </c>
      <c r="L183" s="61">
        <v>15827</v>
      </c>
      <c r="M183" s="61">
        <v>16807</v>
      </c>
      <c r="N183" s="61">
        <v>16267</v>
      </c>
      <c r="O183" s="61">
        <v>13901</v>
      </c>
      <c r="P183" s="61">
        <v>13034</v>
      </c>
      <c r="Q183" s="51">
        <v>157294</v>
      </c>
    </row>
    <row r="184" spans="1:17" x14ac:dyDescent="0.2">
      <c r="A184" s="63">
        <v>111</v>
      </c>
      <c r="B184" s="52" t="s">
        <v>217</v>
      </c>
      <c r="E184" s="61">
        <v>20474</v>
      </c>
      <c r="F184" s="61">
        <v>15796</v>
      </c>
      <c r="G184" s="61">
        <v>13751</v>
      </c>
      <c r="H184" s="61">
        <v>14725</v>
      </c>
      <c r="I184" s="61">
        <v>16029</v>
      </c>
      <c r="J184" s="61">
        <v>18435</v>
      </c>
      <c r="K184" s="61">
        <v>21239</v>
      </c>
      <c r="L184" s="61">
        <v>22644</v>
      </c>
      <c r="M184" s="61">
        <v>24493</v>
      </c>
      <c r="N184" s="61">
        <v>24012</v>
      </c>
      <c r="O184" s="61">
        <v>19868</v>
      </c>
      <c r="P184" s="61">
        <v>19436</v>
      </c>
      <c r="Q184" s="51">
        <v>230902</v>
      </c>
    </row>
    <row r="185" spans="1:17" x14ac:dyDescent="0.2">
      <c r="A185" s="51">
        <v>113</v>
      </c>
      <c r="B185" s="51" t="s">
        <v>218</v>
      </c>
      <c r="E185" s="61">
        <v>141067</v>
      </c>
      <c r="F185" s="61">
        <v>124704</v>
      </c>
      <c r="G185" s="61">
        <v>111180</v>
      </c>
      <c r="H185" s="61">
        <v>117506</v>
      </c>
      <c r="I185" s="61">
        <v>130705</v>
      </c>
      <c r="J185" s="61">
        <v>145834</v>
      </c>
      <c r="K185" s="61">
        <v>166589</v>
      </c>
      <c r="L185" s="61">
        <v>174009</v>
      </c>
      <c r="M185" s="61">
        <v>182516</v>
      </c>
      <c r="N185" s="61">
        <v>175830</v>
      </c>
      <c r="O185" s="61">
        <v>143921</v>
      </c>
      <c r="P185" s="61">
        <v>142530</v>
      </c>
      <c r="Q185" s="51">
        <v>1756391</v>
      </c>
    </row>
    <row r="186" spans="1:17" x14ac:dyDescent="0.2">
      <c r="A186" s="51">
        <v>116</v>
      </c>
      <c r="B186" s="51" t="s">
        <v>219</v>
      </c>
      <c r="E186" s="61">
        <v>121768</v>
      </c>
      <c r="F186" s="61">
        <v>109032</v>
      </c>
      <c r="G186" s="61">
        <v>98379</v>
      </c>
      <c r="H186" s="61">
        <v>104231</v>
      </c>
      <c r="I186" s="61">
        <v>118468</v>
      </c>
      <c r="J186" s="61">
        <v>129203</v>
      </c>
      <c r="K186" s="61">
        <v>119103</v>
      </c>
      <c r="L186" s="61">
        <v>159874</v>
      </c>
      <c r="M186" s="61">
        <v>171292</v>
      </c>
      <c r="N186" s="61">
        <v>164440</v>
      </c>
      <c r="O186" s="61">
        <v>127719</v>
      </c>
      <c r="P186" s="61">
        <v>134223</v>
      </c>
      <c r="Q186" s="51">
        <v>1557732</v>
      </c>
    </row>
    <row r="187" spans="1:17" x14ac:dyDescent="0.2">
      <c r="A187" s="51">
        <v>120</v>
      </c>
      <c r="B187" s="51" t="s">
        <v>220</v>
      </c>
      <c r="E187" s="61">
        <v>93</v>
      </c>
      <c r="F187" s="61">
        <v>83</v>
      </c>
      <c r="G187" s="61">
        <v>74</v>
      </c>
      <c r="H187" s="61">
        <v>79</v>
      </c>
      <c r="I187" s="61">
        <v>90</v>
      </c>
      <c r="J187" s="61">
        <v>99</v>
      </c>
      <c r="K187" s="61">
        <v>116</v>
      </c>
      <c r="L187" s="61">
        <v>122</v>
      </c>
      <c r="M187" s="61">
        <v>132</v>
      </c>
      <c r="N187" s="61">
        <v>130</v>
      </c>
      <c r="O187" s="61">
        <v>109</v>
      </c>
      <c r="P187" s="61">
        <v>109</v>
      </c>
      <c r="Q187" s="51">
        <v>1236</v>
      </c>
    </row>
    <row r="188" spans="1:17" x14ac:dyDescent="0.2">
      <c r="A188" s="51">
        <v>122</v>
      </c>
      <c r="B188" s="51" t="s">
        <v>221</v>
      </c>
      <c r="E188" s="61">
        <v>2862</v>
      </c>
      <c r="F188" s="61">
        <v>2538</v>
      </c>
      <c r="G188" s="61">
        <v>2268</v>
      </c>
      <c r="H188" s="61">
        <v>2430</v>
      </c>
      <c r="I188" s="61">
        <v>2754</v>
      </c>
      <c r="J188" s="61">
        <v>3078</v>
      </c>
      <c r="K188" s="61">
        <v>3564</v>
      </c>
      <c r="L188" s="61">
        <v>3780</v>
      </c>
      <c r="M188" s="61">
        <v>4050</v>
      </c>
      <c r="N188" s="61">
        <v>3996</v>
      </c>
      <c r="O188" s="61">
        <v>3348</v>
      </c>
      <c r="P188" s="61">
        <v>3426</v>
      </c>
      <c r="Q188" s="51">
        <v>38094</v>
      </c>
    </row>
    <row r="189" spans="1:17" x14ac:dyDescent="0.2">
      <c r="A189" s="51">
        <v>126</v>
      </c>
      <c r="B189" s="51" t="s">
        <v>222</v>
      </c>
      <c r="E189" s="61">
        <v>300</v>
      </c>
      <c r="F189" s="61">
        <v>268</v>
      </c>
      <c r="G189" s="61">
        <v>240</v>
      </c>
      <c r="H189" s="61">
        <v>256</v>
      </c>
      <c r="I189" s="61">
        <v>292</v>
      </c>
      <c r="J189" s="61">
        <v>320</v>
      </c>
      <c r="K189" s="61">
        <v>376</v>
      </c>
      <c r="L189" s="61">
        <v>396</v>
      </c>
      <c r="M189" s="61">
        <v>428</v>
      </c>
      <c r="N189" s="61">
        <v>420</v>
      </c>
      <c r="O189" s="61">
        <v>352</v>
      </c>
      <c r="P189" s="61">
        <v>352</v>
      </c>
      <c r="Q189" s="51">
        <v>4000</v>
      </c>
    </row>
    <row r="190" spans="1:17" x14ac:dyDescent="0.2">
      <c r="A190" s="51">
        <v>130</v>
      </c>
      <c r="B190" s="51" t="s">
        <v>223</v>
      </c>
      <c r="E190" s="61">
        <v>90</v>
      </c>
      <c r="F190" s="61">
        <v>81</v>
      </c>
      <c r="G190" s="61">
        <v>72</v>
      </c>
      <c r="H190" s="61">
        <v>77</v>
      </c>
      <c r="I190" s="61">
        <v>88</v>
      </c>
      <c r="J190" s="61">
        <v>96</v>
      </c>
      <c r="K190" s="61">
        <v>113</v>
      </c>
      <c r="L190" s="61">
        <v>119</v>
      </c>
      <c r="M190" s="61">
        <v>129</v>
      </c>
      <c r="N190" s="61">
        <v>127</v>
      </c>
      <c r="O190" s="61">
        <v>106</v>
      </c>
      <c r="P190" s="61">
        <v>106</v>
      </c>
      <c r="Q190" s="51">
        <v>1204</v>
      </c>
    </row>
    <row r="191" spans="1:17" x14ac:dyDescent="0.2">
      <c r="A191" s="51">
        <v>131</v>
      </c>
      <c r="B191" s="51" t="s">
        <v>224</v>
      </c>
      <c r="E191" s="61">
        <v>32826</v>
      </c>
      <c r="F191" s="61">
        <v>29459</v>
      </c>
      <c r="G191" s="61">
        <v>26656</v>
      </c>
      <c r="H191" s="61">
        <v>28518</v>
      </c>
      <c r="I191" s="61">
        <v>32438</v>
      </c>
      <c r="J191" s="61">
        <v>35066</v>
      </c>
      <c r="K191" s="61">
        <v>38857</v>
      </c>
      <c r="L191" s="61">
        <v>40334</v>
      </c>
      <c r="M191" s="61">
        <v>42180</v>
      </c>
      <c r="N191" s="61">
        <v>40782</v>
      </c>
      <c r="O191" s="61">
        <v>33862</v>
      </c>
      <c r="P191" s="61">
        <v>26657</v>
      </c>
      <c r="Q191" s="51">
        <v>407635</v>
      </c>
    </row>
    <row r="192" spans="1:17" x14ac:dyDescent="0.2">
      <c r="A192" s="51">
        <v>136</v>
      </c>
      <c r="B192" s="51" t="s">
        <v>225</v>
      </c>
      <c r="E192" s="61">
        <v>1278</v>
      </c>
      <c r="F192" s="61">
        <v>1143</v>
      </c>
      <c r="G192" s="61">
        <v>1026</v>
      </c>
      <c r="H192" s="61">
        <v>1089</v>
      </c>
      <c r="I192" s="61">
        <v>1242</v>
      </c>
      <c r="J192" s="61">
        <v>1368</v>
      </c>
      <c r="K192" s="61">
        <v>1602</v>
      </c>
      <c r="L192" s="61">
        <v>1692</v>
      </c>
      <c r="M192" s="61">
        <v>1827</v>
      </c>
      <c r="N192" s="61">
        <v>1791</v>
      </c>
      <c r="O192" s="61">
        <v>1503</v>
      </c>
      <c r="P192" s="61">
        <v>1503</v>
      </c>
      <c r="Q192" s="51">
        <v>17064</v>
      </c>
    </row>
    <row r="193" spans="1:17" x14ac:dyDescent="0.2">
      <c r="A193" s="51">
        <v>150</v>
      </c>
      <c r="B193" s="51" t="s">
        <v>295</v>
      </c>
      <c r="E193" s="61">
        <v>13369</v>
      </c>
      <c r="F193" s="61">
        <v>13289</v>
      </c>
      <c r="G193" s="61">
        <v>12646</v>
      </c>
      <c r="H193" s="61">
        <v>14130</v>
      </c>
      <c r="I193" s="61">
        <v>16943</v>
      </c>
      <c r="J193" s="61">
        <v>20676</v>
      </c>
      <c r="K193" s="61">
        <v>24779</v>
      </c>
      <c r="L193" s="61">
        <v>28257</v>
      </c>
      <c r="M193" s="61">
        <v>33499</v>
      </c>
      <c r="N193" s="61">
        <v>35534</v>
      </c>
      <c r="O193" s="61">
        <v>31838</v>
      </c>
      <c r="P193" s="61">
        <v>32961</v>
      </c>
      <c r="Q193" s="51">
        <v>277921</v>
      </c>
    </row>
    <row r="194" spans="1:17" x14ac:dyDescent="0.2">
      <c r="A194" s="51">
        <v>151</v>
      </c>
      <c r="B194" s="51" t="s">
        <v>307</v>
      </c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>
        <v>39</v>
      </c>
      <c r="P194" s="61">
        <v>80</v>
      </c>
      <c r="Q194" s="51">
        <v>119</v>
      </c>
    </row>
    <row r="195" spans="1:17" x14ac:dyDescent="0.2">
      <c r="A195" s="51">
        <v>153</v>
      </c>
      <c r="B195" s="51" t="s">
        <v>305</v>
      </c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>
        <v>4</v>
      </c>
      <c r="Q195" s="51">
        <v>4</v>
      </c>
    </row>
    <row r="196" spans="1:17" x14ac:dyDescent="0.2">
      <c r="A196" s="51">
        <v>160</v>
      </c>
      <c r="B196" s="51" t="s">
        <v>299</v>
      </c>
      <c r="E196" s="61"/>
      <c r="F196" s="61">
        <v>12</v>
      </c>
      <c r="G196" s="61">
        <v>19</v>
      </c>
      <c r="H196" s="61">
        <v>20</v>
      </c>
      <c r="I196" s="61">
        <v>23</v>
      </c>
      <c r="J196" s="61">
        <v>26</v>
      </c>
      <c r="K196" s="61">
        <v>30</v>
      </c>
      <c r="L196" s="61">
        <v>32</v>
      </c>
      <c r="M196" s="61">
        <v>33</v>
      </c>
      <c r="N196" s="61">
        <v>33</v>
      </c>
      <c r="O196" s="61">
        <v>70</v>
      </c>
      <c r="P196" s="61">
        <v>105</v>
      </c>
      <c r="Q196" s="51">
        <v>403</v>
      </c>
    </row>
    <row r="197" spans="1:17" x14ac:dyDescent="0.2">
      <c r="A197" s="51">
        <v>165</v>
      </c>
      <c r="B197" s="51" t="s">
        <v>298</v>
      </c>
      <c r="E197" s="61">
        <v>360</v>
      </c>
      <c r="F197" s="61">
        <v>740</v>
      </c>
      <c r="G197" s="61">
        <v>860</v>
      </c>
      <c r="H197" s="61">
        <v>1148</v>
      </c>
      <c r="I197" s="61">
        <v>1491</v>
      </c>
      <c r="J197" s="61">
        <v>1925</v>
      </c>
      <c r="K197" s="61">
        <v>2609</v>
      </c>
      <c r="L197" s="61">
        <v>3042</v>
      </c>
      <c r="M197" s="61">
        <v>4802</v>
      </c>
      <c r="N197" s="61">
        <v>6274</v>
      </c>
      <c r="O197" s="61">
        <v>7318</v>
      </c>
      <c r="P197" s="61">
        <v>10243</v>
      </c>
      <c r="Q197" s="51">
        <v>40812</v>
      </c>
    </row>
    <row r="198" spans="1:17" x14ac:dyDescent="0.2">
      <c r="A198" s="51">
        <v>166</v>
      </c>
      <c r="B198" s="51" t="s">
        <v>300</v>
      </c>
      <c r="E198" s="61"/>
      <c r="F198" s="61"/>
      <c r="G198" s="61">
        <v>6</v>
      </c>
      <c r="H198" s="61">
        <v>220</v>
      </c>
      <c r="I198" s="61">
        <v>1330</v>
      </c>
      <c r="J198" s="61">
        <v>3837</v>
      </c>
      <c r="K198" s="61">
        <v>5519</v>
      </c>
      <c r="L198" s="61">
        <v>6004</v>
      </c>
      <c r="M198" s="61">
        <v>7192</v>
      </c>
      <c r="N198" s="61">
        <v>8131</v>
      </c>
      <c r="O198" s="61">
        <v>7464</v>
      </c>
      <c r="P198" s="61">
        <v>8726</v>
      </c>
      <c r="Q198" s="51">
        <v>48429</v>
      </c>
    </row>
    <row r="199" spans="1:17" x14ac:dyDescent="0.2">
      <c r="A199" s="51">
        <v>175</v>
      </c>
      <c r="B199" s="51" t="s">
        <v>301</v>
      </c>
      <c r="E199" s="61">
        <v>0</v>
      </c>
      <c r="F199" s="61">
        <v>0</v>
      </c>
      <c r="G199" s="61">
        <v>0</v>
      </c>
      <c r="H199" s="61">
        <v>0</v>
      </c>
      <c r="I199" s="61">
        <v>0</v>
      </c>
      <c r="J199" s="61">
        <v>0</v>
      </c>
      <c r="K199" s="61">
        <v>0</v>
      </c>
      <c r="L199" s="61">
        <v>0</v>
      </c>
      <c r="M199" s="61">
        <v>0</v>
      </c>
      <c r="N199" s="61">
        <v>0</v>
      </c>
      <c r="O199" s="61">
        <v>0</v>
      </c>
      <c r="P199" s="61">
        <v>0</v>
      </c>
      <c r="Q199" s="51">
        <v>0</v>
      </c>
    </row>
    <row r="200" spans="1:17" x14ac:dyDescent="0.2">
      <c r="A200" s="51">
        <v>201</v>
      </c>
      <c r="B200" s="51" t="s">
        <v>301</v>
      </c>
      <c r="E200" s="144">
        <v>0</v>
      </c>
      <c r="F200" s="144">
        <v>0</v>
      </c>
      <c r="G200" s="144">
        <v>0</v>
      </c>
      <c r="H200" s="144">
        <v>0</v>
      </c>
      <c r="I200" s="144">
        <v>0</v>
      </c>
      <c r="J200" s="144">
        <v>0</v>
      </c>
      <c r="K200" s="144">
        <v>0</v>
      </c>
      <c r="L200" s="144">
        <v>0</v>
      </c>
      <c r="M200" s="144">
        <v>0</v>
      </c>
      <c r="N200" s="144">
        <v>0</v>
      </c>
      <c r="O200" s="144">
        <v>0</v>
      </c>
      <c r="P200" s="144">
        <v>0</v>
      </c>
      <c r="Q200" s="145">
        <v>0</v>
      </c>
    </row>
    <row r="201" spans="1:17" x14ac:dyDescent="0.2">
      <c r="B201" s="51" t="s">
        <v>18</v>
      </c>
      <c r="E201" s="61">
        <f>SUM(E174:E200)</f>
        <v>1093252</v>
      </c>
      <c r="F201" s="61">
        <f t="shared" ref="F201:P201" si="53">SUM(F174:F200)</f>
        <v>976113</v>
      </c>
      <c r="G201" s="61">
        <f t="shared" si="53"/>
        <v>871970</v>
      </c>
      <c r="H201" s="61">
        <f t="shared" si="53"/>
        <v>928094</v>
      </c>
      <c r="I201" s="61">
        <f t="shared" si="53"/>
        <v>1053621</v>
      </c>
      <c r="J201" s="61">
        <f t="shared" si="53"/>
        <v>1161044</v>
      </c>
      <c r="K201" s="61">
        <f t="shared" si="53"/>
        <v>1298641</v>
      </c>
      <c r="L201" s="61">
        <f t="shared" si="53"/>
        <v>1422037</v>
      </c>
      <c r="M201" s="61">
        <f t="shared" si="53"/>
        <v>1524509</v>
      </c>
      <c r="N201" s="61">
        <f t="shared" si="53"/>
        <v>1475470</v>
      </c>
      <c r="O201" s="61">
        <f t="shared" si="53"/>
        <v>1201144</v>
      </c>
      <c r="P201" s="61">
        <f t="shared" si="53"/>
        <v>1210713</v>
      </c>
    </row>
    <row r="203" spans="1:17" x14ac:dyDescent="0.2">
      <c r="A203" s="51">
        <v>528</v>
      </c>
      <c r="B203" s="51" t="s">
        <v>75</v>
      </c>
    </row>
    <row r="205" spans="1:17" ht="14.25" x14ac:dyDescent="0.2">
      <c r="A205" s="32" t="s">
        <v>0</v>
      </c>
      <c r="E205" s="31">
        <f>E203+E201+E170+E168+E164+E160+E156+E152+E151+E148+E146+E144+E142+E140+E136+E135+E133+E99+E101+E103+E105+E131+E127+E125+E121+E119+E117+E113+E109+E97+E91+E154+E153</f>
        <v>86643816</v>
      </c>
      <c r="F205" s="31">
        <f t="shared" ref="F205:P205" si="54">F203+F201+F170+F168+F164+F160+F156+F152+F151+F148+F146+F144+F142+F140+F136+F135+F133+F99+F101+F103+F105+F131+F127+F125+F121+F119+F117+F113+F109+F97+F91+F154+F153</f>
        <v>95740103</v>
      </c>
      <c r="G205" s="31">
        <f t="shared" si="54"/>
        <v>109705494</v>
      </c>
      <c r="H205" s="31">
        <f t="shared" si="54"/>
        <v>123418257</v>
      </c>
      <c r="I205" s="31">
        <f t="shared" si="54"/>
        <v>137799264</v>
      </c>
      <c r="J205" s="31">
        <f t="shared" si="54"/>
        <v>122881587</v>
      </c>
      <c r="K205" s="31">
        <f t="shared" si="54"/>
        <v>110465322</v>
      </c>
      <c r="L205" s="31">
        <f t="shared" si="54"/>
        <v>104593510</v>
      </c>
      <c r="M205" s="31">
        <f t="shared" si="54"/>
        <v>118522494</v>
      </c>
      <c r="N205" s="31">
        <f t="shared" si="54"/>
        <v>126374671</v>
      </c>
      <c r="O205" s="31">
        <f t="shared" si="54"/>
        <v>109489295</v>
      </c>
      <c r="P205" s="31">
        <f t="shared" si="54"/>
        <v>114235267</v>
      </c>
      <c r="Q205" s="131">
        <f>SUM(E205:P205)</f>
        <v>1359869080</v>
      </c>
    </row>
    <row r="206" spans="1:17" x14ac:dyDescent="0.2">
      <c r="E206" s="146">
        <f>SUM(E201+E170+E164+E160+E156+E148+E146+E142+E140+E135+E133+E131+E127+E125+E121+E119+E117+E109+E105+E103+E101+E113)</f>
        <v>86643816</v>
      </c>
    </row>
    <row r="207" spans="1:17" x14ac:dyDescent="0.2">
      <c r="E207" s="146">
        <f>E205-E206</f>
        <v>0</v>
      </c>
    </row>
    <row r="210" spans="2:17" x14ac:dyDescent="0.2">
      <c r="B210" s="51" t="s">
        <v>276</v>
      </c>
      <c r="E210" s="114">
        <v>86644394</v>
      </c>
      <c r="F210" s="114">
        <v>95740563</v>
      </c>
      <c r="G210" s="114">
        <v>109706266</v>
      </c>
      <c r="H210" s="114">
        <v>123419114</v>
      </c>
      <c r="I210" s="114">
        <v>137800136</v>
      </c>
      <c r="J210" s="114">
        <v>122882495</v>
      </c>
      <c r="K210" s="114">
        <v>110465632</v>
      </c>
      <c r="L210" s="114">
        <v>104594062</v>
      </c>
      <c r="M210" s="114">
        <v>118523495</v>
      </c>
      <c r="N210" s="114">
        <v>126375464</v>
      </c>
      <c r="O210" s="114">
        <v>109489987</v>
      </c>
      <c r="P210" s="114">
        <v>114236165</v>
      </c>
      <c r="Q210" s="51">
        <v>1359877773</v>
      </c>
    </row>
    <row r="211" spans="2:17" x14ac:dyDescent="0.2">
      <c r="B211" s="51" t="s">
        <v>275</v>
      </c>
      <c r="E211" s="131">
        <f>E205-E210</f>
        <v>-578</v>
      </c>
      <c r="F211" s="131">
        <f t="shared" ref="F211:P211" si="55">F205-F210</f>
        <v>-460</v>
      </c>
      <c r="G211" s="131">
        <f t="shared" si="55"/>
        <v>-772</v>
      </c>
      <c r="H211" s="131">
        <f t="shared" si="55"/>
        <v>-857</v>
      </c>
      <c r="I211" s="131">
        <f t="shared" si="55"/>
        <v>-872</v>
      </c>
      <c r="J211" s="131">
        <f t="shared" si="55"/>
        <v>-908</v>
      </c>
      <c r="K211" s="131">
        <f t="shared" si="55"/>
        <v>-310</v>
      </c>
      <c r="L211" s="131">
        <f t="shared" si="55"/>
        <v>-552</v>
      </c>
      <c r="M211" s="131">
        <f t="shared" si="55"/>
        <v>-1001</v>
      </c>
      <c r="N211" s="131">
        <f t="shared" si="55"/>
        <v>-793</v>
      </c>
      <c r="O211" s="131">
        <f t="shared" si="55"/>
        <v>-692</v>
      </c>
      <c r="P211" s="131">
        <f t="shared" si="55"/>
        <v>-898</v>
      </c>
    </row>
    <row r="216" spans="2:17" x14ac:dyDescent="0.2">
      <c r="B216" s="51" t="s">
        <v>309</v>
      </c>
    </row>
  </sheetData>
  <mergeCells count="1">
    <mergeCell ref="F1:N2"/>
  </mergeCells>
  <pageMargins left="0.7" right="0.7" top="0.75" bottom="0.75" header="0.3" footer="0.3"/>
  <pageSetup scale="45" orientation="portrait" r:id="rId1"/>
  <headerFooter>
    <oddFooter>&amp;L&amp;F
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220"/>
  <sheetViews>
    <sheetView zoomScale="80" zoomScaleNormal="80" workbookViewId="0">
      <pane xSplit="2" ySplit="8" topLeftCell="E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F3" sqref="F3"/>
    </sheetView>
  </sheetViews>
  <sheetFormatPr defaultColWidth="9.140625" defaultRowHeight="15" x14ac:dyDescent="0.25"/>
  <cols>
    <col min="1" max="1" width="7.85546875" style="46" customWidth="1"/>
    <col min="2" max="2" width="44.42578125" style="46" customWidth="1"/>
    <col min="3" max="4" width="13.140625" style="46" hidden="1" customWidth="1"/>
    <col min="5" max="7" width="16.140625" style="46" bestFit="1" customWidth="1"/>
    <col min="8" max="8" width="15.5703125" style="46" bestFit="1" customWidth="1"/>
    <col min="9" max="9" width="15.85546875" style="46" bestFit="1" customWidth="1"/>
    <col min="10" max="10" width="14.85546875" style="46" bestFit="1" customWidth="1"/>
    <col min="11" max="11" width="16.140625" style="46" bestFit="1" customWidth="1"/>
    <col min="12" max="12" width="14.85546875" style="46" bestFit="1" customWidth="1"/>
    <col min="13" max="13" width="15.5703125" style="46" bestFit="1" customWidth="1"/>
    <col min="14" max="14" width="16.140625" style="46" bestFit="1" customWidth="1"/>
    <col min="15" max="15" width="15.5703125" style="46" bestFit="1" customWidth="1"/>
    <col min="16" max="16" width="16.140625" style="46" bestFit="1" customWidth="1"/>
    <col min="17" max="17" width="17.42578125" style="46" bestFit="1" customWidth="1"/>
    <col min="18" max="16384" width="9.140625" style="46"/>
  </cols>
  <sheetData>
    <row r="1" spans="1:18" ht="15.75" x14ac:dyDescent="0.25">
      <c r="A1" s="115"/>
      <c r="B1" s="115" t="s">
        <v>70</v>
      </c>
      <c r="C1" s="115"/>
      <c r="D1" s="115"/>
      <c r="E1" s="115"/>
      <c r="F1" s="116"/>
      <c r="G1" s="115"/>
    </row>
    <row r="2" spans="1:18" ht="15.75" x14ac:dyDescent="0.25">
      <c r="A2" s="115"/>
      <c r="B2" s="115" t="s">
        <v>71</v>
      </c>
      <c r="C2" s="115"/>
      <c r="D2" s="115"/>
      <c r="E2" s="115"/>
      <c r="F2" s="115"/>
      <c r="G2" s="115"/>
    </row>
    <row r="3" spans="1:18" ht="16.5" customHeight="1" x14ac:dyDescent="0.25">
      <c r="A3" s="115"/>
      <c r="B3" s="115" t="str">
        <f>'B&amp;A kWh'!B3</f>
        <v>TEST YEAR ENDED March 31, 2023</v>
      </c>
      <c r="C3" s="115"/>
      <c r="D3" s="115"/>
      <c r="E3" s="115"/>
      <c r="F3" s="115"/>
      <c r="G3" s="115"/>
    </row>
    <row r="4" spans="1:18" ht="15.75" x14ac:dyDescent="0.25">
      <c r="A4" s="115"/>
      <c r="B4" s="117"/>
      <c r="C4" s="115"/>
      <c r="D4" s="115"/>
      <c r="E4" s="115"/>
      <c r="F4" s="115"/>
      <c r="G4" s="115"/>
    </row>
    <row r="5" spans="1:18" ht="15.75" x14ac:dyDescent="0.25">
      <c r="A5" s="115"/>
      <c r="B5" s="117" t="s">
        <v>79</v>
      </c>
      <c r="C5" s="115"/>
      <c r="D5" s="115"/>
      <c r="E5" s="115"/>
      <c r="F5" s="115"/>
      <c r="G5" s="115"/>
    </row>
    <row r="6" spans="1:18" ht="15.75" x14ac:dyDescent="0.25">
      <c r="A6" s="115"/>
      <c r="B6" s="117"/>
      <c r="C6" s="115"/>
      <c r="D6" s="115"/>
      <c r="E6" s="115"/>
      <c r="F6" s="115"/>
      <c r="G6" s="115"/>
    </row>
    <row r="7" spans="1:18" x14ac:dyDescent="0.25">
      <c r="A7" s="32"/>
      <c r="B7" s="79" t="s">
        <v>80</v>
      </c>
      <c r="D7" s="32"/>
      <c r="E7" s="32">
        <v>2022</v>
      </c>
      <c r="F7" s="32"/>
      <c r="G7" s="32"/>
      <c r="H7" s="32"/>
      <c r="I7" s="32"/>
      <c r="J7" s="32"/>
      <c r="K7" s="32"/>
      <c r="L7" s="32"/>
      <c r="M7" s="32"/>
      <c r="N7" s="32"/>
      <c r="O7" s="32">
        <v>2023</v>
      </c>
      <c r="P7" s="32"/>
      <c r="Q7" s="32"/>
      <c r="R7" s="32"/>
    </row>
    <row r="8" spans="1:18" x14ac:dyDescent="0.25">
      <c r="A8" s="32"/>
      <c r="B8" s="33" t="s">
        <v>22</v>
      </c>
      <c r="C8" s="80"/>
      <c r="D8" s="80"/>
      <c r="E8" s="80" t="s">
        <v>109</v>
      </c>
      <c r="F8" s="80" t="s">
        <v>110</v>
      </c>
      <c r="G8" s="80" t="s">
        <v>111</v>
      </c>
      <c r="H8" s="80" t="s">
        <v>112</v>
      </c>
      <c r="I8" s="80" t="s">
        <v>113</v>
      </c>
      <c r="J8" s="80" t="s">
        <v>114</v>
      </c>
      <c r="K8" s="80" t="s">
        <v>115</v>
      </c>
      <c r="L8" s="80" t="s">
        <v>116</v>
      </c>
      <c r="M8" s="80" t="s">
        <v>117</v>
      </c>
      <c r="N8" s="80" t="s">
        <v>106</v>
      </c>
      <c r="O8" s="80" t="s">
        <v>107</v>
      </c>
      <c r="P8" s="80" t="s">
        <v>108</v>
      </c>
      <c r="Q8" s="32" t="s">
        <v>296</v>
      </c>
      <c r="R8" s="32"/>
    </row>
    <row r="9" spans="1:18" x14ac:dyDescent="0.25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</row>
    <row r="10" spans="1:18" x14ac:dyDescent="0.25">
      <c r="A10" s="32">
        <v>10</v>
      </c>
      <c r="B10" s="24" t="s">
        <v>21</v>
      </c>
      <c r="C10" s="118">
        <f>+C91</f>
        <v>0</v>
      </c>
      <c r="D10" s="118">
        <f>+D91</f>
        <v>0</v>
      </c>
      <c r="E10" s="31">
        <f>+E91</f>
        <v>22454167.829999998</v>
      </c>
      <c r="F10" s="31">
        <f t="shared" ref="F10:P10" si="0">+F91</f>
        <v>21039660.870000001</v>
      </c>
      <c r="G10" s="31">
        <f t="shared" si="0"/>
        <v>25695808.27</v>
      </c>
      <c r="H10" s="31">
        <f t="shared" si="0"/>
        <v>29865740.390000001</v>
      </c>
      <c r="I10" s="31">
        <f t="shared" si="0"/>
        <v>27751007.600000001</v>
      </c>
      <c r="J10" s="31">
        <f t="shared" si="0"/>
        <v>20415358.300000001</v>
      </c>
      <c r="K10" s="31">
        <f t="shared" si="0"/>
        <v>22017071.799999997</v>
      </c>
      <c r="L10" s="31">
        <f>+L91</f>
        <v>28760052.060000002</v>
      </c>
      <c r="M10" s="31">
        <f t="shared" si="0"/>
        <v>32642362.210000001</v>
      </c>
      <c r="N10" s="31">
        <f t="shared" si="0"/>
        <v>32898165.759999998</v>
      </c>
      <c r="O10" s="31">
        <f t="shared" si="0"/>
        <v>21161519.390000001</v>
      </c>
      <c r="P10" s="31">
        <f t="shared" si="0"/>
        <v>16371817.68</v>
      </c>
      <c r="Q10" s="118">
        <f>SUM(E10:P10)</f>
        <v>301072732.16000003</v>
      </c>
      <c r="R10" s="47"/>
    </row>
    <row r="11" spans="1:18" x14ac:dyDescent="0.25">
      <c r="A11" s="32">
        <v>11</v>
      </c>
      <c r="B11" s="24"/>
      <c r="C11" s="118"/>
      <c r="D11" s="118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118"/>
      <c r="R11" s="47"/>
    </row>
    <row r="12" spans="1:18" x14ac:dyDescent="0.25">
      <c r="A12" s="32">
        <v>12</v>
      </c>
      <c r="B12" s="24" t="s">
        <v>20</v>
      </c>
      <c r="C12" s="118">
        <f>+C97</f>
        <v>0</v>
      </c>
      <c r="D12" s="118">
        <f>+D97</f>
        <v>0</v>
      </c>
      <c r="E12" s="31">
        <f>+E97</f>
        <v>30569.859999999997</v>
      </c>
      <c r="F12" s="31">
        <f t="shared" ref="F12:P12" si="1">+F97</f>
        <v>29048.379999999997</v>
      </c>
      <c r="G12" s="31">
        <f t="shared" si="1"/>
        <v>36419</v>
      </c>
      <c r="H12" s="31">
        <f t="shared" si="1"/>
        <v>43978.76</v>
      </c>
      <c r="I12" s="31">
        <f t="shared" si="1"/>
        <v>39313.810000000005</v>
      </c>
      <c r="J12" s="31">
        <f t="shared" si="1"/>
        <v>31517.33</v>
      </c>
      <c r="K12" s="31">
        <f t="shared" si="1"/>
        <v>29836.05</v>
      </c>
      <c r="L12" s="31">
        <f t="shared" si="1"/>
        <v>37962.060000000005</v>
      </c>
      <c r="M12" s="31">
        <f t="shared" si="1"/>
        <v>50035.59</v>
      </c>
      <c r="N12" s="31">
        <f t="shared" si="1"/>
        <v>54937.15</v>
      </c>
      <c r="O12" s="31">
        <f t="shared" si="1"/>
        <v>28845.51</v>
      </c>
      <c r="P12" s="31">
        <f t="shared" si="1"/>
        <v>21126.940000000002</v>
      </c>
      <c r="Q12" s="118">
        <f t="shared" ref="Q12" si="2">SUM(E12:P12)</f>
        <v>433590.44</v>
      </c>
      <c r="R12" s="47"/>
    </row>
    <row r="13" spans="1:18" x14ac:dyDescent="0.25">
      <c r="A13" s="32">
        <v>13</v>
      </c>
      <c r="B13" s="24"/>
      <c r="C13" s="118"/>
      <c r="D13" s="118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118"/>
      <c r="R13" s="47"/>
    </row>
    <row r="14" spans="1:18" x14ac:dyDescent="0.25">
      <c r="A14" s="32">
        <v>14</v>
      </c>
      <c r="B14" s="24" t="s">
        <v>19</v>
      </c>
      <c r="C14" s="118">
        <f>+C99</f>
        <v>0</v>
      </c>
      <c r="D14" s="118">
        <f>+D99</f>
        <v>0</v>
      </c>
      <c r="E14" s="31">
        <f>+E99</f>
        <v>897.23</v>
      </c>
      <c r="F14" s="31">
        <f t="shared" ref="F14:O14" si="3">+F99</f>
        <v>868.01</v>
      </c>
      <c r="G14" s="31">
        <f t="shared" si="3"/>
        <v>1165.21</v>
      </c>
      <c r="H14" s="31">
        <f t="shared" si="3"/>
        <v>1357.81</v>
      </c>
      <c r="I14" s="31">
        <f t="shared" si="3"/>
        <v>1493.43</v>
      </c>
      <c r="J14" s="31">
        <f t="shared" si="3"/>
        <v>1270.52</v>
      </c>
      <c r="K14" s="31">
        <f t="shared" si="3"/>
        <v>1382.24</v>
      </c>
      <c r="L14" s="31">
        <f t="shared" si="3"/>
        <v>936.1</v>
      </c>
      <c r="M14" s="31">
        <f t="shared" si="3"/>
        <v>2351.17</v>
      </c>
      <c r="N14" s="31">
        <f t="shared" si="3"/>
        <v>2547.92</v>
      </c>
      <c r="O14" s="31">
        <f t="shared" si="3"/>
        <v>1414.19</v>
      </c>
      <c r="P14" s="31">
        <f>+P99</f>
        <v>1004.42</v>
      </c>
      <c r="Q14" s="118">
        <f t="shared" ref="Q14" si="4">SUM(E14:P14)</f>
        <v>16688.25</v>
      </c>
      <c r="R14" s="47"/>
    </row>
    <row r="15" spans="1:18" x14ac:dyDescent="0.25">
      <c r="A15" s="32">
        <v>15</v>
      </c>
      <c r="B15" s="24"/>
      <c r="C15" s="118"/>
      <c r="D15" s="118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118"/>
      <c r="R15" s="47"/>
    </row>
    <row r="16" spans="1:18" s="32" customFormat="1" x14ac:dyDescent="0.25">
      <c r="A16" s="32">
        <v>16</v>
      </c>
      <c r="B16" s="43" t="s">
        <v>172</v>
      </c>
      <c r="E16" s="31">
        <f>E213</f>
        <v>0</v>
      </c>
      <c r="F16" s="31">
        <f t="shared" ref="F16:P16" si="5">F213</f>
        <v>0</v>
      </c>
      <c r="G16" s="31">
        <f t="shared" si="5"/>
        <v>0</v>
      </c>
      <c r="H16" s="31">
        <f t="shared" si="5"/>
        <v>0</v>
      </c>
      <c r="I16" s="31">
        <f t="shared" si="5"/>
        <v>0</v>
      </c>
      <c r="J16" s="31">
        <f t="shared" si="5"/>
        <v>0</v>
      </c>
      <c r="K16" s="31">
        <f t="shared" si="5"/>
        <v>0</v>
      </c>
      <c r="L16" s="31">
        <f t="shared" si="5"/>
        <v>0</v>
      </c>
      <c r="M16" s="31">
        <f t="shared" si="5"/>
        <v>0</v>
      </c>
      <c r="N16" s="31">
        <f t="shared" si="5"/>
        <v>0</v>
      </c>
      <c r="O16" s="31">
        <f t="shared" si="5"/>
        <v>0</v>
      </c>
      <c r="P16" s="31">
        <f t="shared" si="5"/>
        <v>0</v>
      </c>
      <c r="Q16" s="118">
        <f t="shared" ref="Q16:Q17" si="6">SUM(E16:P16)</f>
        <v>0</v>
      </c>
    </row>
    <row r="17" spans="1:18" s="32" customFormat="1" x14ac:dyDescent="0.25">
      <c r="A17" s="32">
        <v>17</v>
      </c>
      <c r="B17" s="43" t="s">
        <v>174</v>
      </c>
      <c r="E17" s="31">
        <f>E18-E16</f>
        <v>816573.25999999989</v>
      </c>
      <c r="F17" s="31">
        <f t="shared" ref="F17:O17" si="7">F18-F16</f>
        <v>928615.45</v>
      </c>
      <c r="G17" s="31">
        <f t="shared" si="7"/>
        <v>840223.34</v>
      </c>
      <c r="H17" s="31">
        <f t="shared" si="7"/>
        <v>801840.77999999991</v>
      </c>
      <c r="I17" s="31">
        <f t="shared" si="7"/>
        <v>853775.01</v>
      </c>
      <c r="J17" s="31">
        <f t="shared" si="7"/>
        <v>747841.84999999986</v>
      </c>
      <c r="K17" s="31">
        <f t="shared" si="7"/>
        <v>1024085.89</v>
      </c>
      <c r="L17" s="31">
        <f t="shared" si="7"/>
        <v>1132739.7000000002</v>
      </c>
      <c r="M17" s="31">
        <f t="shared" si="7"/>
        <v>763643.70000000007</v>
      </c>
      <c r="N17" s="31">
        <f t="shared" si="7"/>
        <v>679876.8</v>
      </c>
      <c r="O17" s="31">
        <f t="shared" si="7"/>
        <v>697604.06</v>
      </c>
      <c r="P17" s="31">
        <f>P18-P16</f>
        <v>731263.3</v>
      </c>
      <c r="Q17" s="118">
        <f t="shared" si="6"/>
        <v>10018083.140000001</v>
      </c>
    </row>
    <row r="18" spans="1:18" x14ac:dyDescent="0.25">
      <c r="A18" s="32">
        <v>18</v>
      </c>
      <c r="B18" s="24" t="s">
        <v>18</v>
      </c>
      <c r="C18" s="118">
        <f>+C200</f>
        <v>0</v>
      </c>
      <c r="D18" s="118">
        <f>+D200</f>
        <v>0</v>
      </c>
      <c r="E18" s="31">
        <f>+E200</f>
        <v>816573.25999999989</v>
      </c>
      <c r="F18" s="31">
        <f t="shared" ref="F18:P18" si="8">+F200</f>
        <v>928615.45</v>
      </c>
      <c r="G18" s="31">
        <f t="shared" si="8"/>
        <v>840223.34</v>
      </c>
      <c r="H18" s="31">
        <f t="shared" si="8"/>
        <v>801840.77999999991</v>
      </c>
      <c r="I18" s="31">
        <f t="shared" si="8"/>
        <v>853775.01</v>
      </c>
      <c r="J18" s="31">
        <f t="shared" si="8"/>
        <v>747841.84999999986</v>
      </c>
      <c r="K18" s="31">
        <f t="shared" si="8"/>
        <v>1024085.89</v>
      </c>
      <c r="L18" s="31">
        <f t="shared" si="8"/>
        <v>1132739.7000000002</v>
      </c>
      <c r="M18" s="31">
        <f t="shared" si="8"/>
        <v>763643.70000000007</v>
      </c>
      <c r="N18" s="31">
        <f t="shared" si="8"/>
        <v>679876.8</v>
      </c>
      <c r="O18" s="31">
        <f t="shared" si="8"/>
        <v>697604.06</v>
      </c>
      <c r="P18" s="31">
        <f t="shared" si="8"/>
        <v>731263.3</v>
      </c>
      <c r="Q18" s="118">
        <f t="shared" ref="Q18" si="9">SUM(E18:P18)</f>
        <v>10018083.140000001</v>
      </c>
      <c r="R18" s="47"/>
    </row>
    <row r="19" spans="1:18" x14ac:dyDescent="0.25">
      <c r="A19" s="32">
        <v>19</v>
      </c>
      <c r="B19" s="24"/>
      <c r="C19" s="118"/>
      <c r="D19" s="118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118"/>
      <c r="R19" s="47"/>
    </row>
    <row r="20" spans="1:18" x14ac:dyDescent="0.25">
      <c r="A20" s="32">
        <v>20</v>
      </c>
      <c r="B20" s="24" t="s">
        <v>17</v>
      </c>
      <c r="C20" s="118">
        <f>+C109</f>
        <v>0</v>
      </c>
      <c r="D20" s="118">
        <f>+D109</f>
        <v>0</v>
      </c>
      <c r="E20" s="31">
        <f>E101</f>
        <v>2001897.5</v>
      </c>
      <c r="F20" s="31">
        <f t="shared" ref="F20:O20" si="10">F101</f>
        <v>2332865.81</v>
      </c>
      <c r="G20" s="31">
        <f t="shared" si="10"/>
        <v>2480694.7999999998</v>
      </c>
      <c r="H20" s="31">
        <f t="shared" si="10"/>
        <v>2604538.09</v>
      </c>
      <c r="I20" s="31">
        <f t="shared" si="10"/>
        <v>2521441.91</v>
      </c>
      <c r="J20" s="31">
        <f t="shared" si="10"/>
        <v>2132023.96</v>
      </c>
      <c r="K20" s="31">
        <f t="shared" si="10"/>
        <v>2401879.06</v>
      </c>
      <c r="L20" s="31">
        <f t="shared" si="10"/>
        <v>2700906.36</v>
      </c>
      <c r="M20" s="31">
        <f t="shared" si="10"/>
        <v>2999621.44</v>
      </c>
      <c r="N20" s="31">
        <f t="shared" si="10"/>
        <v>2868119.17</v>
      </c>
      <c r="O20" s="31">
        <f t="shared" si="10"/>
        <v>2209851.06</v>
      </c>
      <c r="P20" s="31">
        <f>P101</f>
        <v>2082182.05</v>
      </c>
      <c r="Q20" s="118">
        <f t="shared" ref="Q20" si="11">SUM(E20:P20)</f>
        <v>29336021.210000001</v>
      </c>
      <c r="R20" s="47"/>
    </row>
    <row r="21" spans="1:18" x14ac:dyDescent="0.25">
      <c r="A21" s="32">
        <v>21</v>
      </c>
      <c r="B21" s="24"/>
      <c r="C21" s="118"/>
      <c r="D21" s="118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118"/>
      <c r="R21" s="47"/>
    </row>
    <row r="22" spans="1:18" x14ac:dyDescent="0.25">
      <c r="A22" s="32">
        <v>22</v>
      </c>
      <c r="B22" s="24" t="s">
        <v>16</v>
      </c>
      <c r="C22" s="118"/>
      <c r="D22" s="118"/>
      <c r="E22" s="31">
        <f>E103</f>
        <v>11228.94</v>
      </c>
      <c r="F22" s="31">
        <f t="shared" ref="F22:O22" si="12">F103</f>
        <v>12563.5</v>
      </c>
      <c r="G22" s="31">
        <f t="shared" si="12"/>
        <v>13086.61</v>
      </c>
      <c r="H22" s="31">
        <f t="shared" si="12"/>
        <v>12091.28</v>
      </c>
      <c r="I22" s="31">
        <f t="shared" si="12"/>
        <v>11271.13</v>
      </c>
      <c r="J22" s="31">
        <f t="shared" si="12"/>
        <v>10561.3</v>
      </c>
      <c r="K22" s="31">
        <f t="shared" si="12"/>
        <v>12074.09</v>
      </c>
      <c r="L22" s="31">
        <f t="shared" si="12"/>
        <v>14319.59</v>
      </c>
      <c r="M22" s="31">
        <f t="shared" si="12"/>
        <v>13080.06</v>
      </c>
      <c r="N22" s="31">
        <f t="shared" si="12"/>
        <v>12070.12</v>
      </c>
      <c r="O22" s="31">
        <f t="shared" si="12"/>
        <v>10453.76</v>
      </c>
      <c r="P22" s="31">
        <f>P103</f>
        <v>9422.25</v>
      </c>
      <c r="Q22" s="118">
        <f t="shared" ref="Q22" si="13">SUM(E22:P22)</f>
        <v>142222.62999999998</v>
      </c>
      <c r="R22" s="47"/>
    </row>
    <row r="23" spans="1:18" x14ac:dyDescent="0.25">
      <c r="A23" s="32">
        <v>23</v>
      </c>
      <c r="B23" s="24"/>
      <c r="C23" s="118"/>
      <c r="D23" s="118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118"/>
      <c r="R23" s="47"/>
    </row>
    <row r="24" spans="1:18" x14ac:dyDescent="0.25">
      <c r="A24" s="32">
        <v>24</v>
      </c>
      <c r="B24" s="24" t="s">
        <v>15</v>
      </c>
      <c r="C24" s="118"/>
      <c r="D24" s="118"/>
      <c r="E24" s="31">
        <f>+E105</f>
        <v>112700.3</v>
      </c>
      <c r="F24" s="31">
        <f t="shared" ref="F24:O24" si="14">+F105</f>
        <v>132682.38</v>
      </c>
      <c r="G24" s="31">
        <f t="shared" si="14"/>
        <v>158319.79999999999</v>
      </c>
      <c r="H24" s="31">
        <f t="shared" si="14"/>
        <v>135496.5</v>
      </c>
      <c r="I24" s="31">
        <f t="shared" si="14"/>
        <v>134514.01999999999</v>
      </c>
      <c r="J24" s="31">
        <f t="shared" si="14"/>
        <v>117633.19</v>
      </c>
      <c r="K24" s="31">
        <f t="shared" si="14"/>
        <v>128620.52</v>
      </c>
      <c r="L24" s="31">
        <f t="shared" si="14"/>
        <v>143336.49</v>
      </c>
      <c r="M24" s="31">
        <f t="shared" si="14"/>
        <v>136560.66</v>
      </c>
      <c r="N24" s="31">
        <f t="shared" si="14"/>
        <v>113612.21</v>
      </c>
      <c r="O24" s="31">
        <f t="shared" si="14"/>
        <v>96508.33</v>
      </c>
      <c r="P24" s="31">
        <f>+P105</f>
        <v>104000.74</v>
      </c>
      <c r="Q24" s="118">
        <f t="shared" ref="Q24" si="15">SUM(E24:P24)</f>
        <v>1513985.14</v>
      </c>
      <c r="R24" s="47"/>
    </row>
    <row r="25" spans="1:18" x14ac:dyDescent="0.25">
      <c r="A25" s="32">
        <v>25</v>
      </c>
      <c r="B25" s="24"/>
      <c r="C25" s="118"/>
      <c r="D25" s="118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118"/>
      <c r="R25" s="47"/>
    </row>
    <row r="26" spans="1:18" x14ac:dyDescent="0.25">
      <c r="A26" s="32">
        <v>26</v>
      </c>
      <c r="B26" s="24" t="s">
        <v>14</v>
      </c>
      <c r="C26" s="118"/>
      <c r="D26" s="118"/>
      <c r="E26" s="31">
        <f>+E109</f>
        <v>54745.95</v>
      </c>
      <c r="F26" s="31">
        <f t="shared" ref="F26:O26" si="16">+F109</f>
        <v>69080.95</v>
      </c>
      <c r="G26" s="31">
        <f t="shared" si="16"/>
        <v>60213.100000000006</v>
      </c>
      <c r="H26" s="31">
        <f t="shared" si="16"/>
        <v>59323.03</v>
      </c>
      <c r="I26" s="31">
        <f t="shared" si="16"/>
        <v>58368.83</v>
      </c>
      <c r="J26" s="31">
        <f t="shared" si="16"/>
        <v>52603.45</v>
      </c>
      <c r="K26" s="31">
        <f t="shared" si="16"/>
        <v>70449.820000000007</v>
      </c>
      <c r="L26" s="31">
        <f t="shared" si="16"/>
        <v>73774.02</v>
      </c>
      <c r="M26" s="31">
        <f t="shared" si="16"/>
        <v>72227.88</v>
      </c>
      <c r="N26" s="31">
        <f t="shared" si="16"/>
        <v>96921.39</v>
      </c>
      <c r="O26" s="31">
        <f t="shared" si="16"/>
        <v>23171.87</v>
      </c>
      <c r="P26" s="31">
        <f>+P109</f>
        <v>52171.63</v>
      </c>
      <c r="Q26" s="118">
        <f t="shared" ref="Q26" si="17">SUM(E26:P26)</f>
        <v>743051.92</v>
      </c>
      <c r="R26" s="47"/>
    </row>
    <row r="27" spans="1:18" x14ac:dyDescent="0.25">
      <c r="A27" s="32">
        <v>27</v>
      </c>
      <c r="B27" s="24"/>
      <c r="C27" s="118"/>
      <c r="D27" s="118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118"/>
      <c r="R27" s="47"/>
    </row>
    <row r="28" spans="1:18" x14ac:dyDescent="0.25">
      <c r="A28" s="32">
        <v>28</v>
      </c>
      <c r="B28" s="24" t="s">
        <v>13</v>
      </c>
      <c r="C28" s="118">
        <f>+C111</f>
        <v>0</v>
      </c>
      <c r="D28" s="118">
        <f>+D111</f>
        <v>0</v>
      </c>
      <c r="E28" s="31">
        <f>+E111</f>
        <v>27158.82</v>
      </c>
      <c r="F28" s="31">
        <f t="shared" ref="F28:P28" si="18">+F111</f>
        <v>23154.04</v>
      </c>
      <c r="G28" s="31">
        <f t="shared" si="18"/>
        <v>13890.79</v>
      </c>
      <c r="H28" s="31">
        <f t="shared" si="18"/>
        <v>12270.06</v>
      </c>
      <c r="I28" s="31">
        <f t="shared" si="18"/>
        <v>15111.07</v>
      </c>
      <c r="J28" s="31">
        <f t="shared" si="18"/>
        <v>15043.67</v>
      </c>
      <c r="K28" s="31">
        <f t="shared" si="18"/>
        <v>23540.45</v>
      </c>
      <c r="L28" s="31">
        <f t="shared" si="18"/>
        <v>24032.639999999999</v>
      </c>
      <c r="M28" s="31">
        <f t="shared" si="18"/>
        <v>20644.91</v>
      </c>
      <c r="N28" s="31">
        <f t="shared" si="18"/>
        <v>19402.05</v>
      </c>
      <c r="O28" s="31">
        <f t="shared" si="18"/>
        <v>18772</v>
      </c>
      <c r="P28" s="31">
        <f t="shared" si="18"/>
        <v>19945</v>
      </c>
      <c r="Q28" s="118">
        <f t="shared" ref="Q28" si="19">SUM(E28:P28)</f>
        <v>232965.49999999997</v>
      </c>
      <c r="R28" s="47"/>
    </row>
    <row r="29" spans="1:18" x14ac:dyDescent="0.25">
      <c r="A29" s="32">
        <v>29</v>
      </c>
      <c r="B29" s="24"/>
      <c r="C29" s="118"/>
      <c r="D29" s="118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118"/>
      <c r="R29" s="47"/>
    </row>
    <row r="30" spans="1:18" x14ac:dyDescent="0.25">
      <c r="A30" s="32">
        <v>30</v>
      </c>
      <c r="B30" s="24" t="s">
        <v>12</v>
      </c>
      <c r="C30" s="118">
        <f>+C115</f>
        <v>0</v>
      </c>
      <c r="D30" s="118">
        <f>+D115</f>
        <v>0</v>
      </c>
      <c r="E30" s="31">
        <f>+E115</f>
        <v>4884359.29</v>
      </c>
      <c r="F30" s="31">
        <f t="shared" ref="F30:P30" si="20">+F115</f>
        <v>5977426.2199999997</v>
      </c>
      <c r="G30" s="31">
        <f t="shared" si="20"/>
        <v>6842740.8599999994</v>
      </c>
      <c r="H30" s="31">
        <f t="shared" si="20"/>
        <v>6994919.7599999998</v>
      </c>
      <c r="I30" s="31">
        <f t="shared" si="20"/>
        <v>6800665.46</v>
      </c>
      <c r="J30" s="31">
        <f t="shared" si="20"/>
        <v>5632377.4900000002</v>
      </c>
      <c r="K30" s="31">
        <f t="shared" si="20"/>
        <v>6190830.5200000005</v>
      </c>
      <c r="L30" s="31">
        <f t="shared" si="20"/>
        <v>6573365.0300000003</v>
      </c>
      <c r="M30" s="31">
        <f t="shared" si="20"/>
        <v>7287107.3600000003</v>
      </c>
      <c r="N30" s="31">
        <f t="shared" si="20"/>
        <v>6714801.9699999997</v>
      </c>
      <c r="O30" s="31">
        <f t="shared" si="20"/>
        <v>5163429.88</v>
      </c>
      <c r="P30" s="31">
        <f t="shared" si="20"/>
        <v>4756948.7899999991</v>
      </c>
      <c r="Q30" s="118">
        <f t="shared" ref="Q30" si="21">SUM(E30:P30)</f>
        <v>73818972.629999995</v>
      </c>
      <c r="R30" s="47"/>
    </row>
    <row r="31" spans="1:18" x14ac:dyDescent="0.25">
      <c r="A31" s="32">
        <v>31</v>
      </c>
      <c r="B31" s="24"/>
      <c r="C31" s="118"/>
      <c r="D31" s="118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118"/>
      <c r="R31" s="47"/>
    </row>
    <row r="32" spans="1:18" x14ac:dyDescent="0.25">
      <c r="A32" s="32">
        <v>32</v>
      </c>
      <c r="B32" s="24" t="s">
        <v>11</v>
      </c>
      <c r="C32" s="118">
        <f>+C117</f>
        <v>0</v>
      </c>
      <c r="D32" s="118">
        <f>+D117</f>
        <v>0</v>
      </c>
      <c r="E32" s="31">
        <f>+E117</f>
        <v>8247.11</v>
      </c>
      <c r="F32" s="31">
        <f t="shared" ref="F32:P32" si="22">+F117</f>
        <v>6219.73</v>
      </c>
      <c r="G32" s="31">
        <f t="shared" si="22"/>
        <v>9328.4699999999993</v>
      </c>
      <c r="H32" s="31">
        <f t="shared" si="22"/>
        <v>12083.73</v>
      </c>
      <c r="I32" s="31">
        <f t="shared" si="22"/>
        <v>10475.69</v>
      </c>
      <c r="J32" s="31">
        <f t="shared" si="22"/>
        <v>9993.42</v>
      </c>
      <c r="K32" s="31">
        <f t="shared" si="22"/>
        <v>5142.71</v>
      </c>
      <c r="L32" s="31">
        <f t="shared" si="22"/>
        <v>12192.9</v>
      </c>
      <c r="M32" s="31">
        <f t="shared" si="22"/>
        <v>19371.21</v>
      </c>
      <c r="N32" s="31">
        <f t="shared" si="22"/>
        <v>19557.03</v>
      </c>
      <c r="O32" s="31">
        <f t="shared" si="22"/>
        <v>10927.22</v>
      </c>
      <c r="P32" s="31">
        <f t="shared" si="22"/>
        <v>7367.07</v>
      </c>
      <c r="Q32" s="118">
        <f t="shared" ref="Q32" si="23">SUM(E32:P32)</f>
        <v>130906.29000000001</v>
      </c>
      <c r="R32" s="47"/>
    </row>
    <row r="33" spans="1:18" x14ac:dyDescent="0.25">
      <c r="A33" s="32">
        <v>33</v>
      </c>
      <c r="B33" s="24"/>
      <c r="C33" s="118"/>
      <c r="D33" s="118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118"/>
      <c r="R33" s="47"/>
    </row>
    <row r="34" spans="1:18" x14ac:dyDescent="0.25">
      <c r="A34" s="32">
        <v>34</v>
      </c>
      <c r="B34" s="24" t="s">
        <v>10</v>
      </c>
      <c r="C34" s="118">
        <f>+C119</f>
        <v>0</v>
      </c>
      <c r="D34" s="118">
        <f>+D119</f>
        <v>0</v>
      </c>
      <c r="E34" s="31">
        <f>+E119</f>
        <v>83284.509999999995</v>
      </c>
      <c r="F34" s="31">
        <f t="shared" ref="F34:P34" si="24">+F119</f>
        <v>105634.32</v>
      </c>
      <c r="G34" s="31">
        <f t="shared" si="24"/>
        <v>118002.5</v>
      </c>
      <c r="H34" s="31">
        <f t="shared" si="24"/>
        <v>120705.09</v>
      </c>
      <c r="I34" s="31">
        <f t="shared" si="24"/>
        <v>107388.72</v>
      </c>
      <c r="J34" s="31">
        <f t="shared" si="24"/>
        <v>100410.28</v>
      </c>
      <c r="K34" s="31">
        <f t="shared" si="24"/>
        <v>111366.73</v>
      </c>
      <c r="L34" s="31">
        <f t="shared" si="24"/>
        <v>125035.67</v>
      </c>
      <c r="M34" s="31">
        <f t="shared" si="24"/>
        <v>133241.67000000001</v>
      </c>
      <c r="N34" s="31">
        <f t="shared" si="24"/>
        <v>131727.53</v>
      </c>
      <c r="O34" s="31">
        <f t="shared" si="24"/>
        <v>85387.92</v>
      </c>
      <c r="P34" s="31">
        <f t="shared" si="24"/>
        <v>78405.97</v>
      </c>
      <c r="Q34" s="118">
        <f t="shared" ref="Q34" si="25">SUM(E34:P34)</f>
        <v>1300590.9099999999</v>
      </c>
      <c r="R34" s="47"/>
    </row>
    <row r="35" spans="1:18" x14ac:dyDescent="0.25">
      <c r="A35" s="32">
        <v>35</v>
      </c>
      <c r="B35" s="24"/>
      <c r="C35" s="118"/>
      <c r="D35" s="118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118"/>
      <c r="R35" s="47"/>
    </row>
    <row r="36" spans="1:18" x14ac:dyDescent="0.25">
      <c r="A36" s="32">
        <v>36</v>
      </c>
      <c r="B36" s="24" t="s">
        <v>9</v>
      </c>
      <c r="C36" s="118">
        <f>+C123</f>
        <v>0</v>
      </c>
      <c r="D36" s="118">
        <f>+D123</f>
        <v>0</v>
      </c>
      <c r="E36" s="31">
        <f>+E123</f>
        <v>105126.97</v>
      </c>
      <c r="F36" s="31">
        <f t="shared" ref="F36:P36" si="26">+F123</f>
        <v>125058.94</v>
      </c>
      <c r="G36" s="31">
        <f t="shared" si="26"/>
        <v>108393.14</v>
      </c>
      <c r="H36" s="31">
        <f t="shared" si="26"/>
        <v>80332.040000000008</v>
      </c>
      <c r="I36" s="31">
        <f t="shared" si="26"/>
        <v>88703.079999999987</v>
      </c>
      <c r="J36" s="31">
        <f t="shared" si="26"/>
        <v>75803.509999999995</v>
      </c>
      <c r="K36" s="31">
        <f t="shared" si="26"/>
        <v>125943.15</v>
      </c>
      <c r="L36" s="31">
        <f t="shared" si="26"/>
        <v>153988.22</v>
      </c>
      <c r="M36" s="31">
        <f t="shared" si="26"/>
        <v>154759.82</v>
      </c>
      <c r="N36" s="31">
        <f t="shared" si="26"/>
        <v>103089.06</v>
      </c>
      <c r="O36" s="31">
        <f t="shared" si="26"/>
        <v>125526.72</v>
      </c>
      <c r="P36" s="31">
        <f t="shared" si="26"/>
        <v>67798.67</v>
      </c>
      <c r="Q36" s="118">
        <f t="shared" ref="Q36" si="27">SUM(E36:P36)</f>
        <v>1314523.3199999998</v>
      </c>
      <c r="R36" s="47"/>
    </row>
    <row r="37" spans="1:18" x14ac:dyDescent="0.25">
      <c r="A37" s="32">
        <v>37</v>
      </c>
      <c r="B37" s="24"/>
      <c r="C37" s="118"/>
      <c r="D37" s="118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118"/>
      <c r="R37" s="47"/>
    </row>
    <row r="38" spans="1:18" x14ac:dyDescent="0.25">
      <c r="A38" s="32">
        <v>38</v>
      </c>
      <c r="B38" s="24" t="s">
        <v>8</v>
      </c>
      <c r="C38" s="118">
        <f>+C125</f>
        <v>0</v>
      </c>
      <c r="D38" s="118">
        <f>+D125</f>
        <v>0</v>
      </c>
      <c r="E38" s="31">
        <f>+E125</f>
        <v>7339.71</v>
      </c>
      <c r="F38" s="31">
        <f t="shared" ref="F38:P38" si="28">+F125</f>
        <v>7313.32</v>
      </c>
      <c r="G38" s="31">
        <f t="shared" si="28"/>
        <v>9267.6299999999992</v>
      </c>
      <c r="H38" s="31">
        <f t="shared" si="28"/>
        <v>2555.65</v>
      </c>
      <c r="I38" s="31">
        <f t="shared" si="28"/>
        <v>5508.03</v>
      </c>
      <c r="J38" s="31">
        <f t="shared" si="28"/>
        <v>7402.69</v>
      </c>
      <c r="K38" s="31">
        <f t="shared" si="28"/>
        <v>2666.55</v>
      </c>
      <c r="L38" s="31">
        <f t="shared" si="28"/>
        <v>5615.47</v>
      </c>
      <c r="M38" s="31">
        <f t="shared" si="28"/>
        <v>9167.3700000000008</v>
      </c>
      <c r="N38" s="31">
        <f t="shared" si="28"/>
        <v>5242.25</v>
      </c>
      <c r="O38" s="31">
        <f t="shared" si="28"/>
        <v>2579.4</v>
      </c>
      <c r="P38" s="31">
        <f t="shared" si="28"/>
        <v>4402.6499999999996</v>
      </c>
      <c r="Q38" s="118">
        <f t="shared" ref="Q38" si="29">SUM(E38:P38)</f>
        <v>69060.72</v>
      </c>
      <c r="R38" s="47"/>
    </row>
    <row r="39" spans="1:18" x14ac:dyDescent="0.25">
      <c r="A39" s="32">
        <v>39</v>
      </c>
      <c r="B39" s="24"/>
      <c r="C39" s="118"/>
      <c r="D39" s="118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118"/>
      <c r="R39" s="47"/>
    </row>
    <row r="40" spans="1:18" x14ac:dyDescent="0.25">
      <c r="A40" s="32">
        <v>40</v>
      </c>
      <c r="B40" s="24" t="s">
        <v>7</v>
      </c>
      <c r="C40" s="118">
        <f>+C129</f>
        <v>0</v>
      </c>
      <c r="D40" s="118">
        <f>+D129</f>
        <v>0</v>
      </c>
      <c r="E40" s="31">
        <f>+E129</f>
        <v>3027627.2399999998</v>
      </c>
      <c r="F40" s="31">
        <f t="shared" ref="F40:P40" si="30">+F129</f>
        <v>3855222.03</v>
      </c>
      <c r="G40" s="31">
        <f t="shared" si="30"/>
        <v>4062600.0999999996</v>
      </c>
      <c r="H40" s="31">
        <f t="shared" si="30"/>
        <v>3959279.0300000003</v>
      </c>
      <c r="I40" s="31">
        <f t="shared" si="30"/>
        <v>3819442.78</v>
      </c>
      <c r="J40" s="31">
        <f t="shared" si="30"/>
        <v>3346343.74</v>
      </c>
      <c r="K40" s="31">
        <f t="shared" si="30"/>
        <v>4051077.4899999998</v>
      </c>
      <c r="L40" s="31">
        <f t="shared" si="30"/>
        <v>4362291.29</v>
      </c>
      <c r="M40" s="31">
        <f t="shared" si="30"/>
        <v>4036707.43</v>
      </c>
      <c r="N40" s="31">
        <f t="shared" si="30"/>
        <v>3589812.6500000004</v>
      </c>
      <c r="O40" s="31">
        <f t="shared" si="30"/>
        <v>2993910.0100000002</v>
      </c>
      <c r="P40" s="31">
        <f t="shared" si="30"/>
        <v>2861446.17</v>
      </c>
      <c r="Q40" s="118">
        <f t="shared" ref="Q40" si="31">SUM(E40:P40)</f>
        <v>43965759.960000001</v>
      </c>
      <c r="R40" s="47"/>
    </row>
    <row r="41" spans="1:18" x14ac:dyDescent="0.25">
      <c r="A41" s="32">
        <v>41</v>
      </c>
      <c r="B41" s="24"/>
      <c r="C41" s="118"/>
      <c r="D41" s="118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118"/>
      <c r="R41" s="47"/>
    </row>
    <row r="42" spans="1:18" x14ac:dyDescent="0.25">
      <c r="A42" s="32">
        <v>42</v>
      </c>
      <c r="B42" s="24" t="s">
        <v>6</v>
      </c>
      <c r="C42" s="118">
        <f>+C131</f>
        <v>0</v>
      </c>
      <c r="D42" s="118">
        <f>+D131</f>
        <v>0</v>
      </c>
      <c r="E42" s="31">
        <f>+E131</f>
        <v>9629.94</v>
      </c>
      <c r="F42" s="31">
        <f t="shared" ref="F42:P42" si="32">+F131</f>
        <v>21639.02</v>
      </c>
      <c r="G42" s="31">
        <f t="shared" si="32"/>
        <v>13025.42</v>
      </c>
      <c r="H42" s="31">
        <f t="shared" si="32"/>
        <v>24541.119999999999</v>
      </c>
      <c r="I42" s="31">
        <f t="shared" si="32"/>
        <v>22778.15</v>
      </c>
      <c r="J42" s="31">
        <f t="shared" si="32"/>
        <v>23472.85</v>
      </c>
      <c r="K42" s="31">
        <f t="shared" si="32"/>
        <v>38650.980000000003</v>
      </c>
      <c r="L42" s="31">
        <f t="shared" si="32"/>
        <v>43606.66</v>
      </c>
      <c r="M42" s="31">
        <f t="shared" si="32"/>
        <v>37233.46</v>
      </c>
      <c r="N42" s="31">
        <f t="shared" si="32"/>
        <v>20253.36</v>
      </c>
      <c r="O42" s="31">
        <f t="shared" si="32"/>
        <v>3633.33</v>
      </c>
      <c r="P42" s="31">
        <f t="shared" si="32"/>
        <v>7487.75</v>
      </c>
      <c r="Q42" s="118">
        <f t="shared" ref="Q42" si="33">SUM(E42:P42)</f>
        <v>265952.04000000004</v>
      </c>
      <c r="R42" s="47"/>
    </row>
    <row r="43" spans="1:18" x14ac:dyDescent="0.25">
      <c r="A43" s="32">
        <v>43</v>
      </c>
      <c r="B43" s="24"/>
      <c r="C43" s="118"/>
      <c r="D43" s="118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118"/>
      <c r="R43" s="47"/>
    </row>
    <row r="44" spans="1:18" x14ac:dyDescent="0.25">
      <c r="A44" s="32">
        <v>44</v>
      </c>
      <c r="B44" s="24" t="s">
        <v>118</v>
      </c>
      <c r="C44" s="118">
        <f>C133</f>
        <v>0</v>
      </c>
      <c r="D44" s="118">
        <f>D133</f>
        <v>0</v>
      </c>
      <c r="E44" s="31">
        <f>E133</f>
        <v>25578.43</v>
      </c>
      <c r="F44" s="31">
        <f t="shared" ref="F44:P44" si="34">F133</f>
        <v>78882.62</v>
      </c>
      <c r="G44" s="31">
        <f t="shared" si="34"/>
        <v>54904.05</v>
      </c>
      <c r="H44" s="31">
        <f t="shared" si="34"/>
        <v>52630.96</v>
      </c>
      <c r="I44" s="31">
        <f t="shared" si="34"/>
        <v>53389.37</v>
      </c>
      <c r="J44" s="31">
        <f t="shared" si="34"/>
        <v>47803.87</v>
      </c>
      <c r="K44" s="31">
        <f t="shared" si="34"/>
        <v>61325.1</v>
      </c>
      <c r="L44" s="31">
        <f t="shared" si="34"/>
        <v>67609.7</v>
      </c>
      <c r="M44" s="31">
        <f t="shared" si="34"/>
        <v>58151.95</v>
      </c>
      <c r="N44" s="31">
        <f t="shared" si="34"/>
        <v>66371.850000000006</v>
      </c>
      <c r="O44" s="31">
        <f t="shared" si="34"/>
        <v>56576.26</v>
      </c>
      <c r="P44" s="31">
        <f t="shared" si="34"/>
        <v>40648.74</v>
      </c>
      <c r="Q44" s="118">
        <f t="shared" ref="Q44" si="35">SUM(E44:P44)</f>
        <v>663872.9</v>
      </c>
      <c r="R44" s="47"/>
    </row>
    <row r="45" spans="1:18" x14ac:dyDescent="0.25">
      <c r="A45" s="32">
        <v>45</v>
      </c>
      <c r="B45" s="24"/>
      <c r="C45" s="118"/>
      <c r="D45" s="118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118"/>
      <c r="R45" s="47"/>
    </row>
    <row r="46" spans="1:18" x14ac:dyDescent="0.25">
      <c r="A46" s="32">
        <v>46</v>
      </c>
      <c r="B46" s="24" t="s">
        <v>241</v>
      </c>
      <c r="C46" s="118">
        <f>+C138</f>
        <v>0</v>
      </c>
      <c r="D46" s="118">
        <f>+D138</f>
        <v>0</v>
      </c>
      <c r="E46" s="31">
        <f>E134</f>
        <v>25983.040000000001</v>
      </c>
      <c r="F46" s="31">
        <f t="shared" ref="F46:P46" si="36">F134</f>
        <v>27980.55</v>
      </c>
      <c r="G46" s="31">
        <f t="shared" si="36"/>
        <v>32913.699999999997</v>
      </c>
      <c r="H46" s="31">
        <f t="shared" si="36"/>
        <v>27708.67</v>
      </c>
      <c r="I46" s="31">
        <f t="shared" si="36"/>
        <v>43465.19</v>
      </c>
      <c r="J46" s="31">
        <f t="shared" si="36"/>
        <v>50896.81</v>
      </c>
      <c r="K46" s="31">
        <f t="shared" si="36"/>
        <v>44795.85</v>
      </c>
      <c r="L46" s="31">
        <f t="shared" si="36"/>
        <v>11388.87</v>
      </c>
      <c r="M46" s="31">
        <f t="shared" si="36"/>
        <v>16669.66</v>
      </c>
      <c r="N46" s="31">
        <f t="shared" si="36"/>
        <v>18291.580000000002</v>
      </c>
      <c r="O46" s="31">
        <f t="shared" si="36"/>
        <v>13325.65</v>
      </c>
      <c r="P46" s="31">
        <f t="shared" si="36"/>
        <v>-5051.55</v>
      </c>
      <c r="Q46" s="118">
        <f t="shared" ref="Q46" si="37">SUM(E46:P46)</f>
        <v>308368.02</v>
      </c>
      <c r="R46" s="47"/>
    </row>
    <row r="47" spans="1:18" x14ac:dyDescent="0.25">
      <c r="A47" s="32">
        <v>47</v>
      </c>
      <c r="B47" s="24"/>
      <c r="C47" s="118"/>
      <c r="D47" s="118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118"/>
      <c r="R47" s="47"/>
    </row>
    <row r="48" spans="1:18" x14ac:dyDescent="0.25">
      <c r="A48" s="32">
        <v>48</v>
      </c>
      <c r="B48" s="24" t="s">
        <v>5</v>
      </c>
      <c r="C48" s="118">
        <f>+C140</f>
        <v>0</v>
      </c>
      <c r="D48" s="118">
        <f>+D140</f>
        <v>0</v>
      </c>
      <c r="E48" s="31">
        <f>+E138</f>
        <v>803037.77</v>
      </c>
      <c r="F48" s="31">
        <f t="shared" ref="F48:P48" si="38">+F138</f>
        <v>1117706.49</v>
      </c>
      <c r="G48" s="31">
        <f t="shared" si="38"/>
        <v>932200.19</v>
      </c>
      <c r="H48" s="31">
        <f t="shared" si="38"/>
        <v>973738.4</v>
      </c>
      <c r="I48" s="31">
        <f t="shared" si="38"/>
        <v>993887.24</v>
      </c>
      <c r="J48" s="31">
        <f t="shared" si="38"/>
        <v>895283.99</v>
      </c>
      <c r="K48" s="31">
        <f t="shared" si="38"/>
        <v>1118075.8400000001</v>
      </c>
      <c r="L48" s="31">
        <f t="shared" si="38"/>
        <v>1224708.8400000001</v>
      </c>
      <c r="M48" s="31">
        <f t="shared" si="38"/>
        <v>1151798.72</v>
      </c>
      <c r="N48" s="31">
        <f t="shared" si="38"/>
        <v>1050133.7</v>
      </c>
      <c r="O48" s="31">
        <f t="shared" si="38"/>
        <v>959039.83000000007</v>
      </c>
      <c r="P48" s="31">
        <f t="shared" si="38"/>
        <v>887802.48</v>
      </c>
      <c r="Q48" s="118">
        <f t="shared" ref="Q48" si="39">SUM(E48:P48)</f>
        <v>12107413.49</v>
      </c>
      <c r="R48" s="47"/>
    </row>
    <row r="49" spans="1:18" x14ac:dyDescent="0.25">
      <c r="A49" s="32">
        <v>49</v>
      </c>
      <c r="B49" s="24"/>
      <c r="C49" s="118"/>
      <c r="D49" s="118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118"/>
      <c r="R49" s="47"/>
    </row>
    <row r="50" spans="1:18" x14ac:dyDescent="0.25">
      <c r="A50" s="32">
        <v>50</v>
      </c>
      <c r="B50" s="24" t="s">
        <v>4</v>
      </c>
      <c r="C50" s="118">
        <f>+C142</f>
        <v>0</v>
      </c>
      <c r="D50" s="118">
        <f>+D142</f>
        <v>0</v>
      </c>
      <c r="E50" s="31">
        <f t="shared" ref="E50:P54" si="40">+E140</f>
        <v>86350.35</v>
      </c>
      <c r="F50" s="31">
        <f t="shared" si="40"/>
        <v>148100.97</v>
      </c>
      <c r="G50" s="31">
        <f t="shared" si="40"/>
        <v>292205.03999999998</v>
      </c>
      <c r="H50" s="31">
        <f t="shared" si="40"/>
        <v>86802.2</v>
      </c>
      <c r="I50" s="31">
        <f t="shared" si="40"/>
        <v>35446.879999999997</v>
      </c>
      <c r="J50" s="31">
        <f t="shared" si="40"/>
        <v>99139.05</v>
      </c>
      <c r="K50" s="31">
        <f t="shared" si="40"/>
        <v>105475.24</v>
      </c>
      <c r="L50" s="31">
        <f t="shared" si="40"/>
        <v>125710.94</v>
      </c>
      <c r="M50" s="31">
        <f t="shared" si="40"/>
        <v>99826.51</v>
      </c>
      <c r="N50" s="31">
        <f t="shared" si="40"/>
        <v>97301.91</v>
      </c>
      <c r="O50" s="31">
        <f t="shared" si="40"/>
        <v>81450.289999999994</v>
      </c>
      <c r="P50" s="31">
        <f t="shared" si="40"/>
        <v>74108.56</v>
      </c>
      <c r="Q50" s="118">
        <f t="shared" ref="Q50" si="41">SUM(E50:P50)</f>
        <v>1331917.94</v>
      </c>
      <c r="R50" s="47"/>
    </row>
    <row r="51" spans="1:18" x14ac:dyDescent="0.25">
      <c r="A51" s="32">
        <v>51</v>
      </c>
      <c r="B51" s="24"/>
      <c r="C51" s="118"/>
      <c r="D51" s="118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118"/>
      <c r="R51" s="47"/>
    </row>
    <row r="52" spans="1:18" x14ac:dyDescent="0.25">
      <c r="A52" s="32">
        <v>52</v>
      </c>
      <c r="B52" s="24" t="s">
        <v>3</v>
      </c>
      <c r="C52" s="118">
        <f>C144</f>
        <v>0</v>
      </c>
      <c r="D52" s="118">
        <f>D144</f>
        <v>0</v>
      </c>
      <c r="E52" s="31">
        <f>+E142</f>
        <v>0</v>
      </c>
      <c r="F52" s="31">
        <f t="shared" ref="F52:P52" si="42">+F142</f>
        <v>0</v>
      </c>
      <c r="G52" s="31">
        <f t="shared" si="42"/>
        <v>0</v>
      </c>
      <c r="H52" s="31">
        <f t="shared" si="42"/>
        <v>0</v>
      </c>
      <c r="I52" s="31">
        <f t="shared" si="42"/>
        <v>0</v>
      </c>
      <c r="J52" s="31">
        <f t="shared" si="42"/>
        <v>0</v>
      </c>
      <c r="K52" s="31">
        <f t="shared" si="42"/>
        <v>0</v>
      </c>
      <c r="L52" s="31">
        <f t="shared" si="42"/>
        <v>0</v>
      </c>
      <c r="M52" s="31">
        <f t="shared" si="42"/>
        <v>0</v>
      </c>
      <c r="N52" s="31">
        <f t="shared" si="42"/>
        <v>0</v>
      </c>
      <c r="O52" s="31">
        <f t="shared" si="42"/>
        <v>0</v>
      </c>
      <c r="P52" s="31">
        <f t="shared" si="42"/>
        <v>0</v>
      </c>
      <c r="Q52" s="118">
        <f t="shared" ref="Q52" si="43">SUM(E52:P52)</f>
        <v>0</v>
      </c>
      <c r="R52" s="47"/>
    </row>
    <row r="53" spans="1:18" x14ac:dyDescent="0.25">
      <c r="A53" s="32">
        <v>53</v>
      </c>
      <c r="B53" s="24"/>
      <c r="C53" s="118"/>
      <c r="D53" s="118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118"/>
      <c r="R53" s="47"/>
    </row>
    <row r="54" spans="1:18" x14ac:dyDescent="0.25">
      <c r="A54" s="32">
        <v>54</v>
      </c>
      <c r="B54" s="24" t="s">
        <v>119</v>
      </c>
      <c r="C54" s="118">
        <f>C146</f>
        <v>0</v>
      </c>
      <c r="D54" s="118">
        <f>D146</f>
        <v>0</v>
      </c>
      <c r="E54" s="31">
        <f t="shared" si="40"/>
        <v>972132.94</v>
      </c>
      <c r="F54" s="31">
        <f t="shared" si="40"/>
        <v>1233924.32</v>
      </c>
      <c r="G54" s="31">
        <f t="shared" si="40"/>
        <v>1246249</v>
      </c>
      <c r="H54" s="31">
        <f t="shared" si="40"/>
        <v>977743.38</v>
      </c>
      <c r="I54" s="31">
        <f t="shared" si="40"/>
        <v>1146924.47</v>
      </c>
      <c r="J54" s="31">
        <f t="shared" si="40"/>
        <v>1176489.98</v>
      </c>
      <c r="K54" s="31">
        <f t="shared" si="40"/>
        <v>1320154.6100000001</v>
      </c>
      <c r="L54" s="31">
        <f t="shared" si="40"/>
        <v>1267228.32</v>
      </c>
      <c r="M54" s="31">
        <f t="shared" si="40"/>
        <v>1324378.4099999999</v>
      </c>
      <c r="N54" s="31">
        <f t="shared" si="40"/>
        <v>1142165.6299999999</v>
      </c>
      <c r="O54" s="31">
        <f t="shared" si="40"/>
        <v>1001189.17</v>
      </c>
      <c r="P54" s="31">
        <f t="shared" si="40"/>
        <v>956110.37</v>
      </c>
      <c r="Q54" s="118">
        <f t="shared" ref="Q54" si="44">SUM(E54:P54)</f>
        <v>13764690.599999998</v>
      </c>
      <c r="R54" s="47"/>
    </row>
    <row r="55" spans="1:18" x14ac:dyDescent="0.25">
      <c r="A55" s="32">
        <v>55</v>
      </c>
      <c r="B55" s="24"/>
      <c r="C55" s="118"/>
      <c r="D55" s="118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118"/>
      <c r="R55" s="47"/>
    </row>
    <row r="56" spans="1:18" x14ac:dyDescent="0.25">
      <c r="A56" s="32">
        <v>56</v>
      </c>
      <c r="B56" s="24" t="s">
        <v>120</v>
      </c>
      <c r="C56" s="118" t="e">
        <f>#REF!</f>
        <v>#REF!</v>
      </c>
      <c r="D56" s="118" t="e">
        <f>#REF!</f>
        <v>#REF!</v>
      </c>
      <c r="E56" s="31">
        <f>+E146</f>
        <v>14427</v>
      </c>
      <c r="F56" s="31">
        <f t="shared" ref="F56:P56" si="45">+F146</f>
        <v>16827.189999999999</v>
      </c>
      <c r="G56" s="31">
        <f t="shared" si="45"/>
        <v>20697.05</v>
      </c>
      <c r="H56" s="31">
        <f t="shared" si="45"/>
        <v>16372.95</v>
      </c>
      <c r="I56" s="31">
        <f t="shared" si="45"/>
        <v>16961.34</v>
      </c>
      <c r="J56" s="31">
        <f t="shared" si="45"/>
        <v>18806.009999999998</v>
      </c>
      <c r="K56" s="31">
        <f t="shared" si="45"/>
        <v>22567.11</v>
      </c>
      <c r="L56" s="31">
        <f t="shared" si="45"/>
        <v>24458.21</v>
      </c>
      <c r="M56" s="31">
        <f t="shared" si="45"/>
        <v>25067.119999999999</v>
      </c>
      <c r="N56" s="31">
        <f t="shared" si="45"/>
        <v>28295.23</v>
      </c>
      <c r="O56" s="31">
        <f t="shared" si="45"/>
        <v>21339.58</v>
      </c>
      <c r="P56" s="31">
        <f t="shared" si="45"/>
        <v>15374.37</v>
      </c>
      <c r="Q56" s="118">
        <f t="shared" ref="Q56" si="46">SUM(E56:P56)</f>
        <v>241193.15999999997</v>
      </c>
      <c r="R56" s="47"/>
    </row>
    <row r="57" spans="1:18" x14ac:dyDescent="0.25">
      <c r="A57" s="32">
        <v>57</v>
      </c>
      <c r="B57" s="24"/>
      <c r="C57" s="118"/>
      <c r="D57" s="118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118"/>
      <c r="R57" s="47"/>
    </row>
    <row r="58" spans="1:18" x14ac:dyDescent="0.25">
      <c r="A58" s="32">
        <v>58</v>
      </c>
      <c r="B58" s="24" t="s">
        <v>242</v>
      </c>
      <c r="C58" s="118" t="e">
        <f>#REF!</f>
        <v>#REF!</v>
      </c>
      <c r="D58" s="118" t="e">
        <f>#REF!</f>
        <v>#REF!</v>
      </c>
      <c r="E58" s="31">
        <f>+E148</f>
        <v>271789.08</v>
      </c>
      <c r="F58" s="31">
        <f t="shared" ref="F58:P58" si="47">+F148</f>
        <v>369715.86</v>
      </c>
      <c r="G58" s="31">
        <f t="shared" si="47"/>
        <v>303654.7</v>
      </c>
      <c r="H58" s="31">
        <f t="shared" si="47"/>
        <v>339853.16</v>
      </c>
      <c r="I58" s="31">
        <f t="shared" si="47"/>
        <v>395971.54</v>
      </c>
      <c r="J58" s="31">
        <f t="shared" si="47"/>
        <v>286421.61</v>
      </c>
      <c r="K58" s="31">
        <f t="shared" si="47"/>
        <v>371497.64</v>
      </c>
      <c r="L58" s="31">
        <f t="shared" si="47"/>
        <v>406539.1</v>
      </c>
      <c r="M58" s="31">
        <f t="shared" si="47"/>
        <v>362253.5</v>
      </c>
      <c r="N58" s="31">
        <f t="shared" si="47"/>
        <v>261605.55</v>
      </c>
      <c r="O58" s="31">
        <f t="shared" si="47"/>
        <v>308015.40999999997</v>
      </c>
      <c r="P58" s="31">
        <f t="shared" si="47"/>
        <v>192239.96</v>
      </c>
      <c r="Q58" s="118">
        <f t="shared" ref="Q58" si="48">SUM(E58:P58)</f>
        <v>3869557.11</v>
      </c>
      <c r="R58" s="47"/>
    </row>
    <row r="59" spans="1:18" x14ac:dyDescent="0.25">
      <c r="A59" s="32">
        <v>59</v>
      </c>
      <c r="B59" s="24"/>
      <c r="C59" s="118"/>
      <c r="D59" s="118"/>
      <c r="Q59" s="118"/>
      <c r="R59" s="47"/>
    </row>
    <row r="60" spans="1:18" x14ac:dyDescent="0.25">
      <c r="A60" s="32">
        <v>60</v>
      </c>
      <c r="B60" s="24" t="s">
        <v>122</v>
      </c>
      <c r="C60" s="118">
        <f>C153</f>
        <v>0</v>
      </c>
      <c r="D60" s="118">
        <f>D153</f>
        <v>0</v>
      </c>
      <c r="E60" s="31">
        <f>+E149</f>
        <v>575642</v>
      </c>
      <c r="F60" s="31">
        <f t="shared" ref="F60:P60" si="49">+F149</f>
        <v>645986</v>
      </c>
      <c r="G60" s="31">
        <f t="shared" si="49"/>
        <v>468827</v>
      </c>
      <c r="H60" s="31">
        <f t="shared" si="49"/>
        <v>611378</v>
      </c>
      <c r="I60" s="31">
        <f t="shared" si="49"/>
        <v>626210</v>
      </c>
      <c r="J60" s="31">
        <f t="shared" si="49"/>
        <v>535982</v>
      </c>
      <c r="K60" s="31">
        <f t="shared" si="49"/>
        <v>599018</v>
      </c>
      <c r="L60" s="31">
        <f t="shared" si="49"/>
        <v>503846</v>
      </c>
      <c r="M60" s="31">
        <f t="shared" si="49"/>
        <v>610142</v>
      </c>
      <c r="N60" s="31">
        <f t="shared" si="49"/>
        <v>612614</v>
      </c>
      <c r="O60" s="31">
        <f t="shared" si="49"/>
        <v>540384</v>
      </c>
      <c r="P60" s="31">
        <f t="shared" si="49"/>
        <v>406655</v>
      </c>
      <c r="Q60" s="118">
        <f>SUM(E60:P60)</f>
        <v>6736684</v>
      </c>
      <c r="R60" s="47"/>
    </row>
    <row r="61" spans="1:18" x14ac:dyDescent="0.25">
      <c r="A61" s="32">
        <v>61</v>
      </c>
      <c r="B61" s="24"/>
      <c r="C61" s="118"/>
      <c r="D61" s="118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118"/>
      <c r="R61" s="47"/>
    </row>
    <row r="62" spans="1:18" x14ac:dyDescent="0.25">
      <c r="A62" s="32">
        <v>62</v>
      </c>
      <c r="B62" s="24" t="s">
        <v>243</v>
      </c>
      <c r="C62" s="118">
        <f>C155</f>
        <v>0</v>
      </c>
      <c r="D62" s="118">
        <f>D155</f>
        <v>0</v>
      </c>
      <c r="E62" s="31">
        <f>+E150</f>
        <v>118361.84</v>
      </c>
      <c r="F62" s="31">
        <f t="shared" ref="F62:P62" si="50">+F150</f>
        <v>137219.07</v>
      </c>
      <c r="G62" s="31">
        <f t="shared" si="50"/>
        <v>139722.37</v>
      </c>
      <c r="H62" s="31">
        <f t="shared" si="50"/>
        <v>146217.17000000001</v>
      </c>
      <c r="I62" s="31">
        <f t="shared" si="50"/>
        <v>156539.1</v>
      </c>
      <c r="J62" s="31">
        <f t="shared" si="50"/>
        <v>109513.11</v>
      </c>
      <c r="K62" s="31">
        <f t="shared" si="50"/>
        <v>159850.94</v>
      </c>
      <c r="L62" s="31">
        <f t="shared" si="50"/>
        <v>164736.04</v>
      </c>
      <c r="M62" s="31">
        <f t="shared" si="50"/>
        <v>180723.54</v>
      </c>
      <c r="N62" s="31">
        <f t="shared" si="50"/>
        <v>160013.07999999999</v>
      </c>
      <c r="O62" s="31">
        <f t="shared" si="50"/>
        <v>180821.72</v>
      </c>
      <c r="P62" s="31">
        <f t="shared" si="50"/>
        <v>84643.03</v>
      </c>
      <c r="Q62" s="118">
        <f t="shared" ref="Q62" si="51">SUM(E62:P62)</f>
        <v>1738361.0100000002</v>
      </c>
      <c r="R62" s="47"/>
    </row>
    <row r="63" spans="1:18" x14ac:dyDescent="0.25">
      <c r="A63" s="32">
        <v>63</v>
      </c>
      <c r="B63" s="24"/>
      <c r="C63" s="118"/>
      <c r="D63" s="118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118"/>
      <c r="R63" s="47"/>
    </row>
    <row r="64" spans="1:18" x14ac:dyDescent="0.25">
      <c r="A64" s="32">
        <v>64</v>
      </c>
      <c r="B64" s="24" t="s">
        <v>244</v>
      </c>
      <c r="C64" s="118">
        <f>C157</f>
        <v>0</v>
      </c>
      <c r="D64" s="118">
        <f>D157</f>
        <v>0</v>
      </c>
      <c r="E64" s="31">
        <f>+E151</f>
        <v>350257.74</v>
      </c>
      <c r="F64" s="31">
        <f t="shared" ref="F64:O64" si="52">+F151</f>
        <v>375451.06</v>
      </c>
      <c r="G64" s="31">
        <f t="shared" si="52"/>
        <v>271172.78000000003</v>
      </c>
      <c r="H64" s="31">
        <f t="shared" si="52"/>
        <v>442092.58</v>
      </c>
      <c r="I64" s="31">
        <f t="shared" si="52"/>
        <v>398235.55</v>
      </c>
      <c r="J64" s="31">
        <f t="shared" si="52"/>
        <v>299362.58</v>
      </c>
      <c r="K64" s="31">
        <f t="shared" si="52"/>
        <v>411995.96</v>
      </c>
      <c r="L64" s="31">
        <f t="shared" si="52"/>
        <v>501424.6</v>
      </c>
      <c r="M64" s="31">
        <f t="shared" si="52"/>
        <v>395321.36</v>
      </c>
      <c r="N64" s="31">
        <f t="shared" si="52"/>
        <v>418921.52</v>
      </c>
      <c r="O64" s="31">
        <f t="shared" si="52"/>
        <v>439531.25</v>
      </c>
      <c r="P64" s="31">
        <f>+P151</f>
        <v>190349.89</v>
      </c>
      <c r="Q64" s="118">
        <f t="shared" ref="Q64" si="53">SUM(E64:P64)</f>
        <v>4494116.87</v>
      </c>
      <c r="R64" s="47"/>
    </row>
    <row r="65" spans="1:18" x14ac:dyDescent="0.25">
      <c r="A65" s="32">
        <v>65</v>
      </c>
      <c r="B65" s="24"/>
      <c r="C65" s="118"/>
      <c r="D65" s="118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118"/>
      <c r="R65" s="47"/>
    </row>
    <row r="66" spans="1:18" x14ac:dyDescent="0.25">
      <c r="A66" s="32">
        <v>66</v>
      </c>
      <c r="B66" s="24" t="s">
        <v>123</v>
      </c>
      <c r="C66" s="118">
        <f>C165</f>
        <v>0</v>
      </c>
      <c r="D66" s="118">
        <f>D165</f>
        <v>0</v>
      </c>
      <c r="E66" s="31">
        <f>+E153</f>
        <v>127698.29</v>
      </c>
      <c r="F66" s="31">
        <f t="shared" ref="F66:P66" si="54">+F153</f>
        <v>159170.43</v>
      </c>
      <c r="G66" s="31">
        <f t="shared" si="54"/>
        <v>164711.70000000001</v>
      </c>
      <c r="H66" s="31">
        <f t="shared" si="54"/>
        <v>148782.04999999999</v>
      </c>
      <c r="I66" s="31">
        <f t="shared" si="54"/>
        <v>159725.56</v>
      </c>
      <c r="J66" s="31">
        <f t="shared" si="54"/>
        <v>140930.71</v>
      </c>
      <c r="K66" s="31">
        <f t="shared" si="54"/>
        <v>178995.82</v>
      </c>
      <c r="L66" s="31">
        <f t="shared" si="54"/>
        <v>193549.86</v>
      </c>
      <c r="M66" s="31">
        <f t="shared" si="54"/>
        <v>175514.37</v>
      </c>
      <c r="N66" s="31">
        <f t="shared" si="54"/>
        <v>178206.76</v>
      </c>
      <c r="O66" s="31">
        <f t="shared" si="54"/>
        <v>144700.28</v>
      </c>
      <c r="P66" s="31">
        <f t="shared" si="54"/>
        <v>114428.45</v>
      </c>
      <c r="Q66" s="118">
        <f t="shared" ref="Q66" si="55">SUM(E66:P66)</f>
        <v>1886414.28</v>
      </c>
      <c r="R66" s="47"/>
    </row>
    <row r="67" spans="1:18" x14ac:dyDescent="0.25">
      <c r="A67" s="32">
        <v>67</v>
      </c>
      <c r="B67" s="24"/>
      <c r="C67" s="118"/>
      <c r="D67" s="118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118"/>
      <c r="R67" s="47"/>
    </row>
    <row r="68" spans="1:18" x14ac:dyDescent="0.25">
      <c r="A68" s="32">
        <v>68</v>
      </c>
      <c r="B68" s="24" t="s">
        <v>124</v>
      </c>
      <c r="C68" s="118">
        <f>C202</f>
        <v>0</v>
      </c>
      <c r="D68" s="118">
        <f>D202</f>
        <v>0</v>
      </c>
      <c r="E68" s="31">
        <f>E157</f>
        <v>2311752.63</v>
      </c>
      <c r="F68" s="31">
        <f t="shared" ref="F68:P68" si="56">F157</f>
        <v>3290428.21</v>
      </c>
      <c r="G68" s="31">
        <f t="shared" si="56"/>
        <v>2689128.56</v>
      </c>
      <c r="H68" s="31">
        <f t="shared" si="56"/>
        <v>3000011.63</v>
      </c>
      <c r="I68" s="31">
        <f t="shared" si="56"/>
        <v>2876459.21</v>
      </c>
      <c r="J68" s="31">
        <f t="shared" si="56"/>
        <v>2453612.58</v>
      </c>
      <c r="K68" s="31">
        <f t="shared" si="56"/>
        <v>3175678.56</v>
      </c>
      <c r="L68" s="31">
        <f t="shared" si="56"/>
        <v>3342210.95</v>
      </c>
      <c r="M68" s="31">
        <f t="shared" si="56"/>
        <v>2826914.14</v>
      </c>
      <c r="N68" s="31">
        <f t="shared" si="56"/>
        <v>2665658.11</v>
      </c>
      <c r="O68" s="31">
        <f t="shared" si="56"/>
        <v>2668830.4899999998</v>
      </c>
      <c r="P68" s="31">
        <f t="shared" si="56"/>
        <v>2181743.36</v>
      </c>
      <c r="Q68" s="118">
        <f t="shared" ref="Q68" si="57">SUM(E68:P68)</f>
        <v>33482428.43</v>
      </c>
      <c r="R68" s="47"/>
    </row>
    <row r="69" spans="1:18" x14ac:dyDescent="0.25">
      <c r="A69" s="32">
        <v>69</v>
      </c>
      <c r="B69" s="24"/>
      <c r="C69" s="118"/>
      <c r="D69" s="118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118"/>
      <c r="R69" s="47"/>
    </row>
    <row r="70" spans="1:18" x14ac:dyDescent="0.25">
      <c r="A70" s="32">
        <v>70</v>
      </c>
      <c r="B70" s="24" t="s">
        <v>125</v>
      </c>
      <c r="C70" s="118">
        <f>C167</f>
        <v>0</v>
      </c>
      <c r="D70" s="118">
        <f>D167</f>
        <v>0</v>
      </c>
      <c r="E70" s="31">
        <f>E161</f>
        <v>7796183.4799999995</v>
      </c>
      <c r="F70" s="31">
        <f t="shared" ref="F70:P70" si="58">F161</f>
        <v>11387725.040000001</v>
      </c>
      <c r="G70" s="31">
        <f t="shared" si="58"/>
        <v>9645088.8000000007</v>
      </c>
      <c r="H70" s="31">
        <f t="shared" si="58"/>
        <v>12230180.15</v>
      </c>
      <c r="I70" s="31">
        <f t="shared" si="58"/>
        <v>11568560.199999999</v>
      </c>
      <c r="J70" s="31">
        <f t="shared" si="58"/>
        <v>11379534</v>
      </c>
      <c r="K70" s="31">
        <f t="shared" si="58"/>
        <v>9174332.4499999993</v>
      </c>
      <c r="L70" s="31">
        <f t="shared" si="58"/>
        <v>12895463.17</v>
      </c>
      <c r="M70" s="31">
        <f t="shared" si="58"/>
        <v>13982845.98</v>
      </c>
      <c r="N70" s="31">
        <f t="shared" si="58"/>
        <v>11545553.149999999</v>
      </c>
      <c r="O70" s="31">
        <f t="shared" si="58"/>
        <v>11436460.350000001</v>
      </c>
      <c r="P70" s="31">
        <f t="shared" si="58"/>
        <v>4431861.95</v>
      </c>
      <c r="Q70" s="118">
        <f t="shared" ref="Q70:Q74" si="59">SUM(E70:P70)</f>
        <v>127473788.72000001</v>
      </c>
      <c r="R70" s="47"/>
    </row>
    <row r="71" spans="1:18" x14ac:dyDescent="0.25">
      <c r="A71" s="32">
        <v>71</v>
      </c>
      <c r="B71" s="119"/>
      <c r="C71" s="120"/>
      <c r="D71" s="120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120"/>
      <c r="R71" s="47"/>
    </row>
    <row r="72" spans="1:18" x14ac:dyDescent="0.25">
      <c r="A72" s="32">
        <v>72</v>
      </c>
      <c r="B72" s="119" t="s">
        <v>126</v>
      </c>
      <c r="C72" s="120"/>
      <c r="D72" s="120"/>
      <c r="E72" s="31">
        <f>E165</f>
        <v>1301626.08</v>
      </c>
      <c r="F72" s="31">
        <f t="shared" ref="F72:P72" si="60">F165</f>
        <v>1606088.04</v>
      </c>
      <c r="G72" s="31">
        <f t="shared" si="60"/>
        <v>2131513.35</v>
      </c>
      <c r="H72" s="31">
        <f t="shared" si="60"/>
        <v>1804199.52</v>
      </c>
      <c r="I72" s="31">
        <f t="shared" si="60"/>
        <v>1445493.85</v>
      </c>
      <c r="J72" s="31">
        <f t="shared" si="60"/>
        <v>1187515.3600000001</v>
      </c>
      <c r="K72" s="31">
        <f t="shared" si="60"/>
        <v>2193010.13</v>
      </c>
      <c r="L72" s="31">
        <f t="shared" si="60"/>
        <v>1809442.14</v>
      </c>
      <c r="M72" s="31">
        <f t="shared" si="60"/>
        <v>1934704.4</v>
      </c>
      <c r="N72" s="31">
        <f t="shared" si="60"/>
        <v>1292345.1100000001</v>
      </c>
      <c r="O72" s="31">
        <f t="shared" si="60"/>
        <v>1151752.24</v>
      </c>
      <c r="P72" s="31">
        <f t="shared" si="60"/>
        <v>1487418.93</v>
      </c>
      <c r="Q72" s="118">
        <f t="shared" si="59"/>
        <v>19345109.149999999</v>
      </c>
      <c r="R72" s="47"/>
    </row>
    <row r="73" spans="1:18" x14ac:dyDescent="0.25">
      <c r="A73" s="32">
        <v>73</v>
      </c>
      <c r="B73" s="119"/>
      <c r="C73" s="120"/>
      <c r="D73" s="120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120"/>
      <c r="R73" s="47"/>
    </row>
    <row r="74" spans="1:18" x14ac:dyDescent="0.25">
      <c r="A74" s="32">
        <v>74</v>
      </c>
      <c r="B74" s="119" t="s">
        <v>2</v>
      </c>
      <c r="C74" s="120"/>
      <c r="D74" s="120"/>
      <c r="E74" s="31">
        <f>E202</f>
        <v>146199.39000000001</v>
      </c>
      <c r="F74" s="31">
        <f t="shared" ref="F74:P74" si="61">F202</f>
        <v>151454.82</v>
      </c>
      <c r="G74" s="31">
        <f t="shared" si="61"/>
        <v>153088.70000000001</v>
      </c>
      <c r="H74" s="31">
        <f t="shared" si="61"/>
        <v>160733.70000000001</v>
      </c>
      <c r="I74" s="31">
        <f t="shared" si="61"/>
        <v>160437.45000000001</v>
      </c>
      <c r="J74" s="31">
        <f t="shared" si="61"/>
        <v>151166.76</v>
      </c>
      <c r="K74" s="31">
        <f t="shared" si="61"/>
        <v>163194.64000000001</v>
      </c>
      <c r="L74" s="31">
        <f t="shared" si="61"/>
        <v>185381.39</v>
      </c>
      <c r="M74" s="31">
        <f t="shared" si="61"/>
        <v>185479.32</v>
      </c>
      <c r="N74" s="31">
        <f t="shared" si="61"/>
        <v>177446.02</v>
      </c>
      <c r="O74" s="31">
        <f t="shared" si="61"/>
        <v>175646.74</v>
      </c>
      <c r="P74" s="31">
        <f t="shared" si="61"/>
        <v>121615.27</v>
      </c>
      <c r="Q74" s="118">
        <f t="shared" si="59"/>
        <v>1931844.2000000002</v>
      </c>
      <c r="R74" s="47"/>
    </row>
    <row r="75" spans="1:18" x14ac:dyDescent="0.25">
      <c r="A75" s="32">
        <v>75</v>
      </c>
      <c r="B75" s="119"/>
      <c r="C75" s="120"/>
      <c r="D75" s="120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120"/>
      <c r="R75" s="47"/>
    </row>
    <row r="76" spans="1:18" x14ac:dyDescent="0.25">
      <c r="A76" s="32">
        <v>76</v>
      </c>
      <c r="B76" s="84" t="s">
        <v>1</v>
      </c>
      <c r="C76" s="118" t="e">
        <f>SUM(C10:C70)</f>
        <v>#REF!</v>
      </c>
      <c r="D76" s="118" t="e">
        <f t="shared" ref="D76" si="62">SUM(D10:D70)</f>
        <v>#REF!</v>
      </c>
      <c r="E76" s="31">
        <f>E167</f>
        <v>17493.39</v>
      </c>
      <c r="F76" s="31">
        <f t="shared" ref="F76:P76" si="63">F167</f>
        <v>22933.93</v>
      </c>
      <c r="G76" s="31">
        <f t="shared" si="63"/>
        <v>25780.46</v>
      </c>
      <c r="H76" s="31">
        <f t="shared" si="63"/>
        <v>22038.89</v>
      </c>
      <c r="I76" s="31">
        <f t="shared" si="63"/>
        <v>20404.900000000001</v>
      </c>
      <c r="J76" s="31">
        <f t="shared" si="63"/>
        <v>19108.84</v>
      </c>
      <c r="K76" s="31">
        <f t="shared" si="63"/>
        <v>26399.96</v>
      </c>
      <c r="L76" s="31">
        <f t="shared" si="63"/>
        <v>23353.9</v>
      </c>
      <c r="M76" s="31">
        <f t="shared" si="63"/>
        <v>22977.200000000001</v>
      </c>
      <c r="N76" s="31">
        <f t="shared" si="63"/>
        <v>19147.54</v>
      </c>
      <c r="O76" s="31">
        <f t="shared" si="63"/>
        <v>15201.7</v>
      </c>
      <c r="P76" s="31">
        <f t="shared" si="63"/>
        <v>16819.37</v>
      </c>
      <c r="Q76" s="118">
        <f>SUM(E76:P76)</f>
        <v>251660.08000000002</v>
      </c>
      <c r="R76" s="47"/>
    </row>
    <row r="77" spans="1:18" x14ac:dyDescent="0.25">
      <c r="A77" s="32"/>
      <c r="B77" s="32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</row>
    <row r="78" spans="1:18" ht="15.75" thickBot="1" x14ac:dyDescent="0.3">
      <c r="A78" s="32"/>
      <c r="B78" s="121" t="s">
        <v>257</v>
      </c>
      <c r="C78" s="48"/>
      <c r="D78" s="48"/>
      <c r="E78" s="48">
        <f>SUM(E10:E76)-E17</f>
        <v>48580067.910000004</v>
      </c>
      <c r="F78" s="48">
        <f t="shared" ref="F78:P78" si="64">SUM(F10:F76)-F17</f>
        <v>55436647.569999993</v>
      </c>
      <c r="G78" s="48">
        <f t="shared" si="64"/>
        <v>59035036.49000001</v>
      </c>
      <c r="H78" s="48">
        <f t="shared" si="64"/>
        <v>65771536.530000009</v>
      </c>
      <c r="I78" s="48">
        <f t="shared" si="64"/>
        <v>62339370.57</v>
      </c>
      <c r="J78" s="48">
        <f t="shared" si="64"/>
        <v>51571224.810000002</v>
      </c>
      <c r="K78" s="48">
        <f t="shared" si="64"/>
        <v>55360985.900000006</v>
      </c>
      <c r="L78" s="48">
        <f t="shared" si="64"/>
        <v>66911206.290000021</v>
      </c>
      <c r="M78" s="48">
        <f t="shared" si="64"/>
        <v>71730884.11999999</v>
      </c>
      <c r="N78" s="48">
        <f t="shared" si="64"/>
        <v>67064207.159999996</v>
      </c>
      <c r="O78" s="48">
        <f t="shared" si="64"/>
        <v>51827799.609999999</v>
      </c>
      <c r="P78" s="48">
        <f t="shared" si="64"/>
        <v>38373559.259999998</v>
      </c>
      <c r="Q78" s="122">
        <f t="shared" ref="Q78:Q80" si="65">SUM(E78:P78)</f>
        <v>694002526.22000003</v>
      </c>
      <c r="R78" s="47"/>
    </row>
    <row r="79" spans="1:18" x14ac:dyDescent="0.25">
      <c r="A79" s="32"/>
      <c r="B79" s="32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118">
        <f t="shared" si="65"/>
        <v>0</v>
      </c>
      <c r="R79" s="47"/>
    </row>
    <row r="80" spans="1:18" x14ac:dyDescent="0.25">
      <c r="A80" s="32"/>
      <c r="B80" s="47" t="s">
        <v>258</v>
      </c>
      <c r="C80" s="47"/>
      <c r="E80" s="47">
        <v>48580067.909999996</v>
      </c>
      <c r="F80" s="47">
        <v>55436647.57</v>
      </c>
      <c r="G80" s="47">
        <v>59035036.49000001</v>
      </c>
      <c r="H80" s="47">
        <v>65771536.530000009</v>
      </c>
      <c r="I80" s="47">
        <v>62339370.57</v>
      </c>
      <c r="J80" s="47">
        <v>51571224.810000002</v>
      </c>
      <c r="K80" s="47">
        <v>55360985.900000006</v>
      </c>
      <c r="L80" s="47">
        <v>66911206.290000007</v>
      </c>
      <c r="M80" s="47">
        <v>71730884.11999999</v>
      </c>
      <c r="N80" s="47"/>
      <c r="O80" s="47"/>
      <c r="P80" s="47"/>
      <c r="Q80" s="118">
        <f t="shared" si="65"/>
        <v>536736960.19</v>
      </c>
      <c r="R80" s="47"/>
    </row>
    <row r="81" spans="1:18" x14ac:dyDescent="0.25">
      <c r="A81" s="32"/>
      <c r="B81" s="33"/>
      <c r="C81" s="32"/>
      <c r="D81" s="32"/>
      <c r="E81" s="47">
        <f>E78-E80</f>
        <v>0</v>
      </c>
      <c r="F81" s="47">
        <f t="shared" ref="F81:P81" si="66">F78-F80</f>
        <v>0</v>
      </c>
      <c r="G81" s="47">
        <f t="shared" si="66"/>
        <v>0</v>
      </c>
      <c r="H81" s="47">
        <f t="shared" si="66"/>
        <v>0</v>
      </c>
      <c r="I81" s="47">
        <f t="shared" si="66"/>
        <v>0</v>
      </c>
      <c r="J81" s="47">
        <f t="shared" si="66"/>
        <v>0</v>
      </c>
      <c r="K81" s="47">
        <f t="shared" si="66"/>
        <v>0</v>
      </c>
      <c r="L81" s="47">
        <f t="shared" si="66"/>
        <v>0</v>
      </c>
      <c r="M81" s="47">
        <f t="shared" si="66"/>
        <v>0</v>
      </c>
      <c r="N81" s="47">
        <f t="shared" si="66"/>
        <v>67064207.159999996</v>
      </c>
      <c r="O81" s="47">
        <f t="shared" si="66"/>
        <v>51827799.609999999</v>
      </c>
      <c r="P81" s="47">
        <f t="shared" si="66"/>
        <v>38373559.259999998</v>
      </c>
      <c r="Q81" s="32"/>
      <c r="R81" s="32"/>
    </row>
    <row r="82" spans="1:18" x14ac:dyDescent="0.25">
      <c r="A82" s="32"/>
      <c r="B82" s="33" t="s">
        <v>22</v>
      </c>
      <c r="C82" s="80"/>
      <c r="D82" s="80"/>
      <c r="E82" s="80" t="s">
        <v>109</v>
      </c>
      <c r="F82" s="80" t="s">
        <v>110</v>
      </c>
      <c r="G82" s="80" t="s">
        <v>111</v>
      </c>
      <c r="H82" s="80" t="s">
        <v>112</v>
      </c>
      <c r="I82" s="80" t="s">
        <v>113</v>
      </c>
      <c r="J82" s="80" t="s">
        <v>114</v>
      </c>
      <c r="K82" s="80" t="s">
        <v>115</v>
      </c>
      <c r="L82" s="80" t="s">
        <v>116</v>
      </c>
      <c r="M82" s="80" t="s">
        <v>117</v>
      </c>
      <c r="N82" s="80" t="s">
        <v>106</v>
      </c>
      <c r="O82" s="80" t="s">
        <v>107</v>
      </c>
      <c r="P82" s="80" t="s">
        <v>108</v>
      </c>
      <c r="Q82" s="32"/>
      <c r="R82" s="32"/>
    </row>
    <row r="83" spans="1:18" x14ac:dyDescent="0.25">
      <c r="A83" s="32"/>
      <c r="B83" s="86">
        <v>2023</v>
      </c>
      <c r="C83" s="32"/>
      <c r="D83" s="32"/>
      <c r="Q83" s="32"/>
      <c r="R83" s="32"/>
    </row>
    <row r="84" spans="1:18" x14ac:dyDescent="0.25">
      <c r="A84" s="32">
        <v>11</v>
      </c>
      <c r="B84" s="33" t="s">
        <v>23</v>
      </c>
      <c r="C84" s="31"/>
      <c r="D84" s="31"/>
      <c r="E84" s="32">
        <v>25814.11</v>
      </c>
      <c r="F84" s="32">
        <v>21977.94</v>
      </c>
      <c r="G84" s="32">
        <v>30135.33</v>
      </c>
      <c r="H84" s="32">
        <v>32887.65</v>
      </c>
      <c r="I84" s="32">
        <v>29685.07</v>
      </c>
      <c r="J84" s="32">
        <v>22389.64</v>
      </c>
      <c r="K84" s="32">
        <v>22828.6</v>
      </c>
      <c r="L84" s="32">
        <v>29393.51</v>
      </c>
      <c r="M84" s="32">
        <v>36649.72</v>
      </c>
      <c r="N84" s="32">
        <v>36031.599999999999</v>
      </c>
      <c r="O84" s="32">
        <v>23793.119999999999</v>
      </c>
      <c r="P84" s="32">
        <v>17620.34</v>
      </c>
      <c r="Q84" s="32">
        <v>329206.63</v>
      </c>
      <c r="R84" s="32"/>
    </row>
    <row r="85" spans="1:18" x14ac:dyDescent="0.25">
      <c r="A85" s="32">
        <v>12</v>
      </c>
      <c r="B85" s="33" t="s">
        <v>24</v>
      </c>
      <c r="C85" s="31"/>
      <c r="D85" s="31"/>
      <c r="E85" s="31">
        <v>2555.9299999999998</v>
      </c>
      <c r="F85" s="31">
        <v>2021.66</v>
      </c>
      <c r="G85" s="31">
        <v>2458.42</v>
      </c>
      <c r="H85" s="31">
        <v>3128.58</v>
      </c>
      <c r="I85" s="31">
        <v>2573.58</v>
      </c>
      <c r="J85" s="31">
        <v>2020.16</v>
      </c>
      <c r="K85" s="31">
        <v>1793.29</v>
      </c>
      <c r="L85" s="31">
        <v>2501.8200000000002</v>
      </c>
      <c r="M85" s="31">
        <v>3267.44</v>
      </c>
      <c r="N85" s="31">
        <v>3020.6</v>
      </c>
      <c r="O85" s="31">
        <v>2178.4699999999998</v>
      </c>
      <c r="P85" s="31">
        <v>1459.43</v>
      </c>
      <c r="Q85" s="32">
        <v>28979.379999999997</v>
      </c>
      <c r="R85" s="32"/>
    </row>
    <row r="86" spans="1:18" x14ac:dyDescent="0.25">
      <c r="A86" s="32">
        <v>13</v>
      </c>
      <c r="B86" s="33" t="s">
        <v>25</v>
      </c>
      <c r="C86" s="31"/>
      <c r="D86" s="31"/>
      <c r="E86" s="31">
        <v>203.06</v>
      </c>
      <c r="F86" s="31">
        <v>229</v>
      </c>
      <c r="G86" s="31">
        <v>264.13</v>
      </c>
      <c r="H86" s="31">
        <v>281.19</v>
      </c>
      <c r="I86" s="31">
        <v>285.19</v>
      </c>
      <c r="J86" s="31">
        <v>200.71</v>
      </c>
      <c r="K86" s="31">
        <v>204.74</v>
      </c>
      <c r="L86" s="31">
        <v>240.1</v>
      </c>
      <c r="M86" s="31">
        <v>256.87</v>
      </c>
      <c r="N86" s="31">
        <v>209.57</v>
      </c>
      <c r="O86" s="31">
        <v>156.93</v>
      </c>
      <c r="P86" s="31">
        <v>112.3</v>
      </c>
      <c r="Q86" s="32">
        <v>2643.7900000000004</v>
      </c>
      <c r="R86" s="32"/>
    </row>
    <row r="87" spans="1:18" x14ac:dyDescent="0.25">
      <c r="A87" s="32">
        <v>14</v>
      </c>
      <c r="B87" s="33" t="s">
        <v>200</v>
      </c>
      <c r="C87" s="31"/>
      <c r="D87" s="31"/>
      <c r="E87" s="31">
        <v>2371.85</v>
      </c>
      <c r="F87" s="31">
        <v>2364.39</v>
      </c>
      <c r="G87" s="31">
        <v>2884.73</v>
      </c>
      <c r="H87" s="31">
        <v>3639.12</v>
      </c>
      <c r="I87" s="31">
        <v>3367.41</v>
      </c>
      <c r="J87" s="31">
        <v>2253.89</v>
      </c>
      <c r="K87" s="31">
        <v>2091.9699999999998</v>
      </c>
      <c r="L87" s="31">
        <v>2779.47</v>
      </c>
      <c r="M87" s="31">
        <v>2513.8000000000002</v>
      </c>
      <c r="N87" s="31">
        <v>3183.56</v>
      </c>
      <c r="O87" s="31">
        <v>2026.17</v>
      </c>
      <c r="P87" s="31">
        <v>1697.6</v>
      </c>
      <c r="Q87" s="32">
        <v>31173.96</v>
      </c>
      <c r="R87" s="32"/>
    </row>
    <row r="88" spans="1:18" x14ac:dyDescent="0.25">
      <c r="A88" s="32">
        <v>15</v>
      </c>
      <c r="B88" s="33" t="s">
        <v>26</v>
      </c>
      <c r="C88" s="31"/>
      <c r="D88" s="31"/>
      <c r="E88" s="31">
        <v>10204161.050000001</v>
      </c>
      <c r="F88" s="31">
        <v>10118269.18</v>
      </c>
      <c r="G88" s="31">
        <v>12847042.18</v>
      </c>
      <c r="H88" s="31">
        <v>14809638.310000001</v>
      </c>
      <c r="I88" s="31">
        <v>13738560.33</v>
      </c>
      <c r="J88" s="31">
        <v>10068777.23</v>
      </c>
      <c r="K88" s="31">
        <v>10447231.93</v>
      </c>
      <c r="L88" s="31">
        <v>12919933.42</v>
      </c>
      <c r="M88" s="31">
        <v>14433399.48</v>
      </c>
      <c r="N88" s="31">
        <v>14411408.289999999</v>
      </c>
      <c r="O88" s="31">
        <v>9484003.75</v>
      </c>
      <c r="P88" s="31">
        <v>7503679.2699999996</v>
      </c>
      <c r="Q88" s="32">
        <v>140986104.42000002</v>
      </c>
      <c r="R88" s="32"/>
    </row>
    <row r="89" spans="1:18" x14ac:dyDescent="0.25">
      <c r="A89" s="32">
        <v>17</v>
      </c>
      <c r="B89" s="33" t="s">
        <v>27</v>
      </c>
      <c r="C89" s="31"/>
      <c r="D89" s="31"/>
      <c r="E89" s="31">
        <v>59890.59</v>
      </c>
      <c r="F89" s="31">
        <v>55196.22</v>
      </c>
      <c r="G89" s="31">
        <v>70020.75</v>
      </c>
      <c r="H89" s="31">
        <v>81394.19</v>
      </c>
      <c r="I89" s="31">
        <v>74309.55</v>
      </c>
      <c r="J89" s="31">
        <v>53067.55</v>
      </c>
      <c r="K89" s="31">
        <v>55646.49</v>
      </c>
      <c r="L89" s="31">
        <v>73243.19</v>
      </c>
      <c r="M89" s="31">
        <v>84807.05</v>
      </c>
      <c r="N89" s="31">
        <v>86257.76</v>
      </c>
      <c r="O89" s="31">
        <v>52989.599999999999</v>
      </c>
      <c r="P89" s="31">
        <v>39084.379999999997</v>
      </c>
      <c r="Q89" s="32">
        <v>785907.32</v>
      </c>
      <c r="R89" s="32"/>
    </row>
    <row r="90" spans="1:18" x14ac:dyDescent="0.25">
      <c r="A90" s="32">
        <v>22</v>
      </c>
      <c r="B90" s="58" t="s">
        <v>28</v>
      </c>
      <c r="C90" s="88"/>
      <c r="D90" s="88"/>
      <c r="E90" s="88">
        <v>12159171.24</v>
      </c>
      <c r="F90" s="88">
        <v>10839602.48</v>
      </c>
      <c r="G90" s="88">
        <v>12743002.73</v>
      </c>
      <c r="H90" s="88">
        <v>14934771.35</v>
      </c>
      <c r="I90" s="88">
        <v>13902226.470000001</v>
      </c>
      <c r="J90" s="88">
        <v>10266649.119999999</v>
      </c>
      <c r="K90" s="88">
        <v>11487274.779999999</v>
      </c>
      <c r="L90" s="88">
        <v>15731960.550000001</v>
      </c>
      <c r="M90" s="88">
        <v>18081467.850000001</v>
      </c>
      <c r="N90" s="88">
        <v>18358054.379999999</v>
      </c>
      <c r="O90" s="88">
        <v>11596371.35</v>
      </c>
      <c r="P90" s="88">
        <v>8808164.3599999994</v>
      </c>
      <c r="Q90" s="32">
        <v>158908716.65999997</v>
      </c>
      <c r="R90" s="32"/>
    </row>
    <row r="91" spans="1:18" x14ac:dyDescent="0.25">
      <c r="A91" s="32"/>
      <c r="B91" s="33" t="s">
        <v>21</v>
      </c>
      <c r="C91" s="31">
        <f t="shared" ref="C91:D91" si="67">SUM(C84:C90)</f>
        <v>0</v>
      </c>
      <c r="D91" s="31">
        <f t="shared" si="67"/>
        <v>0</v>
      </c>
      <c r="E91" s="31">
        <v>22454167.829999998</v>
      </c>
      <c r="F91" s="31">
        <v>21039660.870000001</v>
      </c>
      <c r="G91" s="31">
        <v>25695808.27</v>
      </c>
      <c r="H91" s="31">
        <v>29865740.390000001</v>
      </c>
      <c r="I91" s="31">
        <v>27751007.600000001</v>
      </c>
      <c r="J91" s="31">
        <v>20415358.300000001</v>
      </c>
      <c r="K91" s="31">
        <v>22017071.799999997</v>
      </c>
      <c r="L91" s="31">
        <v>28760052.060000002</v>
      </c>
      <c r="M91" s="31">
        <v>32642362.210000001</v>
      </c>
      <c r="N91" s="31">
        <v>32898165.759999998</v>
      </c>
      <c r="O91" s="31">
        <v>21161519.390000001</v>
      </c>
      <c r="P91" s="31">
        <v>16371817.68</v>
      </c>
      <c r="Q91" s="31">
        <v>301072732.16000003</v>
      </c>
      <c r="R91" s="32"/>
    </row>
    <row r="92" spans="1:18" x14ac:dyDescent="0.25">
      <c r="A92" s="32"/>
      <c r="B92" s="33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</row>
    <row r="93" spans="1:18" x14ac:dyDescent="0.25">
      <c r="A93" s="32">
        <v>28</v>
      </c>
      <c r="B93" s="33" t="s">
        <v>29</v>
      </c>
      <c r="C93" s="31"/>
      <c r="D93" s="31"/>
      <c r="E93" s="31">
        <v>1252.3399999999999</v>
      </c>
      <c r="F93" s="31">
        <v>1219.6400000000001</v>
      </c>
      <c r="G93" s="31">
        <v>1711.81</v>
      </c>
      <c r="H93" s="31">
        <v>1850.98</v>
      </c>
      <c r="I93" s="31">
        <v>1556.73</v>
      </c>
      <c r="J93" s="31">
        <v>1801.39</v>
      </c>
      <c r="K93" s="31">
        <v>1469.96</v>
      </c>
      <c r="L93" s="31">
        <v>1337.74</v>
      </c>
      <c r="M93" s="31">
        <v>1772.03</v>
      </c>
      <c r="N93" s="31">
        <v>2399.0500000000002</v>
      </c>
      <c r="O93" s="31">
        <v>1358.64</v>
      </c>
      <c r="P93" s="31">
        <v>748.96</v>
      </c>
      <c r="Q93" s="32">
        <v>18479.269999999997</v>
      </c>
      <c r="R93" s="32"/>
    </row>
    <row r="94" spans="1:18" x14ac:dyDescent="0.25">
      <c r="A94" s="32">
        <v>30</v>
      </c>
      <c r="B94" s="33" t="s">
        <v>30</v>
      </c>
      <c r="C94" s="31"/>
      <c r="D94" s="31"/>
      <c r="E94" s="31">
        <v>13451.75</v>
      </c>
      <c r="F94" s="31">
        <v>13768.13</v>
      </c>
      <c r="G94" s="31">
        <v>16478.490000000002</v>
      </c>
      <c r="H94" s="31">
        <v>19821.080000000002</v>
      </c>
      <c r="I94" s="31">
        <v>18030.77</v>
      </c>
      <c r="J94" s="31">
        <v>14411.58</v>
      </c>
      <c r="K94" s="31">
        <v>13514.86</v>
      </c>
      <c r="L94" s="31">
        <v>17104.03</v>
      </c>
      <c r="M94" s="31">
        <v>22074.48</v>
      </c>
      <c r="N94" s="31">
        <v>25943</v>
      </c>
      <c r="O94" s="31">
        <v>11665.6</v>
      </c>
      <c r="P94" s="31">
        <v>10149.51</v>
      </c>
      <c r="Q94" s="32">
        <v>196413.28000000003</v>
      </c>
      <c r="R94" s="32"/>
    </row>
    <row r="95" spans="1:18" x14ac:dyDescent="0.25">
      <c r="A95" s="32">
        <v>32</v>
      </c>
      <c r="B95" s="33" t="s">
        <v>31</v>
      </c>
      <c r="C95" s="31"/>
      <c r="D95" s="31"/>
      <c r="E95" s="31">
        <v>15747.01</v>
      </c>
      <c r="F95" s="31">
        <v>13957.79</v>
      </c>
      <c r="G95" s="31">
        <v>18132.169999999998</v>
      </c>
      <c r="H95" s="31">
        <v>22205.16</v>
      </c>
      <c r="I95" s="31">
        <v>19661.740000000002</v>
      </c>
      <c r="J95" s="31">
        <v>15213.18</v>
      </c>
      <c r="K95" s="31">
        <v>14611.85</v>
      </c>
      <c r="L95" s="31">
        <v>19320</v>
      </c>
      <c r="M95" s="31">
        <v>25969.86</v>
      </c>
      <c r="N95" s="31">
        <v>26456.69</v>
      </c>
      <c r="O95" s="31">
        <v>15674.74</v>
      </c>
      <c r="P95" s="31">
        <v>10135.01</v>
      </c>
      <c r="Q95" s="32">
        <v>217085.2</v>
      </c>
      <c r="R95" s="32"/>
    </row>
    <row r="96" spans="1:18" x14ac:dyDescent="0.25">
      <c r="A96" s="32">
        <v>34</v>
      </c>
      <c r="B96" s="25" t="s">
        <v>32</v>
      </c>
      <c r="C96" s="25"/>
      <c r="D96" s="25"/>
      <c r="E96" s="25">
        <v>118.76</v>
      </c>
      <c r="F96" s="25">
        <v>102.82</v>
      </c>
      <c r="G96" s="25">
        <v>96.53</v>
      </c>
      <c r="H96" s="25">
        <v>101.54</v>
      </c>
      <c r="I96" s="25">
        <v>64.569999999999993</v>
      </c>
      <c r="J96" s="25">
        <v>91.18</v>
      </c>
      <c r="K96" s="25">
        <v>239.38</v>
      </c>
      <c r="L96" s="25">
        <v>200.29</v>
      </c>
      <c r="M96" s="25">
        <v>219.22</v>
      </c>
      <c r="N96" s="25">
        <v>138.41</v>
      </c>
      <c r="O96" s="89">
        <v>146.53</v>
      </c>
      <c r="P96" s="88">
        <v>93.46</v>
      </c>
      <c r="Q96" s="32">
        <v>1612.69</v>
      </c>
      <c r="R96" s="32"/>
    </row>
    <row r="97" spans="1:18" x14ac:dyDescent="0.25">
      <c r="A97" s="32"/>
      <c r="B97" s="33" t="s">
        <v>20</v>
      </c>
      <c r="C97" s="31">
        <f>SUM(C93:C96)</f>
        <v>0</v>
      </c>
      <c r="D97" s="31">
        <f t="shared" ref="D97" si="68">SUM(D93:D96)</f>
        <v>0</v>
      </c>
      <c r="E97" s="31">
        <v>30569.859999999997</v>
      </c>
      <c r="F97" s="31">
        <v>29048.379999999997</v>
      </c>
      <c r="G97" s="31">
        <v>36419</v>
      </c>
      <c r="H97" s="31">
        <v>43978.76</v>
      </c>
      <c r="I97" s="31">
        <v>39313.810000000005</v>
      </c>
      <c r="J97" s="31">
        <v>31517.33</v>
      </c>
      <c r="K97" s="31">
        <v>29836.05</v>
      </c>
      <c r="L97" s="31">
        <v>37962.060000000005</v>
      </c>
      <c r="M97" s="31">
        <v>50035.59</v>
      </c>
      <c r="N97" s="31">
        <v>54937.15</v>
      </c>
      <c r="O97" s="31">
        <v>28845.51</v>
      </c>
      <c r="P97" s="31">
        <v>21126.940000000002</v>
      </c>
      <c r="Q97" s="31">
        <v>433590.44</v>
      </c>
      <c r="R97" s="32"/>
    </row>
    <row r="98" spans="1:18" x14ac:dyDescent="0.25">
      <c r="A98" s="32"/>
      <c r="B98" s="33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</row>
    <row r="99" spans="1:18" x14ac:dyDescent="0.25">
      <c r="A99" s="32">
        <v>36</v>
      </c>
      <c r="B99" s="42" t="s">
        <v>33</v>
      </c>
      <c r="C99" s="31"/>
      <c r="D99" s="31"/>
      <c r="E99" s="31">
        <v>897.23</v>
      </c>
      <c r="F99" s="31">
        <v>868.01</v>
      </c>
      <c r="G99" s="31">
        <v>1165.21</v>
      </c>
      <c r="H99" s="31">
        <v>1357.81</v>
      </c>
      <c r="I99" s="31">
        <v>1493.43</v>
      </c>
      <c r="J99" s="31">
        <v>1270.52</v>
      </c>
      <c r="K99" s="31">
        <v>1382.24</v>
      </c>
      <c r="L99" s="31">
        <v>936.1</v>
      </c>
      <c r="M99" s="31">
        <v>2351.17</v>
      </c>
      <c r="N99" s="31">
        <v>2547.92</v>
      </c>
      <c r="O99" s="31">
        <v>1414.19</v>
      </c>
      <c r="P99" s="31">
        <v>1004.42</v>
      </c>
      <c r="Q99" s="31">
        <v>16688.25</v>
      </c>
      <c r="R99" s="32"/>
    </row>
    <row r="100" spans="1:18" x14ac:dyDescent="0.25">
      <c r="A100" s="32"/>
      <c r="B100" s="4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</row>
    <row r="101" spans="1:18" x14ac:dyDescent="0.25">
      <c r="A101" s="32">
        <v>211</v>
      </c>
      <c r="B101" s="33" t="s">
        <v>35</v>
      </c>
      <c r="C101" s="32"/>
      <c r="D101" s="32"/>
      <c r="E101" s="32">
        <v>2001897.5</v>
      </c>
      <c r="F101" s="32">
        <v>2332865.81</v>
      </c>
      <c r="G101" s="32">
        <v>2480694.7999999998</v>
      </c>
      <c r="H101" s="32">
        <v>2604538.09</v>
      </c>
      <c r="I101" s="32">
        <v>2521441.91</v>
      </c>
      <c r="J101" s="32">
        <v>2132023.96</v>
      </c>
      <c r="K101" s="32">
        <v>2401879.06</v>
      </c>
      <c r="L101" s="32">
        <v>2700906.36</v>
      </c>
      <c r="M101" s="32">
        <v>2999621.44</v>
      </c>
      <c r="N101" s="32">
        <v>2868119.17</v>
      </c>
      <c r="O101" s="32">
        <v>2209851.06</v>
      </c>
      <c r="P101" s="32">
        <v>2082182.05</v>
      </c>
      <c r="Q101" s="32">
        <v>29336021.210000001</v>
      </c>
      <c r="R101" s="32"/>
    </row>
    <row r="102" spans="1:18" x14ac:dyDescent="0.25">
      <c r="A102" s="32"/>
      <c r="B102" s="4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</row>
    <row r="103" spans="1:18" x14ac:dyDescent="0.25">
      <c r="A103" s="45">
        <v>225</v>
      </c>
      <c r="B103" s="45" t="s">
        <v>226</v>
      </c>
      <c r="C103" s="31">
        <v>0</v>
      </c>
      <c r="D103" s="31">
        <v>0</v>
      </c>
      <c r="E103" s="31">
        <v>11228.94</v>
      </c>
      <c r="F103" s="31">
        <v>12563.5</v>
      </c>
      <c r="G103" s="31">
        <v>13086.61</v>
      </c>
      <c r="H103" s="31">
        <v>12091.28</v>
      </c>
      <c r="I103" s="31">
        <v>11271.13</v>
      </c>
      <c r="J103" s="31">
        <v>10561.3</v>
      </c>
      <c r="K103" s="31">
        <v>12074.09</v>
      </c>
      <c r="L103" s="31">
        <v>14319.59</v>
      </c>
      <c r="M103" s="31">
        <v>13080.06</v>
      </c>
      <c r="N103" s="31">
        <v>12070.12</v>
      </c>
      <c r="O103" s="31">
        <v>10453.76</v>
      </c>
      <c r="P103" s="31">
        <v>9422.25</v>
      </c>
      <c r="Q103" s="31">
        <v>142222.62999999998</v>
      </c>
      <c r="R103" s="32"/>
    </row>
    <row r="104" spans="1:18" x14ac:dyDescent="0.25">
      <c r="A104" s="32"/>
      <c r="B104" s="33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</row>
    <row r="105" spans="1:18" x14ac:dyDescent="0.25">
      <c r="A105" s="45">
        <v>227</v>
      </c>
      <c r="B105" s="45" t="s">
        <v>228</v>
      </c>
      <c r="C105" s="32"/>
      <c r="D105" s="32"/>
      <c r="E105" s="32">
        <v>112700.3</v>
      </c>
      <c r="F105" s="32">
        <v>132682.38</v>
      </c>
      <c r="G105" s="32">
        <v>158319.79999999999</v>
      </c>
      <c r="H105" s="32">
        <v>135496.5</v>
      </c>
      <c r="I105" s="32">
        <v>134514.01999999999</v>
      </c>
      <c r="J105" s="32">
        <v>117633.19</v>
      </c>
      <c r="K105" s="32">
        <v>128620.52</v>
      </c>
      <c r="L105" s="32">
        <v>143336.49</v>
      </c>
      <c r="M105" s="32">
        <v>136560.66</v>
      </c>
      <c r="N105" s="32">
        <v>113612.21</v>
      </c>
      <c r="O105" s="32">
        <v>96508.33</v>
      </c>
      <c r="P105" s="32">
        <v>104000.74</v>
      </c>
      <c r="Q105" s="32">
        <v>1513985.14</v>
      </c>
      <c r="R105" s="32"/>
    </row>
    <row r="106" spans="1:18" x14ac:dyDescent="0.25">
      <c r="A106" s="32"/>
      <c r="B106" s="33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</row>
    <row r="107" spans="1:18" x14ac:dyDescent="0.25">
      <c r="A107" s="46">
        <v>204</v>
      </c>
      <c r="B107" s="46" t="s">
        <v>229</v>
      </c>
      <c r="C107" s="31"/>
      <c r="D107" s="31"/>
      <c r="E107" s="31">
        <v>15953.66</v>
      </c>
      <c r="F107" s="31">
        <v>22657.06</v>
      </c>
      <c r="G107" s="31">
        <v>17770.38</v>
      </c>
      <c r="H107" s="31">
        <v>17799.150000000001</v>
      </c>
      <c r="I107" s="31">
        <v>16921.36</v>
      </c>
      <c r="J107" s="31">
        <v>16407.59</v>
      </c>
      <c r="K107" s="31">
        <v>21378.639999999999</v>
      </c>
      <c r="L107" s="31">
        <v>21655.15</v>
      </c>
      <c r="M107" s="31">
        <v>17589.240000000002</v>
      </c>
      <c r="N107" s="31">
        <v>15074.3</v>
      </c>
      <c r="O107" s="31">
        <v>14647.15</v>
      </c>
      <c r="P107" s="31">
        <v>14828.57</v>
      </c>
      <c r="Q107" s="32">
        <v>212682.24999999997</v>
      </c>
      <c r="R107" s="32"/>
    </row>
    <row r="108" spans="1:18" x14ac:dyDescent="0.25">
      <c r="A108" s="32">
        <v>213</v>
      </c>
      <c r="B108" s="25" t="s">
        <v>230</v>
      </c>
      <c r="C108" s="25"/>
      <c r="D108" s="25"/>
      <c r="E108" s="25">
        <v>38792.29</v>
      </c>
      <c r="F108" s="25">
        <v>46423.89</v>
      </c>
      <c r="G108" s="25">
        <v>42442.720000000001</v>
      </c>
      <c r="H108" s="25">
        <v>41523.879999999997</v>
      </c>
      <c r="I108" s="25">
        <v>41447.47</v>
      </c>
      <c r="J108" s="25">
        <v>36195.86</v>
      </c>
      <c r="K108" s="25">
        <v>49071.18</v>
      </c>
      <c r="L108" s="25">
        <v>52118.87</v>
      </c>
      <c r="M108" s="25">
        <v>54638.64</v>
      </c>
      <c r="N108" s="89">
        <v>81847.09</v>
      </c>
      <c r="O108" s="89">
        <v>8524.7199999999993</v>
      </c>
      <c r="P108" s="89">
        <v>37343.06</v>
      </c>
      <c r="Q108" s="35">
        <v>530369.66999999993</v>
      </c>
      <c r="R108" s="32"/>
    </row>
    <row r="109" spans="1:18" x14ac:dyDescent="0.25">
      <c r="A109" s="32"/>
      <c r="B109" s="45" t="s">
        <v>231</v>
      </c>
      <c r="C109" s="31">
        <f>SUM(C107:C108)</f>
        <v>0</v>
      </c>
      <c r="D109" s="31">
        <f t="shared" ref="D109" si="69">SUM(D107:D108)</f>
        <v>0</v>
      </c>
      <c r="E109" s="31">
        <v>54745.95</v>
      </c>
      <c r="F109" s="31">
        <v>69080.95</v>
      </c>
      <c r="G109" s="31">
        <v>60213.100000000006</v>
      </c>
      <c r="H109" s="31">
        <v>59323.03</v>
      </c>
      <c r="I109" s="31">
        <v>58368.83</v>
      </c>
      <c r="J109" s="31">
        <v>52603.45</v>
      </c>
      <c r="K109" s="31">
        <v>70449.820000000007</v>
      </c>
      <c r="L109" s="31">
        <v>73774.02</v>
      </c>
      <c r="M109" s="31">
        <v>72227.88</v>
      </c>
      <c r="N109" s="31">
        <v>96921.39</v>
      </c>
      <c r="O109" s="31">
        <v>23171.87</v>
      </c>
      <c r="P109" s="31">
        <v>52171.63</v>
      </c>
      <c r="Q109" s="31">
        <v>743051.91999999993</v>
      </c>
      <c r="R109" s="32"/>
    </row>
    <row r="110" spans="1:18" x14ac:dyDescent="0.25">
      <c r="A110" s="32"/>
      <c r="B110" s="33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</row>
    <row r="111" spans="1:18" x14ac:dyDescent="0.25">
      <c r="A111" s="32">
        <v>214</v>
      </c>
      <c r="B111" s="33" t="s">
        <v>246</v>
      </c>
      <c r="C111" s="31"/>
      <c r="D111" s="31"/>
      <c r="E111" s="31">
        <v>27158.82</v>
      </c>
      <c r="F111" s="31">
        <v>23154.04</v>
      </c>
      <c r="G111" s="31">
        <v>13890.79</v>
      </c>
      <c r="H111" s="31">
        <v>12270.06</v>
      </c>
      <c r="I111" s="31">
        <v>15111.07</v>
      </c>
      <c r="J111" s="31">
        <v>15043.67</v>
      </c>
      <c r="K111" s="31">
        <v>23540.45</v>
      </c>
      <c r="L111" s="31">
        <v>24032.639999999999</v>
      </c>
      <c r="M111" s="31">
        <v>20644.91</v>
      </c>
      <c r="N111" s="31">
        <v>19402.05</v>
      </c>
      <c r="O111" s="31">
        <v>18772</v>
      </c>
      <c r="P111" s="31">
        <v>19945</v>
      </c>
      <c r="Q111" s="32">
        <v>232965.49999999997</v>
      </c>
      <c r="R111" s="32"/>
    </row>
    <row r="112" spans="1:18" x14ac:dyDescent="0.25">
      <c r="A112" s="32">
        <v>212</v>
      </c>
      <c r="B112" s="33" t="s">
        <v>303</v>
      </c>
      <c r="C112" s="32"/>
      <c r="D112" s="32"/>
      <c r="E112" s="32">
        <v>60.74</v>
      </c>
      <c r="F112" s="32">
        <v>83.85</v>
      </c>
      <c r="G112" s="32">
        <v>70.47</v>
      </c>
      <c r="H112" s="32">
        <v>69.540000000000006</v>
      </c>
      <c r="I112" s="32">
        <v>69.709999999999994</v>
      </c>
      <c r="J112" s="32">
        <v>60.28</v>
      </c>
      <c r="K112" s="32">
        <v>85.41</v>
      </c>
      <c r="L112" s="32">
        <v>97.8</v>
      </c>
      <c r="M112" s="32">
        <v>68.86</v>
      </c>
      <c r="N112" s="32">
        <v>59.42</v>
      </c>
      <c r="O112" s="32">
        <v>54.83</v>
      </c>
      <c r="P112" s="32">
        <v>69.89</v>
      </c>
      <c r="Q112" s="31">
        <v>850.8</v>
      </c>
      <c r="R112" s="32"/>
    </row>
    <row r="113" spans="1:18" x14ac:dyDescent="0.25">
      <c r="A113" s="32">
        <v>215</v>
      </c>
      <c r="B113" s="33" t="s">
        <v>247</v>
      </c>
      <c r="C113" s="31"/>
      <c r="D113" s="31"/>
      <c r="E113" s="31">
        <v>4882432.62</v>
      </c>
      <c r="F113" s="31">
        <v>5974950.7400000002</v>
      </c>
      <c r="G113" s="31">
        <v>6840453.0099999998</v>
      </c>
      <c r="H113" s="31">
        <v>6992184.8099999996</v>
      </c>
      <c r="I113" s="31">
        <v>6798107.0999999996</v>
      </c>
      <c r="J113" s="31">
        <v>5630254.3600000003</v>
      </c>
      <c r="K113" s="31">
        <v>6187932.8799999999</v>
      </c>
      <c r="L113" s="31">
        <v>6570180.4000000004</v>
      </c>
      <c r="M113" s="31">
        <v>7282950.0800000001</v>
      </c>
      <c r="N113" s="31">
        <v>6710958.8399999999</v>
      </c>
      <c r="O113" s="31">
        <v>5160989.6399999997</v>
      </c>
      <c r="P113" s="31">
        <v>4754768.1399999997</v>
      </c>
      <c r="Q113" s="32">
        <v>73786162.61999999</v>
      </c>
      <c r="R113" s="32"/>
    </row>
    <row r="114" spans="1:18" x14ac:dyDescent="0.25">
      <c r="A114" s="32">
        <v>218</v>
      </c>
      <c r="B114" s="25" t="s">
        <v>248</v>
      </c>
      <c r="C114" s="25"/>
      <c r="D114" s="25"/>
      <c r="E114" s="25">
        <v>1865.93</v>
      </c>
      <c r="F114" s="25">
        <v>2391.63</v>
      </c>
      <c r="G114" s="25">
        <v>2217.38</v>
      </c>
      <c r="H114" s="25">
        <v>2665.41</v>
      </c>
      <c r="I114" s="25">
        <v>2488.65</v>
      </c>
      <c r="J114" s="25">
        <v>2062.85</v>
      </c>
      <c r="K114" s="25">
        <v>2812.23</v>
      </c>
      <c r="L114" s="25">
        <v>3086.83</v>
      </c>
      <c r="M114" s="25">
        <v>4088.42</v>
      </c>
      <c r="N114" s="25">
        <v>3783.71</v>
      </c>
      <c r="O114" s="89">
        <v>2385.41</v>
      </c>
      <c r="P114" s="88">
        <v>2110.7600000000002</v>
      </c>
      <c r="Q114" s="32">
        <v>31959.21</v>
      </c>
      <c r="R114" s="32"/>
    </row>
    <row r="115" spans="1:18" x14ac:dyDescent="0.25">
      <c r="A115" s="32"/>
      <c r="B115" s="33" t="s">
        <v>249</v>
      </c>
      <c r="C115" s="31">
        <f t="shared" ref="C115:D115" si="70">SUM(C113:C114)</f>
        <v>0</v>
      </c>
      <c r="D115" s="31">
        <f t="shared" si="70"/>
        <v>0</v>
      </c>
      <c r="E115" s="31">
        <v>4884359.29</v>
      </c>
      <c r="F115" s="31">
        <v>5977426.2199999997</v>
      </c>
      <c r="G115" s="31">
        <v>6842740.8599999994</v>
      </c>
      <c r="H115" s="31">
        <v>6994919.7599999998</v>
      </c>
      <c r="I115" s="31">
        <v>6800665.46</v>
      </c>
      <c r="J115" s="31">
        <v>5632377.4900000002</v>
      </c>
      <c r="K115" s="31">
        <v>6190830.5200000005</v>
      </c>
      <c r="L115" s="31">
        <v>6573365.0300000003</v>
      </c>
      <c r="M115" s="31">
        <v>7287107.3600000003</v>
      </c>
      <c r="N115" s="31">
        <v>6714801.9699999997</v>
      </c>
      <c r="O115" s="31">
        <v>5163429.88</v>
      </c>
      <c r="P115" s="31">
        <v>4756948.7899999991</v>
      </c>
      <c r="Q115" s="31">
        <v>73818972.629999995</v>
      </c>
      <c r="R115" s="32"/>
    </row>
    <row r="116" spans="1:18" x14ac:dyDescent="0.25">
      <c r="A116" s="32"/>
      <c r="B116" s="33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</row>
    <row r="117" spans="1:18" x14ac:dyDescent="0.25">
      <c r="A117" s="32">
        <v>223</v>
      </c>
      <c r="B117" s="33" t="s">
        <v>250</v>
      </c>
      <c r="C117" s="31"/>
      <c r="D117" s="31"/>
      <c r="E117" s="31">
        <v>8247.11</v>
      </c>
      <c r="F117" s="31">
        <v>6219.73</v>
      </c>
      <c r="G117" s="31">
        <v>9328.4699999999993</v>
      </c>
      <c r="H117" s="31">
        <v>12083.73</v>
      </c>
      <c r="I117" s="31">
        <v>10475.69</v>
      </c>
      <c r="J117" s="31">
        <v>9993.42</v>
      </c>
      <c r="K117" s="31">
        <v>5142.71</v>
      </c>
      <c r="L117" s="31">
        <v>12192.9</v>
      </c>
      <c r="M117" s="31">
        <v>19371.21</v>
      </c>
      <c r="N117" s="31">
        <v>19557.03</v>
      </c>
      <c r="O117" s="31">
        <v>10927.22</v>
      </c>
      <c r="P117" s="31">
        <v>7367.07</v>
      </c>
      <c r="Q117" s="31">
        <v>130906.29000000001</v>
      </c>
      <c r="R117" s="32"/>
    </row>
    <row r="118" spans="1:18" x14ac:dyDescent="0.25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</row>
    <row r="119" spans="1:18" x14ac:dyDescent="0.25">
      <c r="A119" s="32">
        <v>229</v>
      </c>
      <c r="B119" s="33" t="s">
        <v>251</v>
      </c>
      <c r="C119" s="31"/>
      <c r="D119" s="31"/>
      <c r="E119" s="31">
        <v>83284.509999999995</v>
      </c>
      <c r="F119" s="31">
        <v>105634.32</v>
      </c>
      <c r="G119" s="31">
        <v>118002.5</v>
      </c>
      <c r="H119" s="31">
        <v>120705.09</v>
      </c>
      <c r="I119" s="31">
        <v>107388.72</v>
      </c>
      <c r="J119" s="31">
        <v>100410.28</v>
      </c>
      <c r="K119" s="31">
        <v>111366.73</v>
      </c>
      <c r="L119" s="31">
        <v>125035.67</v>
      </c>
      <c r="M119" s="31">
        <v>133241.67000000001</v>
      </c>
      <c r="N119" s="31">
        <v>131727.53</v>
      </c>
      <c r="O119" s="31">
        <v>85387.92</v>
      </c>
      <c r="P119" s="31">
        <v>78405.97</v>
      </c>
      <c r="Q119" s="31">
        <v>1300590.9099999999</v>
      </c>
      <c r="R119" s="32"/>
    </row>
    <row r="120" spans="1:18" x14ac:dyDescent="0.25">
      <c r="A120" s="32"/>
      <c r="B120" s="33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</row>
    <row r="121" spans="1:18" x14ac:dyDescent="0.25">
      <c r="A121" s="32">
        <v>217</v>
      </c>
      <c r="B121" s="33" t="s">
        <v>252</v>
      </c>
      <c r="C121" s="31"/>
      <c r="D121" s="31"/>
      <c r="E121" s="31">
        <v>40865.42</v>
      </c>
      <c r="F121" s="31">
        <v>48068.639999999999</v>
      </c>
      <c r="G121" s="31">
        <v>42673.31</v>
      </c>
      <c r="H121" s="31">
        <v>46681.04</v>
      </c>
      <c r="I121" s="31">
        <v>43407.99</v>
      </c>
      <c r="J121" s="31">
        <v>38932.449999999997</v>
      </c>
      <c r="K121" s="31">
        <v>47647.03</v>
      </c>
      <c r="L121" s="31">
        <v>58478.36</v>
      </c>
      <c r="M121" s="31">
        <v>58081.49</v>
      </c>
      <c r="N121" s="31">
        <v>46675.360000000001</v>
      </c>
      <c r="O121" s="31">
        <v>44546.52</v>
      </c>
      <c r="P121" s="31">
        <v>36790.81</v>
      </c>
      <c r="Q121" s="32">
        <v>552848.41999999993</v>
      </c>
      <c r="R121" s="32"/>
    </row>
    <row r="122" spans="1:18" x14ac:dyDescent="0.25">
      <c r="A122" s="32">
        <v>220</v>
      </c>
      <c r="B122" s="25" t="s">
        <v>253</v>
      </c>
      <c r="C122" s="25"/>
      <c r="D122" s="25"/>
      <c r="E122" s="25">
        <v>64261.55</v>
      </c>
      <c r="F122" s="25">
        <v>76990.3</v>
      </c>
      <c r="G122" s="25">
        <v>65719.83</v>
      </c>
      <c r="H122" s="25">
        <v>33651</v>
      </c>
      <c r="I122" s="25">
        <v>45295.09</v>
      </c>
      <c r="J122" s="25">
        <v>36871.06</v>
      </c>
      <c r="K122" s="25">
        <v>78296.12</v>
      </c>
      <c r="L122" s="25">
        <v>95509.86</v>
      </c>
      <c r="M122" s="25">
        <v>96678.33</v>
      </c>
      <c r="N122" s="25">
        <v>56413.7</v>
      </c>
      <c r="O122" s="89">
        <v>80980.2</v>
      </c>
      <c r="P122" s="88">
        <v>31007.86</v>
      </c>
      <c r="Q122" s="32">
        <v>761674.89999999991</v>
      </c>
      <c r="R122" s="32"/>
    </row>
    <row r="123" spans="1:18" x14ac:dyDescent="0.25">
      <c r="A123" s="32"/>
      <c r="B123" s="33" t="s">
        <v>254</v>
      </c>
      <c r="C123" s="31">
        <f>SUM(C121:C122)</f>
        <v>0</v>
      </c>
      <c r="D123" s="31">
        <f t="shared" ref="D123" si="71">SUM(D121:D122)</f>
        <v>0</v>
      </c>
      <c r="E123" s="31">
        <v>105126.97</v>
      </c>
      <c r="F123" s="31">
        <v>125058.94</v>
      </c>
      <c r="G123" s="31">
        <v>108393.14</v>
      </c>
      <c r="H123" s="31">
        <v>80332.040000000008</v>
      </c>
      <c r="I123" s="31">
        <v>88703.079999999987</v>
      </c>
      <c r="J123" s="31">
        <v>75803.509999999995</v>
      </c>
      <c r="K123" s="31">
        <v>125943.15</v>
      </c>
      <c r="L123" s="31">
        <v>153988.22</v>
      </c>
      <c r="M123" s="31">
        <v>154759.82</v>
      </c>
      <c r="N123" s="31">
        <v>103089.06</v>
      </c>
      <c r="O123" s="31">
        <v>125526.72</v>
      </c>
      <c r="P123" s="31">
        <v>67798.67</v>
      </c>
      <c r="Q123" s="31">
        <v>1314523.3199999998</v>
      </c>
      <c r="R123" s="32"/>
    </row>
    <row r="124" spans="1:18" x14ac:dyDescent="0.25">
      <c r="A124" s="32"/>
      <c r="B124" s="33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</row>
    <row r="125" spans="1:18" x14ac:dyDescent="0.25">
      <c r="A125" s="32">
        <v>236</v>
      </c>
      <c r="B125" s="33" t="s">
        <v>255</v>
      </c>
      <c r="C125" s="31"/>
      <c r="D125" s="31"/>
      <c r="E125" s="31">
        <v>7339.71</v>
      </c>
      <c r="F125" s="31">
        <v>7313.32</v>
      </c>
      <c r="G125" s="31">
        <v>9267.6299999999992</v>
      </c>
      <c r="H125" s="31">
        <v>2555.65</v>
      </c>
      <c r="I125" s="31">
        <v>5508.03</v>
      </c>
      <c r="J125" s="31">
        <v>7402.69</v>
      </c>
      <c r="K125" s="31">
        <v>2666.55</v>
      </c>
      <c r="L125" s="31">
        <v>5615.47</v>
      </c>
      <c r="M125" s="31">
        <v>9167.3700000000008</v>
      </c>
      <c r="N125" s="31">
        <v>5242.25</v>
      </c>
      <c r="O125" s="31">
        <v>2579.4</v>
      </c>
      <c r="P125" s="31">
        <v>4402.6499999999996</v>
      </c>
      <c r="Q125" s="31">
        <v>69060.72</v>
      </c>
      <c r="R125" s="32"/>
    </row>
    <row r="126" spans="1:18" x14ac:dyDescent="0.25">
      <c r="A126" s="32"/>
      <c r="B126" s="33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</row>
    <row r="127" spans="1:18" x14ac:dyDescent="0.25">
      <c r="A127" s="32">
        <v>240</v>
      </c>
      <c r="B127" s="33" t="s">
        <v>50</v>
      </c>
      <c r="C127" s="31"/>
      <c r="D127" s="31"/>
      <c r="E127" s="31">
        <v>2966574.96</v>
      </c>
      <c r="F127" s="31">
        <v>3779619.53</v>
      </c>
      <c r="G127" s="31">
        <v>3963811.03</v>
      </c>
      <c r="H127" s="31">
        <v>3860106.7</v>
      </c>
      <c r="I127" s="31">
        <v>3721573.21</v>
      </c>
      <c r="J127" s="31">
        <v>3270630.66</v>
      </c>
      <c r="K127" s="31">
        <v>3970732.4</v>
      </c>
      <c r="L127" s="31">
        <v>4273142.38</v>
      </c>
      <c r="M127" s="31">
        <v>3938479.72</v>
      </c>
      <c r="N127" s="31">
        <v>3490362.97</v>
      </c>
      <c r="O127" s="31">
        <v>2929415.37</v>
      </c>
      <c r="P127" s="31">
        <v>2805307.1</v>
      </c>
      <c r="Q127" s="32">
        <v>42969756.029999994</v>
      </c>
      <c r="R127" s="32"/>
    </row>
    <row r="128" spans="1:18" x14ac:dyDescent="0.25">
      <c r="A128" s="32">
        <v>242</v>
      </c>
      <c r="B128" s="25" t="s">
        <v>51</v>
      </c>
      <c r="C128" s="25"/>
      <c r="D128" s="25"/>
      <c r="E128" s="25">
        <v>61052.28</v>
      </c>
      <c r="F128" s="25">
        <v>75602.5</v>
      </c>
      <c r="G128" s="25">
        <v>98789.07</v>
      </c>
      <c r="H128" s="25">
        <v>99172.33</v>
      </c>
      <c r="I128" s="25">
        <v>97869.57</v>
      </c>
      <c r="J128" s="25">
        <v>75713.08</v>
      </c>
      <c r="K128" s="25">
        <v>80345.09</v>
      </c>
      <c r="L128" s="25">
        <v>89148.91</v>
      </c>
      <c r="M128" s="25">
        <v>98227.71</v>
      </c>
      <c r="N128" s="25">
        <v>99449.68</v>
      </c>
      <c r="O128" s="89">
        <v>64494.64</v>
      </c>
      <c r="P128" s="88">
        <v>56139.07</v>
      </c>
      <c r="Q128" s="32">
        <v>996003.92999999993</v>
      </c>
      <c r="R128" s="32"/>
    </row>
    <row r="129" spans="1:18" x14ac:dyDescent="0.25">
      <c r="A129" s="32"/>
      <c r="B129" s="33" t="s">
        <v>7</v>
      </c>
      <c r="C129" s="31">
        <f>SUM(C127:C128)</f>
        <v>0</v>
      </c>
      <c r="D129" s="31">
        <f t="shared" ref="D129" si="72">SUM(D127:D128)</f>
        <v>0</v>
      </c>
      <c r="E129" s="31">
        <v>3027627.2399999998</v>
      </c>
      <c r="F129" s="31">
        <v>3855222.03</v>
      </c>
      <c r="G129" s="31">
        <v>4062600.0999999996</v>
      </c>
      <c r="H129" s="31">
        <v>3959279.0300000003</v>
      </c>
      <c r="I129" s="31">
        <v>3819442.78</v>
      </c>
      <c r="J129" s="31">
        <v>3346343.74</v>
      </c>
      <c r="K129" s="31">
        <v>4051077.4899999998</v>
      </c>
      <c r="L129" s="31">
        <v>4362291.29</v>
      </c>
      <c r="M129" s="31">
        <v>4036707.43</v>
      </c>
      <c r="N129" s="31">
        <v>3589812.6500000004</v>
      </c>
      <c r="O129" s="31">
        <v>2993910.0100000002</v>
      </c>
      <c r="P129" s="31">
        <v>2861446.17</v>
      </c>
      <c r="Q129" s="31">
        <v>43965759.959999993</v>
      </c>
      <c r="R129" s="32"/>
    </row>
    <row r="130" spans="1:18" x14ac:dyDescent="0.25">
      <c r="A130" s="32"/>
      <c r="B130" s="33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</row>
    <row r="131" spans="1:18" x14ac:dyDescent="0.25">
      <c r="A131" s="32">
        <v>251</v>
      </c>
      <c r="B131" s="33" t="s">
        <v>52</v>
      </c>
      <c r="C131" s="31"/>
      <c r="D131" s="31"/>
      <c r="E131" s="31">
        <v>9629.94</v>
      </c>
      <c r="F131" s="31">
        <v>21639.02</v>
      </c>
      <c r="G131" s="31">
        <v>13025.42</v>
      </c>
      <c r="H131" s="31">
        <v>24541.119999999999</v>
      </c>
      <c r="I131" s="31">
        <v>22778.15</v>
      </c>
      <c r="J131" s="31">
        <v>23472.85</v>
      </c>
      <c r="K131" s="31">
        <v>38650.980000000003</v>
      </c>
      <c r="L131" s="31">
        <v>43606.66</v>
      </c>
      <c r="M131" s="31">
        <v>37233.46</v>
      </c>
      <c r="N131" s="31">
        <v>20253.36</v>
      </c>
      <c r="O131" s="31">
        <v>3633.33</v>
      </c>
      <c r="P131" s="31">
        <v>7487.75</v>
      </c>
      <c r="Q131" s="31">
        <v>265952.04000000004</v>
      </c>
      <c r="R131" s="32"/>
    </row>
    <row r="132" spans="1:18" x14ac:dyDescent="0.25">
      <c r="A132" s="32"/>
      <c r="B132" s="33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2"/>
      <c r="R132" s="32"/>
    </row>
    <row r="133" spans="1:18" x14ac:dyDescent="0.25">
      <c r="A133" s="32">
        <v>256</v>
      </c>
      <c r="B133" s="33" t="s">
        <v>93</v>
      </c>
      <c r="C133" s="31"/>
      <c r="D133" s="31"/>
      <c r="E133" s="31">
        <v>25578.43</v>
      </c>
      <c r="F133" s="31">
        <v>78882.62</v>
      </c>
      <c r="G133" s="31">
        <v>54904.05</v>
      </c>
      <c r="H133" s="31">
        <v>52630.96</v>
      </c>
      <c r="I133" s="31">
        <v>53389.37</v>
      </c>
      <c r="J133" s="31">
        <v>47803.87</v>
      </c>
      <c r="K133" s="31">
        <v>61325.1</v>
      </c>
      <c r="L133" s="31">
        <v>67609.7</v>
      </c>
      <c r="M133" s="31">
        <v>58151.95</v>
      </c>
      <c r="N133" s="31">
        <v>66371.850000000006</v>
      </c>
      <c r="O133" s="31">
        <v>56576.26</v>
      </c>
      <c r="P133" s="31">
        <v>40648.74</v>
      </c>
      <c r="Q133" s="31">
        <v>663872.9</v>
      </c>
      <c r="R133" s="32"/>
    </row>
    <row r="134" spans="1:18" x14ac:dyDescent="0.25">
      <c r="A134" s="32">
        <v>257</v>
      </c>
      <c r="B134" s="33" t="s">
        <v>232</v>
      </c>
      <c r="C134" s="31"/>
      <c r="D134" s="31"/>
      <c r="E134" s="31">
        <v>25983.040000000001</v>
      </c>
      <c r="F134" s="31">
        <v>27980.55</v>
      </c>
      <c r="G134" s="31">
        <v>32913.699999999997</v>
      </c>
      <c r="H134" s="31">
        <v>27708.67</v>
      </c>
      <c r="I134" s="31">
        <v>43465.19</v>
      </c>
      <c r="J134" s="31">
        <v>50896.81</v>
      </c>
      <c r="K134" s="31">
        <v>44795.85</v>
      </c>
      <c r="L134" s="31">
        <v>11388.87</v>
      </c>
      <c r="M134" s="31">
        <v>16669.66</v>
      </c>
      <c r="N134" s="31">
        <v>18291.580000000002</v>
      </c>
      <c r="O134" s="31">
        <v>13325.65</v>
      </c>
      <c r="P134" s="31">
        <v>-5051.55</v>
      </c>
      <c r="Q134" s="31">
        <v>308368.02</v>
      </c>
      <c r="R134" s="32"/>
    </row>
    <row r="135" spans="1:18" x14ac:dyDescent="0.25">
      <c r="A135" s="32"/>
      <c r="B135" s="33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2"/>
    </row>
    <row r="136" spans="1:18" x14ac:dyDescent="0.25">
      <c r="A136" s="32">
        <v>244</v>
      </c>
      <c r="B136" s="33" t="s">
        <v>53</v>
      </c>
      <c r="C136" s="31"/>
      <c r="D136" s="31"/>
      <c r="E136" s="31">
        <v>798216.35</v>
      </c>
      <c r="F136" s="31">
        <v>1109835.06</v>
      </c>
      <c r="G136" s="31">
        <v>920014.98</v>
      </c>
      <c r="H136" s="31">
        <v>962266.28</v>
      </c>
      <c r="I136" s="31">
        <v>983116.09</v>
      </c>
      <c r="J136" s="31">
        <v>886549.02</v>
      </c>
      <c r="K136" s="31">
        <v>1110983.23</v>
      </c>
      <c r="L136" s="31">
        <v>1218097.3700000001</v>
      </c>
      <c r="M136" s="31">
        <v>1146123.92</v>
      </c>
      <c r="N136" s="31">
        <v>1043867.92</v>
      </c>
      <c r="O136" s="31">
        <v>954382.29</v>
      </c>
      <c r="P136" s="31">
        <v>883551.37</v>
      </c>
      <c r="Q136" s="32">
        <v>12017003.880000001</v>
      </c>
      <c r="R136" s="32"/>
    </row>
    <row r="137" spans="1:18" x14ac:dyDescent="0.25">
      <c r="A137" s="32">
        <v>246</v>
      </c>
      <c r="B137" s="25" t="s">
        <v>54</v>
      </c>
      <c r="C137" s="25"/>
      <c r="D137" s="25"/>
      <c r="E137" s="25">
        <v>4821.42</v>
      </c>
      <c r="F137" s="25">
        <v>7871.43</v>
      </c>
      <c r="G137" s="25">
        <v>12185.21</v>
      </c>
      <c r="H137" s="25">
        <v>11472.12</v>
      </c>
      <c r="I137" s="25">
        <v>10771.15</v>
      </c>
      <c r="J137" s="25">
        <v>8734.9699999999993</v>
      </c>
      <c r="K137" s="25">
        <v>7092.61</v>
      </c>
      <c r="L137" s="25">
        <v>6611.47</v>
      </c>
      <c r="M137" s="25">
        <v>5674.8</v>
      </c>
      <c r="N137" s="25">
        <v>6265.78</v>
      </c>
      <c r="O137" s="89">
        <v>4657.54</v>
      </c>
      <c r="P137" s="88">
        <v>4251.1099999999997</v>
      </c>
      <c r="Q137" s="32">
        <v>90409.61</v>
      </c>
      <c r="R137" s="32"/>
    </row>
    <row r="138" spans="1:18" x14ac:dyDescent="0.25">
      <c r="A138" s="32"/>
      <c r="B138" s="33" t="s">
        <v>5</v>
      </c>
      <c r="C138" s="31">
        <f>SUM(C136:C137)</f>
        <v>0</v>
      </c>
      <c r="D138" s="31">
        <f t="shared" ref="D138" si="73">SUM(D136:D137)</f>
        <v>0</v>
      </c>
      <c r="E138" s="31">
        <v>803037.77</v>
      </c>
      <c r="F138" s="31">
        <v>1117706.49</v>
      </c>
      <c r="G138" s="31">
        <v>932200.19</v>
      </c>
      <c r="H138" s="31">
        <v>973738.4</v>
      </c>
      <c r="I138" s="31">
        <v>993887.24</v>
      </c>
      <c r="J138" s="31">
        <v>895283.99</v>
      </c>
      <c r="K138" s="31">
        <v>1118075.8400000001</v>
      </c>
      <c r="L138" s="31">
        <v>1224708.8400000001</v>
      </c>
      <c r="M138" s="31">
        <v>1151798.72</v>
      </c>
      <c r="N138" s="31">
        <v>1050133.7</v>
      </c>
      <c r="O138" s="31">
        <v>959039.83000000007</v>
      </c>
      <c r="P138" s="31">
        <v>887802.48</v>
      </c>
      <c r="Q138" s="31">
        <v>12107413.49</v>
      </c>
      <c r="R138" s="32"/>
    </row>
    <row r="139" spans="1:18" x14ac:dyDescent="0.25">
      <c r="A139" s="32"/>
      <c r="B139" s="33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</row>
    <row r="140" spans="1:18" x14ac:dyDescent="0.25">
      <c r="A140" s="32">
        <v>248</v>
      </c>
      <c r="B140" s="34" t="s">
        <v>73</v>
      </c>
      <c r="C140" s="31"/>
      <c r="D140" s="31"/>
      <c r="E140" s="31">
        <v>86350.35</v>
      </c>
      <c r="F140" s="31">
        <v>148100.97</v>
      </c>
      <c r="G140" s="31">
        <v>292205.03999999998</v>
      </c>
      <c r="H140" s="31">
        <v>86802.2</v>
      </c>
      <c r="I140" s="31">
        <v>35446.879999999997</v>
      </c>
      <c r="J140" s="31">
        <v>99139.05</v>
      </c>
      <c r="K140" s="31">
        <v>105475.24</v>
      </c>
      <c r="L140" s="31">
        <v>125710.94</v>
      </c>
      <c r="M140" s="31">
        <v>99826.51</v>
      </c>
      <c r="N140" s="31">
        <v>97301.91</v>
      </c>
      <c r="O140" s="31">
        <v>81450.289999999994</v>
      </c>
      <c r="P140" s="31">
        <v>74108.56</v>
      </c>
      <c r="Q140" s="31">
        <v>1331917.94</v>
      </c>
      <c r="R140" s="32"/>
    </row>
    <row r="141" spans="1:18" x14ac:dyDescent="0.25">
      <c r="A141" s="32"/>
      <c r="B141" s="34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</row>
    <row r="142" spans="1:18" x14ac:dyDescent="0.25">
      <c r="A142" s="32">
        <v>250</v>
      </c>
      <c r="B142" s="34" t="s">
        <v>74</v>
      </c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2"/>
    </row>
    <row r="143" spans="1:18" x14ac:dyDescent="0.25">
      <c r="A143" s="32"/>
      <c r="B143" s="34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2"/>
      <c r="R143" s="32"/>
    </row>
    <row r="144" spans="1:18" x14ac:dyDescent="0.25">
      <c r="A144" s="32">
        <v>260</v>
      </c>
      <c r="B144" s="34" t="s">
        <v>94</v>
      </c>
      <c r="C144" s="31"/>
      <c r="D144" s="31"/>
      <c r="E144" s="31">
        <v>972132.94</v>
      </c>
      <c r="F144" s="31">
        <v>1233924.32</v>
      </c>
      <c r="G144" s="31">
        <v>1246249</v>
      </c>
      <c r="H144" s="31">
        <v>977743.38</v>
      </c>
      <c r="I144" s="31">
        <v>1146924.47</v>
      </c>
      <c r="J144" s="31">
        <v>1176489.98</v>
      </c>
      <c r="K144" s="31">
        <v>1320154.6100000001</v>
      </c>
      <c r="L144" s="31">
        <v>1267228.32</v>
      </c>
      <c r="M144" s="31">
        <v>1324378.4099999999</v>
      </c>
      <c r="N144" s="31">
        <v>1142165.6299999999</v>
      </c>
      <c r="O144" s="31">
        <v>1001189.17</v>
      </c>
      <c r="P144" s="31">
        <v>956110.37</v>
      </c>
      <c r="Q144" s="31">
        <v>13764690.599999998</v>
      </c>
      <c r="R144" s="32"/>
    </row>
    <row r="145" spans="1:18" x14ac:dyDescent="0.25">
      <c r="A145" s="32"/>
      <c r="B145" s="34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2"/>
      <c r="R145" s="32"/>
    </row>
    <row r="146" spans="1:18" x14ac:dyDescent="0.25">
      <c r="A146" s="32">
        <v>264</v>
      </c>
      <c r="B146" s="34" t="s">
        <v>95</v>
      </c>
      <c r="C146" s="31"/>
      <c r="D146" s="31"/>
      <c r="E146" s="31">
        <v>14427</v>
      </c>
      <c r="F146" s="31">
        <v>16827.189999999999</v>
      </c>
      <c r="G146" s="31">
        <v>20697.05</v>
      </c>
      <c r="H146" s="31">
        <v>16372.95</v>
      </c>
      <c r="I146" s="31">
        <v>16961.34</v>
      </c>
      <c r="J146" s="31">
        <v>18806.009999999998</v>
      </c>
      <c r="K146" s="31">
        <v>22567.11</v>
      </c>
      <c r="L146" s="31">
        <v>24458.21</v>
      </c>
      <c r="M146" s="31">
        <v>25067.119999999999</v>
      </c>
      <c r="N146" s="31">
        <v>28295.23</v>
      </c>
      <c r="O146" s="31">
        <v>21339.58</v>
      </c>
      <c r="P146" s="31">
        <v>15374.37</v>
      </c>
      <c r="Q146" s="31">
        <v>241193.15999999997</v>
      </c>
      <c r="R146" s="32"/>
    </row>
    <row r="147" spans="1:18" x14ac:dyDescent="0.25">
      <c r="A147" s="32"/>
      <c r="B147" s="32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2"/>
      <c r="R147" s="32"/>
    </row>
    <row r="148" spans="1:18" x14ac:dyDescent="0.25">
      <c r="A148" s="32">
        <v>330</v>
      </c>
      <c r="B148" s="32" t="s">
        <v>233</v>
      </c>
      <c r="C148" s="31"/>
      <c r="D148" s="31"/>
      <c r="E148" s="31">
        <v>271789.08</v>
      </c>
      <c r="F148" s="31">
        <v>369715.86</v>
      </c>
      <c r="G148" s="31">
        <v>303654.7</v>
      </c>
      <c r="H148" s="31">
        <v>339853.16</v>
      </c>
      <c r="I148" s="31">
        <v>395971.54</v>
      </c>
      <c r="J148" s="31">
        <v>286421.61</v>
      </c>
      <c r="K148" s="31">
        <v>371497.64</v>
      </c>
      <c r="L148" s="31">
        <v>406539.1</v>
      </c>
      <c r="M148" s="31">
        <v>362253.5</v>
      </c>
      <c r="N148" s="31">
        <v>261605.55</v>
      </c>
      <c r="O148" s="31">
        <v>308015.40999999997</v>
      </c>
      <c r="P148" s="31">
        <v>192239.96</v>
      </c>
      <c r="Q148" s="32">
        <v>3869557.11</v>
      </c>
      <c r="R148" s="32"/>
    </row>
    <row r="149" spans="1:18" x14ac:dyDescent="0.25">
      <c r="A149" s="32">
        <v>331</v>
      </c>
      <c r="B149" s="32" t="s">
        <v>97</v>
      </c>
      <c r="C149" s="31"/>
      <c r="D149" s="31"/>
      <c r="E149" s="31">
        <v>575642</v>
      </c>
      <c r="F149" s="31">
        <v>645986</v>
      </c>
      <c r="G149" s="31">
        <v>468827</v>
      </c>
      <c r="H149" s="31">
        <v>611378</v>
      </c>
      <c r="I149" s="31">
        <v>626210</v>
      </c>
      <c r="J149" s="31">
        <v>535982</v>
      </c>
      <c r="K149" s="31">
        <v>599018</v>
      </c>
      <c r="L149" s="31">
        <v>503846</v>
      </c>
      <c r="M149" s="31">
        <v>610142</v>
      </c>
      <c r="N149" s="31">
        <v>612614</v>
      </c>
      <c r="O149" s="31">
        <v>540384</v>
      </c>
      <c r="P149" s="31">
        <v>406655</v>
      </c>
      <c r="Q149" s="90">
        <v>6736684</v>
      </c>
      <c r="R149" s="32"/>
    </row>
    <row r="150" spans="1:18" x14ac:dyDescent="0.25">
      <c r="A150" s="32">
        <v>332</v>
      </c>
      <c r="B150" s="32" t="s">
        <v>234</v>
      </c>
      <c r="C150" s="31"/>
      <c r="D150" s="31"/>
      <c r="E150" s="31">
        <v>118361.84</v>
      </c>
      <c r="F150" s="31">
        <v>137219.07</v>
      </c>
      <c r="G150" s="31">
        <v>139722.37</v>
      </c>
      <c r="H150" s="31">
        <v>146217.17000000001</v>
      </c>
      <c r="I150" s="31">
        <v>156539.1</v>
      </c>
      <c r="J150" s="31">
        <v>109513.11</v>
      </c>
      <c r="K150" s="31">
        <v>159850.94</v>
      </c>
      <c r="L150" s="31">
        <v>164736.04</v>
      </c>
      <c r="M150" s="31">
        <v>180723.54</v>
      </c>
      <c r="N150" s="31">
        <v>160013.07999999999</v>
      </c>
      <c r="O150" s="31">
        <v>180821.72</v>
      </c>
      <c r="P150" s="31">
        <v>84643.03</v>
      </c>
      <c r="Q150" s="32">
        <v>1738361.0100000002</v>
      </c>
      <c r="R150" s="32"/>
    </row>
    <row r="151" spans="1:18" x14ac:dyDescent="0.25">
      <c r="A151" s="32">
        <v>333</v>
      </c>
      <c r="B151" s="32" t="s">
        <v>97</v>
      </c>
      <c r="C151" s="31"/>
      <c r="D151" s="31"/>
      <c r="E151" s="31">
        <v>350257.74</v>
      </c>
      <c r="F151" s="31">
        <v>375451.06</v>
      </c>
      <c r="G151" s="31">
        <v>271172.78000000003</v>
      </c>
      <c r="H151" s="31">
        <v>442092.58</v>
      </c>
      <c r="I151" s="31">
        <v>398235.55</v>
      </c>
      <c r="J151" s="31">
        <v>299362.58</v>
      </c>
      <c r="K151" s="31">
        <v>411995.96</v>
      </c>
      <c r="L151" s="31">
        <v>501424.6</v>
      </c>
      <c r="M151" s="31">
        <v>395321.36</v>
      </c>
      <c r="N151" s="31">
        <v>418921.52</v>
      </c>
      <c r="O151" s="31">
        <v>439531.25</v>
      </c>
      <c r="P151" s="31">
        <v>190349.89</v>
      </c>
      <c r="Q151" s="32">
        <v>4494116.87</v>
      </c>
      <c r="R151" s="32"/>
    </row>
    <row r="152" spans="1:18" x14ac:dyDescent="0.25">
      <c r="A152" s="32"/>
      <c r="B152" s="32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2"/>
      <c r="R152" s="32"/>
    </row>
    <row r="153" spans="1:18" x14ac:dyDescent="0.25">
      <c r="A153" s="32">
        <v>356</v>
      </c>
      <c r="B153" s="34" t="s">
        <v>98</v>
      </c>
      <c r="C153" s="31"/>
      <c r="D153" s="31"/>
      <c r="E153" s="31">
        <v>127698.29</v>
      </c>
      <c r="F153" s="31">
        <v>159170.43</v>
      </c>
      <c r="G153" s="31">
        <v>164711.70000000001</v>
      </c>
      <c r="H153" s="31">
        <v>148782.04999999999</v>
      </c>
      <c r="I153" s="31">
        <v>159725.56</v>
      </c>
      <c r="J153" s="31">
        <v>140930.71</v>
      </c>
      <c r="K153" s="31">
        <v>178995.82</v>
      </c>
      <c r="L153" s="31">
        <v>193549.86</v>
      </c>
      <c r="M153" s="31">
        <v>175514.37</v>
      </c>
      <c r="N153" s="31">
        <v>178206.76</v>
      </c>
      <c r="O153" s="31">
        <v>144700.28</v>
      </c>
      <c r="P153" s="31">
        <v>114428.45</v>
      </c>
      <c r="Q153" s="31">
        <v>1886414.28</v>
      </c>
      <c r="R153" s="32"/>
    </row>
    <row r="154" spans="1:18" x14ac:dyDescent="0.25">
      <c r="A154" s="32"/>
      <c r="B154" s="33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2"/>
      <c r="R154" s="32"/>
    </row>
    <row r="155" spans="1:18" x14ac:dyDescent="0.25">
      <c r="A155" s="32">
        <v>358</v>
      </c>
      <c r="B155" s="35" t="s">
        <v>235</v>
      </c>
      <c r="C155" s="35"/>
      <c r="D155" s="35"/>
      <c r="E155" s="35">
        <v>2279140.08</v>
      </c>
      <c r="F155" s="35">
        <v>2856277.03</v>
      </c>
      <c r="G155" s="35">
        <v>2889119.41</v>
      </c>
      <c r="H155" s="35">
        <v>2864631.28</v>
      </c>
      <c r="I155" s="35">
        <v>2758386.75</v>
      </c>
      <c r="J155" s="35">
        <v>2337632.62</v>
      </c>
      <c r="K155" s="35">
        <v>3087163.39</v>
      </c>
      <c r="L155" s="35">
        <v>3215825.37</v>
      </c>
      <c r="M155" s="35">
        <v>2724747.2</v>
      </c>
      <c r="N155" s="35">
        <v>2512596.38</v>
      </c>
      <c r="O155" s="35">
        <v>2551914.96</v>
      </c>
      <c r="P155" s="35">
        <v>2056636.88</v>
      </c>
      <c r="Q155" s="31">
        <v>32134071.349999998</v>
      </c>
      <c r="R155" s="32"/>
    </row>
    <row r="156" spans="1:18" x14ac:dyDescent="0.25">
      <c r="A156" s="32">
        <v>370</v>
      </c>
      <c r="B156" s="58" t="s">
        <v>235</v>
      </c>
      <c r="C156" s="88"/>
      <c r="D156" s="88"/>
      <c r="E156" s="88">
        <v>32612.55</v>
      </c>
      <c r="F156" s="88">
        <v>434151.18</v>
      </c>
      <c r="G156" s="88">
        <v>-199990.85</v>
      </c>
      <c r="H156" s="88">
        <v>135380.35</v>
      </c>
      <c r="I156" s="88">
        <v>118072.46</v>
      </c>
      <c r="J156" s="88">
        <v>115979.96</v>
      </c>
      <c r="K156" s="88">
        <v>88515.17</v>
      </c>
      <c r="L156" s="88">
        <v>126385.58</v>
      </c>
      <c r="M156" s="88">
        <v>102166.94</v>
      </c>
      <c r="N156" s="88">
        <v>153061.73000000001</v>
      </c>
      <c r="O156" s="88">
        <v>116915.53</v>
      </c>
      <c r="P156" s="88">
        <v>125106.48</v>
      </c>
      <c r="Q156" s="32">
        <v>1348357.08</v>
      </c>
      <c r="R156" s="32"/>
    </row>
    <row r="157" spans="1:18" x14ac:dyDescent="0.25">
      <c r="A157" s="32"/>
      <c r="B157" s="33" t="s">
        <v>102</v>
      </c>
      <c r="C157" s="31">
        <f>SUM(C156:C156)</f>
        <v>0</v>
      </c>
      <c r="D157" s="31">
        <f>SUM(D156:D156)</f>
        <v>0</v>
      </c>
      <c r="E157" s="31">
        <v>2311752.63</v>
      </c>
      <c r="F157" s="31">
        <v>3290428.21</v>
      </c>
      <c r="G157" s="31">
        <v>2689128.56</v>
      </c>
      <c r="H157" s="31">
        <v>3000011.63</v>
      </c>
      <c r="I157" s="31">
        <v>2876459.21</v>
      </c>
      <c r="J157" s="31">
        <v>2453612.58</v>
      </c>
      <c r="K157" s="31">
        <v>3175678.56</v>
      </c>
      <c r="L157" s="31">
        <v>3342210.95</v>
      </c>
      <c r="M157" s="31">
        <v>2826914.14</v>
      </c>
      <c r="N157" s="31">
        <v>2665658.11</v>
      </c>
      <c r="O157" s="31">
        <v>2668830.4899999998</v>
      </c>
      <c r="P157" s="31">
        <v>2181743.36</v>
      </c>
      <c r="Q157" s="31">
        <v>33482428.43</v>
      </c>
      <c r="R157" s="32"/>
    </row>
    <row r="158" spans="1:18" x14ac:dyDescent="0.25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</row>
    <row r="159" spans="1:18" x14ac:dyDescent="0.25">
      <c r="A159" s="32">
        <v>359</v>
      </c>
      <c r="B159" s="32" t="s">
        <v>236</v>
      </c>
      <c r="E159" s="92">
        <v>1247153.6399999999</v>
      </c>
      <c r="F159" s="92">
        <v>1969157.83</v>
      </c>
      <c r="G159" s="92">
        <v>2838806.56</v>
      </c>
      <c r="H159" s="92">
        <v>2924924.43</v>
      </c>
      <c r="I159" s="92">
        <v>3221456.67</v>
      </c>
      <c r="J159" s="92">
        <v>1996450.78</v>
      </c>
      <c r="K159" s="92">
        <v>3263569.07</v>
      </c>
      <c r="L159" s="92">
        <v>3301161.17</v>
      </c>
      <c r="M159" s="92">
        <v>4415670.6100000003</v>
      </c>
      <c r="N159" s="92">
        <v>1288811.95</v>
      </c>
      <c r="O159" s="92">
        <v>1775757.72</v>
      </c>
      <c r="P159" s="92">
        <v>1261489.32</v>
      </c>
      <c r="Q159" s="32">
        <v>29504409.749999996</v>
      </c>
      <c r="R159" s="32"/>
    </row>
    <row r="160" spans="1:18" x14ac:dyDescent="0.25">
      <c r="A160" s="32">
        <v>371</v>
      </c>
      <c r="B160" s="32" t="s">
        <v>236</v>
      </c>
      <c r="E160" s="92">
        <v>6549029.8399999999</v>
      </c>
      <c r="F160" s="92">
        <v>9418567.2100000009</v>
      </c>
      <c r="G160" s="92">
        <v>6806282.2400000002</v>
      </c>
      <c r="H160" s="92">
        <v>9305255.7200000007</v>
      </c>
      <c r="I160" s="92">
        <v>8347103.5300000003</v>
      </c>
      <c r="J160" s="92">
        <v>9383083.2200000007</v>
      </c>
      <c r="K160" s="92">
        <v>5910763.3799999999</v>
      </c>
      <c r="L160" s="92">
        <v>9594302</v>
      </c>
      <c r="M160" s="92">
        <v>9567175.3699999992</v>
      </c>
      <c r="N160" s="92">
        <v>10256741.199999999</v>
      </c>
      <c r="O160" s="92">
        <v>9660702.6300000008</v>
      </c>
      <c r="P160" s="92">
        <v>3170372.63</v>
      </c>
      <c r="Q160" s="32">
        <v>97969378.969999999</v>
      </c>
      <c r="R160" s="32"/>
    </row>
    <row r="161" spans="1:18" x14ac:dyDescent="0.25">
      <c r="A161" s="45" t="s">
        <v>237</v>
      </c>
      <c r="B161" s="123"/>
      <c r="C161" s="123"/>
      <c r="D161" s="123"/>
      <c r="E161" s="124">
        <v>7796183.4799999995</v>
      </c>
      <c r="F161" s="124">
        <v>11387725.040000001</v>
      </c>
      <c r="G161" s="124">
        <v>9645088.8000000007</v>
      </c>
      <c r="H161" s="124">
        <v>12230180.15</v>
      </c>
      <c r="I161" s="124">
        <v>11568560.199999999</v>
      </c>
      <c r="J161" s="124">
        <v>11379534</v>
      </c>
      <c r="K161" s="124">
        <v>9174332.4499999993</v>
      </c>
      <c r="L161" s="124">
        <v>12895463.17</v>
      </c>
      <c r="M161" s="124">
        <v>13982845.98</v>
      </c>
      <c r="N161" s="124">
        <v>11545553.149999999</v>
      </c>
      <c r="O161" s="124">
        <v>11436460.350000001</v>
      </c>
      <c r="P161" s="124">
        <v>4431861.95</v>
      </c>
      <c r="Q161" s="32">
        <v>127473788.72000001</v>
      </c>
      <c r="R161" s="32"/>
    </row>
    <row r="162" spans="1:18" x14ac:dyDescent="0.25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</row>
    <row r="163" spans="1:18" x14ac:dyDescent="0.25">
      <c r="A163" s="32">
        <v>360</v>
      </c>
      <c r="B163" s="33" t="s">
        <v>103</v>
      </c>
      <c r="C163" s="31"/>
      <c r="D163" s="31"/>
      <c r="E163" s="31">
        <v>46309.33</v>
      </c>
      <c r="F163" s="31">
        <v>80982</v>
      </c>
      <c r="G163" s="31">
        <v>134428.98000000001</v>
      </c>
      <c r="H163" s="31">
        <v>120664.34</v>
      </c>
      <c r="I163" s="31">
        <v>127453.34</v>
      </c>
      <c r="J163" s="31">
        <v>111322</v>
      </c>
      <c r="K163" s="31">
        <v>132796.66</v>
      </c>
      <c r="L163" s="31">
        <v>103052.98</v>
      </c>
      <c r="M163" s="31">
        <v>89935.93</v>
      </c>
      <c r="N163" s="31">
        <v>111116.08</v>
      </c>
      <c r="O163" s="31">
        <v>108603.63</v>
      </c>
      <c r="P163" s="31">
        <v>53052.03</v>
      </c>
      <c r="Q163" s="32">
        <v>1219717.3</v>
      </c>
      <c r="R163" s="32"/>
    </row>
    <row r="164" spans="1:18" x14ac:dyDescent="0.25">
      <c r="A164" s="32">
        <v>372</v>
      </c>
      <c r="B164" s="58" t="s">
        <v>104</v>
      </c>
      <c r="C164" s="88"/>
      <c r="D164" s="88"/>
      <c r="E164" s="88">
        <v>1255316.75</v>
      </c>
      <c r="F164" s="88">
        <v>1525106.04</v>
      </c>
      <c r="G164" s="88">
        <v>1997084.37</v>
      </c>
      <c r="H164" s="88">
        <v>1683535.18</v>
      </c>
      <c r="I164" s="88">
        <v>1318040.51</v>
      </c>
      <c r="J164" s="88">
        <v>1076193.3600000001</v>
      </c>
      <c r="K164" s="88">
        <v>2060213.47</v>
      </c>
      <c r="L164" s="88">
        <v>1706389.16</v>
      </c>
      <c r="M164" s="88">
        <v>1844768.47</v>
      </c>
      <c r="N164" s="88">
        <v>1181229.03</v>
      </c>
      <c r="O164" s="88">
        <v>1043148.61</v>
      </c>
      <c r="P164" s="88">
        <v>1434366.9</v>
      </c>
      <c r="Q164" s="32">
        <v>18125391.849999998</v>
      </c>
      <c r="R164" s="32"/>
    </row>
    <row r="165" spans="1:18" x14ac:dyDescent="0.25">
      <c r="A165" s="32"/>
      <c r="B165" s="33" t="s">
        <v>105</v>
      </c>
      <c r="C165" s="31">
        <f>SUM(C163:C164)</f>
        <v>0</v>
      </c>
      <c r="D165" s="31">
        <f t="shared" ref="D165" si="74">SUM(D163:D164)</f>
        <v>0</v>
      </c>
      <c r="E165" s="31">
        <v>1301626.08</v>
      </c>
      <c r="F165" s="31">
        <v>1606088.04</v>
      </c>
      <c r="G165" s="31">
        <v>2131513.35</v>
      </c>
      <c r="H165" s="31">
        <v>1804199.52</v>
      </c>
      <c r="I165" s="31">
        <v>1445493.85</v>
      </c>
      <c r="J165" s="31">
        <v>1187515.3600000001</v>
      </c>
      <c r="K165" s="31">
        <v>2193010.13</v>
      </c>
      <c r="L165" s="31">
        <v>1809442.14</v>
      </c>
      <c r="M165" s="31">
        <v>1934704.4</v>
      </c>
      <c r="N165" s="31">
        <v>1292345.1100000001</v>
      </c>
      <c r="O165" s="31">
        <v>1151752.24</v>
      </c>
      <c r="P165" s="31">
        <v>1487418.93</v>
      </c>
      <c r="Q165" s="31">
        <v>19345109.149999999</v>
      </c>
      <c r="R165" s="32"/>
    </row>
    <row r="166" spans="1:18" x14ac:dyDescent="0.25">
      <c r="A166" s="32"/>
      <c r="B166" s="33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</row>
    <row r="167" spans="1:18" x14ac:dyDescent="0.25">
      <c r="A167" s="32">
        <v>540</v>
      </c>
      <c r="B167" s="33" t="s">
        <v>76</v>
      </c>
      <c r="C167" s="31"/>
      <c r="D167" s="31"/>
      <c r="E167" s="31">
        <v>17493.39</v>
      </c>
      <c r="F167" s="31">
        <v>22933.93</v>
      </c>
      <c r="G167" s="31">
        <v>25780.46</v>
      </c>
      <c r="H167" s="31">
        <v>22038.89</v>
      </c>
      <c r="I167" s="31">
        <v>20404.900000000001</v>
      </c>
      <c r="J167" s="31">
        <v>19108.84</v>
      </c>
      <c r="K167" s="31">
        <v>26399.96</v>
      </c>
      <c r="L167" s="31">
        <v>23353.9</v>
      </c>
      <c r="M167" s="31">
        <v>22977.200000000001</v>
      </c>
      <c r="N167" s="31">
        <v>19147.54</v>
      </c>
      <c r="O167" s="31">
        <v>15201.7</v>
      </c>
      <c r="P167" s="31">
        <v>16819.37</v>
      </c>
      <c r="Q167" s="31">
        <v>251660.08000000002</v>
      </c>
      <c r="R167" s="32"/>
    </row>
    <row r="168" spans="1:18" x14ac:dyDescent="0.25">
      <c r="A168" s="32"/>
      <c r="B168" s="33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</row>
    <row r="169" spans="1:18" x14ac:dyDescent="0.25">
      <c r="A169" s="32"/>
      <c r="B169" s="33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2"/>
      <c r="R169" s="32"/>
    </row>
    <row r="170" spans="1:18" x14ac:dyDescent="0.25">
      <c r="A170" s="32"/>
      <c r="B170" s="33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2"/>
      <c r="R170" s="32"/>
    </row>
    <row r="171" spans="1:18" x14ac:dyDescent="0.25">
      <c r="A171" s="32">
        <v>93</v>
      </c>
      <c r="B171" s="33" t="s">
        <v>207</v>
      </c>
      <c r="C171" s="31"/>
      <c r="D171" s="31"/>
      <c r="E171" s="31">
        <v>8618.15</v>
      </c>
      <c r="F171" s="31">
        <v>9982.5400000000009</v>
      </c>
      <c r="G171" s="31">
        <v>9014.76</v>
      </c>
      <c r="H171" s="31">
        <v>8478.43</v>
      </c>
      <c r="I171" s="31">
        <v>7928.32</v>
      </c>
      <c r="J171" s="31">
        <v>7912.77</v>
      </c>
      <c r="K171" s="31">
        <v>11072.09</v>
      </c>
      <c r="L171" s="31">
        <v>12086.92</v>
      </c>
      <c r="M171" s="31">
        <v>7300.24</v>
      </c>
      <c r="N171" s="31">
        <v>7014.57</v>
      </c>
      <c r="O171" s="31">
        <v>6762.63</v>
      </c>
      <c r="P171" s="31">
        <v>6881.23</v>
      </c>
      <c r="Q171" s="32">
        <v>103052.65000000001</v>
      </c>
      <c r="R171" s="32"/>
    </row>
    <row r="172" spans="1:18" x14ac:dyDescent="0.25">
      <c r="A172" s="32">
        <v>94</v>
      </c>
      <c r="B172" s="33" t="s">
        <v>208</v>
      </c>
      <c r="C172" s="31"/>
      <c r="D172" s="31"/>
      <c r="E172" s="31">
        <v>225276.38</v>
      </c>
      <c r="F172" s="31">
        <v>251107.5</v>
      </c>
      <c r="G172" s="31">
        <v>225615.21</v>
      </c>
      <c r="H172" s="31">
        <v>213528.1</v>
      </c>
      <c r="I172" s="31">
        <v>226119.43</v>
      </c>
      <c r="J172" s="31">
        <v>195870.41</v>
      </c>
      <c r="K172" s="31">
        <v>262536.43</v>
      </c>
      <c r="L172" s="31">
        <v>288492.84000000003</v>
      </c>
      <c r="M172" s="31">
        <v>180451.33</v>
      </c>
      <c r="N172" s="31">
        <v>162018.07</v>
      </c>
      <c r="O172" s="31">
        <v>171730.16</v>
      </c>
      <c r="P172" s="31">
        <v>177939.73</v>
      </c>
      <c r="Q172" s="32">
        <v>2580685.59</v>
      </c>
      <c r="R172" s="32"/>
    </row>
    <row r="173" spans="1:18" x14ac:dyDescent="0.25">
      <c r="A173" s="32">
        <v>95</v>
      </c>
      <c r="B173" s="33" t="s">
        <v>209</v>
      </c>
      <c r="C173" s="31"/>
      <c r="D173" s="31"/>
      <c r="E173" s="31">
        <v>1990.09</v>
      </c>
      <c r="F173" s="31">
        <v>2351.77</v>
      </c>
      <c r="G173" s="31">
        <v>2154.12</v>
      </c>
      <c r="H173" s="31">
        <v>2030.39</v>
      </c>
      <c r="I173" s="31">
        <v>2253.6999999999998</v>
      </c>
      <c r="J173" s="31">
        <v>1971.76</v>
      </c>
      <c r="K173" s="31">
        <v>2816.07</v>
      </c>
      <c r="L173" s="31">
        <v>2985.19</v>
      </c>
      <c r="M173" s="31">
        <v>2271.36</v>
      </c>
      <c r="N173" s="31">
        <v>1901.56</v>
      </c>
      <c r="O173" s="31">
        <v>1960.62</v>
      </c>
      <c r="P173" s="31">
        <v>1881.52</v>
      </c>
      <c r="Q173" s="32">
        <v>26568.15</v>
      </c>
      <c r="R173" s="32"/>
    </row>
    <row r="174" spans="1:18" x14ac:dyDescent="0.25">
      <c r="A174" s="32">
        <v>97</v>
      </c>
      <c r="B174" s="33" t="s">
        <v>210</v>
      </c>
      <c r="C174" s="31"/>
      <c r="D174" s="31"/>
      <c r="E174" s="31">
        <v>28885.56</v>
      </c>
      <c r="F174" s="31">
        <v>32884.44</v>
      </c>
      <c r="G174" s="31">
        <v>29623.55</v>
      </c>
      <c r="H174" s="31">
        <v>28548.49</v>
      </c>
      <c r="I174" s="31">
        <v>29801.52</v>
      </c>
      <c r="J174" s="31">
        <v>26441.54</v>
      </c>
      <c r="K174" s="31">
        <v>36970.980000000003</v>
      </c>
      <c r="L174" s="31">
        <v>40872.71</v>
      </c>
      <c r="M174" s="31">
        <v>27600.87</v>
      </c>
      <c r="N174" s="31">
        <v>24312.52</v>
      </c>
      <c r="O174" s="31">
        <v>23441.03</v>
      </c>
      <c r="P174" s="31">
        <v>24964.9</v>
      </c>
      <c r="Q174" s="32">
        <v>354348.1100000001</v>
      </c>
      <c r="R174" s="32"/>
    </row>
    <row r="175" spans="1:18" x14ac:dyDescent="0.25">
      <c r="A175" s="32">
        <v>98</v>
      </c>
      <c r="B175" s="33" t="s">
        <v>211</v>
      </c>
      <c r="C175" s="31"/>
      <c r="D175" s="31"/>
      <c r="E175" s="31">
        <v>7563.89</v>
      </c>
      <c r="F175" s="31">
        <v>8836.7900000000009</v>
      </c>
      <c r="G175" s="31">
        <v>7625.64</v>
      </c>
      <c r="H175" s="31">
        <v>7757.64</v>
      </c>
      <c r="I175" s="31">
        <v>8182.95</v>
      </c>
      <c r="J175" s="31">
        <v>6978.06</v>
      </c>
      <c r="K175" s="31">
        <v>10162.209999999999</v>
      </c>
      <c r="L175" s="31">
        <v>12011.46</v>
      </c>
      <c r="M175" s="31">
        <v>7422.46</v>
      </c>
      <c r="N175" s="31">
        <v>7036.44</v>
      </c>
      <c r="O175" s="31">
        <v>6563.07</v>
      </c>
      <c r="P175" s="31">
        <v>7309.68</v>
      </c>
      <c r="Q175" s="32">
        <v>97450.289999999979</v>
      </c>
      <c r="R175" s="32"/>
    </row>
    <row r="176" spans="1:18" x14ac:dyDescent="0.25">
      <c r="A176" s="32">
        <v>99</v>
      </c>
      <c r="B176" s="33" t="s">
        <v>212</v>
      </c>
      <c r="C176" s="31"/>
      <c r="D176" s="31"/>
      <c r="E176" s="31">
        <v>85.35</v>
      </c>
      <c r="F176" s="31">
        <v>102.44</v>
      </c>
      <c r="G176" s="31">
        <v>96.53</v>
      </c>
      <c r="H176" s="31">
        <v>85.07</v>
      </c>
      <c r="I176" s="31">
        <v>89.19</v>
      </c>
      <c r="J176" s="31">
        <v>86.41</v>
      </c>
      <c r="K176" s="31">
        <v>113.24</v>
      </c>
      <c r="L176" s="31">
        <v>131.47999999999999</v>
      </c>
      <c r="M176" s="31">
        <v>99.57</v>
      </c>
      <c r="N176" s="31">
        <v>70.94</v>
      </c>
      <c r="O176" s="31">
        <v>79.459999999999994</v>
      </c>
      <c r="P176" s="31">
        <v>91.21</v>
      </c>
      <c r="Q176" s="32">
        <v>1130.8900000000001</v>
      </c>
      <c r="R176" s="32"/>
    </row>
    <row r="177" spans="1:18" x14ac:dyDescent="0.25">
      <c r="A177" s="32">
        <v>103</v>
      </c>
      <c r="B177" s="33" t="s">
        <v>213</v>
      </c>
      <c r="C177" s="31"/>
      <c r="D177" s="31"/>
      <c r="E177" s="31">
        <v>71.290000000000006</v>
      </c>
      <c r="F177" s="31">
        <v>78.12</v>
      </c>
      <c r="G177" s="31">
        <v>81.99</v>
      </c>
      <c r="H177" s="31">
        <v>66.66</v>
      </c>
      <c r="I177" s="31">
        <v>74.56</v>
      </c>
      <c r="J177" s="31">
        <v>69.64</v>
      </c>
      <c r="K177" s="31">
        <v>98.99</v>
      </c>
      <c r="L177" s="31">
        <v>102.81</v>
      </c>
      <c r="M177" s="31">
        <v>81.099999999999994</v>
      </c>
      <c r="N177" s="31">
        <v>57.78</v>
      </c>
      <c r="O177" s="31">
        <v>66.849999999999994</v>
      </c>
      <c r="P177" s="31">
        <v>76.25</v>
      </c>
      <c r="Q177" s="32">
        <v>926.04</v>
      </c>
      <c r="R177" s="32"/>
    </row>
    <row r="178" spans="1:18" x14ac:dyDescent="0.25">
      <c r="A178" s="32">
        <v>107</v>
      </c>
      <c r="B178" s="33" t="s">
        <v>214</v>
      </c>
      <c r="C178" s="31"/>
      <c r="D178" s="31"/>
      <c r="E178" s="31">
        <v>33223.94</v>
      </c>
      <c r="F178" s="31">
        <v>38488.199999999997</v>
      </c>
      <c r="G178" s="31">
        <v>34841.1</v>
      </c>
      <c r="H178" s="31">
        <v>33566.839999999997</v>
      </c>
      <c r="I178" s="31">
        <v>35581.46</v>
      </c>
      <c r="J178" s="31">
        <v>31103.1</v>
      </c>
      <c r="K178" s="31">
        <v>45274.26</v>
      </c>
      <c r="L178" s="31">
        <v>45633.57</v>
      </c>
      <c r="M178" s="31">
        <v>32783.050000000003</v>
      </c>
      <c r="N178" s="31">
        <v>28531.71</v>
      </c>
      <c r="O178" s="31">
        <v>28863.37</v>
      </c>
      <c r="P178" s="31">
        <v>31099.63</v>
      </c>
      <c r="Q178" s="32">
        <v>418990.23</v>
      </c>
      <c r="R178" s="32"/>
    </row>
    <row r="179" spans="1:18" x14ac:dyDescent="0.25">
      <c r="A179" s="32">
        <v>109</v>
      </c>
      <c r="B179" s="33" t="s">
        <v>215</v>
      </c>
      <c r="C179" s="31"/>
      <c r="D179" s="31"/>
      <c r="E179" s="31">
        <v>119056.63</v>
      </c>
      <c r="F179" s="31">
        <v>139699.64000000001</v>
      </c>
      <c r="G179" s="31">
        <v>123863.13</v>
      </c>
      <c r="H179" s="31">
        <v>122175.49</v>
      </c>
      <c r="I179" s="31">
        <v>132325.84</v>
      </c>
      <c r="J179" s="31">
        <v>112386.55</v>
      </c>
      <c r="K179" s="31">
        <v>157379.93</v>
      </c>
      <c r="L179" s="31">
        <v>179364.83</v>
      </c>
      <c r="M179" s="31">
        <v>129140.58</v>
      </c>
      <c r="N179" s="31">
        <v>110118.72</v>
      </c>
      <c r="O179" s="31">
        <v>104336</v>
      </c>
      <c r="P179" s="31">
        <v>107347.59</v>
      </c>
      <c r="Q179" s="32">
        <v>1537194.9300000002</v>
      </c>
      <c r="R179" s="32"/>
    </row>
    <row r="180" spans="1:18" x14ac:dyDescent="0.25">
      <c r="A180" s="32">
        <v>110</v>
      </c>
      <c r="B180" s="33" t="s">
        <v>216</v>
      </c>
      <c r="C180" s="31"/>
      <c r="D180" s="31"/>
      <c r="E180" s="31">
        <v>4079.84</v>
      </c>
      <c r="F180" s="31">
        <v>5022.41</v>
      </c>
      <c r="G180" s="31">
        <v>4437.49</v>
      </c>
      <c r="H180" s="31">
        <v>4412.01</v>
      </c>
      <c r="I180" s="31">
        <v>4726.78</v>
      </c>
      <c r="J180" s="31">
        <v>4006.77</v>
      </c>
      <c r="K180" s="31">
        <v>5905.47</v>
      </c>
      <c r="L180" s="31">
        <v>5999.21</v>
      </c>
      <c r="M180" s="31">
        <v>4184.92</v>
      </c>
      <c r="N180" s="31">
        <v>3794.99</v>
      </c>
      <c r="O180" s="31">
        <v>4376.5</v>
      </c>
      <c r="P180" s="31">
        <v>3630.03</v>
      </c>
      <c r="Q180" s="32">
        <v>54576.42</v>
      </c>
      <c r="R180" s="32"/>
    </row>
    <row r="181" spans="1:18" x14ac:dyDescent="0.25">
      <c r="A181" s="32">
        <v>111</v>
      </c>
      <c r="B181" s="33" t="s">
        <v>217</v>
      </c>
      <c r="C181" s="31"/>
      <c r="D181" s="31"/>
      <c r="E181" s="31">
        <v>16904.8</v>
      </c>
      <c r="F181" s="31">
        <v>15734.72</v>
      </c>
      <c r="G181" s="31">
        <v>14926.7</v>
      </c>
      <c r="H181" s="31">
        <v>14134.55</v>
      </c>
      <c r="I181" s="31">
        <v>14960.43</v>
      </c>
      <c r="J181" s="31">
        <v>13633.38</v>
      </c>
      <c r="K181" s="31">
        <v>17663.490000000002</v>
      </c>
      <c r="L181" s="31">
        <v>19441.080000000002</v>
      </c>
      <c r="M181" s="31">
        <v>13566.46</v>
      </c>
      <c r="N181" s="31">
        <v>12470.51</v>
      </c>
      <c r="O181" s="31">
        <v>13481.95</v>
      </c>
      <c r="P181" s="31">
        <v>14129.15</v>
      </c>
      <c r="Q181" s="32">
        <v>181047.22000000003</v>
      </c>
      <c r="R181" s="32"/>
    </row>
    <row r="182" spans="1:18" x14ac:dyDescent="0.25">
      <c r="A182" s="32">
        <v>113</v>
      </c>
      <c r="B182" s="33" t="s">
        <v>218</v>
      </c>
      <c r="C182" s="31"/>
      <c r="D182" s="31"/>
      <c r="E182" s="31">
        <v>277429.17</v>
      </c>
      <c r="F182" s="31">
        <v>308876.65000000002</v>
      </c>
      <c r="G182" s="31">
        <v>278393.65999999997</v>
      </c>
      <c r="H182" s="31">
        <v>259713.5</v>
      </c>
      <c r="I182" s="31">
        <v>272021.19</v>
      </c>
      <c r="J182" s="31">
        <v>235045.55</v>
      </c>
      <c r="K182" s="31">
        <v>321874.13</v>
      </c>
      <c r="L182" s="31">
        <v>344022.26</v>
      </c>
      <c r="M182" s="31">
        <v>213046.49</v>
      </c>
      <c r="N182" s="31">
        <v>189756.98</v>
      </c>
      <c r="O182" s="31">
        <v>200580.77</v>
      </c>
      <c r="P182" s="31">
        <v>199142.05</v>
      </c>
      <c r="Q182" s="32">
        <v>3099902.4000000004</v>
      </c>
      <c r="R182" s="32"/>
    </row>
    <row r="183" spans="1:18" x14ac:dyDescent="0.25">
      <c r="A183" s="32">
        <v>116</v>
      </c>
      <c r="B183" s="33" t="s">
        <v>219</v>
      </c>
      <c r="C183" s="31"/>
      <c r="D183" s="31"/>
      <c r="E183" s="31">
        <v>28308.07</v>
      </c>
      <c r="F183" s="31">
        <v>33980.720000000001</v>
      </c>
      <c r="G183" s="31">
        <v>30916.46</v>
      </c>
      <c r="H183" s="31">
        <v>29363</v>
      </c>
      <c r="I183" s="31">
        <v>31561.42</v>
      </c>
      <c r="J183" s="31">
        <v>27471.58</v>
      </c>
      <c r="K183" s="31">
        <v>32761.73</v>
      </c>
      <c r="L183" s="31">
        <v>43651.95</v>
      </c>
      <c r="M183" s="31">
        <v>33292.43</v>
      </c>
      <c r="N183" s="31">
        <v>27974.43</v>
      </c>
      <c r="O183" s="31">
        <v>18862.55</v>
      </c>
      <c r="P183" s="31">
        <v>26693.4</v>
      </c>
      <c r="Q183" s="32">
        <v>364837.74</v>
      </c>
      <c r="R183" s="32"/>
    </row>
    <row r="184" spans="1:18" x14ac:dyDescent="0.25">
      <c r="A184" s="32">
        <v>120</v>
      </c>
      <c r="B184" s="33" t="s">
        <v>220</v>
      </c>
      <c r="C184" s="31"/>
      <c r="D184" s="31"/>
      <c r="E184" s="31">
        <v>73.58</v>
      </c>
      <c r="F184" s="31">
        <v>93.53</v>
      </c>
      <c r="G184" s="31">
        <v>116.91</v>
      </c>
      <c r="H184" s="31">
        <v>41.95</v>
      </c>
      <c r="I184" s="31">
        <v>74.55</v>
      </c>
      <c r="J184" s="31">
        <v>67.83</v>
      </c>
      <c r="K184" s="31">
        <v>96.03</v>
      </c>
      <c r="L184" s="31">
        <v>116.6</v>
      </c>
      <c r="M184" s="31">
        <v>67.739999999999995</v>
      </c>
      <c r="N184" s="31">
        <v>58.79</v>
      </c>
      <c r="O184" s="31">
        <v>58.48</v>
      </c>
      <c r="P184" s="31">
        <v>79.39</v>
      </c>
      <c r="Q184" s="32">
        <v>945.38</v>
      </c>
      <c r="R184" s="32"/>
    </row>
    <row r="185" spans="1:18" x14ac:dyDescent="0.25">
      <c r="A185" s="32">
        <v>122</v>
      </c>
      <c r="B185" s="33" t="s">
        <v>221</v>
      </c>
      <c r="C185" s="31"/>
      <c r="D185" s="31"/>
      <c r="E185" s="31">
        <v>2159.75</v>
      </c>
      <c r="F185" s="31">
        <v>2510.9299999999998</v>
      </c>
      <c r="G185" s="31">
        <v>2128.11</v>
      </c>
      <c r="H185" s="31">
        <v>2133</v>
      </c>
      <c r="I185" s="31">
        <v>2309.5100000000002</v>
      </c>
      <c r="J185" s="31">
        <v>1912.96</v>
      </c>
      <c r="K185" s="31">
        <v>2616.4699999999998</v>
      </c>
      <c r="L185" s="31">
        <v>2929.14</v>
      </c>
      <c r="M185" s="31">
        <v>1994.06</v>
      </c>
      <c r="N185" s="31">
        <v>1836.21</v>
      </c>
      <c r="O185" s="31">
        <v>1947.93</v>
      </c>
      <c r="P185" s="31">
        <v>2288.5</v>
      </c>
      <c r="Q185" s="32">
        <v>26766.570000000003</v>
      </c>
      <c r="R185" s="32"/>
    </row>
    <row r="186" spans="1:18" x14ac:dyDescent="0.25">
      <c r="A186" s="32">
        <v>126</v>
      </c>
      <c r="B186" s="33" t="s">
        <v>222</v>
      </c>
      <c r="C186" s="31"/>
      <c r="D186" s="31"/>
      <c r="E186" s="31">
        <v>155.13999999999999</v>
      </c>
      <c r="F186" s="31">
        <v>161.26</v>
      </c>
      <c r="G186" s="31">
        <v>168.77</v>
      </c>
      <c r="H186" s="31">
        <v>151.69999999999999</v>
      </c>
      <c r="I186" s="31">
        <v>151.47999999999999</v>
      </c>
      <c r="J186" s="31">
        <v>148.83000000000001</v>
      </c>
      <c r="K186" s="31">
        <v>200.23</v>
      </c>
      <c r="L186" s="31">
        <v>215.06</v>
      </c>
      <c r="M186" s="31">
        <v>140.66999999999999</v>
      </c>
      <c r="N186" s="31">
        <v>154.56</v>
      </c>
      <c r="O186" s="31">
        <v>192.77</v>
      </c>
      <c r="P186" s="31">
        <v>194.95</v>
      </c>
      <c r="Q186" s="32">
        <v>2035.4199999999998</v>
      </c>
      <c r="R186" s="32"/>
    </row>
    <row r="187" spans="1:18" x14ac:dyDescent="0.25">
      <c r="A187" s="32">
        <v>130</v>
      </c>
      <c r="B187" s="33" t="s">
        <v>223</v>
      </c>
      <c r="C187" s="31"/>
      <c r="D187" s="31"/>
      <c r="E187" s="31">
        <v>78.08</v>
      </c>
      <c r="F187" s="31">
        <v>98.21</v>
      </c>
      <c r="G187" s="31">
        <v>93.55</v>
      </c>
      <c r="H187" s="31">
        <v>90.51</v>
      </c>
      <c r="I187" s="31">
        <v>264.82</v>
      </c>
      <c r="J187" s="31">
        <v>267.11</v>
      </c>
      <c r="K187" s="31">
        <v>378.63</v>
      </c>
      <c r="L187" s="31">
        <v>425.62</v>
      </c>
      <c r="M187" s="31">
        <v>277.54000000000002</v>
      </c>
      <c r="N187" s="31">
        <v>242.89</v>
      </c>
      <c r="O187" s="31">
        <v>273.52999999999997</v>
      </c>
      <c r="P187" s="31">
        <v>268.58999999999997</v>
      </c>
      <c r="Q187" s="32">
        <v>2759.08</v>
      </c>
      <c r="R187" s="32"/>
    </row>
    <row r="188" spans="1:18" x14ac:dyDescent="0.25">
      <c r="A188" s="32">
        <v>131</v>
      </c>
      <c r="B188" s="33" t="s">
        <v>224</v>
      </c>
      <c r="C188" s="31"/>
      <c r="D188" s="31"/>
      <c r="E188" s="31">
        <v>6399.08</v>
      </c>
      <c r="F188" s="31">
        <v>7619.17</v>
      </c>
      <c r="G188" s="31">
        <v>6663.76</v>
      </c>
      <c r="H188" s="31">
        <v>6900.36</v>
      </c>
      <c r="I188" s="31">
        <v>7119.32</v>
      </c>
      <c r="J188" s="31">
        <v>6079.25</v>
      </c>
      <c r="K188" s="31">
        <v>8610.18</v>
      </c>
      <c r="L188" s="31">
        <v>10015.4</v>
      </c>
      <c r="M188" s="31">
        <v>5601.67</v>
      </c>
      <c r="N188" s="31">
        <v>5838.63</v>
      </c>
      <c r="O188" s="31">
        <v>4912.12</v>
      </c>
      <c r="P188" s="31">
        <v>4283.04</v>
      </c>
      <c r="Q188" s="32">
        <v>80041.98</v>
      </c>
      <c r="R188" s="32"/>
    </row>
    <row r="189" spans="1:18" x14ac:dyDescent="0.25">
      <c r="A189" s="32">
        <v>136</v>
      </c>
      <c r="B189" s="33" t="s">
        <v>225</v>
      </c>
      <c r="C189" s="31"/>
      <c r="D189" s="31"/>
      <c r="E189" s="31">
        <v>417.18</v>
      </c>
      <c r="F189" s="31">
        <v>449.58</v>
      </c>
      <c r="G189" s="31">
        <v>451.67</v>
      </c>
      <c r="H189" s="31">
        <v>406.46</v>
      </c>
      <c r="I189" s="31">
        <v>440.31</v>
      </c>
      <c r="J189" s="31">
        <v>397.13</v>
      </c>
      <c r="K189" s="31">
        <v>584.86</v>
      </c>
      <c r="L189" s="31">
        <v>593.16</v>
      </c>
      <c r="M189" s="31">
        <v>483.88</v>
      </c>
      <c r="N189" s="31">
        <v>410.57</v>
      </c>
      <c r="O189" s="31">
        <v>430.45</v>
      </c>
      <c r="P189" s="31">
        <v>440.53</v>
      </c>
      <c r="Q189" s="32">
        <v>5505.78</v>
      </c>
      <c r="R189" s="32"/>
    </row>
    <row r="190" spans="1:18" x14ac:dyDescent="0.25">
      <c r="A190" s="32">
        <v>150</v>
      </c>
      <c r="B190" s="33" t="s">
        <v>297</v>
      </c>
      <c r="C190" s="31"/>
      <c r="D190" s="31"/>
      <c r="E190" s="31">
        <v>55483.96</v>
      </c>
      <c r="F190" s="31">
        <v>69671.199999999997</v>
      </c>
      <c r="G190" s="31">
        <v>67888.240000000005</v>
      </c>
      <c r="H190" s="31">
        <v>67258.5</v>
      </c>
      <c r="I190" s="31">
        <v>75856.83</v>
      </c>
      <c r="J190" s="31">
        <v>73222.429999999993</v>
      </c>
      <c r="K190" s="31">
        <v>103011.75</v>
      </c>
      <c r="L190" s="31">
        <v>118438.07</v>
      </c>
      <c r="M190" s="31">
        <v>98905.7</v>
      </c>
      <c r="N190" s="31">
        <v>90756</v>
      </c>
      <c r="O190" s="31">
        <v>101304.85</v>
      </c>
      <c r="P190" s="31">
        <v>112393.8</v>
      </c>
      <c r="Q190" s="32">
        <v>1034191.33</v>
      </c>
      <c r="R190" s="32"/>
    </row>
    <row r="191" spans="1:18" x14ac:dyDescent="0.25">
      <c r="A191" s="32">
        <v>151</v>
      </c>
      <c r="B191" s="33" t="s">
        <v>307</v>
      </c>
      <c r="C191" s="31"/>
      <c r="D191" s="31"/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16.989999999999998</v>
      </c>
      <c r="P191" s="31">
        <v>22.28</v>
      </c>
      <c r="Q191" s="32">
        <v>39.269999999999996</v>
      </c>
      <c r="R191" s="32"/>
    </row>
    <row r="192" spans="1:18" x14ac:dyDescent="0.25">
      <c r="A192" s="32">
        <v>152</v>
      </c>
      <c r="B192" s="33" t="s">
        <v>298</v>
      </c>
      <c r="C192" s="31"/>
      <c r="D192" s="31"/>
      <c r="E192" s="31">
        <v>0</v>
      </c>
      <c r="F192" s="31">
        <v>0</v>
      </c>
      <c r="G192" s="31">
        <v>0</v>
      </c>
      <c r="H192" s="31">
        <v>11.76</v>
      </c>
      <c r="I192" s="31">
        <v>17.690000000000001</v>
      </c>
      <c r="J192" s="31">
        <v>15.81</v>
      </c>
      <c r="K192" s="31">
        <v>18.489999999999998</v>
      </c>
      <c r="L192" s="31">
        <v>21.68</v>
      </c>
      <c r="M192" s="31">
        <v>16.440000000000001</v>
      </c>
      <c r="N192" s="31">
        <v>19.48</v>
      </c>
      <c r="O192" s="31">
        <v>30.56</v>
      </c>
      <c r="P192" s="31">
        <v>65.36</v>
      </c>
      <c r="Q192" s="32">
        <v>217.26999999999998</v>
      </c>
      <c r="R192" s="32"/>
    </row>
    <row r="193" spans="1:18" x14ac:dyDescent="0.25">
      <c r="A193" s="32">
        <v>153</v>
      </c>
      <c r="B193" s="33" t="s">
        <v>305</v>
      </c>
      <c r="C193" s="31"/>
      <c r="D193" s="31"/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87.32</v>
      </c>
      <c r="Q193" s="32">
        <v>87.32</v>
      </c>
      <c r="R193" s="32"/>
    </row>
    <row r="194" spans="1:18" x14ac:dyDescent="0.25">
      <c r="A194" s="32">
        <v>160</v>
      </c>
      <c r="B194" s="33" t="s">
        <v>299</v>
      </c>
      <c r="C194" s="31"/>
      <c r="D194" s="31"/>
      <c r="E194" s="31">
        <v>65.02</v>
      </c>
      <c r="F194" s="31">
        <v>156.74</v>
      </c>
      <c r="G194" s="31">
        <v>129.69</v>
      </c>
      <c r="H194" s="31">
        <v>130.63999999999999</v>
      </c>
      <c r="I194" s="31">
        <v>141.36000000000001</v>
      </c>
      <c r="J194" s="31">
        <v>121.5</v>
      </c>
      <c r="K194" s="31">
        <v>190.28</v>
      </c>
      <c r="L194" s="31">
        <v>189.87</v>
      </c>
      <c r="M194" s="31">
        <v>145.93</v>
      </c>
      <c r="N194" s="31">
        <v>137.72999999999999</v>
      </c>
      <c r="O194" s="31">
        <v>199.09</v>
      </c>
      <c r="P194" s="31">
        <v>255.38</v>
      </c>
      <c r="Q194" s="32">
        <v>1863.23</v>
      </c>
      <c r="R194" s="32"/>
    </row>
    <row r="195" spans="1:18" x14ac:dyDescent="0.25">
      <c r="A195" s="32">
        <v>162</v>
      </c>
      <c r="B195" s="33" t="s">
        <v>298</v>
      </c>
      <c r="C195" s="31"/>
      <c r="D195" s="31"/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2">
        <v>0</v>
      </c>
      <c r="R195" s="32"/>
    </row>
    <row r="196" spans="1:18" x14ac:dyDescent="0.25">
      <c r="A196" s="32">
        <v>165</v>
      </c>
      <c r="B196" s="33" t="s">
        <v>298</v>
      </c>
      <c r="C196" s="31"/>
      <c r="D196" s="31"/>
      <c r="E196" s="31">
        <v>328.04</v>
      </c>
      <c r="F196" s="31">
        <v>708.89</v>
      </c>
      <c r="G196" s="31">
        <v>816.73</v>
      </c>
      <c r="H196" s="31">
        <v>867.43</v>
      </c>
      <c r="I196" s="31">
        <v>1028.6600000000001</v>
      </c>
      <c r="J196" s="31">
        <v>1214.72</v>
      </c>
      <c r="K196" s="31">
        <v>1716.68</v>
      </c>
      <c r="L196" s="31">
        <v>2441.92</v>
      </c>
      <c r="M196" s="31">
        <v>2663.48</v>
      </c>
      <c r="N196" s="31">
        <v>2950.51</v>
      </c>
      <c r="O196" s="31">
        <v>4568.75</v>
      </c>
      <c r="P196" s="31">
        <v>6600.78</v>
      </c>
      <c r="Q196" s="32">
        <v>25906.589999999997</v>
      </c>
      <c r="R196" s="32"/>
    </row>
    <row r="197" spans="1:18" x14ac:dyDescent="0.25">
      <c r="A197" s="32">
        <v>166</v>
      </c>
      <c r="B197" s="33" t="s">
        <v>300</v>
      </c>
      <c r="C197" s="31"/>
      <c r="D197" s="31"/>
      <c r="E197" s="31">
        <v>0</v>
      </c>
      <c r="F197" s="31">
        <v>0</v>
      </c>
      <c r="G197" s="31">
        <v>175.57</v>
      </c>
      <c r="H197" s="31">
        <v>-11.7</v>
      </c>
      <c r="I197" s="31">
        <v>743.69</v>
      </c>
      <c r="J197" s="31">
        <v>1416.76</v>
      </c>
      <c r="K197" s="31">
        <v>2033.27</v>
      </c>
      <c r="L197" s="31">
        <v>2556.87</v>
      </c>
      <c r="M197" s="31">
        <v>2105.73</v>
      </c>
      <c r="N197" s="31">
        <v>2412.21</v>
      </c>
      <c r="O197" s="31">
        <v>2563.58</v>
      </c>
      <c r="P197" s="31">
        <v>3097.01</v>
      </c>
      <c r="Q197" s="32">
        <v>17092.990000000002</v>
      </c>
      <c r="R197" s="32"/>
    </row>
    <row r="198" spans="1:18" x14ac:dyDescent="0.25">
      <c r="A198" s="32">
        <v>175</v>
      </c>
      <c r="B198" s="33" t="s">
        <v>301</v>
      </c>
      <c r="C198" s="31"/>
      <c r="D198" s="31"/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2">
        <v>0</v>
      </c>
      <c r="R198" s="32"/>
    </row>
    <row r="199" spans="1:18" x14ac:dyDescent="0.25">
      <c r="A199" s="32">
        <v>201</v>
      </c>
      <c r="B199" s="33" t="s">
        <v>301</v>
      </c>
      <c r="C199" s="31"/>
      <c r="D199" s="31"/>
      <c r="E199" s="31">
        <v>-79.73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>
        <v>0</v>
      </c>
      <c r="N199" s="31">
        <v>0</v>
      </c>
      <c r="O199" s="31">
        <v>0</v>
      </c>
      <c r="P199" s="31">
        <v>0</v>
      </c>
      <c r="Q199" s="32">
        <v>-79.73</v>
      </c>
      <c r="R199" s="32"/>
    </row>
    <row r="200" spans="1:18" x14ac:dyDescent="0.25">
      <c r="A200" s="39" t="s">
        <v>256</v>
      </c>
      <c r="B200" s="123"/>
      <c r="C200" s="85"/>
      <c r="D200" s="85"/>
      <c r="E200" s="85">
        <v>816573.25999999989</v>
      </c>
      <c r="F200" s="85">
        <v>928615.45</v>
      </c>
      <c r="G200" s="85">
        <v>840223.34</v>
      </c>
      <c r="H200" s="85">
        <v>801840.77999999991</v>
      </c>
      <c r="I200" s="85">
        <v>853775.01</v>
      </c>
      <c r="J200" s="85">
        <v>747841.84999999986</v>
      </c>
      <c r="K200" s="85">
        <v>1024085.89</v>
      </c>
      <c r="L200" s="85">
        <v>1132739.7000000002</v>
      </c>
      <c r="M200" s="85">
        <v>763643.70000000007</v>
      </c>
      <c r="N200" s="85">
        <v>679876.8</v>
      </c>
      <c r="O200" s="85">
        <v>697604.06</v>
      </c>
      <c r="P200" s="85">
        <v>731263.3</v>
      </c>
      <c r="Q200" s="31">
        <v>10018083.140000001</v>
      </c>
      <c r="R200" s="32"/>
    </row>
    <row r="201" spans="1:18" x14ac:dyDescent="0.25">
      <c r="A201" s="32"/>
      <c r="B201" s="33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</row>
    <row r="202" spans="1:18" x14ac:dyDescent="0.25">
      <c r="A202" s="32">
        <v>528</v>
      </c>
      <c r="B202" s="33" t="s">
        <v>75</v>
      </c>
      <c r="C202" s="31"/>
      <c r="D202" s="31"/>
      <c r="E202" s="31">
        <v>146199.39000000001</v>
      </c>
      <c r="F202" s="31">
        <v>151454.82</v>
      </c>
      <c r="G202" s="31">
        <v>153088.70000000001</v>
      </c>
      <c r="H202" s="31">
        <v>160733.70000000001</v>
      </c>
      <c r="I202" s="31">
        <v>160437.45000000001</v>
      </c>
      <c r="J202" s="31">
        <v>151166.76</v>
      </c>
      <c r="K202" s="31">
        <v>163194.64000000001</v>
      </c>
      <c r="L202" s="31">
        <v>185381.39</v>
      </c>
      <c r="M202" s="31">
        <v>185479.32</v>
      </c>
      <c r="N202" s="31">
        <v>177446.02</v>
      </c>
      <c r="O202" s="31">
        <v>175646.74</v>
      </c>
      <c r="P202" s="31">
        <v>121615.27</v>
      </c>
      <c r="Q202" s="31">
        <v>1931844.2000000002</v>
      </c>
      <c r="R202" s="32"/>
    </row>
    <row r="203" spans="1:18" x14ac:dyDescent="0.25">
      <c r="A203" s="32"/>
      <c r="B203" s="38" t="s">
        <v>0</v>
      </c>
      <c r="C203" s="85"/>
      <c r="D203" s="85"/>
      <c r="E203" s="85">
        <f>E202+E200+E167+E165+E161+E157+E153+E151+E150+E149+E148+E146+E144+E142+E140+E138+E134+E133+E131+E129+E125+E123+E119+E117+E115+E111+E109+E105+E103+E101+E99+E97+E91</f>
        <v>48580067.909999996</v>
      </c>
      <c r="F203" s="85">
        <f t="shared" ref="F203:O203" si="75">F202+F200+F167+F165+F161+F157+F153+F151+F150+F149+F148+F146+F144+F142+F140+F138+F134+F133+F131+F129+F125+F123+F119+F117+F115+F111+F109+F105+F103+F101+F99+F97+F91</f>
        <v>55436647.570000008</v>
      </c>
      <c r="G203" s="85">
        <f t="shared" si="75"/>
        <v>59035036.490000002</v>
      </c>
      <c r="H203" s="85">
        <f t="shared" si="75"/>
        <v>65771536.530000001</v>
      </c>
      <c r="I203" s="85">
        <f t="shared" si="75"/>
        <v>62339370.57</v>
      </c>
      <c r="J203" s="85">
        <f t="shared" si="75"/>
        <v>51571224.810000017</v>
      </c>
      <c r="K203" s="85">
        <f t="shared" si="75"/>
        <v>55360985.899999991</v>
      </c>
      <c r="L203" s="85">
        <f t="shared" si="75"/>
        <v>66911206.290000014</v>
      </c>
      <c r="M203" s="85">
        <f t="shared" si="75"/>
        <v>71730884.120000005</v>
      </c>
      <c r="N203" s="85">
        <f t="shared" si="75"/>
        <v>67064207.159999996</v>
      </c>
      <c r="O203" s="85">
        <f t="shared" si="75"/>
        <v>51827799.609999999</v>
      </c>
      <c r="P203" s="85">
        <f>P202+P200+P167+P165+P161+P157+P153+P151+P150+P149+P148+P146+P144+P142+P140+P138+P134+P133+P131+P129+P125+P123+P119+P117+P115+P111+P109+P105+P103+P101+P99+P97+P91</f>
        <v>38373559.259999998</v>
      </c>
      <c r="Q203" s="31">
        <f>SUM(E203:P203)</f>
        <v>694002526.22000003</v>
      </c>
      <c r="R203" s="32"/>
    </row>
    <row r="204" spans="1:18" s="108" customFormat="1" x14ac:dyDescent="0.25">
      <c r="A204" s="32"/>
      <c r="B204" s="33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 t="s">
        <v>164</v>
      </c>
      <c r="R204" s="32"/>
    </row>
    <row r="205" spans="1:18" x14ac:dyDescent="0.25">
      <c r="A205" s="32"/>
      <c r="B205" s="34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2"/>
      <c r="R205" s="32"/>
    </row>
    <row r="206" spans="1:18" x14ac:dyDescent="0.25">
      <c r="A206" s="32"/>
      <c r="B206" s="34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</row>
    <row r="207" spans="1:18" x14ac:dyDescent="0.25">
      <c r="A207" s="32"/>
      <c r="B207" s="34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</row>
    <row r="208" spans="1:18" x14ac:dyDescent="0.25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</row>
    <row r="209" spans="2:17" s="32" customFormat="1" ht="14.25" x14ac:dyDescent="0.2">
      <c r="B209" s="32" t="s">
        <v>172</v>
      </c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</row>
    <row r="210" spans="2:17" s="32" customFormat="1" ht="14.25" x14ac:dyDescent="0.2">
      <c r="B210" s="32" t="s">
        <v>174</v>
      </c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</row>
    <row r="211" spans="2:17" s="32" customFormat="1" ht="14.25" x14ac:dyDescent="0.2">
      <c r="B211" s="32" t="s">
        <v>0</v>
      </c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</row>
    <row r="212" spans="2:17" s="32" customFormat="1" ht="14.25" x14ac:dyDescent="0.2">
      <c r="B212" s="32" t="s">
        <v>173</v>
      </c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</row>
    <row r="216" spans="2:17" x14ac:dyDescent="0.25">
      <c r="B216" s="46" t="s">
        <v>245</v>
      </c>
      <c r="E216" s="126">
        <v>48580067.909999989</v>
      </c>
      <c r="F216" s="126">
        <v>55436647.57</v>
      </c>
      <c r="G216" s="126">
        <v>59035036.489999995</v>
      </c>
      <c r="H216" s="126">
        <v>65771536.530000001</v>
      </c>
      <c r="I216" s="126">
        <v>62339370.569999993</v>
      </c>
      <c r="J216" s="126">
        <v>51571224.810000002</v>
      </c>
      <c r="K216" s="126">
        <v>55360985.899999991</v>
      </c>
      <c r="L216" s="126">
        <v>66911206.290000007</v>
      </c>
      <c r="M216" s="126">
        <v>71730884.120000005</v>
      </c>
      <c r="N216" s="126">
        <v>67064207.159999996</v>
      </c>
      <c r="O216" s="126">
        <v>51827799.610000007</v>
      </c>
      <c r="P216" s="126">
        <v>38373559.260000005</v>
      </c>
      <c r="Q216" s="31">
        <v>694002526.21999991</v>
      </c>
    </row>
    <row r="218" spans="2:17" x14ac:dyDescent="0.25">
      <c r="B218" s="46" t="s">
        <v>245</v>
      </c>
      <c r="E218" s="127">
        <f>E203-E216</f>
        <v>0</v>
      </c>
      <c r="F218" s="127">
        <f t="shared" ref="F218:P218" si="76">F203-F216</f>
        <v>0</v>
      </c>
      <c r="G218" s="127">
        <f t="shared" si="76"/>
        <v>0</v>
      </c>
      <c r="H218" s="127">
        <f t="shared" si="76"/>
        <v>0</v>
      </c>
      <c r="I218" s="127">
        <f t="shared" si="76"/>
        <v>0</v>
      </c>
      <c r="J218" s="127">
        <f t="shared" si="76"/>
        <v>0</v>
      </c>
      <c r="K218" s="127">
        <f t="shared" si="76"/>
        <v>0</v>
      </c>
      <c r="L218" s="127">
        <f t="shared" si="76"/>
        <v>0</v>
      </c>
      <c r="M218" s="127">
        <f t="shared" si="76"/>
        <v>0</v>
      </c>
      <c r="N218" s="127">
        <f t="shared" si="76"/>
        <v>0</v>
      </c>
      <c r="O218" s="127">
        <f t="shared" si="76"/>
        <v>0</v>
      </c>
      <c r="P218" s="127">
        <f t="shared" si="76"/>
        <v>0</v>
      </c>
    </row>
    <row r="220" spans="2:17" x14ac:dyDescent="0.25">
      <c r="B220" s="51" t="s">
        <v>304</v>
      </c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85"/>
  <sheetViews>
    <sheetView zoomScaleNormal="100" workbookViewId="0">
      <pane xSplit="1" ySplit="8" topLeftCell="B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I29" sqref="I29"/>
    </sheetView>
  </sheetViews>
  <sheetFormatPr defaultRowHeight="12.75" x14ac:dyDescent="0.2"/>
  <cols>
    <col min="1" max="1" width="17.42578125" style="51" customWidth="1"/>
    <col min="2" max="3" width="1" style="51" customWidth="1"/>
    <col min="4" max="4" width="13.85546875" style="51" bestFit="1" customWidth="1"/>
    <col min="5" max="15" width="13.85546875" style="51" customWidth="1"/>
    <col min="16" max="16384" width="9.140625" style="51"/>
  </cols>
  <sheetData>
    <row r="1" spans="1:17" ht="15" x14ac:dyDescent="0.25">
      <c r="A1" s="46" t="s">
        <v>70</v>
      </c>
      <c r="D1" s="97"/>
    </row>
    <row r="2" spans="1:17" ht="15" x14ac:dyDescent="0.25">
      <c r="A2" s="46" t="s">
        <v>71</v>
      </c>
    </row>
    <row r="3" spans="1:17" ht="15" x14ac:dyDescent="0.25">
      <c r="A3" s="46" t="str">
        <f>'B&amp;A kWh'!B3</f>
        <v>TEST YEAR ENDED March 31, 2023</v>
      </c>
    </row>
    <row r="4" spans="1:17" ht="15" x14ac:dyDescent="0.25">
      <c r="A4" s="98"/>
    </row>
    <row r="5" spans="1:17" ht="15" x14ac:dyDescent="0.25">
      <c r="A5" s="98" t="s">
        <v>90</v>
      </c>
    </row>
    <row r="6" spans="1:17" ht="15" x14ac:dyDescent="0.25">
      <c r="A6" s="98"/>
    </row>
    <row r="7" spans="1:17" ht="15" x14ac:dyDescent="0.25">
      <c r="A7" s="99" t="s">
        <v>80</v>
      </c>
      <c r="C7" s="24"/>
      <c r="D7" s="24">
        <v>2022</v>
      </c>
      <c r="E7" s="24"/>
      <c r="F7" s="24"/>
      <c r="G7" s="24"/>
      <c r="H7" s="24"/>
      <c r="I7" s="24"/>
      <c r="J7" s="24"/>
      <c r="K7" s="24"/>
      <c r="L7" s="24"/>
      <c r="M7" s="24"/>
      <c r="N7" s="51">
        <v>2023</v>
      </c>
    </row>
    <row r="8" spans="1:17" ht="15" x14ac:dyDescent="0.25">
      <c r="A8" s="98" t="s">
        <v>22</v>
      </c>
      <c r="B8" s="100" t="s">
        <v>106</v>
      </c>
      <c r="C8" s="100" t="s">
        <v>107</v>
      </c>
      <c r="D8" s="80" t="s">
        <v>109</v>
      </c>
      <c r="E8" s="80" t="s">
        <v>110</v>
      </c>
      <c r="F8" s="80" t="s">
        <v>111</v>
      </c>
      <c r="G8" s="80" t="s">
        <v>112</v>
      </c>
      <c r="H8" s="80" t="s">
        <v>113</v>
      </c>
      <c r="I8" s="80" t="s">
        <v>114</v>
      </c>
      <c r="J8" s="80" t="s">
        <v>115</v>
      </c>
      <c r="K8" s="80" t="s">
        <v>116</v>
      </c>
      <c r="L8" s="80" t="s">
        <v>117</v>
      </c>
      <c r="M8" s="80" t="s">
        <v>106</v>
      </c>
      <c r="N8" s="80" t="s">
        <v>107</v>
      </c>
      <c r="O8" s="80" t="s">
        <v>108</v>
      </c>
    </row>
    <row r="9" spans="1:17" ht="15" x14ac:dyDescent="0.25">
      <c r="A9" s="46"/>
      <c r="B9" s="101"/>
    </row>
    <row r="10" spans="1:17" ht="15" x14ac:dyDescent="0.25">
      <c r="A10" s="24" t="s">
        <v>21</v>
      </c>
      <c r="B10" s="101">
        <f>+'B&amp;A $'!C10+DSM!B12</f>
        <v>0</v>
      </c>
      <c r="C10" s="101">
        <f>+'B&amp;A $'!D10+DSM!C12</f>
        <v>0</v>
      </c>
      <c r="D10" s="101">
        <f>+'B&amp;A $'!E10+DSM!D12</f>
        <v>22471623.319999997</v>
      </c>
      <c r="E10" s="101">
        <f>+'B&amp;A $'!F10+DSM!E12</f>
        <v>21055459.830000002</v>
      </c>
      <c r="F10" s="101">
        <f>+'B&amp;A $'!G10+DSM!F12</f>
        <v>25715652.800000001</v>
      </c>
      <c r="G10" s="101">
        <f>+'B&amp;A $'!H10+DSM!G12</f>
        <v>29888626.310000002</v>
      </c>
      <c r="H10" s="101">
        <f>+'B&amp;A $'!I10+DSM!H12</f>
        <v>27773452.670000002</v>
      </c>
      <c r="I10" s="101">
        <f>+'B&amp;A $'!J10+DSM!I12</f>
        <v>20432112.420000002</v>
      </c>
      <c r="J10" s="101">
        <f>+'B&amp;A $'!K10+DSM!J12</f>
        <v>22033065.269999996</v>
      </c>
      <c r="K10" s="101">
        <f>+'B&amp;A $'!L10+DSM!K12</f>
        <v>28780404.800000001</v>
      </c>
      <c r="L10" s="101">
        <f>+'B&amp;A $'!M10+DSM!L12</f>
        <v>32673182.949999999</v>
      </c>
      <c r="M10" s="101">
        <f>+'B&amp;A $'!N10+DSM!M12</f>
        <v>32951151.379999999</v>
      </c>
      <c r="N10" s="101">
        <f>+'B&amp;A $'!O10+DSM!N12</f>
        <v>21201185.530000001</v>
      </c>
      <c r="O10" s="101">
        <f>+'B&amp;A $'!P10+DSM!O12</f>
        <v>16409454.66</v>
      </c>
      <c r="Q10" s="51">
        <v>10</v>
      </c>
    </row>
    <row r="11" spans="1:17" ht="15" x14ac:dyDescent="0.25">
      <c r="A11" s="24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Q11" s="51">
        <v>11</v>
      </c>
    </row>
    <row r="12" spans="1:17" ht="15" x14ac:dyDescent="0.25">
      <c r="A12" s="24" t="s">
        <v>20</v>
      </c>
      <c r="B12" s="101">
        <f>+'B&amp;A $'!C12+DSM!B14</f>
        <v>0</v>
      </c>
      <c r="C12" s="101">
        <f>+'B&amp;A $'!D12+DSM!C14</f>
        <v>0</v>
      </c>
      <c r="D12" s="101">
        <f>+'B&amp;A $'!E12+DSM!D14</f>
        <v>30594.409999999996</v>
      </c>
      <c r="E12" s="101">
        <f>+'B&amp;A $'!F12+DSM!E14</f>
        <v>29070.51</v>
      </c>
      <c r="F12" s="101">
        <f>+'B&amp;A $'!G12+DSM!F14</f>
        <v>36446.870000000003</v>
      </c>
      <c r="G12" s="101">
        <f>+'B&amp;A $'!H12+DSM!G14</f>
        <v>44012.380000000005</v>
      </c>
      <c r="H12" s="101">
        <f>+'B&amp;A $'!I12+DSM!H14</f>
        <v>39345.760000000002</v>
      </c>
      <c r="I12" s="101">
        <f>+'B&amp;A $'!J12+DSM!I14</f>
        <v>31543.61</v>
      </c>
      <c r="J12" s="101">
        <f>+'B&amp;A $'!K12+DSM!J14</f>
        <v>29858.38</v>
      </c>
      <c r="K12" s="101">
        <f>+'B&amp;A $'!L12+DSM!K14</f>
        <v>37989.870000000003</v>
      </c>
      <c r="L12" s="101">
        <f>+'B&amp;A $'!M12+DSM!L14</f>
        <v>50085.84</v>
      </c>
      <c r="M12" s="101">
        <f>+'B&amp;A $'!N12+DSM!M14</f>
        <v>55031.05</v>
      </c>
      <c r="N12" s="101">
        <f>+'B&amp;A $'!O12+DSM!N14</f>
        <v>28905.23</v>
      </c>
      <c r="O12" s="101">
        <f>+'B&amp;A $'!P12+DSM!O14</f>
        <v>21179.530000000002</v>
      </c>
      <c r="Q12" s="51">
        <v>12</v>
      </c>
    </row>
    <row r="13" spans="1:17" ht="15" x14ac:dyDescent="0.25">
      <c r="A13" s="24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Q13" s="51">
        <v>13</v>
      </c>
    </row>
    <row r="14" spans="1:17" ht="15" x14ac:dyDescent="0.25">
      <c r="A14" s="24" t="s">
        <v>19</v>
      </c>
      <c r="B14" s="101">
        <f>+'B&amp;A $'!C14+DSM!B16</f>
        <v>0</v>
      </c>
      <c r="C14" s="101">
        <f>+'B&amp;A $'!D14+DSM!C16</f>
        <v>0</v>
      </c>
      <c r="D14" s="101">
        <f>+'B&amp;A $'!E14+DSM!D16</f>
        <v>897.96</v>
      </c>
      <c r="E14" s="101">
        <f>+'B&amp;A $'!F14+DSM!E16</f>
        <v>868.66</v>
      </c>
      <c r="F14" s="101">
        <f>+'B&amp;A $'!G14+DSM!F16</f>
        <v>1166.1300000000001</v>
      </c>
      <c r="G14" s="101">
        <f>+'B&amp;A $'!H14+DSM!G16</f>
        <v>1358.8799999999999</v>
      </c>
      <c r="H14" s="101">
        <f>+'B&amp;A $'!I14+DSM!H16</f>
        <v>1494.7</v>
      </c>
      <c r="I14" s="101">
        <f>+'B&amp;A $'!J14+DSM!I16</f>
        <v>1271.6099999999999</v>
      </c>
      <c r="J14" s="101">
        <f>+'B&amp;A $'!K14+DSM!J16</f>
        <v>1383.3</v>
      </c>
      <c r="K14" s="101">
        <f>+'B&amp;A $'!L14+DSM!K16</f>
        <v>936.72</v>
      </c>
      <c r="L14" s="101">
        <f>+'B&amp;A $'!M14+DSM!L16</f>
        <v>2353.4900000000002</v>
      </c>
      <c r="M14" s="101">
        <f>+'B&amp;A $'!N14+DSM!M16</f>
        <v>2552.31</v>
      </c>
      <c r="N14" s="101">
        <f>+'B&amp;A $'!O14+DSM!N16</f>
        <v>1417.19</v>
      </c>
      <c r="O14" s="101">
        <f>+'B&amp;A $'!P14+DSM!O16</f>
        <v>1006.9</v>
      </c>
      <c r="Q14" s="51">
        <v>14</v>
      </c>
    </row>
    <row r="15" spans="1:17" ht="15" x14ac:dyDescent="0.25">
      <c r="A15" s="24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Q15" s="51">
        <v>15</v>
      </c>
    </row>
    <row r="16" spans="1:17" ht="15" x14ac:dyDescent="0.25">
      <c r="A16" s="43" t="s">
        <v>172</v>
      </c>
      <c r="D16" s="101">
        <f>+'B&amp;A $'!E16+DSM!D18</f>
        <v>0</v>
      </c>
      <c r="E16" s="101">
        <f>+'B&amp;A $'!F16+DSM!E18</f>
        <v>0</v>
      </c>
      <c r="F16" s="101">
        <f>+'B&amp;A $'!G16+DSM!F18</f>
        <v>0</v>
      </c>
      <c r="G16" s="101">
        <f>+'B&amp;A $'!H16+DSM!G18</f>
        <v>0</v>
      </c>
      <c r="H16" s="101">
        <f>+'B&amp;A $'!I16+DSM!H18</f>
        <v>0</v>
      </c>
      <c r="I16" s="101">
        <f>+'B&amp;A $'!J16+DSM!I18</f>
        <v>0</v>
      </c>
      <c r="J16" s="101">
        <f>+'B&amp;A $'!K16+DSM!J18</f>
        <v>0</v>
      </c>
      <c r="K16" s="101">
        <f>+'B&amp;A $'!L16+DSM!K18</f>
        <v>0</v>
      </c>
      <c r="L16" s="101">
        <f>+'B&amp;A $'!M16+DSM!L18</f>
        <v>0</v>
      </c>
      <c r="M16" s="101">
        <f>+'B&amp;A $'!N16+DSM!M18</f>
        <v>0</v>
      </c>
      <c r="N16" s="101">
        <f>+'B&amp;A $'!O16+DSM!N18</f>
        <v>0</v>
      </c>
      <c r="O16" s="101">
        <f>+'B&amp;A $'!P16+DSM!O18</f>
        <v>0</v>
      </c>
      <c r="Q16" s="51">
        <v>16</v>
      </c>
    </row>
    <row r="17" spans="1:17" ht="15" x14ac:dyDescent="0.25">
      <c r="A17" s="43" t="s">
        <v>174</v>
      </c>
      <c r="D17" s="101">
        <f>+'B&amp;A $'!E17+DSM!D19</f>
        <v>816573.25999999989</v>
      </c>
      <c r="E17" s="101">
        <f>+'B&amp;A $'!F17+DSM!E19</f>
        <v>928615.45</v>
      </c>
      <c r="F17" s="101">
        <f>+'B&amp;A $'!G17+DSM!F19</f>
        <v>840223.34</v>
      </c>
      <c r="G17" s="101">
        <f>+'B&amp;A $'!H17+DSM!G19</f>
        <v>801840.77999999991</v>
      </c>
      <c r="H17" s="101">
        <f>+'B&amp;A $'!I17+DSM!H19</f>
        <v>853775.01</v>
      </c>
      <c r="I17" s="101">
        <f>+'B&amp;A $'!J17+DSM!I19</f>
        <v>747841.84999999986</v>
      </c>
      <c r="J17" s="101">
        <f>+'B&amp;A $'!K17+DSM!J19</f>
        <v>1024085.89</v>
      </c>
      <c r="K17" s="101">
        <f>+'B&amp;A $'!L17+DSM!K19</f>
        <v>1132739.7000000002</v>
      </c>
      <c r="L17" s="101">
        <f>+'B&amp;A $'!M17+DSM!L19</f>
        <v>763643.70000000007</v>
      </c>
      <c r="M17" s="101">
        <f>+'B&amp;A $'!N17+DSM!M19</f>
        <v>680062.71000000008</v>
      </c>
      <c r="N17" s="101">
        <f>+'B&amp;A $'!O17+DSM!N19</f>
        <v>697755.4</v>
      </c>
      <c r="O17" s="101">
        <f>+'B&amp;A $'!P17+DSM!O19</f>
        <v>731415.85000000009</v>
      </c>
      <c r="Q17" s="51">
        <v>17</v>
      </c>
    </row>
    <row r="18" spans="1:17" ht="15" x14ac:dyDescent="0.25">
      <c r="A18" s="24" t="s">
        <v>18</v>
      </c>
      <c r="B18" s="101" t="e">
        <f>+'B&amp;A $'!C18+DSM!B20</f>
        <v>#REF!</v>
      </c>
      <c r="C18" s="101" t="e">
        <f>+'B&amp;A $'!D18+DSM!C20</f>
        <v>#REF!</v>
      </c>
      <c r="D18" s="101">
        <f>+'B&amp;A $'!E18+DSM!D20</f>
        <v>816573.25999999989</v>
      </c>
      <c r="E18" s="101">
        <f>+'B&amp;A $'!F18+DSM!E20</f>
        <v>928615.45</v>
      </c>
      <c r="F18" s="101">
        <f>+'B&amp;A $'!G18+DSM!F20</f>
        <v>840223.34</v>
      </c>
      <c r="G18" s="101">
        <f>+'B&amp;A $'!H18+DSM!G20</f>
        <v>801840.77999999991</v>
      </c>
      <c r="H18" s="101">
        <f>+'B&amp;A $'!I18+DSM!H20</f>
        <v>853775.01</v>
      </c>
      <c r="I18" s="101">
        <f>+'B&amp;A $'!J18+DSM!I20</f>
        <v>747841.84999999986</v>
      </c>
      <c r="J18" s="101">
        <f>+'B&amp;A $'!K18+DSM!J20</f>
        <v>1024085.89</v>
      </c>
      <c r="K18" s="101">
        <f>+'B&amp;A $'!L18+DSM!K20</f>
        <v>1132739.7000000002</v>
      </c>
      <c r="L18" s="101">
        <f>+'B&amp;A $'!M18+DSM!L20</f>
        <v>763643.70000000007</v>
      </c>
      <c r="M18" s="101">
        <f>+'B&amp;A $'!N18+DSM!M20</f>
        <v>680062.71000000008</v>
      </c>
      <c r="N18" s="101">
        <f>+'B&amp;A $'!O18+DSM!N20</f>
        <v>697755.4</v>
      </c>
      <c r="O18" s="101">
        <f>+'B&amp;A $'!P18+DSM!O20</f>
        <v>731415.85000000009</v>
      </c>
      <c r="Q18" s="51">
        <v>18</v>
      </c>
    </row>
    <row r="19" spans="1:17" ht="15" x14ac:dyDescent="0.25">
      <c r="A19" s="24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Q19" s="51">
        <v>19</v>
      </c>
    </row>
    <row r="20" spans="1:17" ht="15" x14ac:dyDescent="0.25">
      <c r="A20" s="24" t="s">
        <v>17</v>
      </c>
      <c r="B20" s="101">
        <f>+'B&amp;A $'!C20+DSM!B22</f>
        <v>0</v>
      </c>
      <c r="C20" s="101">
        <f>+'B&amp;A $'!D20+DSM!C22</f>
        <v>0</v>
      </c>
      <c r="D20" s="101">
        <f>+'B&amp;A $'!E20+DSM!D22</f>
        <v>2001897.5</v>
      </c>
      <c r="E20" s="101">
        <f>+'B&amp;A $'!F20+DSM!E22</f>
        <v>2332865.81</v>
      </c>
      <c r="F20" s="101">
        <f>+'B&amp;A $'!G20+DSM!F22</f>
        <v>2480694.7999999998</v>
      </c>
      <c r="G20" s="101">
        <f>+'B&amp;A $'!H20+DSM!G22</f>
        <v>2604538.09</v>
      </c>
      <c r="H20" s="101">
        <f>+'B&amp;A $'!I20+DSM!H22</f>
        <v>2521441.91</v>
      </c>
      <c r="I20" s="101">
        <f>+'B&amp;A $'!J20+DSM!I22</f>
        <v>2132023.96</v>
      </c>
      <c r="J20" s="101">
        <f>+'B&amp;A $'!K20+DSM!J22</f>
        <v>2401879.06</v>
      </c>
      <c r="K20" s="101">
        <f>+'B&amp;A $'!L20+DSM!K22</f>
        <v>2700906.36</v>
      </c>
      <c r="L20" s="101">
        <f>+'B&amp;A $'!M20+DSM!L22</f>
        <v>2999621.44</v>
      </c>
      <c r="M20" s="101">
        <f>+'B&amp;A $'!N20+DSM!M22</f>
        <v>2870068.42</v>
      </c>
      <c r="N20" s="101">
        <f>+'B&amp;A $'!O20+DSM!N22</f>
        <v>2211453.2000000002</v>
      </c>
      <c r="O20" s="101">
        <f>+'B&amp;A $'!P20+DSM!O22</f>
        <v>2083549.46</v>
      </c>
      <c r="Q20" s="51">
        <v>20</v>
      </c>
    </row>
    <row r="21" spans="1:17" ht="15" x14ac:dyDescent="0.25">
      <c r="A21" s="24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Q21" s="51">
        <v>21</v>
      </c>
    </row>
    <row r="22" spans="1:17" ht="15" x14ac:dyDescent="0.25">
      <c r="A22" s="24" t="s">
        <v>16</v>
      </c>
      <c r="B22" s="101">
        <f>+'B&amp;A $'!C22+DSM!B24</f>
        <v>0</v>
      </c>
      <c r="C22" s="101">
        <f>+'B&amp;A $'!D22+DSM!C24</f>
        <v>0</v>
      </c>
      <c r="D22" s="101">
        <f>+'B&amp;A $'!E22+DSM!D24</f>
        <v>11228.94</v>
      </c>
      <c r="E22" s="101">
        <f>+'B&amp;A $'!F22+DSM!E24</f>
        <v>12563.5</v>
      </c>
      <c r="F22" s="101">
        <f>+'B&amp;A $'!G22+DSM!F24</f>
        <v>13086.61</v>
      </c>
      <c r="G22" s="101">
        <f>+'B&amp;A $'!H22+DSM!G24</f>
        <v>12091.28</v>
      </c>
      <c r="H22" s="101">
        <f>+'B&amp;A $'!I22+DSM!H24</f>
        <v>11271.13</v>
      </c>
      <c r="I22" s="101">
        <f>+'B&amp;A $'!J22+DSM!I24</f>
        <v>10561.3</v>
      </c>
      <c r="J22" s="101">
        <f>+'B&amp;A $'!K22+DSM!J24</f>
        <v>12074.09</v>
      </c>
      <c r="K22" s="101">
        <f>+'B&amp;A $'!L22+DSM!K24</f>
        <v>14319.59</v>
      </c>
      <c r="L22" s="101">
        <f>+'B&amp;A $'!M22+DSM!L24</f>
        <v>13080.06</v>
      </c>
      <c r="M22" s="101">
        <f>+'B&amp;A $'!N22+DSM!M24</f>
        <v>12080.400000000001</v>
      </c>
      <c r="N22" s="101">
        <f>+'B&amp;A $'!O22+DSM!N24</f>
        <v>10462.710000000001</v>
      </c>
      <c r="O22" s="101">
        <f>+'B&amp;A $'!P22+DSM!O24</f>
        <v>9431.01</v>
      </c>
      <c r="Q22" s="51">
        <v>22</v>
      </c>
    </row>
    <row r="23" spans="1:17" ht="15" x14ac:dyDescent="0.25">
      <c r="A23" s="24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Q23" s="51">
        <v>23</v>
      </c>
    </row>
    <row r="24" spans="1:17" ht="15" x14ac:dyDescent="0.25">
      <c r="A24" s="24" t="s">
        <v>15</v>
      </c>
      <c r="B24" s="101">
        <f>+'B&amp;A $'!C24+DSM!B26</f>
        <v>0</v>
      </c>
      <c r="C24" s="101">
        <f>+'B&amp;A $'!D24+DSM!C26</f>
        <v>0</v>
      </c>
      <c r="D24" s="101">
        <f>+'B&amp;A $'!E24+DSM!D26</f>
        <v>112700.3</v>
      </c>
      <c r="E24" s="101">
        <f>+'B&amp;A $'!F24+DSM!E26</f>
        <v>132682.38</v>
      </c>
      <c r="F24" s="101">
        <f>+'B&amp;A $'!G24+DSM!F26</f>
        <v>158319.79999999999</v>
      </c>
      <c r="G24" s="101">
        <f>+'B&amp;A $'!H24+DSM!G26</f>
        <v>135496.5</v>
      </c>
      <c r="H24" s="101">
        <f>+'B&amp;A $'!I24+DSM!H26</f>
        <v>134514.01999999999</v>
      </c>
      <c r="I24" s="101">
        <f>+'B&amp;A $'!J24+DSM!I26</f>
        <v>117633.19</v>
      </c>
      <c r="J24" s="101">
        <f>+'B&amp;A $'!K24+DSM!J26</f>
        <v>128620.52</v>
      </c>
      <c r="K24" s="101">
        <f>+'B&amp;A $'!L24+DSM!K26</f>
        <v>143336.49</v>
      </c>
      <c r="L24" s="101">
        <f>+'B&amp;A $'!M24+DSM!L26</f>
        <v>136560.66</v>
      </c>
      <c r="M24" s="101">
        <f>+'B&amp;A $'!N24+DSM!M26</f>
        <v>113699.20000000001</v>
      </c>
      <c r="N24" s="101">
        <f>+'B&amp;A $'!O24+DSM!N26</f>
        <v>96582.67</v>
      </c>
      <c r="O24" s="101">
        <f>+'B&amp;A $'!P24+DSM!O26</f>
        <v>104075.78</v>
      </c>
      <c r="Q24" s="51">
        <v>24</v>
      </c>
    </row>
    <row r="25" spans="1:17" ht="15" x14ac:dyDescent="0.25">
      <c r="A25" s="24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Q25" s="51">
        <v>25</v>
      </c>
    </row>
    <row r="26" spans="1:17" ht="15" x14ac:dyDescent="0.25">
      <c r="A26" s="24" t="s">
        <v>14</v>
      </c>
      <c r="B26" s="101">
        <f>+'B&amp;A $'!C26+DSM!B28</f>
        <v>0</v>
      </c>
      <c r="C26" s="101">
        <f>+'B&amp;A $'!D26+DSM!C28</f>
        <v>0</v>
      </c>
      <c r="D26" s="101">
        <f>+'B&amp;A $'!E26+DSM!D28</f>
        <v>54745.95</v>
      </c>
      <c r="E26" s="101">
        <f>+'B&amp;A $'!F26+DSM!E28</f>
        <v>69080.95</v>
      </c>
      <c r="F26" s="101">
        <f>+'B&amp;A $'!G26+DSM!F28</f>
        <v>60213.100000000006</v>
      </c>
      <c r="G26" s="101">
        <f>+'B&amp;A $'!H26+DSM!G28</f>
        <v>59323.03</v>
      </c>
      <c r="H26" s="101">
        <f>+'B&amp;A $'!I26+DSM!H28</f>
        <v>58368.83</v>
      </c>
      <c r="I26" s="101">
        <f>+'B&amp;A $'!J26+DSM!I28</f>
        <v>52603.45</v>
      </c>
      <c r="J26" s="101">
        <f>+'B&amp;A $'!K26+DSM!J28</f>
        <v>70449.820000000007</v>
      </c>
      <c r="K26" s="101">
        <f>+'B&amp;A $'!L26+DSM!K28</f>
        <v>73774.02</v>
      </c>
      <c r="L26" s="101">
        <f>+'B&amp;A $'!M26+DSM!L28</f>
        <v>72227.88</v>
      </c>
      <c r="M26" s="101">
        <f>+'B&amp;A $'!N26+DSM!M28</f>
        <v>96974.54</v>
      </c>
      <c r="N26" s="101">
        <f>+'B&amp;A $'!O26+DSM!N28</f>
        <v>23201.82</v>
      </c>
      <c r="O26" s="101">
        <f>+'B&amp;A $'!P26+DSM!O28</f>
        <v>52201.49</v>
      </c>
      <c r="Q26" s="51">
        <v>26</v>
      </c>
    </row>
    <row r="27" spans="1:17" ht="15" x14ac:dyDescent="0.25">
      <c r="A27" s="24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Q27" s="51">
        <v>27</v>
      </c>
    </row>
    <row r="28" spans="1:17" ht="15" x14ac:dyDescent="0.25">
      <c r="A28" s="24" t="s">
        <v>13</v>
      </c>
      <c r="B28" s="101">
        <f>+'B&amp;A $'!C28+DSM!B30</f>
        <v>0</v>
      </c>
      <c r="C28" s="101">
        <f>+'B&amp;A $'!D28+DSM!C30</f>
        <v>0</v>
      </c>
      <c r="D28" s="101">
        <f>+'B&amp;A $'!E28+DSM!D30</f>
        <v>27158.82</v>
      </c>
      <c r="E28" s="101">
        <f>+'B&amp;A $'!F28+DSM!E30</f>
        <v>23154.04</v>
      </c>
      <c r="F28" s="101">
        <f>+'B&amp;A $'!G28+DSM!F30</f>
        <v>13890.79</v>
      </c>
      <c r="G28" s="101">
        <f>+'B&amp;A $'!H28+DSM!G30</f>
        <v>12270.06</v>
      </c>
      <c r="H28" s="101">
        <f>+'B&amp;A $'!I28+DSM!H30</f>
        <v>15111.07</v>
      </c>
      <c r="I28" s="101">
        <f>+'B&amp;A $'!J28+DSM!I30</f>
        <v>15043.67</v>
      </c>
      <c r="J28" s="101">
        <f>+'B&amp;A $'!K28+DSM!J30</f>
        <v>23540.45</v>
      </c>
      <c r="K28" s="101">
        <f>+'B&amp;A $'!L28+DSM!K30</f>
        <v>24032.639999999999</v>
      </c>
      <c r="L28" s="101">
        <f>+'B&amp;A $'!M28+DSM!L30</f>
        <v>20644.91</v>
      </c>
      <c r="M28" s="101">
        <f>+'B&amp;A $'!N28+DSM!M30</f>
        <v>19418.52</v>
      </c>
      <c r="N28" s="101">
        <f>+'B&amp;A $'!O28+DSM!N30</f>
        <v>18786.95</v>
      </c>
      <c r="O28" s="101">
        <f>+'B&amp;A $'!P28+DSM!O30</f>
        <v>19962.77</v>
      </c>
      <c r="Q28" s="51">
        <v>28</v>
      </c>
    </row>
    <row r="29" spans="1:17" ht="15" x14ac:dyDescent="0.25">
      <c r="A29" s="24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Q29" s="51">
        <v>29</v>
      </c>
    </row>
    <row r="30" spans="1:17" ht="15" x14ac:dyDescent="0.25">
      <c r="A30" s="24" t="s">
        <v>12</v>
      </c>
      <c r="B30" s="101">
        <f>+'B&amp;A $'!C30+DSM!B32</f>
        <v>0</v>
      </c>
      <c r="C30" s="101">
        <f>+'B&amp;A $'!D30+DSM!C32</f>
        <v>0</v>
      </c>
      <c r="D30" s="101">
        <f>+'B&amp;A $'!E30+DSM!D32</f>
        <v>4884359.29</v>
      </c>
      <c r="E30" s="101">
        <f>+'B&amp;A $'!F30+DSM!E32</f>
        <v>5977426.2199999997</v>
      </c>
      <c r="F30" s="101">
        <f>+'B&amp;A $'!G30+DSM!F32</f>
        <v>6842740.8599999994</v>
      </c>
      <c r="G30" s="101">
        <f>+'B&amp;A $'!H30+DSM!G32</f>
        <v>6994919.7599999998</v>
      </c>
      <c r="H30" s="101">
        <f>+'B&amp;A $'!I30+DSM!H32</f>
        <v>6800665.46</v>
      </c>
      <c r="I30" s="101">
        <f>+'B&amp;A $'!J30+DSM!I32</f>
        <v>5632377.4900000002</v>
      </c>
      <c r="J30" s="101">
        <f>+'B&amp;A $'!K30+DSM!J32</f>
        <v>6190830.5200000005</v>
      </c>
      <c r="K30" s="101">
        <f>+'B&amp;A $'!L30+DSM!K32</f>
        <v>6573365.0300000003</v>
      </c>
      <c r="L30" s="101">
        <f>+'B&amp;A $'!M30+DSM!L32</f>
        <v>7287107.3600000003</v>
      </c>
      <c r="M30" s="101">
        <f>+'B&amp;A $'!N30+DSM!M32</f>
        <v>6720104.3799999999</v>
      </c>
      <c r="N30" s="101">
        <f>+'B&amp;A $'!O30+DSM!N32</f>
        <v>5167969.96</v>
      </c>
      <c r="O30" s="101">
        <f>+'B&amp;A $'!P30+DSM!O32</f>
        <v>4760952.6599999992</v>
      </c>
      <c r="Q30" s="51">
        <v>30</v>
      </c>
    </row>
    <row r="31" spans="1:17" ht="15" x14ac:dyDescent="0.25">
      <c r="A31" s="24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Q31" s="51">
        <v>31</v>
      </c>
    </row>
    <row r="32" spans="1:17" ht="15" x14ac:dyDescent="0.25">
      <c r="A32" s="24" t="s">
        <v>11</v>
      </c>
      <c r="B32" s="101">
        <f>+'B&amp;A $'!C32+DSM!B34</f>
        <v>0</v>
      </c>
      <c r="C32" s="101">
        <f>+'B&amp;A $'!D32+DSM!C34</f>
        <v>0</v>
      </c>
      <c r="D32" s="101">
        <f>+'B&amp;A $'!E32+DSM!D34</f>
        <v>8247.11</v>
      </c>
      <c r="E32" s="101">
        <f>+'B&amp;A $'!F32+DSM!E34</f>
        <v>6219.73</v>
      </c>
      <c r="F32" s="101">
        <f>+'B&amp;A $'!G32+DSM!F34</f>
        <v>9328.4699999999993</v>
      </c>
      <c r="G32" s="101">
        <f>+'B&amp;A $'!H32+DSM!G34</f>
        <v>12083.73</v>
      </c>
      <c r="H32" s="101">
        <f>+'B&amp;A $'!I32+DSM!H34</f>
        <v>10475.69</v>
      </c>
      <c r="I32" s="101">
        <f>+'B&amp;A $'!J32+DSM!I34</f>
        <v>9993.42</v>
      </c>
      <c r="J32" s="101">
        <f>+'B&amp;A $'!K32+DSM!J34</f>
        <v>5142.71</v>
      </c>
      <c r="K32" s="101">
        <f>+'B&amp;A $'!L32+DSM!K34</f>
        <v>12192.9</v>
      </c>
      <c r="L32" s="101">
        <f>+'B&amp;A $'!M32+DSM!L34</f>
        <v>19371.21</v>
      </c>
      <c r="M32" s="101">
        <f>+'B&amp;A $'!N32+DSM!M34</f>
        <v>19573.09</v>
      </c>
      <c r="N32" s="101">
        <f>+'B&amp;A $'!O32+DSM!N34</f>
        <v>10938.289999999999</v>
      </c>
      <c r="O32" s="101">
        <f>+'B&amp;A $'!P32+DSM!O34</f>
        <v>7374.84</v>
      </c>
      <c r="Q32" s="51">
        <v>32</v>
      </c>
    </row>
    <row r="33" spans="1:17" ht="15" x14ac:dyDescent="0.25">
      <c r="A33" s="24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Q33" s="51">
        <v>33</v>
      </c>
    </row>
    <row r="34" spans="1:17" ht="15" x14ac:dyDescent="0.25">
      <c r="A34" s="24" t="s">
        <v>10</v>
      </c>
      <c r="B34" s="101">
        <f>+'B&amp;A $'!C34+DSM!B36</f>
        <v>0</v>
      </c>
      <c r="C34" s="101">
        <f>+'B&amp;A $'!D34+DSM!C36</f>
        <v>0</v>
      </c>
      <c r="D34" s="101">
        <f>+'B&amp;A $'!E34+DSM!D36</f>
        <v>83284.509999999995</v>
      </c>
      <c r="E34" s="101">
        <f>+'B&amp;A $'!F34+DSM!E36</f>
        <v>105634.32</v>
      </c>
      <c r="F34" s="101">
        <f>+'B&amp;A $'!G34+DSM!F36</f>
        <v>118002.5</v>
      </c>
      <c r="G34" s="101">
        <f>+'B&amp;A $'!H34+DSM!G36</f>
        <v>120705.09</v>
      </c>
      <c r="H34" s="101">
        <f>+'B&amp;A $'!I34+DSM!H36</f>
        <v>107388.72</v>
      </c>
      <c r="I34" s="101">
        <f>+'B&amp;A $'!J34+DSM!I36</f>
        <v>100410.28</v>
      </c>
      <c r="J34" s="101">
        <f>+'B&amp;A $'!K34+DSM!J36</f>
        <v>111366.73</v>
      </c>
      <c r="K34" s="101">
        <f>+'B&amp;A $'!L34+DSM!K36</f>
        <v>125035.67</v>
      </c>
      <c r="L34" s="101">
        <f>+'B&amp;A $'!M34+DSM!L36</f>
        <v>133241.67000000001</v>
      </c>
      <c r="M34" s="101">
        <f>+'B&amp;A $'!N34+DSM!M36</f>
        <v>131839.48000000001</v>
      </c>
      <c r="N34" s="101">
        <f>+'B&amp;A $'!O34+DSM!N36</f>
        <v>85470.33</v>
      </c>
      <c r="O34" s="101">
        <f>+'B&amp;A $'!P34+DSM!O36</f>
        <v>78491.27</v>
      </c>
      <c r="Q34" s="51">
        <v>34</v>
      </c>
    </row>
    <row r="35" spans="1:17" ht="15" x14ac:dyDescent="0.25">
      <c r="A35" s="24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Q35" s="51">
        <v>35</v>
      </c>
    </row>
    <row r="36" spans="1:17" ht="15" x14ac:dyDescent="0.25">
      <c r="A36" s="24" t="s">
        <v>9</v>
      </c>
      <c r="B36" s="101">
        <f>+'B&amp;A $'!C36+DSM!B38</f>
        <v>0</v>
      </c>
      <c r="C36" s="101">
        <f>+'B&amp;A $'!D36+DSM!C38</f>
        <v>0</v>
      </c>
      <c r="D36" s="101">
        <f>+'B&amp;A $'!E36+DSM!D38</f>
        <v>105126.97</v>
      </c>
      <c r="E36" s="101">
        <f>+'B&amp;A $'!F36+DSM!E38</f>
        <v>125058.94</v>
      </c>
      <c r="F36" s="101">
        <f>+'B&amp;A $'!G36+DSM!F38</f>
        <v>108393.14</v>
      </c>
      <c r="G36" s="101">
        <f>+'B&amp;A $'!H36+DSM!G38</f>
        <v>80332.040000000008</v>
      </c>
      <c r="H36" s="101">
        <f>+'B&amp;A $'!I36+DSM!H38</f>
        <v>88703.079999999987</v>
      </c>
      <c r="I36" s="101">
        <f>+'B&amp;A $'!J36+DSM!I38</f>
        <v>75803.509999999995</v>
      </c>
      <c r="J36" s="101">
        <f>+'B&amp;A $'!K36+DSM!J38</f>
        <v>125943.15</v>
      </c>
      <c r="K36" s="101">
        <f>+'B&amp;A $'!L36+DSM!K38</f>
        <v>153988.22</v>
      </c>
      <c r="L36" s="101">
        <f>+'B&amp;A $'!M36+DSM!L38</f>
        <v>154759.82</v>
      </c>
      <c r="M36" s="101">
        <f>+'B&amp;A $'!N36+DSM!M38</f>
        <v>103138.56</v>
      </c>
      <c r="N36" s="101">
        <f>+'B&amp;A $'!O36+DSM!N38</f>
        <v>125569.71</v>
      </c>
      <c r="O36" s="101">
        <f>+'B&amp;A $'!P36+DSM!O38</f>
        <v>67836.59</v>
      </c>
      <c r="Q36" s="51">
        <v>36</v>
      </c>
    </row>
    <row r="37" spans="1:17" ht="15" x14ac:dyDescent="0.25">
      <c r="A37" s="24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Q37" s="51">
        <v>37</v>
      </c>
    </row>
    <row r="38" spans="1:17" ht="15" x14ac:dyDescent="0.25">
      <c r="A38" s="24" t="s">
        <v>8</v>
      </c>
      <c r="B38" s="101">
        <f>+'B&amp;A $'!C38+DSM!B40</f>
        <v>0</v>
      </c>
      <c r="C38" s="101">
        <f>+'B&amp;A $'!D38+DSM!C40</f>
        <v>0</v>
      </c>
      <c r="D38" s="101">
        <f>+'B&amp;A $'!E38+DSM!D40</f>
        <v>7339.71</v>
      </c>
      <c r="E38" s="101">
        <f>+'B&amp;A $'!F38+DSM!E40</f>
        <v>7313.32</v>
      </c>
      <c r="F38" s="101">
        <f>+'B&amp;A $'!G38+DSM!F40</f>
        <v>9267.6299999999992</v>
      </c>
      <c r="G38" s="101">
        <f>+'B&amp;A $'!H38+DSM!G40</f>
        <v>2555.65</v>
      </c>
      <c r="H38" s="101">
        <f>+'B&amp;A $'!I38+DSM!H40</f>
        <v>5508.03</v>
      </c>
      <c r="I38" s="101">
        <f>+'B&amp;A $'!J38+DSM!I40</f>
        <v>7402.69</v>
      </c>
      <c r="J38" s="101">
        <f>+'B&amp;A $'!K38+DSM!J40</f>
        <v>2666.55</v>
      </c>
      <c r="K38" s="101">
        <f>+'B&amp;A $'!L38+DSM!K40</f>
        <v>5615.47</v>
      </c>
      <c r="L38" s="101">
        <f>+'B&amp;A $'!M38+DSM!L40</f>
        <v>9167.3700000000008</v>
      </c>
      <c r="M38" s="101">
        <f>+'B&amp;A $'!N38+DSM!M40</f>
        <v>5242.25</v>
      </c>
      <c r="N38" s="101">
        <f>+'B&amp;A $'!O38+DSM!N40</f>
        <v>2579.4</v>
      </c>
      <c r="O38" s="101">
        <f>+'B&amp;A $'!P38+DSM!O40</f>
        <v>4402.6499999999996</v>
      </c>
      <c r="Q38" s="51">
        <v>38</v>
      </c>
    </row>
    <row r="39" spans="1:17" ht="15" x14ac:dyDescent="0.25">
      <c r="A39" s="24"/>
      <c r="B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Q39" s="51">
        <v>39</v>
      </c>
    </row>
    <row r="40" spans="1:17" ht="15" x14ac:dyDescent="0.25">
      <c r="A40" s="24" t="s">
        <v>7</v>
      </c>
      <c r="B40" s="101">
        <f>+'B&amp;A $'!C40+DSM!B42</f>
        <v>0</v>
      </c>
      <c r="C40" s="101">
        <f>+'B&amp;A $'!D40+DSM!C42</f>
        <v>0</v>
      </c>
      <c r="D40" s="101">
        <f>+'B&amp;A $'!E40+DSM!D42</f>
        <v>3027627.2399999998</v>
      </c>
      <c r="E40" s="101">
        <f>+'B&amp;A $'!F40+DSM!E42</f>
        <v>3855222.03</v>
      </c>
      <c r="F40" s="101">
        <f>+'B&amp;A $'!G40+DSM!F42</f>
        <v>4062600.0999999996</v>
      </c>
      <c r="G40" s="101">
        <f>+'B&amp;A $'!H40+DSM!G42</f>
        <v>3959279.0300000003</v>
      </c>
      <c r="H40" s="101">
        <f>+'B&amp;A $'!I40+DSM!H42</f>
        <v>3819442.78</v>
      </c>
      <c r="I40" s="101">
        <f>+'B&amp;A $'!J40+DSM!I42</f>
        <v>3346343.74</v>
      </c>
      <c r="J40" s="101">
        <f>+'B&amp;A $'!K40+DSM!J42</f>
        <v>4051077.4899999998</v>
      </c>
      <c r="K40" s="101">
        <f>+'B&amp;A $'!L40+DSM!K42</f>
        <v>4362291.29</v>
      </c>
      <c r="L40" s="101">
        <f>+'B&amp;A $'!M40+DSM!L42</f>
        <v>4036707.43</v>
      </c>
      <c r="M40" s="101">
        <f>+'B&amp;A $'!N40+DSM!M42</f>
        <v>3592904.4800000004</v>
      </c>
      <c r="N40" s="101">
        <f>+'B&amp;A $'!O40+DSM!N42</f>
        <v>2996659.0700000003</v>
      </c>
      <c r="O40" s="101">
        <f>+'B&amp;A $'!P40+DSM!O42</f>
        <v>2863986.7199999997</v>
      </c>
      <c r="Q40" s="51">
        <v>40</v>
      </c>
    </row>
    <row r="41" spans="1:17" ht="15" x14ac:dyDescent="0.25">
      <c r="A41" s="24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Q41" s="51">
        <v>41</v>
      </c>
    </row>
    <row r="42" spans="1:17" ht="15" x14ac:dyDescent="0.25">
      <c r="A42" s="24" t="s">
        <v>6</v>
      </c>
      <c r="B42" s="101">
        <f>+'B&amp;A $'!C42+DSM!B44</f>
        <v>0</v>
      </c>
      <c r="C42" s="101">
        <f>+'B&amp;A $'!D42+DSM!C44</f>
        <v>0</v>
      </c>
      <c r="D42" s="101">
        <f>+'B&amp;A $'!E42+DSM!D44</f>
        <v>9629.94</v>
      </c>
      <c r="E42" s="101">
        <f>+'B&amp;A $'!F42+DSM!E44</f>
        <v>21639.02</v>
      </c>
      <c r="F42" s="101">
        <f>+'B&amp;A $'!G42+DSM!F44</f>
        <v>13025.42</v>
      </c>
      <c r="G42" s="101">
        <f>+'B&amp;A $'!H42+DSM!G44</f>
        <v>24541.119999999999</v>
      </c>
      <c r="H42" s="101">
        <f>+'B&amp;A $'!I42+DSM!H44</f>
        <v>22778.15</v>
      </c>
      <c r="I42" s="101">
        <f>+'B&amp;A $'!J42+DSM!I44</f>
        <v>23472.85</v>
      </c>
      <c r="J42" s="101">
        <f>+'B&amp;A $'!K42+DSM!J44</f>
        <v>38650.980000000003</v>
      </c>
      <c r="K42" s="101">
        <f>+'B&amp;A $'!L42+DSM!K44</f>
        <v>43606.66</v>
      </c>
      <c r="L42" s="101">
        <f>+'B&amp;A $'!M42+DSM!L44</f>
        <v>37233.46</v>
      </c>
      <c r="M42" s="101">
        <f>+'B&amp;A $'!N42+DSM!M44</f>
        <v>20277.48</v>
      </c>
      <c r="N42" s="101">
        <f>+'B&amp;A $'!O42+DSM!N44</f>
        <v>3643.36</v>
      </c>
      <c r="O42" s="101">
        <f>+'B&amp;A $'!P42+DSM!O44</f>
        <v>7497.22</v>
      </c>
      <c r="Q42" s="51">
        <v>42</v>
      </c>
    </row>
    <row r="43" spans="1:17" ht="15" x14ac:dyDescent="0.25">
      <c r="A43" s="24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Q43" s="51">
        <v>43</v>
      </c>
    </row>
    <row r="44" spans="1:17" ht="15" x14ac:dyDescent="0.25">
      <c r="A44" s="24" t="s">
        <v>118</v>
      </c>
      <c r="B44" s="101">
        <f>+'B&amp;A $'!C44+DSM!B46</f>
        <v>0</v>
      </c>
      <c r="C44" s="101">
        <f>+'B&amp;A $'!D44+DSM!C46</f>
        <v>0</v>
      </c>
      <c r="D44" s="101">
        <f>+'B&amp;A $'!E44+DSM!D46</f>
        <v>25578.43</v>
      </c>
      <c r="E44" s="101">
        <f>+'B&amp;A $'!F44+DSM!E46</f>
        <v>78882.62</v>
      </c>
      <c r="F44" s="101">
        <f>+'B&amp;A $'!G44+DSM!F46</f>
        <v>54904.05</v>
      </c>
      <c r="G44" s="101">
        <f>+'B&amp;A $'!H44+DSM!G46</f>
        <v>52630.96</v>
      </c>
      <c r="H44" s="101">
        <f>+'B&amp;A $'!I44+DSM!H46</f>
        <v>53389.37</v>
      </c>
      <c r="I44" s="101">
        <f>+'B&amp;A $'!J44+DSM!I46</f>
        <v>47803.87</v>
      </c>
      <c r="J44" s="101">
        <f>+'B&amp;A $'!K44+DSM!J46</f>
        <v>61325.1</v>
      </c>
      <c r="K44" s="101">
        <f>+'B&amp;A $'!L44+DSM!K46</f>
        <v>67609.7</v>
      </c>
      <c r="L44" s="101">
        <f>+'B&amp;A $'!M44+DSM!L46</f>
        <v>58151.95</v>
      </c>
      <c r="M44" s="101">
        <f>+'B&amp;A $'!N44+DSM!M46</f>
        <v>66430.22</v>
      </c>
      <c r="N44" s="101">
        <f>+'B&amp;A $'!O44+DSM!N46</f>
        <v>56627.08</v>
      </c>
      <c r="O44" s="101">
        <f>+'B&amp;A $'!P44+DSM!O46</f>
        <v>40702.449999999997</v>
      </c>
      <c r="Q44" s="51">
        <v>44</v>
      </c>
    </row>
    <row r="45" spans="1:17" ht="15" x14ac:dyDescent="0.25">
      <c r="A45" s="24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Q45" s="51">
        <v>45</v>
      </c>
    </row>
    <row r="46" spans="1:17" ht="15" x14ac:dyDescent="0.25">
      <c r="A46" s="24" t="s">
        <v>241</v>
      </c>
      <c r="B46" s="101">
        <f>+'B&amp;A $'!C46+DSM!B48</f>
        <v>0</v>
      </c>
      <c r="C46" s="101">
        <f>+'B&amp;A $'!D46+DSM!C48</f>
        <v>0</v>
      </c>
      <c r="D46" s="101">
        <f>+'B&amp;A $'!E46+DSM!D48</f>
        <v>25983.040000000001</v>
      </c>
      <c r="E46" s="101">
        <f>+'B&amp;A $'!F46+DSM!E48</f>
        <v>27980.55</v>
      </c>
      <c r="F46" s="101">
        <f>+'B&amp;A $'!G46+DSM!F48</f>
        <v>32913.699999999997</v>
      </c>
      <c r="G46" s="101">
        <f>+'B&amp;A $'!H46+DSM!G48</f>
        <v>27708.67</v>
      </c>
      <c r="H46" s="101">
        <f>+'B&amp;A $'!I46+DSM!H48</f>
        <v>43465.19</v>
      </c>
      <c r="I46" s="101">
        <f>+'B&amp;A $'!J46+DSM!I48</f>
        <v>50896.81</v>
      </c>
      <c r="J46" s="101">
        <f>+'B&amp;A $'!K46+DSM!J48</f>
        <v>44795.85</v>
      </c>
      <c r="K46" s="101">
        <f>+'B&amp;A $'!L46+DSM!K48</f>
        <v>11388.87</v>
      </c>
      <c r="L46" s="101">
        <f>+'B&amp;A $'!M46+DSM!L48</f>
        <v>16669.66</v>
      </c>
      <c r="M46" s="101">
        <f>+'B&amp;A $'!N46+DSM!M48</f>
        <v>18291.580000000002</v>
      </c>
      <c r="N46" s="101">
        <f>+'B&amp;A $'!O46+DSM!N48</f>
        <v>13325.65</v>
      </c>
      <c r="O46" s="101">
        <f>+'B&amp;A $'!P46+DSM!O48</f>
        <v>-5051.55</v>
      </c>
      <c r="Q46" s="51">
        <v>46</v>
      </c>
    </row>
    <row r="47" spans="1:17" ht="15" x14ac:dyDescent="0.25">
      <c r="A47" s="24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Q47" s="51">
        <v>47</v>
      </c>
    </row>
    <row r="48" spans="1:17" ht="15" x14ac:dyDescent="0.25">
      <c r="A48" s="24" t="s">
        <v>5</v>
      </c>
      <c r="B48" s="101">
        <f>+'B&amp;A $'!C48+DSM!B50</f>
        <v>0</v>
      </c>
      <c r="C48" s="101">
        <f>+'B&amp;A $'!D48+DSM!C50</f>
        <v>0</v>
      </c>
      <c r="D48" s="101">
        <f>+'B&amp;A $'!E48+DSM!D50</f>
        <v>803037.77</v>
      </c>
      <c r="E48" s="101">
        <f>+'B&amp;A $'!F48+DSM!E50</f>
        <v>1117706.49</v>
      </c>
      <c r="F48" s="101">
        <f>+'B&amp;A $'!G48+DSM!F50</f>
        <v>932200.19</v>
      </c>
      <c r="G48" s="101">
        <f>+'B&amp;A $'!H48+DSM!G50</f>
        <v>973738.4</v>
      </c>
      <c r="H48" s="101">
        <f>+'B&amp;A $'!I48+DSM!H50</f>
        <v>993887.24</v>
      </c>
      <c r="I48" s="101">
        <f>+'B&amp;A $'!J48+DSM!I50</f>
        <v>895283.99</v>
      </c>
      <c r="J48" s="101">
        <f>+'B&amp;A $'!K48+DSM!J50</f>
        <v>1118075.8400000001</v>
      </c>
      <c r="K48" s="101">
        <f>+'B&amp;A $'!L48+DSM!K50</f>
        <v>1224708.8400000001</v>
      </c>
      <c r="L48" s="101">
        <f>+'B&amp;A $'!M48+DSM!L50</f>
        <v>1151798.72</v>
      </c>
      <c r="M48" s="101">
        <f>+'B&amp;A $'!N48+DSM!M50</f>
        <v>1050511.79</v>
      </c>
      <c r="N48" s="101">
        <f>+'B&amp;A $'!O48+DSM!N50</f>
        <v>959387.8</v>
      </c>
      <c r="O48" s="101">
        <f>+'B&amp;A $'!P48+DSM!O50</f>
        <v>888122.66</v>
      </c>
      <c r="Q48" s="51">
        <v>48</v>
      </c>
    </row>
    <row r="49" spans="1:17" ht="15" x14ac:dyDescent="0.25">
      <c r="A49" s="24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Q49" s="51">
        <v>49</v>
      </c>
    </row>
    <row r="50" spans="1:17" ht="15" x14ac:dyDescent="0.25">
      <c r="A50" s="24" t="s">
        <v>4</v>
      </c>
      <c r="B50" s="101">
        <f>+'B&amp;A $'!C50+DSM!B52</f>
        <v>0</v>
      </c>
      <c r="C50" s="101">
        <f>+'B&amp;A $'!D50+DSM!C52</f>
        <v>0</v>
      </c>
      <c r="D50" s="101">
        <f>+'B&amp;A $'!E50+DSM!D52</f>
        <v>86350.35</v>
      </c>
      <c r="E50" s="101">
        <f>+'B&amp;A $'!F50+DSM!E52</f>
        <v>148100.97</v>
      </c>
      <c r="F50" s="101">
        <f>+'B&amp;A $'!G50+DSM!F52</f>
        <v>292205.03999999998</v>
      </c>
      <c r="G50" s="101">
        <f>+'B&amp;A $'!H50+DSM!G52</f>
        <v>86802.2</v>
      </c>
      <c r="H50" s="101">
        <f>+'B&amp;A $'!I50+DSM!H52</f>
        <v>35446.879999999997</v>
      </c>
      <c r="I50" s="101">
        <f>+'B&amp;A $'!J50+DSM!I52</f>
        <v>99139.05</v>
      </c>
      <c r="J50" s="101">
        <f>+'B&amp;A $'!K50+DSM!J52</f>
        <v>105475.24</v>
      </c>
      <c r="K50" s="101">
        <f>+'B&amp;A $'!L50+DSM!K52</f>
        <v>125710.94</v>
      </c>
      <c r="L50" s="101">
        <f>+'B&amp;A $'!M50+DSM!L52</f>
        <v>99826.51</v>
      </c>
      <c r="M50" s="101">
        <f>+'B&amp;A $'!N50+DSM!M52</f>
        <v>97368.14</v>
      </c>
      <c r="N50" s="101">
        <f>+'B&amp;A $'!O50+DSM!N52</f>
        <v>81510.149999999994</v>
      </c>
      <c r="O50" s="101">
        <f>+'B&amp;A $'!P50+DSM!O52</f>
        <v>74159.709999999992</v>
      </c>
      <c r="Q50" s="51">
        <v>50</v>
      </c>
    </row>
    <row r="51" spans="1:17" ht="15" x14ac:dyDescent="0.25">
      <c r="A51" s="24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Q51" s="51">
        <v>51</v>
      </c>
    </row>
    <row r="52" spans="1:17" ht="15" x14ac:dyDescent="0.25">
      <c r="A52" s="24" t="s">
        <v>3</v>
      </c>
      <c r="B52" s="101">
        <f>+'B&amp;A $'!C52+DSM!B54</f>
        <v>0</v>
      </c>
      <c r="C52" s="101">
        <f>+'B&amp;A $'!D52+DSM!C54</f>
        <v>0</v>
      </c>
      <c r="D52" s="101">
        <f>+'B&amp;A $'!E52+DSM!D54</f>
        <v>0</v>
      </c>
      <c r="E52" s="101">
        <f>+'B&amp;A $'!F52+DSM!E54</f>
        <v>0</v>
      </c>
      <c r="F52" s="101">
        <f>+'B&amp;A $'!G52+DSM!F54</f>
        <v>0</v>
      </c>
      <c r="G52" s="101">
        <f>+'B&amp;A $'!H52+DSM!G54</f>
        <v>0</v>
      </c>
      <c r="H52" s="101">
        <f>+'B&amp;A $'!I52+DSM!H54</f>
        <v>0</v>
      </c>
      <c r="I52" s="101">
        <f>+'B&amp;A $'!J52+DSM!I54</f>
        <v>0</v>
      </c>
      <c r="J52" s="101">
        <f>+'B&amp;A $'!K52+DSM!J54</f>
        <v>0</v>
      </c>
      <c r="K52" s="101">
        <f>+'B&amp;A $'!L52+DSM!K54</f>
        <v>0</v>
      </c>
      <c r="L52" s="101">
        <f>+'B&amp;A $'!M52+DSM!L54</f>
        <v>0</v>
      </c>
      <c r="M52" s="101">
        <f>+'B&amp;A $'!N52+DSM!M54</f>
        <v>0</v>
      </c>
      <c r="N52" s="101">
        <f>+'B&amp;A $'!O52+DSM!N54</f>
        <v>0</v>
      </c>
      <c r="O52" s="101">
        <f>+'B&amp;A $'!P52+DSM!O54</f>
        <v>0</v>
      </c>
      <c r="Q52" s="51">
        <v>52</v>
      </c>
    </row>
    <row r="53" spans="1:17" ht="15" x14ac:dyDescent="0.25">
      <c r="A53" s="24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Q53" s="51">
        <v>53</v>
      </c>
    </row>
    <row r="54" spans="1:17" ht="15" x14ac:dyDescent="0.25">
      <c r="A54" s="24" t="s">
        <v>119</v>
      </c>
      <c r="B54" s="101">
        <f>+'B&amp;A $'!C54+DSM!B56</f>
        <v>0</v>
      </c>
      <c r="C54" s="101">
        <f>+'B&amp;A $'!D54+DSM!C56</f>
        <v>0</v>
      </c>
      <c r="D54" s="101">
        <f>+'B&amp;A $'!E54+DSM!D56</f>
        <v>972132.94</v>
      </c>
      <c r="E54" s="101">
        <f>+'B&amp;A $'!F54+DSM!E56</f>
        <v>1233924.32</v>
      </c>
      <c r="F54" s="101">
        <f>+'B&amp;A $'!G54+DSM!F56</f>
        <v>1246249</v>
      </c>
      <c r="G54" s="101">
        <f>+'B&amp;A $'!H54+DSM!G56</f>
        <v>977743.38</v>
      </c>
      <c r="H54" s="101">
        <f>+'B&amp;A $'!I54+DSM!H56</f>
        <v>1146924.47</v>
      </c>
      <c r="I54" s="101">
        <f>+'B&amp;A $'!J54+DSM!I56</f>
        <v>1176489.98</v>
      </c>
      <c r="J54" s="101">
        <f>+'B&amp;A $'!K54+DSM!J56</f>
        <v>1320154.6100000001</v>
      </c>
      <c r="K54" s="101">
        <f>+'B&amp;A $'!L54+DSM!K56</f>
        <v>1267228.32</v>
      </c>
      <c r="L54" s="101">
        <f>+'B&amp;A $'!M54+DSM!L56</f>
        <v>1324378.4099999999</v>
      </c>
      <c r="M54" s="101">
        <f>+'B&amp;A $'!N54+DSM!M56</f>
        <v>1143204.69</v>
      </c>
      <c r="N54" s="101">
        <f>+'B&amp;A $'!O54+DSM!N56</f>
        <v>1002063.1900000001</v>
      </c>
      <c r="O54" s="101">
        <f>+'B&amp;A $'!P54+DSM!O56</f>
        <v>957006.18</v>
      </c>
      <c r="Q54" s="51">
        <v>54</v>
      </c>
    </row>
    <row r="55" spans="1:17" ht="15" x14ac:dyDescent="0.25">
      <c r="A55" s="24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Q55" s="51">
        <v>55</v>
      </c>
    </row>
    <row r="56" spans="1:17" ht="15" x14ac:dyDescent="0.25">
      <c r="A56" s="24" t="s">
        <v>120</v>
      </c>
      <c r="B56" s="101" t="e">
        <f>+'B&amp;A $'!C56+DSM!B58</f>
        <v>#REF!</v>
      </c>
      <c r="C56" s="101" t="e">
        <f>+'B&amp;A $'!D56+DSM!C58</f>
        <v>#REF!</v>
      </c>
      <c r="D56" s="101">
        <f>+'B&amp;A $'!E56+DSM!D58</f>
        <v>14427</v>
      </c>
      <c r="E56" s="101">
        <f>+'B&amp;A $'!F56+DSM!E58</f>
        <v>16827.189999999999</v>
      </c>
      <c r="F56" s="101">
        <f>+'B&amp;A $'!G56+DSM!F58</f>
        <v>20697.05</v>
      </c>
      <c r="G56" s="101">
        <f>+'B&amp;A $'!H56+DSM!G58</f>
        <v>16372.95</v>
      </c>
      <c r="H56" s="101">
        <f>+'B&amp;A $'!I56+DSM!H58</f>
        <v>16961.34</v>
      </c>
      <c r="I56" s="101">
        <f>+'B&amp;A $'!J56+DSM!I58</f>
        <v>18806.009999999998</v>
      </c>
      <c r="J56" s="101">
        <f>+'B&amp;A $'!K56+DSM!J58</f>
        <v>22567.11</v>
      </c>
      <c r="K56" s="101">
        <f>+'B&amp;A $'!L56+DSM!K58</f>
        <v>24458.21</v>
      </c>
      <c r="L56" s="101">
        <f>+'B&amp;A $'!M56+DSM!L58</f>
        <v>25067.119999999999</v>
      </c>
      <c r="M56" s="101">
        <f>+'B&amp;A $'!N56+DSM!M58</f>
        <v>28322.639999999999</v>
      </c>
      <c r="N56" s="101">
        <f>+'B&amp;A $'!O56+DSM!N58</f>
        <v>21363.730000000003</v>
      </c>
      <c r="O56" s="101">
        <f>+'B&amp;A $'!P56+DSM!O58</f>
        <v>15391.61</v>
      </c>
      <c r="Q56" s="51">
        <v>56</v>
      </c>
    </row>
    <row r="57" spans="1:17" ht="15" x14ac:dyDescent="0.25">
      <c r="A57" s="24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Q57" s="51">
        <v>57</v>
      </c>
    </row>
    <row r="58" spans="1:17" ht="15" x14ac:dyDescent="0.25">
      <c r="A58" s="24" t="s">
        <v>242</v>
      </c>
      <c r="B58" s="101" t="e">
        <f>+'B&amp;A $'!C58+DSM!B60</f>
        <v>#REF!</v>
      </c>
      <c r="C58" s="101" t="e">
        <f>+'B&amp;A $'!D58+DSM!C60</f>
        <v>#REF!</v>
      </c>
      <c r="D58" s="101">
        <f>+'B&amp;A $'!E58+DSM!D60</f>
        <v>271789.08</v>
      </c>
      <c r="E58" s="101">
        <f>+'B&amp;A $'!F58+DSM!E60</f>
        <v>369715.86</v>
      </c>
      <c r="F58" s="101">
        <f>+'B&amp;A $'!G58+DSM!F60</f>
        <v>303654.7</v>
      </c>
      <c r="G58" s="101">
        <f>+'B&amp;A $'!H58+DSM!G60</f>
        <v>339853.16</v>
      </c>
      <c r="H58" s="101">
        <f>+'B&amp;A $'!I58+DSM!H60</f>
        <v>395971.54</v>
      </c>
      <c r="I58" s="101">
        <f>+'B&amp;A $'!J58+DSM!I60</f>
        <v>286421.61</v>
      </c>
      <c r="J58" s="101">
        <f>+'B&amp;A $'!K58+DSM!J60</f>
        <v>371497.64</v>
      </c>
      <c r="K58" s="101">
        <f>+'B&amp;A $'!L58+DSM!K60</f>
        <v>406539.1</v>
      </c>
      <c r="L58" s="101">
        <f>+'B&amp;A $'!M58+DSM!L60</f>
        <v>362253.5</v>
      </c>
      <c r="M58" s="101">
        <f>+'B&amp;A $'!N58+DSM!M60</f>
        <v>261605.55</v>
      </c>
      <c r="N58" s="101">
        <f>+'B&amp;A $'!O58+DSM!N60</f>
        <v>308015.40999999997</v>
      </c>
      <c r="O58" s="101">
        <f>+'B&amp;A $'!P58+DSM!O60</f>
        <v>192239.96</v>
      </c>
      <c r="Q58" s="51">
        <v>58</v>
      </c>
    </row>
    <row r="59" spans="1:17" ht="15" x14ac:dyDescent="0.25">
      <c r="A59" s="24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Q59" s="51">
        <v>59</v>
      </c>
    </row>
    <row r="60" spans="1:17" ht="15" x14ac:dyDescent="0.25">
      <c r="A60" s="24" t="s">
        <v>122</v>
      </c>
      <c r="B60" s="101">
        <f>+'B&amp;A $'!C60+DSM!B62</f>
        <v>0</v>
      </c>
      <c r="C60" s="101">
        <f>+'B&amp;A $'!D60+DSM!C62</f>
        <v>0</v>
      </c>
      <c r="D60" s="101">
        <f>+'B&amp;A $'!E60+DSM!D62</f>
        <v>575642</v>
      </c>
      <c r="E60" s="101">
        <f>+'B&amp;A $'!F60+DSM!E62</f>
        <v>645986</v>
      </c>
      <c r="F60" s="101">
        <f>+'B&amp;A $'!G60+DSM!F62</f>
        <v>468827</v>
      </c>
      <c r="G60" s="101">
        <f>+'B&amp;A $'!H60+DSM!G62</f>
        <v>611378</v>
      </c>
      <c r="H60" s="101">
        <f>+'B&amp;A $'!I60+DSM!H62</f>
        <v>626210</v>
      </c>
      <c r="I60" s="101">
        <f>+'B&amp;A $'!J60+DSM!I62</f>
        <v>535982</v>
      </c>
      <c r="J60" s="101">
        <f>+'B&amp;A $'!K60+DSM!J62</f>
        <v>599018</v>
      </c>
      <c r="K60" s="101">
        <f>+'B&amp;A $'!L60+DSM!K62</f>
        <v>503846</v>
      </c>
      <c r="L60" s="101">
        <f>+'B&amp;A $'!M60+DSM!L62</f>
        <v>610142</v>
      </c>
      <c r="M60" s="101">
        <f>+'B&amp;A $'!N60+DSM!M62</f>
        <v>612614</v>
      </c>
      <c r="N60" s="101">
        <f>+'B&amp;A $'!O60+DSM!N62</f>
        <v>540384</v>
      </c>
      <c r="O60" s="101">
        <f>+'B&amp;A $'!P60+DSM!O62</f>
        <v>406655</v>
      </c>
      <c r="Q60" s="51">
        <v>60</v>
      </c>
    </row>
    <row r="61" spans="1:17" ht="15" x14ac:dyDescent="0.25">
      <c r="A61" s="24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Q61" s="51">
        <v>61</v>
      </c>
    </row>
    <row r="62" spans="1:17" ht="15" x14ac:dyDescent="0.25">
      <c r="A62" s="24" t="s">
        <v>243</v>
      </c>
      <c r="B62" s="101">
        <f>+'B&amp;A $'!C62+DSM!B64</f>
        <v>0</v>
      </c>
      <c r="C62" s="101">
        <f>+'B&amp;A $'!D62+DSM!C64</f>
        <v>0</v>
      </c>
      <c r="D62" s="101">
        <f>+'B&amp;A $'!E62+DSM!D64</f>
        <v>118361.84</v>
      </c>
      <c r="E62" s="101">
        <f>+'B&amp;A $'!F62+DSM!E64</f>
        <v>137219.07</v>
      </c>
      <c r="F62" s="101">
        <f>+'B&amp;A $'!G62+DSM!F64</f>
        <v>139722.37</v>
      </c>
      <c r="G62" s="101">
        <f>+'B&amp;A $'!H62+DSM!G64</f>
        <v>146217.17000000001</v>
      </c>
      <c r="H62" s="101">
        <f>+'B&amp;A $'!I62+DSM!H64</f>
        <v>156539.1</v>
      </c>
      <c r="I62" s="101">
        <f>+'B&amp;A $'!J62+DSM!I64</f>
        <v>109513.11</v>
      </c>
      <c r="J62" s="101">
        <f>+'B&amp;A $'!K62+DSM!J64</f>
        <v>159850.94</v>
      </c>
      <c r="K62" s="101">
        <f>+'B&amp;A $'!L62+DSM!K64</f>
        <v>164736.04</v>
      </c>
      <c r="L62" s="101">
        <f>+'B&amp;A $'!M62+DSM!L64</f>
        <v>180723.54</v>
      </c>
      <c r="M62" s="101">
        <f>+'B&amp;A $'!N62+DSM!M64</f>
        <v>160013.07999999999</v>
      </c>
      <c r="N62" s="101">
        <f>+'B&amp;A $'!O62+DSM!N64</f>
        <v>180821.72</v>
      </c>
      <c r="O62" s="101">
        <f>+'B&amp;A $'!P62+DSM!O64</f>
        <v>84643.03</v>
      </c>
      <c r="Q62" s="51">
        <v>62</v>
      </c>
    </row>
    <row r="63" spans="1:17" ht="15" x14ac:dyDescent="0.25">
      <c r="A63" s="24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Q63" s="51">
        <v>63</v>
      </c>
    </row>
    <row r="64" spans="1:17" ht="15" x14ac:dyDescent="0.25">
      <c r="A64" s="24" t="s">
        <v>244</v>
      </c>
      <c r="B64" s="101">
        <f>+'B&amp;A $'!C64+DSM!B66</f>
        <v>0</v>
      </c>
      <c r="C64" s="101">
        <f>+'B&amp;A $'!D64+DSM!C66</f>
        <v>0</v>
      </c>
      <c r="D64" s="101">
        <f>+'B&amp;A $'!E64+DSM!D66</f>
        <v>350257.74</v>
      </c>
      <c r="E64" s="101">
        <f>+'B&amp;A $'!F64+DSM!E66</f>
        <v>375451.06</v>
      </c>
      <c r="F64" s="101">
        <f>+'B&amp;A $'!G64+DSM!F66</f>
        <v>271172.78000000003</v>
      </c>
      <c r="G64" s="101">
        <f>+'B&amp;A $'!H64+DSM!G66</f>
        <v>442092.58</v>
      </c>
      <c r="H64" s="101">
        <f>+'B&amp;A $'!I64+DSM!H66</f>
        <v>398235.55</v>
      </c>
      <c r="I64" s="101">
        <f>+'B&amp;A $'!J64+DSM!I66</f>
        <v>299362.58</v>
      </c>
      <c r="J64" s="101">
        <f>+'B&amp;A $'!K64+DSM!J66</f>
        <v>411995.96</v>
      </c>
      <c r="K64" s="101">
        <f>+'B&amp;A $'!L64+DSM!K66</f>
        <v>501424.6</v>
      </c>
      <c r="L64" s="101">
        <f>+'B&amp;A $'!M64+DSM!L66</f>
        <v>395321.36</v>
      </c>
      <c r="M64" s="101">
        <f>+'B&amp;A $'!N64+DSM!M66</f>
        <v>418921.52</v>
      </c>
      <c r="N64" s="101">
        <f>+'B&amp;A $'!O64+DSM!N66</f>
        <v>439531.25</v>
      </c>
      <c r="O64" s="101">
        <f>+'B&amp;A $'!P64+DSM!O66</f>
        <v>190349.89</v>
      </c>
      <c r="Q64" s="51">
        <v>64</v>
      </c>
    </row>
    <row r="65" spans="1:17" ht="15" x14ac:dyDescent="0.25">
      <c r="A65" s="24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Q65" s="51">
        <v>65</v>
      </c>
    </row>
    <row r="66" spans="1:17" ht="15" x14ac:dyDescent="0.25">
      <c r="A66" s="24" t="s">
        <v>123</v>
      </c>
      <c r="B66" s="101">
        <f>+'B&amp;A $'!C66+DSM!B68</f>
        <v>0</v>
      </c>
      <c r="C66" s="101">
        <f>+'B&amp;A $'!D66+DSM!C68</f>
        <v>0</v>
      </c>
      <c r="D66" s="101">
        <f>+'B&amp;A $'!E66+DSM!D68</f>
        <v>127698.29</v>
      </c>
      <c r="E66" s="101">
        <f>+'B&amp;A $'!F66+DSM!E68</f>
        <v>159170.43</v>
      </c>
      <c r="F66" s="101">
        <f>+'B&amp;A $'!G66+DSM!F68</f>
        <v>164711.70000000001</v>
      </c>
      <c r="G66" s="101">
        <f>+'B&amp;A $'!H66+DSM!G68</f>
        <v>148782.04999999999</v>
      </c>
      <c r="H66" s="101">
        <f>+'B&amp;A $'!I66+DSM!H68</f>
        <v>159725.56</v>
      </c>
      <c r="I66" s="101">
        <f>+'B&amp;A $'!J66+DSM!I68</f>
        <v>140930.71</v>
      </c>
      <c r="J66" s="101">
        <f>+'B&amp;A $'!K66+DSM!J68</f>
        <v>178995.82</v>
      </c>
      <c r="K66" s="101">
        <f>+'B&amp;A $'!L66+DSM!K68</f>
        <v>193549.86</v>
      </c>
      <c r="L66" s="101">
        <f>+'B&amp;A $'!M66+DSM!L68</f>
        <v>175514.37</v>
      </c>
      <c r="M66" s="101">
        <f>+'B&amp;A $'!N66+DSM!M68</f>
        <v>178402.17</v>
      </c>
      <c r="N66" s="101">
        <f>+'B&amp;A $'!O66+DSM!N68</f>
        <v>144874.1</v>
      </c>
      <c r="O66" s="101">
        <f>+'B&amp;A $'!P66+DSM!O68</f>
        <v>114589.93</v>
      </c>
      <c r="Q66" s="51">
        <v>66</v>
      </c>
    </row>
    <row r="67" spans="1:17" ht="15" x14ac:dyDescent="0.25">
      <c r="A67" s="24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Q67" s="51">
        <v>67</v>
      </c>
    </row>
    <row r="68" spans="1:17" ht="15" x14ac:dyDescent="0.25">
      <c r="A68" s="24" t="s">
        <v>124</v>
      </c>
      <c r="B68" s="101">
        <f>+'B&amp;A $'!C68+DSM!B70</f>
        <v>0</v>
      </c>
      <c r="C68" s="101">
        <f>+'B&amp;A $'!D68+DSM!C70</f>
        <v>0</v>
      </c>
      <c r="D68" s="101">
        <f>+'B&amp;A $'!E68+DSM!D70</f>
        <v>2311752.63</v>
      </c>
      <c r="E68" s="101">
        <f>+'B&amp;A $'!F68+DSM!E70</f>
        <v>3290428.21</v>
      </c>
      <c r="F68" s="101">
        <f>+'B&amp;A $'!G68+DSM!F70</f>
        <v>2689128.56</v>
      </c>
      <c r="G68" s="101">
        <f>+'B&amp;A $'!H68+DSM!G70</f>
        <v>3000011.63</v>
      </c>
      <c r="H68" s="101">
        <f>+'B&amp;A $'!I68+DSM!H70</f>
        <v>2876459.21</v>
      </c>
      <c r="I68" s="101">
        <f>+'B&amp;A $'!J68+DSM!I70</f>
        <v>2453612.58</v>
      </c>
      <c r="J68" s="101">
        <f>+'B&amp;A $'!K68+DSM!J70</f>
        <v>3175678.56</v>
      </c>
      <c r="K68" s="101">
        <f>+'B&amp;A $'!L68+DSM!K70</f>
        <v>3342210.95</v>
      </c>
      <c r="L68" s="101">
        <f>+'B&amp;A $'!M68+DSM!L70</f>
        <v>2826914.14</v>
      </c>
      <c r="M68" s="101">
        <f>+'B&amp;A $'!N68+DSM!M70</f>
        <v>2666852.48</v>
      </c>
      <c r="N68" s="101">
        <f>+'B&amp;A $'!O68+DSM!N70</f>
        <v>2669887.8199999998</v>
      </c>
      <c r="O68" s="101">
        <f>+'B&amp;A $'!P68+DSM!O70</f>
        <v>2182817.5</v>
      </c>
      <c r="Q68" s="51">
        <v>68</v>
      </c>
    </row>
    <row r="69" spans="1:17" ht="15" x14ac:dyDescent="0.25">
      <c r="A69" s="24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Q69" s="51">
        <v>69</v>
      </c>
    </row>
    <row r="70" spans="1:17" ht="15" x14ac:dyDescent="0.25">
      <c r="A70" s="24" t="s">
        <v>125</v>
      </c>
      <c r="B70" s="101">
        <f>+'B&amp;A $'!C70+DSM!B72</f>
        <v>0</v>
      </c>
      <c r="C70" s="101">
        <f>+'B&amp;A $'!D70+DSM!C72</f>
        <v>0</v>
      </c>
      <c r="D70" s="101">
        <f>+'B&amp;A $'!E70+DSM!D72</f>
        <v>7796183.4799999995</v>
      </c>
      <c r="E70" s="101">
        <f>+'B&amp;A $'!F70+DSM!E72</f>
        <v>11387725.040000001</v>
      </c>
      <c r="F70" s="101">
        <f>+'B&amp;A $'!G70+DSM!F72</f>
        <v>9645088.8000000007</v>
      </c>
      <c r="G70" s="101">
        <f>+'B&amp;A $'!H70+DSM!G72</f>
        <v>12230180.15</v>
      </c>
      <c r="H70" s="101">
        <f>+'B&amp;A $'!I70+DSM!H72</f>
        <v>11568560.199999999</v>
      </c>
      <c r="I70" s="101">
        <f>+'B&amp;A $'!J70+DSM!I72</f>
        <v>11379534</v>
      </c>
      <c r="J70" s="101">
        <f>+'B&amp;A $'!K70+DSM!J72</f>
        <v>9174332.4499999993</v>
      </c>
      <c r="K70" s="101">
        <f>+'B&amp;A $'!L70+DSM!K72</f>
        <v>12895463.17</v>
      </c>
      <c r="L70" s="101">
        <f>+'B&amp;A $'!M70+DSM!L72</f>
        <v>13982845.98</v>
      </c>
      <c r="M70" s="101">
        <f>+'B&amp;A $'!N70+DSM!M72</f>
        <v>11547599.229999999</v>
      </c>
      <c r="N70" s="101">
        <f>+'B&amp;A $'!O70+DSM!N72</f>
        <v>11438331.800000001</v>
      </c>
      <c r="O70" s="101">
        <f>+'B&amp;A $'!P70+DSM!O72</f>
        <v>4435328.03</v>
      </c>
      <c r="Q70" s="51">
        <v>70</v>
      </c>
    </row>
    <row r="71" spans="1:17" ht="15" x14ac:dyDescent="0.25">
      <c r="A71" s="24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Q71" s="51">
        <v>71</v>
      </c>
    </row>
    <row r="72" spans="1:17" ht="15" x14ac:dyDescent="0.25">
      <c r="A72" s="24" t="s">
        <v>126</v>
      </c>
      <c r="B72" s="101"/>
      <c r="C72" s="101"/>
      <c r="D72" s="101">
        <f>+'B&amp;A $'!E72+DSM!D74</f>
        <v>1301626.08</v>
      </c>
      <c r="E72" s="101">
        <f>+'B&amp;A $'!F72+DSM!E74</f>
        <v>1606088.04</v>
      </c>
      <c r="F72" s="101">
        <f>+'B&amp;A $'!G72+DSM!F74</f>
        <v>2131513.35</v>
      </c>
      <c r="G72" s="101">
        <f>+'B&amp;A $'!H72+DSM!G74</f>
        <v>1804199.52</v>
      </c>
      <c r="H72" s="101">
        <f>+'B&amp;A $'!I72+DSM!H74</f>
        <v>1445493.85</v>
      </c>
      <c r="I72" s="101">
        <f>+'B&amp;A $'!J72+DSM!I74</f>
        <v>1187515.3600000001</v>
      </c>
      <c r="J72" s="101">
        <f>+'B&amp;A $'!K72+DSM!J74</f>
        <v>2193010.13</v>
      </c>
      <c r="K72" s="101">
        <f>+'B&amp;A $'!L72+DSM!K74</f>
        <v>1809442.14</v>
      </c>
      <c r="L72" s="101">
        <f>+'B&amp;A $'!M72+DSM!L74</f>
        <v>1934704.4</v>
      </c>
      <c r="M72" s="101">
        <f>+'B&amp;A $'!N72+DSM!M74</f>
        <v>1292345.1100000001</v>
      </c>
      <c r="N72" s="101">
        <f>+'B&amp;A $'!O72+DSM!N74</f>
        <v>1151752.24</v>
      </c>
      <c r="O72" s="101">
        <f>+'B&amp;A $'!P72+DSM!O74</f>
        <v>1487418.93</v>
      </c>
      <c r="Q72" s="51">
        <v>72</v>
      </c>
    </row>
    <row r="73" spans="1:17" ht="15" x14ac:dyDescent="0.25">
      <c r="A73" s="24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Q73" s="51">
        <v>73</v>
      </c>
    </row>
    <row r="74" spans="1:17" ht="15" x14ac:dyDescent="0.25">
      <c r="A74" s="112" t="s">
        <v>2</v>
      </c>
      <c r="B74" s="62"/>
      <c r="C74" s="62"/>
      <c r="D74" s="101">
        <f>+'B&amp;A $'!E74+DSM!D76</f>
        <v>146199.39000000001</v>
      </c>
      <c r="E74" s="101">
        <f>+'B&amp;A $'!F74+DSM!E76</f>
        <v>151454.82</v>
      </c>
      <c r="F74" s="101">
        <f>+'B&amp;A $'!G74+DSM!F76</f>
        <v>153088.70000000001</v>
      </c>
      <c r="G74" s="101">
        <f>+'B&amp;A $'!H74+DSM!G76</f>
        <v>160733.70000000001</v>
      </c>
      <c r="H74" s="101">
        <f>+'B&amp;A $'!I74+DSM!H76</f>
        <v>160437.45000000001</v>
      </c>
      <c r="I74" s="101">
        <f>+'B&amp;A $'!J74+DSM!I76</f>
        <v>151166.76</v>
      </c>
      <c r="J74" s="101">
        <f>+'B&amp;A $'!K74+DSM!J76</f>
        <v>163194.64000000001</v>
      </c>
      <c r="K74" s="101">
        <f>+'B&amp;A $'!L74+DSM!K76</f>
        <v>185381.39</v>
      </c>
      <c r="L74" s="101">
        <f>+'B&amp;A $'!M74+DSM!L76</f>
        <v>185479.32</v>
      </c>
      <c r="M74" s="101">
        <f>+'B&amp;A $'!N74+DSM!M76</f>
        <v>177446.02</v>
      </c>
      <c r="N74" s="101">
        <f>+'B&amp;A $'!O74+DSM!N76</f>
        <v>175646.74</v>
      </c>
      <c r="O74" s="101">
        <f>+'B&amp;A $'!P74+DSM!O76</f>
        <v>121615.27</v>
      </c>
      <c r="Q74" s="51">
        <v>74</v>
      </c>
    </row>
    <row r="75" spans="1:17" ht="15" x14ac:dyDescent="0.25">
      <c r="A75" s="112"/>
      <c r="B75" s="113"/>
      <c r="C75" s="113" t="e">
        <f t="shared" ref="C75" si="0">SUM(C10:C70)</f>
        <v>#REF!</v>
      </c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Q75" s="51">
        <v>75</v>
      </c>
    </row>
    <row r="76" spans="1:17" x14ac:dyDescent="0.2">
      <c r="A76" s="51" t="s">
        <v>1</v>
      </c>
      <c r="D76" s="101">
        <f>+'B&amp;A $'!E76+DSM!D78</f>
        <v>17493.39</v>
      </c>
      <c r="E76" s="101">
        <f>+'B&amp;A $'!F76+DSM!E78</f>
        <v>22933.93</v>
      </c>
      <c r="F76" s="101">
        <f>+'B&amp;A $'!G76+DSM!F78</f>
        <v>25780.46</v>
      </c>
      <c r="G76" s="101">
        <f>+'B&amp;A $'!H76+DSM!G78</f>
        <v>22038.89</v>
      </c>
      <c r="H76" s="101">
        <f>+'B&amp;A $'!I76+DSM!H78</f>
        <v>20404.900000000001</v>
      </c>
      <c r="I76" s="101">
        <f>+'B&amp;A $'!J76+DSM!I78</f>
        <v>19108.84</v>
      </c>
      <c r="J76" s="101">
        <f>+'B&amp;A $'!K76+DSM!J78</f>
        <v>26399.96</v>
      </c>
      <c r="K76" s="101">
        <f>+'B&amp;A $'!L76+DSM!K78</f>
        <v>23353.9</v>
      </c>
      <c r="L76" s="101">
        <f>+'B&amp;A $'!M76+DSM!L78</f>
        <v>22977.200000000001</v>
      </c>
      <c r="M76" s="101">
        <f>+'B&amp;A $'!N76+DSM!M78</f>
        <v>19167.830000000002</v>
      </c>
      <c r="N76" s="101">
        <f>+'B&amp;A $'!O76+DSM!N78</f>
        <v>15220.640000000001</v>
      </c>
      <c r="O76" s="101">
        <f>+'B&amp;A $'!P76+DSM!O78</f>
        <v>16836.95</v>
      </c>
      <c r="Q76" s="51">
        <v>76</v>
      </c>
    </row>
    <row r="77" spans="1:17" x14ac:dyDescent="0.2">
      <c r="B77" s="101" t="e">
        <f>+B75-'B&amp;A $'!C76-DSM!B79</f>
        <v>#REF!</v>
      </c>
      <c r="C77" s="101" t="e">
        <f>+C75-'B&amp;A $'!D76-DSM!C79</f>
        <v>#REF!</v>
      </c>
      <c r="D77" s="101"/>
      <c r="Q77" s="51">
        <v>77</v>
      </c>
    </row>
    <row r="78" spans="1:17" x14ac:dyDescent="0.2">
      <c r="D78" s="104">
        <f>SUM(D10:D76)-D17</f>
        <v>48597548.680000007</v>
      </c>
      <c r="E78" s="104">
        <f t="shared" ref="E78:O78" si="1">SUM(E10:E76)-E17</f>
        <v>55452469.309999995</v>
      </c>
      <c r="F78" s="104">
        <f t="shared" si="1"/>
        <v>59054909.810000002</v>
      </c>
      <c r="G78" s="104">
        <f t="shared" si="1"/>
        <v>65794457.140000008</v>
      </c>
      <c r="H78" s="104">
        <f t="shared" si="1"/>
        <v>62361848.860000007</v>
      </c>
      <c r="I78" s="104">
        <f t="shared" si="1"/>
        <v>51588006.300000004</v>
      </c>
      <c r="J78" s="104">
        <f t="shared" si="1"/>
        <v>55377002.760000005</v>
      </c>
      <c r="K78" s="104">
        <f t="shared" si="1"/>
        <v>66931587.460000008</v>
      </c>
      <c r="L78" s="104">
        <f t="shared" si="1"/>
        <v>71761757.429999977</v>
      </c>
      <c r="M78" s="104">
        <f t="shared" si="1"/>
        <v>67133214.299999997</v>
      </c>
      <c r="N78" s="104">
        <f t="shared" si="1"/>
        <v>51881324.139999993</v>
      </c>
      <c r="O78" s="104">
        <f t="shared" si="1"/>
        <v>38425644.950000003</v>
      </c>
      <c r="Q78" s="51">
        <v>78</v>
      </c>
    </row>
    <row r="80" spans="1:17" x14ac:dyDescent="0.2">
      <c r="A80" s="51" t="s">
        <v>261</v>
      </c>
      <c r="D80" s="101">
        <f>D78-'B&amp;A $'!E78-DSM!D79</f>
        <v>3.2778189051896334E-9</v>
      </c>
      <c r="E80" s="101">
        <f>E78-'B&amp;A $'!F78-DSM!E79</f>
        <v>2.0881998352706432E-9</v>
      </c>
      <c r="F80" s="101">
        <f>F78-'B&amp;A $'!G78-DSM!F79</f>
        <v>-7.148628355935216E-9</v>
      </c>
      <c r="G80" s="101">
        <f>G78-'B&amp;A $'!H78-DSM!G79</f>
        <v>-5.9299054555594921E-10</v>
      </c>
      <c r="H80" s="101">
        <f>H78-'B&amp;A $'!I78-DSM!H79</f>
        <v>6.5556378103792667E-9</v>
      </c>
      <c r="I80" s="101">
        <f>I78-'B&amp;A $'!J78-DSM!I79</f>
        <v>2.0881998352706432E-9</v>
      </c>
      <c r="J80" s="101">
        <f>J78-'B&amp;A $'!K78-DSM!J79</f>
        <v>-5.9480953495949507E-10</v>
      </c>
      <c r="K80" s="101">
        <f>K78-'B&amp;A $'!L78-DSM!K79</f>
        <v>-1.3114913599565625E-8</v>
      </c>
      <c r="L80" s="101">
        <f>L78-'B&amp;A $'!M78-DSM!L79</f>
        <v>-1.2518285075202584E-8</v>
      </c>
      <c r="M80" s="101">
        <f>M78-'B&amp;A $'!N78-DSM!M79</f>
        <v>5.8207660913467407E-10</v>
      </c>
      <c r="N80" s="101">
        <f>N78-'B&amp;A $'!O78-DSM!N79</f>
        <v>-6.2427716329693794E-9</v>
      </c>
      <c r="O80" s="101">
        <f>O78-'B&amp;A $'!P78-DSM!O79</f>
        <v>5.0495145842432976E-9</v>
      </c>
    </row>
    <row r="81" spans="4:18" x14ac:dyDescent="0.2">
      <c r="D81" s="114">
        <f>'B&amp;A $'!E78</f>
        <v>48580067.910000004</v>
      </c>
      <c r="F81" s="114"/>
      <c r="R81" s="51" t="s">
        <v>259</v>
      </c>
    </row>
    <row r="82" spans="4:18" x14ac:dyDescent="0.2">
      <c r="D82" s="114">
        <f>DSM!D79</f>
        <v>17480.77</v>
      </c>
      <c r="F82" s="114"/>
      <c r="R82" s="51" t="s">
        <v>260</v>
      </c>
    </row>
    <row r="83" spans="4:18" x14ac:dyDescent="0.2">
      <c r="F83" s="114"/>
    </row>
    <row r="85" spans="4:18" x14ac:dyDescent="0.2">
      <c r="F85" s="101"/>
    </row>
  </sheetData>
  <pageMargins left="0.7" right="0.7" top="0.75" bottom="0.75" header="0.3" footer="0.3"/>
  <pageSetup scale="46" orientation="portrait" r:id="rId1"/>
  <headerFooter>
    <oddFooter>&amp;L&amp;F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93"/>
  <sheetViews>
    <sheetView zoomScaleNormal="100" workbookViewId="0">
      <pane xSplit="1" ySplit="8" topLeftCell="B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H28" sqref="H28"/>
    </sheetView>
  </sheetViews>
  <sheetFormatPr defaultColWidth="9.140625" defaultRowHeight="15" x14ac:dyDescent="0.25"/>
  <cols>
    <col min="1" max="1" width="17.42578125" style="46" customWidth="1"/>
    <col min="2" max="3" width="1.140625" style="46" customWidth="1"/>
    <col min="4" max="4" width="24.5703125" style="46" customWidth="1"/>
    <col min="5" max="13" width="15.28515625" style="46" customWidth="1"/>
    <col min="14" max="15" width="13.85546875" style="46" customWidth="1"/>
    <col min="16" max="16" width="9.140625" style="46" customWidth="1"/>
    <col min="17" max="16384" width="9.140625" style="46"/>
  </cols>
  <sheetData>
    <row r="1" spans="1:20" x14ac:dyDescent="0.25">
      <c r="A1" s="46" t="s">
        <v>70</v>
      </c>
    </row>
    <row r="2" spans="1:20" x14ac:dyDescent="0.25">
      <c r="A2" s="46" t="s">
        <v>71</v>
      </c>
    </row>
    <row r="3" spans="1:20" x14ac:dyDescent="0.25">
      <c r="A3" s="46" t="str">
        <f>'B&amp;A kWh'!B3</f>
        <v>TEST YEAR ENDED March 31, 2023</v>
      </c>
    </row>
    <row r="4" spans="1:20" x14ac:dyDescent="0.25">
      <c r="A4" s="98"/>
    </row>
    <row r="5" spans="1:20" x14ac:dyDescent="0.25">
      <c r="A5" s="98" t="s">
        <v>157</v>
      </c>
    </row>
    <row r="6" spans="1:20" x14ac:dyDescent="0.25">
      <c r="A6" s="98"/>
    </row>
    <row r="7" spans="1:20" x14ac:dyDescent="0.25">
      <c r="A7" s="99" t="s">
        <v>80</v>
      </c>
      <c r="C7" s="102"/>
      <c r="D7" s="102">
        <v>2022</v>
      </c>
      <c r="E7" s="102"/>
      <c r="F7" s="102"/>
      <c r="G7" s="102"/>
      <c r="H7" s="102"/>
      <c r="I7" s="102"/>
      <c r="J7" s="102"/>
      <c r="K7" s="102"/>
      <c r="L7" s="102"/>
      <c r="M7" s="102"/>
      <c r="N7" s="46">
        <v>2023</v>
      </c>
    </row>
    <row r="8" spans="1:20" x14ac:dyDescent="0.25">
      <c r="A8" s="98" t="s">
        <v>22</v>
      </c>
      <c r="B8" s="107" t="s">
        <v>106</v>
      </c>
      <c r="C8" s="107" t="s">
        <v>107</v>
      </c>
      <c r="D8" s="107" t="s">
        <v>109</v>
      </c>
      <c r="E8" s="107" t="s">
        <v>110</v>
      </c>
      <c r="F8" s="107" t="s">
        <v>111</v>
      </c>
      <c r="G8" s="107" t="s">
        <v>112</v>
      </c>
      <c r="H8" s="107" t="s">
        <v>113</v>
      </c>
      <c r="I8" s="107" t="s">
        <v>114</v>
      </c>
      <c r="J8" s="107" t="s">
        <v>115</v>
      </c>
      <c r="K8" s="107" t="s">
        <v>116</v>
      </c>
      <c r="L8" s="107" t="s">
        <v>117</v>
      </c>
      <c r="M8" s="107" t="s">
        <v>106</v>
      </c>
      <c r="N8" s="107" t="s">
        <v>107</v>
      </c>
      <c r="O8" s="107" t="s">
        <v>108</v>
      </c>
    </row>
    <row r="9" spans="1:20" x14ac:dyDescent="0.25">
      <c r="R9" s="46" t="s">
        <v>262</v>
      </c>
      <c r="S9" s="46" t="s">
        <v>263</v>
      </c>
      <c r="T9" s="46" t="s">
        <v>264</v>
      </c>
    </row>
    <row r="10" spans="1:20" x14ac:dyDescent="0.25">
      <c r="A10" s="102" t="s">
        <v>21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Q10" s="46" t="s">
        <v>21</v>
      </c>
      <c r="R10" s="46">
        <v>10</v>
      </c>
      <c r="S10" s="46">
        <v>12</v>
      </c>
      <c r="T10" s="46">
        <v>10</v>
      </c>
    </row>
    <row r="11" spans="1:20" x14ac:dyDescent="0.25">
      <c r="A11" s="102"/>
      <c r="R11" s="46">
        <v>11</v>
      </c>
      <c r="S11" s="46">
        <v>13</v>
      </c>
      <c r="T11" s="46">
        <v>11</v>
      </c>
    </row>
    <row r="12" spans="1:20" x14ac:dyDescent="0.25">
      <c r="A12" s="102" t="s">
        <v>20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Q12" s="46" t="s">
        <v>20</v>
      </c>
      <c r="R12" s="46">
        <v>12</v>
      </c>
      <c r="S12" s="46">
        <v>14</v>
      </c>
      <c r="T12" s="46">
        <v>12</v>
      </c>
    </row>
    <row r="13" spans="1:20" x14ac:dyDescent="0.25">
      <c r="A13" s="102"/>
      <c r="R13" s="46">
        <v>13</v>
      </c>
      <c r="S13" s="46">
        <v>15</v>
      </c>
      <c r="T13" s="46">
        <v>13</v>
      </c>
    </row>
    <row r="14" spans="1:20" x14ac:dyDescent="0.25">
      <c r="A14" s="102" t="s">
        <v>19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Q14" s="46" t="s">
        <v>19</v>
      </c>
      <c r="R14" s="46">
        <v>14</v>
      </c>
      <c r="S14" s="46">
        <v>16</v>
      </c>
      <c r="T14" s="46">
        <v>14</v>
      </c>
    </row>
    <row r="15" spans="1:20" x14ac:dyDescent="0.25">
      <c r="A15" s="102"/>
      <c r="R15" s="46">
        <v>15</v>
      </c>
      <c r="S15" s="46">
        <v>17</v>
      </c>
      <c r="T15" s="46">
        <v>15</v>
      </c>
    </row>
    <row r="16" spans="1:20" x14ac:dyDescent="0.25">
      <c r="A16" s="43" t="s">
        <v>172</v>
      </c>
      <c r="D16" s="108"/>
      <c r="Q16" s="46" t="s">
        <v>172</v>
      </c>
      <c r="R16" s="46">
        <v>16</v>
      </c>
      <c r="S16" s="46">
        <v>18</v>
      </c>
      <c r="T16" s="46">
        <v>16</v>
      </c>
    </row>
    <row r="17" spans="1:20" x14ac:dyDescent="0.25">
      <c r="A17" s="43" t="s">
        <v>174</v>
      </c>
      <c r="D17" s="108">
        <f>('B&amp;A+DSM $'!D17-(FAC!D19+$D$81*'B&amp;A kWh'!E17)*(1+D$93))/(1+D$85+D$89+D$93)</f>
        <v>625044.75393240724</v>
      </c>
      <c r="E17" s="108">
        <f>('B&amp;A+DSM $'!E17-(FAC!E19+$D$81*'B&amp;A kWh'!F17)*(1+E$93))/(1+E$85+E$89+E$93)</f>
        <v>683577.24144395348</v>
      </c>
      <c r="F17" s="108">
        <f>('B&amp;A+DSM $'!F17-(FAC!F19+$D$81*'B&amp;A kWh'!G17)*(1+F$93))/(1+F$85+F$89+F$93)</f>
        <v>615903.54373379296</v>
      </c>
      <c r="G17" s="108">
        <f>('B&amp;A+DSM $'!G17-(FAC!G19+$D$81*'B&amp;A kWh'!H17)*(1+G$93))/(1+G$85+G$89+G$93)</f>
        <v>560545.98083918402</v>
      </c>
      <c r="H17" s="108">
        <f>('B&amp;A+DSM $'!H17-(FAC!H19+$D$81*'B&amp;A kWh'!I17)*(1+H$93))/(1+H$85+H$89+H$93)</f>
        <v>577962.92744916829</v>
      </c>
      <c r="I17" s="108">
        <f>('B&amp;A+DSM $'!I17-(FAC!I19+$D$81*'B&amp;A kWh'!J17)*(1+I$93))/(1+I$85+I$89+I$93)</f>
        <v>535957.68189126055</v>
      </c>
      <c r="J17" s="108">
        <f>('B&amp;A+DSM $'!J17-(FAC!J19+$D$81*'B&amp;A kWh'!K17)*(1+J$93))/(1+J$85+J$89+J$93)</f>
        <v>688560.59494618198</v>
      </c>
      <c r="K17" s="108">
        <f>('B&amp;A+DSM $'!K17-(FAC!K19+$D$81*'B&amp;A kWh'!L17)*(1+K$93))/(1+K$85+K$89+K$93)</f>
        <v>702405.56664285355</v>
      </c>
      <c r="L17" s="108">
        <f>('B&amp;A+DSM $'!L17-(FAC!L19+$D$81*'B&amp;A kWh'!M17)*(1+L$93))/(1+L$85+L$89+L$93)</f>
        <v>433474.57623708865</v>
      </c>
      <c r="M17" s="108">
        <f>('B&amp;A+DSM $'!M17-(FAC!M19+$D$81*'B&amp;A kWh'!N17)*(1+M$93))/(1+M$85+M$89+M$93)</f>
        <v>419996.65063536557</v>
      </c>
      <c r="N17" s="108">
        <f>('B&amp;A+DSM $'!N17-(FAC!N19+$D$81*'B&amp;A kWh'!O17)*(1+N$93))/(1+N$85+N$89+N$93)</f>
        <v>428785.28714131791</v>
      </c>
      <c r="O17" s="108">
        <f>('B&amp;A+DSM $'!O17-(FAC!O19+$D$81*'B&amp;A kWh'!P17)*(1+O$93))/(1+O$85+O$89+O$93)</f>
        <v>643025.72442492796</v>
      </c>
      <c r="Q17" s="46" t="s">
        <v>174</v>
      </c>
      <c r="R17" s="46">
        <v>17</v>
      </c>
      <c r="S17" s="46">
        <v>19</v>
      </c>
      <c r="T17" s="46">
        <v>17</v>
      </c>
    </row>
    <row r="18" spans="1:20" x14ac:dyDescent="0.25">
      <c r="A18" s="102" t="s">
        <v>18</v>
      </c>
      <c r="B18" s="108" t="e">
        <f>('B&amp;A $'!C18+DSM!B20-(FAC!B20+$D$81*'B&amp;A kWh'!C18)*(1+B$93))/(1+B$85+B$89+B$93)</f>
        <v>#REF!</v>
      </c>
      <c r="C18" s="108" t="e">
        <f>('B&amp;A $'!D18+DSM!C20-(FAC!C20+$D$81*'B&amp;A kWh'!D18)*(1+C$93))/(1+C$85+C$89+C$93)</f>
        <v>#REF!</v>
      </c>
      <c r="D18" s="108">
        <f>('B&amp;A+DSM $'!D18-(FAC!D20+$D$81*'B&amp;A kWh'!E18)*(1+D$93))/(1+D$85+D$89+D$93)</f>
        <v>625044.75393240724</v>
      </c>
      <c r="E18" s="108">
        <f>('B&amp;A+DSM $'!E18-(FAC!E20+$D$81*'B&amp;A kWh'!F18)*(1+E$93))/(1+E$85+E$89+E$93)</f>
        <v>683577.24144395348</v>
      </c>
      <c r="F18" s="108">
        <f>('B&amp;A+DSM $'!F18-(FAC!F20+$D$81*'B&amp;A kWh'!G18)*(1+F$93))/(1+F$85+F$89+F$93)</f>
        <v>615903.54373379296</v>
      </c>
      <c r="G18" s="108">
        <f>('B&amp;A+DSM $'!G18-(FAC!G20+$D$81*'B&amp;A kWh'!H18)*(1+G$93))/(1+G$85+G$89+G$93)</f>
        <v>560545.98083918402</v>
      </c>
      <c r="H18" s="108">
        <f>('B&amp;A+DSM $'!H18-(FAC!H20+$D$81*'B&amp;A kWh'!I18)*(1+H$93))/(1+H$85+H$89+H$93)</f>
        <v>577962.92744916829</v>
      </c>
      <c r="I18" s="108">
        <f>('B&amp;A+DSM $'!I18-(FAC!I20+$D$81*'B&amp;A kWh'!J18)*(1+I$93))/(1+I$85+I$89+I$93)</f>
        <v>535957.68189126055</v>
      </c>
      <c r="J18" s="108">
        <f>('B&amp;A+DSM $'!J18-(FAC!J20+$D$81*'B&amp;A kWh'!K18)*(1+J$93))/(1+J$85+J$89+J$93)</f>
        <v>688560.59494618198</v>
      </c>
      <c r="K18" s="108">
        <f>('B&amp;A+DSM $'!K18-(FAC!K20+$D$81*'B&amp;A kWh'!L18)*(1+K$93))/(1+K$85+K$89+K$93)</f>
        <v>702405.56664285355</v>
      </c>
      <c r="L18" s="108">
        <f>('B&amp;A+DSM $'!L18-(FAC!L20+$D$81*'B&amp;A kWh'!M18)*(1+L$93))/(1+L$85+L$89+L$93)</f>
        <v>433474.57623708865</v>
      </c>
      <c r="M18" s="108">
        <f>('B&amp;A+DSM $'!M18-(FAC!M20+$D$81*'B&amp;A kWh'!N18)*(1+M$93))/(1+M$85+M$89+M$93)</f>
        <v>419996.65063536557</v>
      </c>
      <c r="N18" s="108">
        <f>('B&amp;A+DSM $'!N18-(FAC!N20+$D$81*'B&amp;A kWh'!O18)*(1+N$93))/(1+N$85+N$89+N$93)</f>
        <v>428785.28714131791</v>
      </c>
      <c r="O18" s="108">
        <f>('B&amp;A+DSM $'!O18-(FAC!O20+$D$81*'B&amp;A kWh'!P18)*(1+O$93))/(1+O$85+O$89+O$93)</f>
        <v>643025.72442492796</v>
      </c>
      <c r="Q18" s="46" t="s">
        <v>18</v>
      </c>
      <c r="R18" s="46">
        <v>18</v>
      </c>
      <c r="S18" s="46">
        <v>20</v>
      </c>
      <c r="T18" s="46">
        <v>18</v>
      </c>
    </row>
    <row r="19" spans="1:20" x14ac:dyDescent="0.25">
      <c r="A19" s="102"/>
      <c r="D19" s="108">
        <f>('B&amp;A+DSM $'!D19-(FAC!D21+$D$81*'B&amp;A kWh'!E19)*(1+D$93))/(1+D$85+D$89+D$93)</f>
        <v>0</v>
      </c>
      <c r="E19" s="108">
        <f>('B&amp;A+DSM $'!E19-(FAC!E21+$D$81*'B&amp;A kWh'!F19)*(1+E$93))/(1+E$85+E$89+E$93)</f>
        <v>0</v>
      </c>
      <c r="F19" s="46">
        <f>('B&amp;A+DSM $'!F19-(FAC!F21+$D$81*'B&amp;A kWh'!G19)*(1+F$93))/(1+F$85+F$89+F$93)</f>
        <v>0</v>
      </c>
      <c r="G19" s="46">
        <f>('B&amp;A+DSM $'!G19-(FAC!G21+$D$81*'B&amp;A kWh'!H19)*(1+G$93))/(1+G$85+G$89+G$93)</f>
        <v>0</v>
      </c>
      <c r="H19" s="46">
        <f>('B&amp;A+DSM $'!H19-(FAC!H21+$D$81*'B&amp;A kWh'!I19)*(1+H$93))/(1+H$85+H$89+H$93)</f>
        <v>0</v>
      </c>
      <c r="I19" s="46">
        <f>('B&amp;A+DSM $'!I19-(FAC!I21+$D$81*'B&amp;A kWh'!J19)*(1+I$93))/(1+I$85+I$89+I$93)</f>
        <v>0</v>
      </c>
      <c r="J19" s="46">
        <f>('B&amp;A+DSM $'!J19-(FAC!J21+$D$81*'B&amp;A kWh'!K19)*(1+J$93))/(1+J$85+J$89+J$93)</f>
        <v>0</v>
      </c>
      <c r="K19" s="46">
        <f>('B&amp;A+DSM $'!K19-(FAC!K21+$D$81*'B&amp;A kWh'!L19)*(1+K$93))/(1+K$85+K$89+K$93)</f>
        <v>0</v>
      </c>
      <c r="L19" s="46">
        <f>('B&amp;A+DSM $'!L19-(FAC!L21+$D$81*'B&amp;A kWh'!M19)*(1+L$93))/(1+L$85+L$89+L$93)</f>
        <v>0</v>
      </c>
      <c r="M19" s="46">
        <f>('B&amp;A+DSM $'!M19-(FAC!M21+$D$81*'B&amp;A kWh'!N19)*(1+M$93))/(1+M$85+M$89+M$93)</f>
        <v>0</v>
      </c>
      <c r="N19" s="46">
        <f>('B&amp;A+DSM $'!N19-(FAC!N21+$D$81*'B&amp;A kWh'!O19)*(1+N$93))/(1+N$85+N$89+N$93)</f>
        <v>0</v>
      </c>
      <c r="O19" s="46">
        <f>('B&amp;A+DSM $'!O19-(FAC!O21+$D$81*'B&amp;A kWh'!P19)*(1+O$93))/(1+O$85+O$89+O$93)</f>
        <v>0</v>
      </c>
      <c r="R19" s="46">
        <v>19</v>
      </c>
      <c r="S19" s="46">
        <v>21</v>
      </c>
      <c r="T19" s="46">
        <v>19</v>
      </c>
    </row>
    <row r="20" spans="1:20" x14ac:dyDescent="0.25">
      <c r="A20" s="102" t="s">
        <v>17</v>
      </c>
      <c r="B20" s="108">
        <f>('B&amp;A $'!C20+DSM!B22-(FAC!B22+$D$81*'B&amp;A kWh'!C20)*(1+B$93))/(1+B$85+B$89+B$93)</f>
        <v>0</v>
      </c>
      <c r="C20" s="108">
        <f>('B&amp;A $'!D20+DSM!C22-(FAC!C22+$D$81*'B&amp;A kWh'!D20)*(1+C$93))/(1+C$85+C$89+C$93)</f>
        <v>0</v>
      </c>
      <c r="D20" s="108">
        <f>('B&amp;A+DSM $'!D20-(FAC!D22+$D$81*'B&amp;A kWh'!E20)*(1+D$93))/(1+D$85+D$89+D$93)</f>
        <v>1433504.247530794</v>
      </c>
      <c r="E20" s="108">
        <f>('B&amp;A+DSM $'!E20-(FAC!E22+$D$81*'B&amp;A kWh'!F20)*(1+E$93))/(1+E$85+E$89+E$93)</f>
        <v>1599629.6879045384</v>
      </c>
      <c r="F20" s="108">
        <f>('B&amp;A+DSM $'!F20-(FAC!F22+$D$81*'B&amp;A kWh'!G20)*(1+F$93))/(1+F$85+F$89+F$93)</f>
        <v>1576353.1564554726</v>
      </c>
      <c r="G20" s="108">
        <f>('B&amp;A+DSM $'!G20-(FAC!G22+$D$81*'B&amp;A kWh'!H20)*(1+G$93))/(1+G$85+G$89+G$93)</f>
        <v>1599392.7286534205</v>
      </c>
      <c r="H20" s="108">
        <f>('B&amp;A+DSM $'!H20-(FAC!H22+$D$81*'B&amp;A kWh'!I20)*(1+H$93))/(1+H$85+H$89+H$93)</f>
        <v>1537547.9971390131</v>
      </c>
      <c r="I20" s="108">
        <f>('B&amp;A+DSM $'!I20-(FAC!I22+$D$81*'B&amp;A kWh'!J20)*(1+I$93))/(1+I$85+I$89+I$93)</f>
        <v>1457574.8028284463</v>
      </c>
      <c r="J20" s="108">
        <f>('B&amp;A+DSM $'!J20-(FAC!J22+$D$81*'B&amp;A kWh'!K20)*(1+J$93))/(1+J$85+J$89+J$93)</f>
        <v>1603198.7154045915</v>
      </c>
      <c r="K20" s="108">
        <f>('B&amp;A+DSM $'!K20-(FAC!K22+$D$81*'B&amp;A kWh'!L20)*(1+K$93))/(1+K$85+K$89+K$93)</f>
        <v>1661492.0864394843</v>
      </c>
      <c r="L20" s="108">
        <f>('B&amp;A+DSM $'!L20-(FAC!L22+$D$81*'B&amp;A kWh'!M20)*(1+L$93))/(1+L$85+L$89+L$93)</f>
        <v>1715302.5610328896</v>
      </c>
      <c r="M20" s="108">
        <f>('B&amp;A+DSM $'!M20-(FAC!M22+$D$81*'B&amp;A kWh'!N20)*(1+M$93))/(1+M$85+M$89+M$93)</f>
        <v>1668531.2093263534</v>
      </c>
      <c r="N20" s="108">
        <f>('B&amp;A+DSM $'!N20-(FAC!N22+$D$81*'B&amp;A kWh'!O20)*(1+N$93))/(1+N$85+N$89+N$93)</f>
        <v>1167064.3752378179</v>
      </c>
      <c r="O20" s="108">
        <f>('B&amp;A+DSM $'!O20-(FAC!O22+$D$81*'B&amp;A kWh'!P20)*(1+O$93))/(1+O$85+O$89+O$93)</f>
        <v>1821041.8371671473</v>
      </c>
      <c r="Q20" s="46" t="s">
        <v>17</v>
      </c>
      <c r="R20" s="46">
        <v>20</v>
      </c>
      <c r="S20" s="46">
        <v>22</v>
      </c>
      <c r="T20" s="46">
        <v>20</v>
      </c>
    </row>
    <row r="21" spans="1:20" x14ac:dyDescent="0.25">
      <c r="A21" s="102"/>
      <c r="D21" s="108">
        <f>('B&amp;A+DSM $'!D21-(FAC!D23+$D$81*'B&amp;A kWh'!E21)*(1+D$93))/(1+D$85+D$89+D$93)</f>
        <v>0</v>
      </c>
      <c r="E21" s="108">
        <f>('B&amp;A+DSM $'!E21-(FAC!E23+$D$81*'B&amp;A kWh'!F21)*(1+E$93))/(1+E$85+E$89+E$93)</f>
        <v>0</v>
      </c>
      <c r="F21" s="46">
        <f>('B&amp;A+DSM $'!F21-(FAC!F23+$D$81*'B&amp;A kWh'!G21)*(1+F$93))/(1+F$85+F$89+F$93)</f>
        <v>0</v>
      </c>
      <c r="G21" s="46">
        <f>('B&amp;A+DSM $'!G21-(FAC!G23+$D$81*'B&amp;A kWh'!H21)*(1+G$93))/(1+G$85+G$89+G$93)</f>
        <v>0</v>
      </c>
      <c r="H21" s="46">
        <f>('B&amp;A+DSM $'!H21-(FAC!H23+$D$81*'B&amp;A kWh'!I21)*(1+H$93))/(1+H$85+H$89+H$93)</f>
        <v>0</v>
      </c>
      <c r="I21" s="46">
        <f>('B&amp;A+DSM $'!I21-(FAC!I23+$D$81*'B&amp;A kWh'!J21)*(1+I$93))/(1+I$85+I$89+I$93)</f>
        <v>0</v>
      </c>
      <c r="J21" s="46">
        <f>('B&amp;A+DSM $'!J21-(FAC!J23+$D$81*'B&amp;A kWh'!K21)*(1+J$93))/(1+J$85+J$89+J$93)</f>
        <v>0</v>
      </c>
      <c r="K21" s="46">
        <f>('B&amp;A+DSM $'!K21-(FAC!K23+$D$81*'B&amp;A kWh'!L21)*(1+K$93))/(1+K$85+K$89+K$93)</f>
        <v>0</v>
      </c>
      <c r="L21" s="46">
        <f>('B&amp;A+DSM $'!L21-(FAC!L23+$D$81*'B&amp;A kWh'!M21)*(1+L$93))/(1+L$85+L$89+L$93)</f>
        <v>0</v>
      </c>
      <c r="M21" s="46">
        <f>('B&amp;A+DSM $'!M21-(FAC!M23+$D$81*'B&amp;A kWh'!N21)*(1+M$93))/(1+M$85+M$89+M$93)</f>
        <v>0</v>
      </c>
      <c r="N21" s="46">
        <f>('B&amp;A+DSM $'!N21-(FAC!N23+$D$81*'B&amp;A kWh'!O21)*(1+N$93))/(1+N$85+N$89+N$93)</f>
        <v>0</v>
      </c>
      <c r="O21" s="46">
        <f>('B&amp;A+DSM $'!O21-(FAC!O23+$D$81*'B&amp;A kWh'!P21)*(1+O$93))/(1+O$85+O$89+O$93)</f>
        <v>0</v>
      </c>
      <c r="R21" s="46">
        <v>21</v>
      </c>
      <c r="S21" s="46">
        <v>23</v>
      </c>
      <c r="T21" s="46">
        <v>21</v>
      </c>
    </row>
    <row r="22" spans="1:20" x14ac:dyDescent="0.25">
      <c r="A22" s="102" t="s">
        <v>16</v>
      </c>
      <c r="B22" s="108">
        <f>('B&amp;A $'!C22+DSM!B24-(FAC!B24+$D$81*'B&amp;A kWh'!C22)*(1+B$93))/(1+B$85+B$89+B$93)</f>
        <v>0</v>
      </c>
      <c r="C22" s="108">
        <f>('B&amp;A $'!D22+DSM!C24-(FAC!C24+$D$81*'B&amp;A kWh'!D22)*(1+C$93))/(1+C$85+C$89+C$93)</f>
        <v>0</v>
      </c>
      <c r="D22" s="108">
        <f>('B&amp;A+DSM $'!D22-(FAC!D24+$D$81*'B&amp;A kWh'!E22)*(1+D$93))/(1+D$85+D$89+D$93)</f>
        <v>7402.9493119647377</v>
      </c>
      <c r="E22" s="108">
        <f>('B&amp;A+DSM $'!E22-(FAC!E24+$D$81*'B&amp;A kWh'!F22)*(1+E$93))/(1+E$85+E$89+E$93)</f>
        <v>7840.2663354221886</v>
      </c>
      <c r="F22" s="108">
        <f>('B&amp;A+DSM $'!F22-(FAC!F24+$D$81*'B&amp;A kWh'!G22)*(1+F$93))/(1+F$85+F$89+F$93)</f>
        <v>7553.014670234591</v>
      </c>
      <c r="G22" s="108">
        <f>('B&amp;A+DSM $'!G22-(FAC!G24+$D$81*'B&amp;A kWh'!H22)*(1+G$93))/(1+G$85+G$89+G$93)</f>
        <v>6806.0264359594148</v>
      </c>
      <c r="H22" s="108">
        <f>('B&amp;A+DSM $'!H22-(FAC!H24+$D$81*'B&amp;A kWh'!I22)*(1+H$93))/(1+H$85+H$89+H$93)</f>
        <v>6239.5742497553556</v>
      </c>
      <c r="I22" s="108">
        <f>('B&amp;A+DSM $'!I22-(FAC!I24+$D$81*'B&amp;A kWh'!J22)*(1+I$93))/(1+I$85+I$89+I$93)</f>
        <v>6535.4086212393295</v>
      </c>
      <c r="J22" s="108">
        <f>('B&amp;A+DSM $'!J22-(FAC!J24+$D$81*'B&amp;A kWh'!K22)*(1+J$93))/(1+J$85+J$89+J$93)</f>
        <v>6765.1076186633281</v>
      </c>
      <c r="K22" s="108">
        <f>('B&amp;A+DSM $'!K22-(FAC!K24+$D$81*'B&amp;A kWh'!L22)*(1+K$93))/(1+K$85+K$89+K$93)</f>
        <v>7573.2088687408313</v>
      </c>
      <c r="L22" s="108">
        <f>('B&amp;A+DSM $'!L22-(FAC!L24+$D$81*'B&amp;A kWh'!M22)*(1+L$93))/(1+L$85+L$89+L$93)</f>
        <v>6914.9340250635705</v>
      </c>
      <c r="M22" s="108">
        <f>('B&amp;A+DSM $'!M22-(FAC!M24+$D$81*'B&amp;A kWh'!N22)*(1+M$93))/(1+M$85+M$89+M$93)</f>
        <v>6528.4846462915111</v>
      </c>
      <c r="N22" s="108">
        <f>('B&amp;A+DSM $'!N22-(FAC!N24+$D$81*'B&amp;A kWh'!O22)*(1+N$93))/(1+N$85+N$89+N$93)</f>
        <v>4764.175346635705</v>
      </c>
      <c r="O22" s="108">
        <f>('B&amp;A+DSM $'!O22-(FAC!O24+$D$81*'B&amp;A kWh'!P22)*(1+O$93))/(1+O$85+O$89+O$93)</f>
        <v>8093.1209082984715</v>
      </c>
      <c r="Q22" s="46" t="s">
        <v>16</v>
      </c>
      <c r="R22" s="46">
        <v>22</v>
      </c>
      <c r="S22" s="46">
        <v>24</v>
      </c>
      <c r="T22" s="46">
        <v>22</v>
      </c>
    </row>
    <row r="23" spans="1:20" x14ac:dyDescent="0.25">
      <c r="A23" s="102"/>
      <c r="D23" s="108">
        <f>('B&amp;A+DSM $'!D23-(FAC!D25+$D$81*'B&amp;A kWh'!E23)*(1+D$93))/(1+D$85+D$89+D$93)</f>
        <v>0</v>
      </c>
      <c r="E23" s="108">
        <f>('B&amp;A+DSM $'!E23-(FAC!E25+$D$81*'B&amp;A kWh'!F23)*(1+E$93))/(1+E$85+E$89+E$93)</f>
        <v>0</v>
      </c>
      <c r="F23" s="46">
        <f>('B&amp;A+DSM $'!F23-(FAC!F25+$D$81*'B&amp;A kWh'!G23)*(1+F$93))/(1+F$85+F$89+F$93)</f>
        <v>0</v>
      </c>
      <c r="G23" s="46">
        <f>('B&amp;A+DSM $'!G23-(FAC!G25+$D$81*'B&amp;A kWh'!H23)*(1+G$93))/(1+G$85+G$89+G$93)</f>
        <v>0</v>
      </c>
      <c r="H23" s="46">
        <f>('B&amp;A+DSM $'!H23-(FAC!H25+$D$81*'B&amp;A kWh'!I23)*(1+H$93))/(1+H$85+H$89+H$93)</f>
        <v>0</v>
      </c>
      <c r="I23" s="46">
        <f>('B&amp;A+DSM $'!I23-(FAC!I25+$D$81*'B&amp;A kWh'!J23)*(1+I$93))/(1+I$85+I$89+I$93)</f>
        <v>0</v>
      </c>
      <c r="J23" s="46">
        <f>('B&amp;A+DSM $'!J23-(FAC!J25+$D$81*'B&amp;A kWh'!K23)*(1+J$93))/(1+J$85+J$89+J$93)</f>
        <v>0</v>
      </c>
      <c r="K23" s="46">
        <f>('B&amp;A+DSM $'!K23-(FAC!K25+$D$81*'B&amp;A kWh'!L23)*(1+K$93))/(1+K$85+K$89+K$93)</f>
        <v>0</v>
      </c>
      <c r="L23" s="46">
        <f>('B&amp;A+DSM $'!L23-(FAC!L25+$D$81*'B&amp;A kWh'!M23)*(1+L$93))/(1+L$85+L$89+L$93)</f>
        <v>0</v>
      </c>
      <c r="M23" s="46">
        <f>('B&amp;A+DSM $'!M23-(FAC!M25+$D$81*'B&amp;A kWh'!N23)*(1+M$93))/(1+M$85+M$89+M$93)</f>
        <v>0</v>
      </c>
      <c r="N23" s="46">
        <f>('B&amp;A+DSM $'!N23-(FAC!N25+$D$81*'B&amp;A kWh'!O23)*(1+N$93))/(1+N$85+N$89+N$93)</f>
        <v>0</v>
      </c>
      <c r="O23" s="46">
        <f>('B&amp;A+DSM $'!O23-(FAC!O25+$D$81*'B&amp;A kWh'!P23)*(1+O$93))/(1+O$85+O$89+O$93)</f>
        <v>0</v>
      </c>
      <c r="R23" s="46">
        <v>23</v>
      </c>
      <c r="S23" s="46">
        <v>25</v>
      </c>
      <c r="T23" s="46">
        <v>23</v>
      </c>
    </row>
    <row r="24" spans="1:20" x14ac:dyDescent="0.25">
      <c r="A24" s="102" t="s">
        <v>15</v>
      </c>
      <c r="B24" s="108">
        <f>('B&amp;A $'!C24+DSM!B26-(FAC!B26+$D$81*'B&amp;A kWh'!C24)*(1+B$93))/(1+B$85+B$89+B$93)</f>
        <v>0</v>
      </c>
      <c r="C24" s="108">
        <f>('B&amp;A $'!D24+DSM!C26-(FAC!C26+$D$81*'B&amp;A kWh'!D24)*(1+C$93))/(1+C$85+C$89+C$93)</f>
        <v>0</v>
      </c>
      <c r="D24" s="108">
        <f>('B&amp;A+DSM $'!D24-(FAC!D26+$D$81*'B&amp;A kWh'!E24)*(1+D$93))/(1+D$85+D$89+D$93)</f>
        <v>77134.413148441381</v>
      </c>
      <c r="E24" s="108">
        <f>('B&amp;A+DSM $'!E24-(FAC!E26+$D$81*'B&amp;A kWh'!F24)*(1+E$93))/(1+E$85+E$89+E$93)</f>
        <v>83981.847036997322</v>
      </c>
      <c r="F24" s="108">
        <f>('B&amp;A+DSM $'!F24-(FAC!F26+$D$81*'B&amp;A kWh'!G24)*(1+F$93))/(1+F$85+F$89+F$93)</f>
        <v>98596.810297976743</v>
      </c>
      <c r="G24" s="108">
        <f>('B&amp;A+DSM $'!G24-(FAC!G26+$D$81*'B&amp;A kWh'!H24)*(1+G$93))/(1+G$85+G$89+G$93)</f>
        <v>82837.856612549454</v>
      </c>
      <c r="H24" s="108">
        <f>('B&amp;A+DSM $'!H24-(FAC!H26+$D$81*'B&amp;A kWh'!I24)*(1+H$93))/(1+H$85+H$89+H$93)</f>
        <v>80169.778290475151</v>
      </c>
      <c r="I24" s="108">
        <f>('B&amp;A+DSM $'!I24-(FAC!I26+$D$81*'B&amp;A kWh'!J24)*(1+I$93))/(1+I$85+I$89+I$93)</f>
        <v>78729.406968206909</v>
      </c>
      <c r="J24" s="108">
        <f>('B&amp;A+DSM $'!J24-(FAC!J26+$D$81*'B&amp;A kWh'!K24)*(1+J$93))/(1+J$85+J$89+J$93)</f>
        <v>78920.235688493893</v>
      </c>
      <c r="K24" s="108">
        <f>('B&amp;A+DSM $'!K24-(FAC!K26+$D$81*'B&amp;A kWh'!L24)*(1+K$93))/(1+K$85+K$89+K$93)</f>
        <v>81562.228033143241</v>
      </c>
      <c r="L24" s="108">
        <f>('B&amp;A+DSM $'!L24-(FAC!L26+$D$81*'B&amp;A kWh'!M24)*(1+L$93))/(1+L$85+L$89+L$93)</f>
        <v>79724.429233047224</v>
      </c>
      <c r="M24" s="108">
        <f>('B&amp;A+DSM $'!M24-(FAC!M26+$D$81*'B&amp;A kWh'!N24)*(1+M$93))/(1+M$85+M$89+M$93)</f>
        <v>66757.395422781265</v>
      </c>
      <c r="N24" s="108">
        <f>('B&amp;A+DSM $'!N24-(FAC!N26+$D$81*'B&amp;A kWh'!O24)*(1+N$93))/(1+N$85+N$89+N$93)</f>
        <v>49118.275836317538</v>
      </c>
      <c r="O24" s="108">
        <f>('B&amp;A+DSM $'!O24-(FAC!O26+$D$81*'B&amp;A kWh'!P24)*(1+O$93))/(1+O$85+O$89+O$93)</f>
        <v>90516.538005638562</v>
      </c>
      <c r="Q24" s="46" t="s">
        <v>15</v>
      </c>
      <c r="R24" s="46">
        <v>24</v>
      </c>
      <c r="S24" s="46">
        <v>26</v>
      </c>
      <c r="T24" s="46">
        <v>24</v>
      </c>
    </row>
    <row r="25" spans="1:20" x14ac:dyDescent="0.25">
      <c r="A25" s="102"/>
      <c r="D25" s="108">
        <f>('B&amp;A+DSM $'!D25-(FAC!D27+$D$81*'B&amp;A kWh'!E25)*(1+D$93))/(1+D$85+D$89+D$93)</f>
        <v>0</v>
      </c>
      <c r="E25" s="108">
        <f>('B&amp;A+DSM $'!E25-(FAC!E27+$D$81*'B&amp;A kWh'!F25)*(1+E$93))/(1+E$85+E$89+E$93)</f>
        <v>0</v>
      </c>
      <c r="F25" s="46">
        <f>('B&amp;A+DSM $'!F25-(FAC!F27+$D$81*'B&amp;A kWh'!G25)*(1+F$93))/(1+F$85+F$89+F$93)</f>
        <v>0</v>
      </c>
      <c r="G25" s="46">
        <f>('B&amp;A+DSM $'!G25-(FAC!G27+$D$81*'B&amp;A kWh'!H25)*(1+G$93))/(1+G$85+G$89+G$93)</f>
        <v>0</v>
      </c>
      <c r="H25" s="46">
        <f>('B&amp;A+DSM $'!H25-(FAC!H27+$D$81*'B&amp;A kWh'!I25)*(1+H$93))/(1+H$85+H$89+H$93)</f>
        <v>0</v>
      </c>
      <c r="I25" s="46">
        <f>('B&amp;A+DSM $'!I25-(FAC!I27+$D$81*'B&amp;A kWh'!J25)*(1+I$93))/(1+I$85+I$89+I$93)</f>
        <v>0</v>
      </c>
      <c r="J25" s="46">
        <f>('B&amp;A+DSM $'!J25-(FAC!J27+$D$81*'B&amp;A kWh'!K25)*(1+J$93))/(1+J$85+J$89+J$93)</f>
        <v>0</v>
      </c>
      <c r="K25" s="46">
        <f>('B&amp;A+DSM $'!K25-(FAC!K27+$D$81*'B&amp;A kWh'!L25)*(1+K$93))/(1+K$85+K$89+K$93)</f>
        <v>0</v>
      </c>
      <c r="L25" s="46">
        <f>('B&amp;A+DSM $'!L25-(FAC!L27+$D$81*'B&amp;A kWh'!M25)*(1+L$93))/(1+L$85+L$89+L$93)</f>
        <v>0</v>
      </c>
      <c r="M25" s="46">
        <f>('B&amp;A+DSM $'!M25-(FAC!M27+$D$81*'B&amp;A kWh'!N25)*(1+M$93))/(1+M$85+M$89+M$93)</f>
        <v>0</v>
      </c>
      <c r="N25" s="46">
        <f>('B&amp;A+DSM $'!N25-(FAC!N27+$D$81*'B&amp;A kWh'!O25)*(1+N$93))/(1+N$85+N$89+N$93)</f>
        <v>0</v>
      </c>
      <c r="O25" s="46">
        <f>('B&amp;A+DSM $'!O25-(FAC!O27+$D$81*'B&amp;A kWh'!P25)*(1+O$93))/(1+O$85+O$89+O$93)</f>
        <v>0</v>
      </c>
      <c r="R25" s="46">
        <v>25</v>
      </c>
      <c r="S25" s="46">
        <v>27</v>
      </c>
      <c r="T25" s="46">
        <v>25</v>
      </c>
    </row>
    <row r="26" spans="1:20" x14ac:dyDescent="0.25">
      <c r="A26" s="102" t="s">
        <v>14</v>
      </c>
      <c r="B26" s="108">
        <f>('B&amp;A $'!C26+DSM!B28-(FAC!B28+$D$81*'B&amp;A kWh'!C26)*(1+B$93))/(1+B$85+B$89+B$93)</f>
        <v>0</v>
      </c>
      <c r="C26" s="108">
        <f>('B&amp;A $'!D26+DSM!C28-(FAC!C28+$D$81*'B&amp;A kWh'!D26)*(1+C$93))/(1+C$85+C$89+C$93)</f>
        <v>0</v>
      </c>
      <c r="D26" s="108">
        <f>('B&amp;A+DSM $'!D26-(FAC!D28+$D$81*'B&amp;A kWh'!E26)*(1+D$93))/(1+D$85+D$89+D$93)</f>
        <v>39920.201349000003</v>
      </c>
      <c r="E26" s="108">
        <f>('B&amp;A+DSM $'!E26-(FAC!E28+$D$81*'B&amp;A kWh'!F26)*(1+E$93))/(1+E$85+E$89+E$93)</f>
        <v>48241.916838157747</v>
      </c>
      <c r="F26" s="108">
        <f>('B&amp;A+DSM $'!F26-(FAC!F28+$D$81*'B&amp;A kWh'!G26)*(1+F$93))/(1+F$85+F$89+F$93)</f>
        <v>39735.939538551</v>
      </c>
      <c r="G26" s="108">
        <f>('B&amp;A+DSM $'!G26-(FAC!G28+$D$81*'B&amp;A kWh'!H26)*(1+G$93))/(1+G$85+G$89+G$93)</f>
        <v>38534.262603525021</v>
      </c>
      <c r="H26" s="108">
        <f>('B&amp;A+DSM $'!H26-(FAC!H28+$D$81*'B&amp;A kWh'!I26)*(1+H$93))/(1+H$85+H$89+H$93)</f>
        <v>37643.39162906383</v>
      </c>
      <c r="I26" s="108">
        <f>('B&amp;A+DSM $'!I26-(FAC!I28+$D$81*'B&amp;A kWh'!J26)*(1+I$93))/(1+I$85+I$89+I$93)</f>
        <v>37056.382252209674</v>
      </c>
      <c r="J26" s="108">
        <f>('B&amp;A+DSM $'!J26-(FAC!J28+$D$81*'B&amp;A kWh'!K26)*(1+J$93))/(1+J$85+J$89+J$93)</f>
        <v>47876.128625081481</v>
      </c>
      <c r="K26" s="108">
        <f>('B&amp;A+DSM $'!K26-(FAC!K28+$D$81*'B&amp;A kWh'!L26)*(1+K$93))/(1+K$85+K$89+K$93)</f>
        <v>46301.917325788032</v>
      </c>
      <c r="L26" s="108">
        <f>('B&amp;A+DSM $'!L26-(FAC!L28+$D$81*'B&amp;A kWh'!M26)*(1+L$93))/(1+L$85+L$89+L$93)</f>
        <v>43470.52074977602</v>
      </c>
      <c r="M26" s="108">
        <f>('B&amp;A+DSM $'!M26-(FAC!M28+$D$81*'B&amp;A kWh'!N26)*(1+M$93))/(1+M$85+M$89+M$93)</f>
        <v>57145.783472752599</v>
      </c>
      <c r="N26" s="108">
        <f>('B&amp;A+DSM $'!N26-(FAC!N28+$D$81*'B&amp;A kWh'!O26)*(1+N$93))/(1+N$85+N$89+N$93)</f>
        <v>15331.925263955223</v>
      </c>
      <c r="O26" s="108">
        <f>('B&amp;A+DSM $'!O26-(FAC!O28+$D$81*'B&amp;A kWh'!P26)*(1+O$93))/(1+O$85+O$89+O$93)</f>
        <v>45831.526571669281</v>
      </c>
      <c r="Q26" s="46" t="s">
        <v>14</v>
      </c>
      <c r="R26" s="46">
        <v>26</v>
      </c>
      <c r="S26" s="46">
        <v>28</v>
      </c>
      <c r="T26" s="46">
        <v>26</v>
      </c>
    </row>
    <row r="27" spans="1:20" x14ac:dyDescent="0.25">
      <c r="A27" s="102"/>
      <c r="D27" s="108">
        <f>('B&amp;A+DSM $'!D27-(FAC!D29+$D$81*'B&amp;A kWh'!E27)*(1+D$93))/(1+D$85+D$89+D$93)</f>
        <v>0</v>
      </c>
      <c r="E27" s="108">
        <f>('B&amp;A+DSM $'!E27-(FAC!E29+$D$81*'B&amp;A kWh'!F27)*(1+E$93))/(1+E$85+E$89+E$93)</f>
        <v>0</v>
      </c>
      <c r="F27" s="46">
        <f>('B&amp;A+DSM $'!F27-(FAC!F29+$D$81*'B&amp;A kWh'!G27)*(1+F$93))/(1+F$85+F$89+F$93)</f>
        <v>0</v>
      </c>
      <c r="G27" s="46">
        <f>('B&amp;A+DSM $'!G27-(FAC!G29+$D$81*'B&amp;A kWh'!H27)*(1+G$93))/(1+G$85+G$89+G$93)</f>
        <v>0</v>
      </c>
      <c r="H27" s="46">
        <f>('B&amp;A+DSM $'!H27-(FAC!H29+$D$81*'B&amp;A kWh'!I27)*(1+H$93))/(1+H$85+H$89+H$93)</f>
        <v>0</v>
      </c>
      <c r="I27" s="46">
        <f>('B&amp;A+DSM $'!I27-(FAC!I29+$D$81*'B&amp;A kWh'!J27)*(1+I$93))/(1+I$85+I$89+I$93)</f>
        <v>0</v>
      </c>
      <c r="J27" s="46">
        <f>('B&amp;A+DSM $'!J27-(FAC!J29+$D$81*'B&amp;A kWh'!K27)*(1+J$93))/(1+J$85+J$89+J$93)</f>
        <v>0</v>
      </c>
      <c r="K27" s="46">
        <f>('B&amp;A+DSM $'!K27-(FAC!K29+$D$81*'B&amp;A kWh'!L27)*(1+K$93))/(1+K$85+K$89+K$93)</f>
        <v>0</v>
      </c>
      <c r="L27" s="46">
        <f>('B&amp;A+DSM $'!L27-(FAC!L29+$D$81*'B&amp;A kWh'!M27)*(1+L$93))/(1+L$85+L$89+L$93)</f>
        <v>0</v>
      </c>
      <c r="M27" s="46">
        <f>('B&amp;A+DSM $'!M27-(FAC!M29+$D$81*'B&amp;A kWh'!N27)*(1+M$93))/(1+M$85+M$89+M$93)</f>
        <v>0</v>
      </c>
      <c r="N27" s="46">
        <f>('B&amp;A+DSM $'!N27-(FAC!N29+$D$81*'B&amp;A kWh'!O27)*(1+N$93))/(1+N$85+N$89+N$93)</f>
        <v>0</v>
      </c>
      <c r="O27" s="46">
        <f>('B&amp;A+DSM $'!O27-(FAC!O29+$D$81*'B&amp;A kWh'!P27)*(1+O$93))/(1+O$85+O$89+O$93)</f>
        <v>0</v>
      </c>
      <c r="R27" s="46">
        <v>27</v>
      </c>
      <c r="S27" s="46">
        <v>29</v>
      </c>
      <c r="T27" s="46">
        <v>27</v>
      </c>
    </row>
    <row r="28" spans="1:20" ht="108.75" customHeight="1" x14ac:dyDescent="0.25">
      <c r="A28" s="102" t="s">
        <v>13</v>
      </c>
      <c r="B28" s="108">
        <f>('B&amp;A $'!C28+DSM!B30-(FAC!B30+$D$81*'B&amp;A kWh'!C28)*(1+B$93))/(1+B$85+B$89+B$93)</f>
        <v>0</v>
      </c>
      <c r="C28" s="108">
        <f>('B&amp;A $'!D28+DSM!C30-(FAC!C30+$D$81*'B&amp;A kWh'!D28)*(1+C$93))/(1+C$85+C$89+C$93)</f>
        <v>0</v>
      </c>
      <c r="D28" s="108">
        <f>('B&amp;A+DSM $'!D28-(FAC!D30+$D$81*'B&amp;A kWh'!E28)*(1+D$93))/(1+D$85+D$89+D$93)</f>
        <v>17786.749508857112</v>
      </c>
      <c r="E28" s="108">
        <f>('B&amp;A+DSM $'!E28-(FAC!E30+$D$81*'B&amp;A kWh'!F28)*(1+E$93))/(1+E$85+E$89+E$93)</f>
        <v>14587.7811320691</v>
      </c>
      <c r="F28" s="108">
        <f>('B&amp;A+DSM $'!F28-(FAC!F30+$D$81*'B&amp;A kWh'!G28)*(1+F$93))/(1+F$85+F$89+F$93)</f>
        <v>8333.3398894772181</v>
      </c>
      <c r="G28" s="108">
        <f>('B&amp;A+DSM $'!G28-(FAC!G30+$D$81*'B&amp;A kWh'!H28)*(1+G$93))/(1+G$85+G$89+G$93)</f>
        <v>7266.0913901761833</v>
      </c>
      <c r="H28" s="108">
        <f>('B&amp;A+DSM $'!H28-(FAC!H30+$D$81*'B&amp;A kWh'!I28)*(1+H$93))/(1+H$85+H$89+H$93)</f>
        <v>8675.1486558116776</v>
      </c>
      <c r="I28" s="108">
        <f>('B&amp;A+DSM $'!I28-(FAC!I30+$D$81*'B&amp;A kWh'!J28)*(1+I$93))/(1+I$85+I$89+I$93)</f>
        <v>9654.3154317500193</v>
      </c>
      <c r="J28" s="108">
        <f>('B&amp;A+DSM $'!J28-(FAC!J30+$D$81*'B&amp;A kWh'!K28)*(1+J$93))/(1+J$85+J$89+J$93)</f>
        <v>14143.732320776384</v>
      </c>
      <c r="K28" s="108">
        <f>('B&amp;A+DSM $'!K28-(FAC!K30+$D$81*'B&amp;A kWh'!L28)*(1+K$93))/(1+K$85+K$89+K$93)</f>
        <v>13116.718235516004</v>
      </c>
      <c r="L28" s="108">
        <f>('B&amp;A+DSM $'!L28-(FAC!L30+$D$81*'B&amp;A kWh'!M28)*(1+L$93))/(1+L$85+L$89+L$93)</f>
        <v>10935.34294265521</v>
      </c>
      <c r="M28" s="108">
        <f>('B&amp;A+DSM $'!M28-(FAC!M30+$D$81*'B&amp;A kWh'!N28)*(1+M$93))/(1+M$85+M$89+M$93)</f>
        <v>10575.850068894028</v>
      </c>
      <c r="N28" s="108">
        <f>('B&amp;A+DSM $'!N28-(FAC!N30+$D$81*'B&amp;A kWh'!O28)*(1+N$93))/(1+N$85+N$89+N$93)</f>
        <v>8890.0258532092485</v>
      </c>
      <c r="O28" s="108">
        <f>('B&amp;A+DSM $'!O28-(FAC!O30+$D$81*'B&amp;A kWh'!P28)*(1+O$93))/(1+O$85+O$89+O$93)</f>
        <v>17109.7129654282</v>
      </c>
      <c r="Q28" s="46" t="s">
        <v>13</v>
      </c>
      <c r="R28" s="46">
        <v>28</v>
      </c>
      <c r="S28" s="46">
        <v>30</v>
      </c>
      <c r="T28" s="46">
        <v>28</v>
      </c>
    </row>
    <row r="29" spans="1:20" x14ac:dyDescent="0.25">
      <c r="A29" s="102"/>
      <c r="D29" s="108"/>
      <c r="E29" s="108"/>
      <c r="R29" s="46">
        <v>29</v>
      </c>
      <c r="S29" s="46">
        <v>31</v>
      </c>
      <c r="T29" s="46">
        <v>29</v>
      </c>
    </row>
    <row r="30" spans="1:20" x14ac:dyDescent="0.25">
      <c r="A30" s="102" t="s">
        <v>12</v>
      </c>
      <c r="B30" s="108">
        <f>('B&amp;A $'!C30+DSM!B32-(FAC!B32+$D$81*'B&amp;A kWh'!C30)*(1+B$93))/(1+B$85+B$89+B$93)</f>
        <v>0</v>
      </c>
      <c r="C30" s="108">
        <f>('B&amp;A $'!D30+DSM!C32-(FAC!C32+$D$81*'B&amp;A kWh'!D30)*(1+C$93))/(1+C$85+C$89+C$93)</f>
        <v>0</v>
      </c>
      <c r="D30" s="108">
        <f>('B&amp;A+DSM $'!D30-(FAC!D32+$D$81*'B&amp;A kWh'!E30)*(1+D$93))/(1+D$85+D$89+D$93)</f>
        <v>3283338.8129531164</v>
      </c>
      <c r="E30" s="108">
        <f>('B&amp;A+DSM $'!E30-(FAC!E32+$D$81*'B&amp;A kWh'!F30)*(1+E$93))/(1+E$85+E$89+E$93)</f>
        <v>3783119.7391027515</v>
      </c>
      <c r="F30" s="108">
        <f>('B&amp;A+DSM $'!F30-(FAC!F32+$D$81*'B&amp;A kWh'!G30)*(1+F$93))/(1+F$85+F$89+F$93)</f>
        <v>3924686.1314782901</v>
      </c>
      <c r="G30" s="108">
        <f>('B&amp;A+DSM $'!G30-(FAC!G32+$D$81*'B&amp;A kWh'!H30)*(1+G$93))/(1+G$85+G$89+G$93)</f>
        <v>3915822.6372225634</v>
      </c>
      <c r="H30" s="108">
        <f>('B&amp;A+DSM $'!H30-(FAC!H32+$D$81*'B&amp;A kWh'!I30)*(1+H$93))/(1+H$85+H$89+H$93)</f>
        <v>3712301.8673208659</v>
      </c>
      <c r="I30" s="108">
        <f>('B&amp;A+DSM $'!I30-(FAC!I32+$D$81*'B&amp;A kWh'!J30)*(1+I$93))/(1+I$85+I$89+I$93)</f>
        <v>3577629.1778172287</v>
      </c>
      <c r="J30" s="108">
        <f>('B&amp;A+DSM $'!J30-(FAC!J32+$D$81*'B&amp;A kWh'!K30)*(1+J$93))/(1+J$85+J$89+J$93)</f>
        <v>3765807.9550212272</v>
      </c>
      <c r="K30" s="108">
        <f>('B&amp;A+DSM $'!K30-(FAC!K32+$D$81*'B&amp;A kWh'!L30)*(1+K$93))/(1+K$85+K$89+K$93)</f>
        <v>3645899.850393855</v>
      </c>
      <c r="L30" s="108">
        <f>('B&amp;A+DSM $'!L30-(FAC!L32+$D$81*'B&amp;A kWh'!M30)*(1+L$93))/(1+L$85+L$89+L$93)</f>
        <v>3862949.2153504784</v>
      </c>
      <c r="M30" s="108">
        <f>('B&amp;A+DSM $'!M30-(FAC!M32+$D$81*'B&amp;A kWh'!N30)*(1+M$93))/(1+M$85+M$89+M$93)</f>
        <v>3667785.9061628459</v>
      </c>
      <c r="N30" s="108">
        <f>('B&amp;A+DSM $'!N30-(FAC!N32+$D$81*'B&amp;A kWh'!O30)*(1+N$93))/(1+N$85+N$89+N$93)</f>
        <v>2276789.4189251182</v>
      </c>
      <c r="O30" s="108">
        <f>('B&amp;A+DSM $'!O30-(FAC!O32+$D$81*'B&amp;A kWh'!P30)*(1+O$93))/(1+O$85+O$89+O$93)</f>
        <v>4106577.3074552389</v>
      </c>
      <c r="Q30" s="46" t="s">
        <v>12</v>
      </c>
      <c r="R30" s="46">
        <v>30</v>
      </c>
      <c r="S30" s="46">
        <v>32</v>
      </c>
      <c r="T30" s="46">
        <v>30</v>
      </c>
    </row>
    <row r="31" spans="1:20" x14ac:dyDescent="0.25">
      <c r="A31" s="102"/>
      <c r="D31" s="108"/>
      <c r="E31" s="108"/>
      <c r="R31" s="46">
        <v>31</v>
      </c>
      <c r="S31" s="46">
        <v>33</v>
      </c>
      <c r="T31" s="46">
        <v>31</v>
      </c>
    </row>
    <row r="32" spans="1:20" x14ac:dyDescent="0.25">
      <c r="A32" s="102" t="s">
        <v>11</v>
      </c>
      <c r="B32" s="108">
        <f>('B&amp;A $'!C32+DSM!B34-(FAC!B34+$D$81*'B&amp;A kWh'!C32)*(1+B$93))/(1+B$85+B$89+B$93)</f>
        <v>0</v>
      </c>
      <c r="C32" s="108">
        <f>('B&amp;A $'!D32+DSM!C34-(FAC!C34+$D$81*'B&amp;A kWh'!D32)*(1+C$93))/(1+C$85+C$89+C$93)</f>
        <v>0</v>
      </c>
      <c r="D32" s="108">
        <f>('B&amp;A+DSM $'!D32-(FAC!D34+$D$81*'B&amp;A kWh'!E32)*(1+D$93))/(1+D$85+D$89+D$93)</f>
        <v>5444.2710499446848</v>
      </c>
      <c r="E32" s="108">
        <f>('B&amp;A+DSM $'!E32-(FAC!E34+$D$81*'B&amp;A kWh'!F32)*(1+E$93))/(1+E$85+E$89+E$93)</f>
        <v>4133.9880985052623</v>
      </c>
      <c r="F32" s="108">
        <f>('B&amp;A+DSM $'!F32-(FAC!F34+$D$81*'B&amp;A kWh'!G32)*(1+F$93))/(1+F$85+F$89+F$93)</f>
        <v>5560.4701100224465</v>
      </c>
      <c r="G32" s="108">
        <f>('B&amp;A+DSM $'!G32-(FAC!G34+$D$81*'B&amp;A kWh'!H32)*(1+G$93))/(1+G$85+G$89+G$93)</f>
        <v>6995.3638419266581</v>
      </c>
      <c r="H32" s="108">
        <f>('B&amp;A+DSM $'!H32-(FAC!H34+$D$81*'B&amp;A kWh'!I32)*(1+H$93))/(1+H$85+H$89+H$93)</f>
        <v>5886.4674622159409</v>
      </c>
      <c r="I32" s="108">
        <f>('B&amp;A+DSM $'!I32-(FAC!I34+$D$81*'B&amp;A kWh'!J32)*(1+I$93))/(1+I$85+I$89+I$93)</f>
        <v>6455.3763811239778</v>
      </c>
      <c r="J32" s="108">
        <f>('B&amp;A+DSM $'!J32-(FAC!J34+$D$81*'B&amp;A kWh'!K32)*(1+J$93))/(1+J$85+J$89+J$93)</f>
        <v>3371.7374870240274</v>
      </c>
      <c r="K32" s="108">
        <f>('B&amp;A+DSM $'!K32-(FAC!K34+$D$81*'B&amp;A kWh'!L32)*(1+K$93))/(1+K$85+K$89+K$93)</f>
        <v>6597.8009514508049</v>
      </c>
      <c r="L32" s="108">
        <f>('B&amp;A+DSM $'!L32-(FAC!L34+$D$81*'B&amp;A kWh'!M32)*(1+L$93))/(1+L$85+L$89+L$93)</f>
        <v>9836.8179272472771</v>
      </c>
      <c r="M32" s="108">
        <f>('B&amp;A+DSM $'!M32-(FAC!M34+$D$81*'B&amp;A kWh'!N32)*(1+M$93))/(1+M$85+M$89+M$93)</f>
        <v>10146.050333916884</v>
      </c>
      <c r="N32" s="108">
        <f>('B&amp;A+DSM $'!N32-(FAC!N34+$D$81*'B&amp;A kWh'!O32)*(1+N$93))/(1+N$85+N$89+N$93)</f>
        <v>4602.2587952475606</v>
      </c>
      <c r="O32" s="108">
        <f>('B&amp;A+DSM $'!O32-(FAC!O34+$D$81*'B&amp;A kWh'!P32)*(1+O$93))/(1+O$85+O$89+O$93)</f>
        <v>6335.6219386322273</v>
      </c>
      <c r="Q32" s="46" t="s">
        <v>11</v>
      </c>
      <c r="R32" s="46">
        <v>32</v>
      </c>
      <c r="S32" s="46">
        <v>34</v>
      </c>
      <c r="T32" s="46">
        <v>32</v>
      </c>
    </row>
    <row r="33" spans="1:20" x14ac:dyDescent="0.25">
      <c r="A33" s="102"/>
      <c r="D33" s="108"/>
      <c r="E33" s="108"/>
      <c r="R33" s="46">
        <v>33</v>
      </c>
      <c r="S33" s="46">
        <v>35</v>
      </c>
      <c r="T33" s="46">
        <v>33</v>
      </c>
    </row>
    <row r="34" spans="1:20" x14ac:dyDescent="0.25">
      <c r="A34" s="102" t="s">
        <v>10</v>
      </c>
      <c r="B34" s="108">
        <f>('B&amp;A $'!C34+DSM!B36-(FAC!B36+$D$81*'B&amp;A kWh'!C34)*(1+B$93))/(1+B$85+B$89+B$93)</f>
        <v>0</v>
      </c>
      <c r="C34" s="108">
        <f>('B&amp;A $'!D34+DSM!C36-(FAC!C36+$D$81*'B&amp;A kWh'!D34)*(1+C$93))/(1+C$85+C$89+C$93)</f>
        <v>0</v>
      </c>
      <c r="D34" s="108">
        <f>('B&amp;A+DSM $'!D34-(FAC!D36+$D$81*'B&amp;A kWh'!E34)*(1+D$93))/(1+D$85+D$89+D$93)</f>
        <v>53934.19324176939</v>
      </c>
      <c r="E34" s="108">
        <f>('B&amp;A+DSM $'!E34-(FAC!E36+$D$81*'B&amp;A kWh'!F34)*(1+E$93))/(1+E$85+E$89+E$93)</f>
        <v>64765.633205288548</v>
      </c>
      <c r="F34" s="108">
        <f>('B&amp;A+DSM $'!F34-(FAC!F36+$D$81*'B&amp;A kWh'!G34)*(1+F$93))/(1+F$85+F$89+F$93)</f>
        <v>66486.721565745189</v>
      </c>
      <c r="G34" s="108">
        <f>('B&amp;A+DSM $'!G34-(FAC!G36+$D$81*'B&amp;A kWh'!H34)*(1+G$93))/(1+G$85+G$89+G$93)</f>
        <v>66528.653725544704</v>
      </c>
      <c r="H34" s="108">
        <f>('B&amp;A+DSM $'!H34-(FAC!H36+$D$81*'B&amp;A kWh'!I34)*(1+H$93))/(1+H$85+H$89+H$93)</f>
        <v>56915.292010981844</v>
      </c>
      <c r="I34" s="108">
        <f>('B&amp;A+DSM $'!I34-(FAC!I36+$D$81*'B&amp;A kWh'!J34)*(1+I$93))/(1+I$85+I$89+I$93)</f>
        <v>62539.967674412452</v>
      </c>
      <c r="J34" s="108">
        <f>('B&amp;A+DSM $'!J34-(FAC!J36+$D$81*'B&amp;A kWh'!K34)*(1+J$93))/(1+J$85+J$89+J$93)</f>
        <v>64981.624333095358</v>
      </c>
      <c r="K34" s="108">
        <f>('B&amp;A+DSM $'!K34-(FAC!K36+$D$81*'B&amp;A kWh'!L34)*(1+K$93))/(1+K$85+K$89+K$93)</f>
        <v>65008.624772972456</v>
      </c>
      <c r="L34" s="108">
        <f>('B&amp;A+DSM $'!L34-(FAC!L36+$D$81*'B&amp;A kWh'!M34)*(1+L$93))/(1+L$85+L$89+L$93)</f>
        <v>67110.715584474267</v>
      </c>
      <c r="M34" s="108">
        <f>('B&amp;A+DSM $'!M34-(FAC!M36+$D$81*'B&amp;A kWh'!N34)*(1+M$93))/(1+M$85+M$89+M$93)</f>
        <v>69070.517662658429</v>
      </c>
      <c r="N34" s="108">
        <f>('B&amp;A+DSM $'!N34-(FAC!N36+$D$81*'B&amp;A kWh'!O34)*(1+N$93))/(1+N$85+N$89+N$93)</f>
        <v>35362.995451684379</v>
      </c>
      <c r="O34" s="108">
        <f>('B&amp;A+DSM $'!O34-(FAC!O36+$D$81*'B&amp;A kWh'!P34)*(1+O$93))/(1+O$85+O$89+O$93)</f>
        <v>66982.674527596537</v>
      </c>
      <c r="Q34" s="46" t="s">
        <v>10</v>
      </c>
      <c r="R34" s="46">
        <v>34</v>
      </c>
      <c r="S34" s="46">
        <v>36</v>
      </c>
      <c r="T34" s="46">
        <v>34</v>
      </c>
    </row>
    <row r="35" spans="1:20" x14ac:dyDescent="0.25">
      <c r="A35" s="102"/>
      <c r="D35" s="108"/>
      <c r="E35" s="108"/>
      <c r="R35" s="46">
        <v>35</v>
      </c>
      <c r="S35" s="46">
        <v>37</v>
      </c>
      <c r="T35" s="46">
        <v>35</v>
      </c>
    </row>
    <row r="36" spans="1:20" x14ac:dyDescent="0.25">
      <c r="A36" s="102" t="s">
        <v>9</v>
      </c>
      <c r="B36" s="108">
        <f>('B&amp;A $'!C36+DSM!B38-(FAC!B38+$D$81*'B&amp;A kWh'!C36)*(1+B$93))/(1+B$85+B$89+B$93)</f>
        <v>0</v>
      </c>
      <c r="C36" s="108">
        <f>('B&amp;A $'!D36+DSM!C38-(FAC!C38+$D$81*'B&amp;A kWh'!D36)*(1+C$93))/(1+C$85+C$89+C$93)</f>
        <v>0</v>
      </c>
      <c r="D36" s="108">
        <f>('B&amp;A+DSM $'!D36-(FAC!D38+$D$81*'B&amp;A kWh'!E36)*(1+D$93))/(1+D$85+D$89+D$93)</f>
        <v>68766.461760489401</v>
      </c>
      <c r="E36" s="108">
        <f>('B&amp;A+DSM $'!E36-(FAC!E38+$D$81*'B&amp;A kWh'!F36)*(1+E$93))/(1+E$85+E$89+E$93)</f>
        <v>77899.980763725689</v>
      </c>
      <c r="F36" s="108">
        <f>('B&amp;A+DSM $'!F36-(FAC!F38+$D$81*'B&amp;A kWh'!G36)*(1+F$93))/(1+F$85+F$89+F$93)</f>
        <v>61597.644446514816</v>
      </c>
      <c r="G36" s="108">
        <f>('B&amp;A+DSM $'!G36-(FAC!G38+$D$81*'B&amp;A kWh'!H36)*(1+G$93))/(1+G$85+G$89+G$93)</f>
        <v>44268.49378087106</v>
      </c>
      <c r="H36" s="108">
        <f>('B&amp;A+DSM $'!H36-(FAC!H38+$D$81*'B&amp;A kWh'!I36)*(1+H$93))/(1+H$85+H$89+H$93)</f>
        <v>48648.42428237469</v>
      </c>
      <c r="I36" s="108">
        <f>('B&amp;A+DSM $'!I36-(FAC!I38+$D$81*'B&amp;A kWh'!J36)*(1+I$93))/(1+I$85+I$89+I$93)</f>
        <v>47719.556467638948</v>
      </c>
      <c r="J36" s="108">
        <f>('B&amp;A+DSM $'!J36-(FAC!J38+$D$81*'B&amp;A kWh'!K36)*(1+J$93))/(1+J$85+J$89+J$93)</f>
        <v>74274.288226956211</v>
      </c>
      <c r="K36" s="108">
        <f>('B&amp;A+DSM $'!K36-(FAC!K38+$D$81*'B&amp;A kWh'!L36)*(1+K$93))/(1+K$85+K$89+K$93)</f>
        <v>81140.839616592741</v>
      </c>
      <c r="L36" s="108">
        <f>('B&amp;A+DSM $'!L36-(FAC!L38+$D$81*'B&amp;A kWh'!M36)*(1+L$93))/(1+L$85+L$89+L$93)</f>
        <v>82104.227664038015</v>
      </c>
      <c r="M36" s="108">
        <f>('B&amp;A+DSM $'!M36-(FAC!M38+$D$81*'B&amp;A kWh'!N36)*(1+M$93))/(1+M$85+M$89+M$93)</f>
        <v>51402.339962876373</v>
      </c>
      <c r="N36" s="108">
        <f>('B&amp;A+DSM $'!N36-(FAC!N38+$D$81*'B&amp;A kWh'!O36)*(1+N$93))/(1+N$85+N$89+N$93)</f>
        <v>56332.205239631163</v>
      </c>
      <c r="O36" s="108">
        <f>('B&amp;A+DSM $'!O36-(FAC!O38+$D$81*'B&amp;A kWh'!P36)*(1+O$93))/(1+O$85+O$89+O$93)</f>
        <v>58123.557550978723</v>
      </c>
      <c r="Q36" s="46" t="s">
        <v>9</v>
      </c>
      <c r="R36" s="46">
        <v>36</v>
      </c>
      <c r="S36" s="46">
        <v>38</v>
      </c>
      <c r="T36" s="46">
        <v>36</v>
      </c>
    </row>
    <row r="37" spans="1:20" x14ac:dyDescent="0.25">
      <c r="A37" s="102"/>
      <c r="D37" s="108"/>
      <c r="E37" s="108"/>
      <c r="R37" s="46">
        <v>37</v>
      </c>
      <c r="S37" s="46">
        <v>39</v>
      </c>
      <c r="T37" s="46">
        <v>37</v>
      </c>
    </row>
    <row r="38" spans="1:20" x14ac:dyDescent="0.25">
      <c r="A38" s="102" t="s">
        <v>8</v>
      </c>
      <c r="B38" s="108">
        <f>('B&amp;A $'!C38+DSM!B40-(FAC!B40+$D$81*'B&amp;A kWh'!C38)*(1+B$93))/(1+B$85+B$89+B$93)</f>
        <v>0</v>
      </c>
      <c r="C38" s="108">
        <f>('B&amp;A $'!D38+DSM!C40-(FAC!C40+$D$81*'B&amp;A kWh'!D38)*(1+C$93))/(1+C$85+C$89+C$93)</f>
        <v>0</v>
      </c>
      <c r="D38" s="108">
        <f>('B&amp;A+DSM $'!D38-(FAC!D40+$D$81*'B&amp;A kWh'!E38)*(1+D$93))/(1+D$85+D$89+D$93)</f>
        <v>4538.413005690034</v>
      </c>
      <c r="E38" s="108">
        <f>('B&amp;A+DSM $'!E38-(FAC!E40+$D$81*'B&amp;A kWh'!F38)*(1+E$93))/(1+E$85+E$89+E$93)</f>
        <v>4738.8676606815789</v>
      </c>
      <c r="F38" s="108">
        <f>('B&amp;A+DSM $'!F38-(FAC!F40+$D$81*'B&amp;A kWh'!G38)*(1+F$93))/(1+F$85+F$89+F$93)</f>
        <v>5230.5451778699089</v>
      </c>
      <c r="G38" s="108">
        <f>('B&amp;A+DSM $'!G38-(FAC!G40+$D$81*'B&amp;A kWh'!H38)*(1+G$93))/(1+G$85+G$89+G$93)</f>
        <v>1518.5028663251712</v>
      </c>
      <c r="H38" s="108">
        <f>('B&amp;A+DSM $'!H38-(FAC!H40+$D$81*'B&amp;A kWh'!I38)*(1+H$93))/(1+H$85+H$89+H$93)</f>
        <v>3164.5125448515823</v>
      </c>
      <c r="I38" s="108">
        <f>('B&amp;A+DSM $'!I38-(FAC!I40+$D$81*'B&amp;A kWh'!J38)*(1+I$93))/(1+I$85+I$89+I$93)</f>
        <v>4766.2791983732932</v>
      </c>
      <c r="J38" s="108">
        <f>('B&amp;A+DSM $'!J38-(FAC!J40+$D$81*'B&amp;A kWh'!K38)*(1+J$93))/(1+J$85+J$89+J$93)</f>
        <v>1653.7123179483995</v>
      </c>
      <c r="K38" s="108">
        <f>('B&amp;A+DSM $'!K38-(FAC!K40+$D$81*'B&amp;A kWh'!L38)*(1+K$93))/(1+K$85+K$89+K$93)</f>
        <v>2930.9706858807394</v>
      </c>
      <c r="L38" s="108">
        <f>('B&amp;A+DSM $'!L38-(FAC!L40+$D$81*'B&amp;A kWh'!M38)*(1+L$93))/(1+L$85+L$89+L$93)</f>
        <v>4838.553299514022</v>
      </c>
      <c r="M38" s="108">
        <f>('B&amp;A+DSM $'!M38-(FAC!M40+$D$81*'B&amp;A kWh'!N38)*(1+M$93))/(1+M$85+M$89+M$93)</f>
        <v>2755.9717887681031</v>
      </c>
      <c r="N38" s="108">
        <f>('B&amp;A+DSM $'!N38-(FAC!N40+$D$81*'B&amp;A kWh'!O38)*(1+N$93))/(1+N$85+N$89+N$93)</f>
        <v>1413.0736514190817</v>
      </c>
      <c r="O38" s="108">
        <f>('B&amp;A+DSM $'!O38-(FAC!O40+$D$81*'B&amp;A kWh'!P38)*(1+O$93))/(1+O$85+O$89+O$93)</f>
        <v>3830.7784217110466</v>
      </c>
      <c r="Q38" s="46" t="s">
        <v>8</v>
      </c>
      <c r="R38" s="46">
        <v>38</v>
      </c>
      <c r="S38" s="46">
        <v>40</v>
      </c>
      <c r="T38" s="46">
        <v>38</v>
      </c>
    </row>
    <row r="39" spans="1:20" x14ac:dyDescent="0.25">
      <c r="A39" s="102"/>
      <c r="D39" s="108"/>
      <c r="E39" s="108"/>
      <c r="R39" s="46">
        <v>39</v>
      </c>
      <c r="S39" s="46">
        <v>41</v>
      </c>
      <c r="T39" s="46">
        <v>39</v>
      </c>
    </row>
    <row r="40" spans="1:20" x14ac:dyDescent="0.25">
      <c r="A40" s="102" t="s">
        <v>7</v>
      </c>
      <c r="B40" s="108">
        <f>('B&amp;A $'!C40+DSM!B42-(FAC!B42+$D$81*'B&amp;A kWh'!C40)*(1+B$93))/(1+B$85+B$89+B$93)</f>
        <v>0</v>
      </c>
      <c r="C40" s="108">
        <f>('B&amp;A $'!D40+DSM!C42-(FAC!C42+$D$81*'B&amp;A kWh'!D40)*(1+C$93))/(1+C$85+C$89+C$93)</f>
        <v>0</v>
      </c>
      <c r="D40" s="108">
        <f>('B&amp;A+DSM $'!D40-(FAC!D42+$D$81*'B&amp;A kWh'!E40)*(1+D$93))/(1+D$85+D$89+D$93)</f>
        <v>1940123.0893127131</v>
      </c>
      <c r="E40" s="108">
        <f>('B&amp;A+DSM $'!E40-(FAC!E42+$D$81*'B&amp;A kWh'!F40)*(1+E$93))/(1+E$85+E$89+E$93)</f>
        <v>2319608.7540416862</v>
      </c>
      <c r="F40" s="108">
        <f>('B&amp;A+DSM $'!F40-(FAC!F42+$D$81*'B&amp;A kWh'!G40)*(1+F$93))/(1+F$85+F$89+F$93)</f>
        <v>2206224.095519566</v>
      </c>
      <c r="G40" s="108">
        <f>('B&amp;A+DSM $'!G40-(FAC!G42+$D$81*'B&amp;A kWh'!H40)*(1+G$93))/(1+G$85+G$89+G$93)</f>
        <v>2094695.7455327029</v>
      </c>
      <c r="H40" s="108">
        <f>('B&amp;A+DSM $'!H40-(FAC!H42+$D$81*'B&amp;A kWh'!I40)*(1+H$93))/(1+H$85+H$89+H$93)</f>
        <v>1936843.9422501905</v>
      </c>
      <c r="I40" s="108">
        <f>('B&amp;A+DSM $'!I40-(FAC!I42+$D$81*'B&amp;A kWh'!J40)*(1+I$93))/(1+I$85+I$89+I$93)</f>
        <v>2040636.7659711228</v>
      </c>
      <c r="J40" s="108">
        <f>('B&amp;A+DSM $'!J40-(FAC!J42+$D$81*'B&amp;A kWh'!K40)*(1+J$93))/(1+J$85+J$89+J$93)</f>
        <v>2324854.0845429869</v>
      </c>
      <c r="K40" s="108">
        <f>('B&amp;A+DSM $'!K40-(FAC!K42+$D$81*'B&amp;A kWh'!L40)*(1+K$93))/(1+K$85+K$89+K$93)</f>
        <v>2241573.2391135348</v>
      </c>
      <c r="L40" s="108">
        <f>('B&amp;A+DSM $'!L40-(FAC!L42+$D$81*'B&amp;A kWh'!M40)*(1+L$93))/(1+L$85+L$89+L$93)</f>
        <v>1967462.3631975877</v>
      </c>
      <c r="M40" s="108">
        <f>('B&amp;A+DSM $'!M40-(FAC!M42+$D$81*'B&amp;A kWh'!N40)*(1+M$93))/(1+M$85+M$89+M$93)</f>
        <v>1827442.4161165219</v>
      </c>
      <c r="N40" s="108">
        <f>('B&amp;A+DSM $'!N40-(FAC!N42+$D$81*'B&amp;A kWh'!O40)*(1+N$93))/(1+N$85+N$89+N$93)</f>
        <v>1134648.8602184192</v>
      </c>
      <c r="O40" s="108">
        <f>('B&amp;A+DSM $'!O40-(FAC!O42+$D$81*'B&amp;A kWh'!P40)*(1+O$93))/(1+O$85+O$89+O$93)</f>
        <v>2446099.3937625596</v>
      </c>
      <c r="Q40" s="46" t="s">
        <v>7</v>
      </c>
      <c r="R40" s="46">
        <v>40</v>
      </c>
      <c r="S40" s="46">
        <v>42</v>
      </c>
      <c r="T40" s="46">
        <v>40</v>
      </c>
    </row>
    <row r="41" spans="1:20" x14ac:dyDescent="0.25">
      <c r="A41" s="102"/>
      <c r="D41" s="108"/>
      <c r="E41" s="108"/>
      <c r="R41" s="46">
        <v>41</v>
      </c>
      <c r="S41" s="46">
        <v>43</v>
      </c>
      <c r="T41" s="46">
        <v>41</v>
      </c>
    </row>
    <row r="42" spans="1:20" x14ac:dyDescent="0.25">
      <c r="A42" s="102" t="s">
        <v>6</v>
      </c>
      <c r="B42" s="108">
        <f>('B&amp;A $'!C42+DSM!B44-(FAC!B44+$D$81*'B&amp;A kWh'!C42)*(1+B$93))/(1+B$85+B$89+B$93)</f>
        <v>0</v>
      </c>
      <c r="C42" s="108">
        <f>('B&amp;A $'!D42+DSM!C44-(FAC!C44+$D$81*'B&amp;A kWh'!D42)*(1+C$93))/(1+C$85+C$89+C$93)</f>
        <v>0</v>
      </c>
      <c r="D42" s="108">
        <f>('B&amp;A+DSM $'!D42-(FAC!D44+$D$81*'B&amp;A kWh'!E42)*(1+D$93))/(1+D$85+D$89+D$93)</f>
        <v>6134.8729469704958</v>
      </c>
      <c r="E42" s="108">
        <f>('B&amp;A+DSM $'!E42-(FAC!E44+$D$81*'B&amp;A kWh'!F42)*(1+E$93))/(1+E$85+E$89+E$93)</f>
        <v>12973.683898529076</v>
      </c>
      <c r="F42" s="108">
        <f>('B&amp;A+DSM $'!F42-(FAC!F44+$D$81*'B&amp;A kWh'!G42)*(1+F$93))/(1+F$85+F$89+F$93)</f>
        <v>7310.7906882053248</v>
      </c>
      <c r="G42" s="108">
        <f>('B&amp;A+DSM $'!G42-(FAC!G44+$D$81*'B&amp;A kWh'!H42)*(1+G$93))/(1+G$85+G$89+G$93)</f>
        <v>12846.360936615396</v>
      </c>
      <c r="H42" s="108">
        <f>('B&amp;A+DSM $'!H42-(FAC!H44+$D$81*'B&amp;A kWh'!I42)*(1+H$93))/(1+H$85+H$89+H$93)</f>
        <v>11946.411907415464</v>
      </c>
      <c r="I42" s="108">
        <f>('B&amp;A+DSM $'!I42-(FAC!I44+$D$81*'B&amp;A kWh'!J42)*(1+I$93))/(1+I$85+I$89+I$93)</f>
        <v>14213.012288338772</v>
      </c>
      <c r="J42" s="108">
        <f>('B&amp;A+DSM $'!J42-(FAC!J44+$D$81*'B&amp;A kWh'!K42)*(1+J$93))/(1+J$85+J$89+J$93)</f>
        <v>21900.472411616818</v>
      </c>
      <c r="K42" s="108">
        <f>('B&amp;A+DSM $'!K42-(FAC!K44+$D$81*'B&amp;A kWh'!L42)*(1+K$93))/(1+K$85+K$89+K$93)</f>
        <v>22066.074009487264</v>
      </c>
      <c r="L42" s="108">
        <f>('B&amp;A+DSM $'!L42-(FAC!L44+$D$81*'B&amp;A kWh'!M42)*(1+L$93))/(1+L$85+L$89+L$93)</f>
        <v>18224.190974829871</v>
      </c>
      <c r="M42" s="108">
        <f>('B&amp;A+DSM $'!M42-(FAC!M44+$D$81*'B&amp;A kWh'!N42)*(1+M$93))/(1+M$85+M$89+M$93)</f>
        <v>10297.554453515893</v>
      </c>
      <c r="N42" s="108">
        <f>('B&amp;A+DSM $'!N42-(FAC!N44+$D$81*'B&amp;A kWh'!O42)*(1+N$93))/(1+N$85+N$89+N$93)</f>
        <v>1580.7089184681531</v>
      </c>
      <c r="O42" s="108">
        <f>('B&amp;A+DSM $'!O42-(FAC!O44+$D$81*'B&amp;A kWh'!P42)*(1+O$93))/(1+O$85+O$89+O$93)</f>
        <v>6342.5122272350955</v>
      </c>
      <c r="Q42" s="46" t="s">
        <v>6</v>
      </c>
      <c r="R42" s="46">
        <v>42</v>
      </c>
      <c r="S42" s="46">
        <v>44</v>
      </c>
      <c r="T42" s="46">
        <v>42</v>
      </c>
    </row>
    <row r="43" spans="1:20" x14ac:dyDescent="0.25">
      <c r="A43" s="102"/>
      <c r="D43" s="108"/>
      <c r="E43" s="108"/>
      <c r="R43" s="46">
        <v>43</v>
      </c>
      <c r="S43" s="46">
        <v>45</v>
      </c>
      <c r="T43" s="46">
        <v>43</v>
      </c>
    </row>
    <row r="44" spans="1:20" x14ac:dyDescent="0.25">
      <c r="A44" s="102" t="s">
        <v>118</v>
      </c>
      <c r="B44" s="108">
        <f>('B&amp;A $'!C44+DSM!B46-(FAC!B46+$D$81*'B&amp;A kWh'!C44)*(1+B$93))/(1+B$85+B$89+B$93)</f>
        <v>0</v>
      </c>
      <c r="C44" s="108">
        <f>('B&amp;A $'!D44+DSM!C46-(FAC!C46+$D$81*'B&amp;A kWh'!D44)*(1+C$93))/(1+C$85+C$89+C$93)</f>
        <v>0</v>
      </c>
      <c r="D44" s="108">
        <f>('B&amp;A+DSM $'!D44-(FAC!D46+$D$81*'B&amp;A kWh'!E44)*(1+D$93))/(1+D$85+D$89+D$93)</f>
        <v>15064.144749841365</v>
      </c>
      <c r="E44" s="108">
        <f>('B&amp;A+DSM $'!E44-(FAC!E46+$D$81*'B&amp;A kWh'!F44)*(1+E$93))/(1+E$85+E$89+E$93)</f>
        <v>43849.669478923272</v>
      </c>
      <c r="F44" s="108">
        <f>('B&amp;A+DSM $'!F44-(FAC!F46+$D$81*'B&amp;A kWh'!G44)*(1+F$93))/(1+F$85+F$89+F$93)</f>
        <v>26738.235224090728</v>
      </c>
      <c r="G44" s="108">
        <f>('B&amp;A+DSM $'!G44-(FAC!G46+$D$81*'B&amp;A kWh'!H44)*(1+G$93))/(1+G$85+G$89+G$93)</f>
        <v>25780.18099716249</v>
      </c>
      <c r="H44" s="108">
        <f>('B&amp;A+DSM $'!H44-(FAC!H46+$D$81*'B&amp;A kWh'!I44)*(1+H$93))/(1+H$85+H$89+H$93)</f>
        <v>25203.895122050671</v>
      </c>
      <c r="I44" s="108">
        <f>('B&amp;A+DSM $'!I44-(FAC!I46+$D$81*'B&amp;A kWh'!J44)*(1+I$93))/(1+I$85+I$89+I$93)</f>
        <v>26516.291976467797</v>
      </c>
      <c r="J44" s="108">
        <f>('B&amp;A+DSM $'!J44-(FAC!J46+$D$81*'B&amp;A kWh'!K44)*(1+J$93))/(1+J$85+J$89+J$93)</f>
        <v>32319.838735821271</v>
      </c>
      <c r="K44" s="108">
        <f>('B&amp;A+DSM $'!K44-(FAC!K46+$D$81*'B&amp;A kWh'!L44)*(1+K$93))/(1+K$85+K$89+K$93)</f>
        <v>31230.878980804941</v>
      </c>
      <c r="L44" s="108">
        <f>('B&amp;A+DSM $'!L44-(FAC!L46+$D$81*'B&amp;A kWh'!M44)*(1+L$93))/(1+L$85+L$89+L$93)</f>
        <v>24745.614284240772</v>
      </c>
      <c r="M44" s="108">
        <f>('B&amp;A+DSM $'!M44-(FAC!M46+$D$81*'B&amp;A kWh'!N44)*(1+M$93))/(1+M$85+M$89+M$93)</f>
        <v>36033.383688243252</v>
      </c>
      <c r="N44" s="108">
        <f>('B&amp;A+DSM $'!N44-(FAC!N46+$D$81*'B&amp;A kWh'!O44)*(1+N$93))/(1+N$85+N$89+N$93)</f>
        <v>24530.568130496475</v>
      </c>
      <c r="O44" s="108">
        <f>('B&amp;A+DSM $'!O44-(FAC!O46+$D$81*'B&amp;A kWh'!P44)*(1+O$93))/(1+O$85+O$89+O$93)</f>
        <v>33942.913966219639</v>
      </c>
      <c r="Q44" s="46" t="s">
        <v>118</v>
      </c>
      <c r="R44" s="46">
        <v>44</v>
      </c>
      <c r="S44" s="46">
        <v>46</v>
      </c>
      <c r="T44" s="46">
        <v>44</v>
      </c>
    </row>
    <row r="45" spans="1:20" x14ac:dyDescent="0.25">
      <c r="A45" s="102"/>
      <c r="D45" s="108"/>
      <c r="E45" s="108"/>
      <c r="R45" s="46">
        <v>45</v>
      </c>
      <c r="S45" s="46">
        <v>47</v>
      </c>
      <c r="T45" s="46">
        <v>45</v>
      </c>
    </row>
    <row r="46" spans="1:20" x14ac:dyDescent="0.25">
      <c r="A46" s="102" t="s">
        <v>241</v>
      </c>
      <c r="B46" s="108">
        <f>('B&amp;A $'!C46+DSM!B48-(FAC!B50+$D$81*'B&amp;A kWh'!C48)*(1+B$93))/(1+B$85+B$89+B$93)</f>
        <v>0</v>
      </c>
      <c r="C46" s="108">
        <f>('B&amp;A $'!D46+DSM!C48-(FAC!C50+$D$81*'B&amp;A kWh'!D48)*(1+C$93))/(1+C$85+C$89+C$93)</f>
        <v>0</v>
      </c>
      <c r="D46" s="108">
        <f>('B&amp;A+DSM $'!D46-(FAC!D48+$D$81*'B&amp;A kWh'!E46)*(1+D$93))/(1+D$85+D$89+D$93)</f>
        <v>14144.479519102131</v>
      </c>
      <c r="E46" s="108">
        <f>('B&amp;A+DSM $'!E46-(FAC!E48+$D$81*'B&amp;A kWh'!F46)*(1+E$93))/(1+E$85+E$89+E$93)</f>
        <v>14760.481362853723</v>
      </c>
      <c r="F46" s="108">
        <f>('B&amp;A+DSM $'!F46-(FAC!F48+$D$81*'B&amp;A kWh'!G46)*(1+F$93))/(1+F$85+F$89+F$93)</f>
        <v>16473.059355531055</v>
      </c>
      <c r="G46" s="108">
        <f>('B&amp;A+DSM $'!G46-(FAC!G48+$D$81*'B&amp;A kWh'!H46)*(1+G$93))/(1+G$85+G$89+G$93)</f>
        <v>13755.504734267415</v>
      </c>
      <c r="H46" s="108">
        <f>('B&amp;A+DSM $'!H46-(FAC!H48+$D$81*'B&amp;A kWh'!I46)*(1+H$93))/(1+H$85+H$89+H$93)</f>
        <v>20678.740044307931</v>
      </c>
      <c r="I46" s="108">
        <f>('B&amp;A+DSM $'!I46-(FAC!I48+$D$81*'B&amp;A kWh'!J46)*(1+I$93))/(1+I$85+I$89+I$93)</f>
        <v>32406.163434820181</v>
      </c>
      <c r="J46" s="108">
        <f>('B&amp;A+DSM $'!J46-(FAC!J48+$D$81*'B&amp;A kWh'!K46)*(1+J$93))/(1+J$85+J$89+J$93)</f>
        <v>23582.151545563334</v>
      </c>
      <c r="K46" s="108">
        <f>('B&amp;A+DSM $'!K46-(FAC!K48+$D$81*'B&amp;A kWh'!L46)*(1+K$93))/(1+K$85+K$89+K$93)</f>
        <v>7488.2072722039957</v>
      </c>
      <c r="L46" s="108">
        <f>('B&amp;A+DSM $'!L46-(FAC!L48+$D$81*'B&amp;A kWh'!M46)*(1+L$93))/(1+L$85+L$89+L$93)</f>
        <v>9669.2893426545288</v>
      </c>
      <c r="M46" s="108">
        <f>('B&amp;A+DSM $'!M46-(FAC!M48+$D$81*'B&amp;A kWh'!N46)*(1+M$93))/(1+M$85+M$89+M$93)</f>
        <v>11688.900750898092</v>
      </c>
      <c r="N46" s="108">
        <f>('B&amp;A+DSM $'!N46-(FAC!N48+$D$81*'B&amp;A kWh'!O46)*(1+N$93))/(1+N$85+N$89+N$93)</f>
        <v>7036.4421787818765</v>
      </c>
      <c r="O46" s="108">
        <f>('B&amp;A+DSM $'!O46-(FAC!O48+$D$81*'B&amp;A kWh'!P46)*(1+O$93))/(1+O$85+O$89+O$93)</f>
        <v>-5459.457697960851</v>
      </c>
      <c r="Q46" s="46" t="s">
        <v>241</v>
      </c>
      <c r="R46" s="46">
        <v>46</v>
      </c>
      <c r="S46" s="46">
        <v>48</v>
      </c>
      <c r="T46" s="46">
        <v>46</v>
      </c>
    </row>
    <row r="47" spans="1:20" x14ac:dyDescent="0.25">
      <c r="A47" s="102"/>
      <c r="D47" s="108"/>
      <c r="E47" s="108"/>
      <c r="R47" s="46">
        <v>47</v>
      </c>
      <c r="S47" s="46">
        <v>49</v>
      </c>
      <c r="T47" s="46">
        <v>47</v>
      </c>
    </row>
    <row r="48" spans="1:20" x14ac:dyDescent="0.25">
      <c r="A48" s="102" t="s">
        <v>5</v>
      </c>
      <c r="B48" s="108">
        <f>('B&amp;A $'!C48+DSM!B50-(FAC!B52+$D$81*'B&amp;A kWh'!C50)*(1+B$93))/(1+B$85+B$89+B$93)</f>
        <v>0</v>
      </c>
      <c r="C48" s="108">
        <f>('B&amp;A $'!D48+DSM!C50-(FAC!C52+$D$81*'B&amp;A kWh'!D50)*(1+C$93))/(1+C$85+C$89+C$93)</f>
        <v>0</v>
      </c>
      <c r="D48" s="108">
        <f>('B&amp;A+DSM $'!D48-(FAC!D50+$D$81*'B&amp;A kWh'!E48)*(1+D$93))/(1+D$85+D$89+D$93)</f>
        <v>510791.52568958036</v>
      </c>
      <c r="E48" s="108">
        <f>('B&amp;A+DSM $'!E48-(FAC!E50+$D$81*'B&amp;A kWh'!F48)*(1+E$93))/(1+E$85+E$89+E$93)</f>
        <v>674064.92122669669</v>
      </c>
      <c r="F48" s="108">
        <f>('B&amp;A+DSM $'!F48-(FAC!F50+$D$81*'B&amp;A kWh'!G48)*(1+F$93))/(1+F$85+F$89+F$93)</f>
        <v>499904.09141334938</v>
      </c>
      <c r="G48" s="108">
        <f>('B&amp;A+DSM $'!G48-(FAC!G50+$D$81*'B&amp;A kWh'!H48)*(1+G$93))/(1+G$85+G$89+G$93)</f>
        <v>524568.06859517866</v>
      </c>
      <c r="H48" s="108">
        <f>('B&amp;A+DSM $'!H48-(FAC!H50+$D$81*'B&amp;A kWh'!I48)*(1+H$93))/(1+H$85+H$89+H$93)</f>
        <v>516549.52114140481</v>
      </c>
      <c r="I48" s="108">
        <f>('B&amp;A+DSM $'!I48-(FAC!I50+$D$81*'B&amp;A kWh'!J48)*(1+I$93))/(1+I$85+I$89+I$93)</f>
        <v>546766.76129579288</v>
      </c>
      <c r="J48" s="108">
        <f>('B&amp;A+DSM $'!J48-(FAC!J50+$D$81*'B&amp;A kWh'!K48)*(1+J$93))/(1+J$85+J$89+J$93)</f>
        <v>644347.9581596019</v>
      </c>
      <c r="K48" s="108">
        <f>('B&amp;A+DSM $'!K48-(FAC!K50+$D$81*'B&amp;A kWh'!L48)*(1+K$93))/(1+K$85+K$89+K$93)</f>
        <v>622861.99991996039</v>
      </c>
      <c r="L48" s="108">
        <f>('B&amp;A+DSM $'!L48-(FAC!L50+$D$81*'B&amp;A kWh'!M48)*(1+L$93))/(1+L$85+L$89+L$93)</f>
        <v>555041.14248011878</v>
      </c>
      <c r="M48" s="108">
        <f>('B&amp;A+DSM $'!M48-(FAC!M50+$D$81*'B&amp;A kWh'!N48)*(1+M$93))/(1+M$85+M$89+M$93)</f>
        <v>531896.56806466088</v>
      </c>
      <c r="N48" s="108">
        <f>('B&amp;A+DSM $'!N48-(FAC!N50+$D$81*'B&amp;A kWh'!O48)*(1+N$93))/(1+N$85+N$89+N$93)</f>
        <v>359993.90411908837</v>
      </c>
      <c r="O48" s="108">
        <f>('B&amp;A+DSM $'!O48-(FAC!O50+$D$81*'B&amp;A kWh'!P48)*(1+O$93))/(1+O$85+O$89+O$93)</f>
        <v>758185.62150096835</v>
      </c>
      <c r="Q48" s="46" t="s">
        <v>5</v>
      </c>
      <c r="R48" s="46">
        <v>48</v>
      </c>
      <c r="S48" s="46">
        <v>50</v>
      </c>
      <c r="T48" s="46">
        <v>48</v>
      </c>
    </row>
    <row r="49" spans="1:20" x14ac:dyDescent="0.25">
      <c r="A49" s="102"/>
      <c r="D49" s="108"/>
      <c r="E49" s="108"/>
      <c r="R49" s="46">
        <v>49</v>
      </c>
      <c r="S49" s="46">
        <v>51</v>
      </c>
      <c r="T49" s="46">
        <v>49</v>
      </c>
    </row>
    <row r="50" spans="1:20" x14ac:dyDescent="0.25">
      <c r="A50" s="102" t="s">
        <v>4</v>
      </c>
      <c r="B50" s="108">
        <f>('B&amp;A $'!C50+DSM!B52-(FAC!B54+$D$81*'B&amp;A kWh'!C52)*(1+B$93))/(1+B$85+B$89+B$93)</f>
        <v>0</v>
      </c>
      <c r="C50" s="108">
        <f>('B&amp;A $'!D50+DSM!C52-(FAC!C54+$D$81*'B&amp;A kWh'!D52)*(1+C$93))/(1+C$85+C$89+C$93)</f>
        <v>0</v>
      </c>
      <c r="D50" s="108">
        <f>('B&amp;A+DSM $'!D50-(FAC!D52+$D$81*'B&amp;A kWh'!E50)*(1+D$93))/(1+D$85+D$89+D$93)</f>
        <v>51518.901720066409</v>
      </c>
      <c r="E50" s="108">
        <f>('B&amp;A+DSM $'!E50-(FAC!E52+$D$81*'B&amp;A kWh'!F50)*(1+E$93))/(1+E$85+E$89+E$93)</f>
        <v>74042.603230309222</v>
      </c>
      <c r="F50" s="108">
        <f>('B&amp;A+DSM $'!F50-(FAC!F52+$D$81*'B&amp;A kWh'!G50)*(1+F$93))/(1+F$85+F$89+F$93)</f>
        <v>113037.11484811312</v>
      </c>
      <c r="G50" s="108">
        <f>('B&amp;A+DSM $'!G50-(FAC!G52+$D$81*'B&amp;A kWh'!H50)*(1+G$93))/(1+G$85+G$89+G$93)</f>
        <v>70739.030093871726</v>
      </c>
      <c r="H50" s="108">
        <f>('B&amp;A+DSM $'!H50-(FAC!H52+$D$81*'B&amp;A kWh'!I50)*(1+H$93))/(1+H$85+H$89+H$93)</f>
        <v>-27769.49759432425</v>
      </c>
      <c r="I50" s="108">
        <f>('B&amp;A+DSM $'!I50-(FAC!I52+$D$81*'B&amp;A kWh'!J50)*(1+I$93))/(1+I$85+I$89+I$93)</f>
        <v>48008.667223375633</v>
      </c>
      <c r="J50" s="108">
        <f>('B&amp;A+DSM $'!J50-(FAC!J52+$D$81*'B&amp;A kWh'!K50)*(1+J$93))/(1+J$85+J$89+J$93)</f>
        <v>48078.525205287646</v>
      </c>
      <c r="K50" s="108">
        <f>('B&amp;A+DSM $'!K50-(FAC!K52+$D$81*'B&amp;A kWh'!L50)*(1+K$93))/(1+K$85+K$89+K$93)</f>
        <v>46194.384277475554</v>
      </c>
      <c r="L50" s="108">
        <f>('B&amp;A+DSM $'!L50-(FAC!L52+$D$81*'B&amp;A kWh'!M50)*(1+L$93))/(1+L$85+L$89+L$93)</f>
        <v>34236.958035013296</v>
      </c>
      <c r="M50" s="108">
        <f>('B&amp;A+DSM $'!M50-(FAC!M52+$D$81*'B&amp;A kWh'!N50)*(1+M$93))/(1+M$85+M$89+M$93)</f>
        <v>36579.871165189921</v>
      </c>
      <c r="N50" s="108">
        <f>('B&amp;A+DSM $'!N50-(FAC!N52+$D$81*'B&amp;A kWh'!O50)*(1+N$93))/(1+N$85+N$89+N$93)</f>
        <v>11137.297859553408</v>
      </c>
      <c r="O50" s="108">
        <f>('B&amp;A+DSM $'!O50-(FAC!O52+$D$81*'B&amp;A kWh'!P50)*(1+O$93))/(1+O$85+O$89+O$93)</f>
        <v>60472.736748813746</v>
      </c>
      <c r="Q50" s="46" t="s">
        <v>4</v>
      </c>
      <c r="R50" s="46">
        <v>50</v>
      </c>
      <c r="S50" s="46">
        <v>52</v>
      </c>
      <c r="T50" s="46">
        <v>50</v>
      </c>
    </row>
    <row r="51" spans="1:20" x14ac:dyDescent="0.25">
      <c r="A51" s="102"/>
      <c r="D51" s="108"/>
      <c r="E51" s="108"/>
      <c r="R51" s="46">
        <v>51</v>
      </c>
      <c r="S51" s="46">
        <v>53</v>
      </c>
      <c r="T51" s="46">
        <v>51</v>
      </c>
    </row>
    <row r="52" spans="1:20" x14ac:dyDescent="0.25">
      <c r="A52" s="102" t="s">
        <v>3</v>
      </c>
      <c r="B52" s="108">
        <f>('B&amp;A $'!C52+DSM!B54-(FAC!B56+$D$81*'B&amp;A kWh'!C54)*(1+B$93))/(1+B$85+B$89+B$93)</f>
        <v>0</v>
      </c>
      <c r="C52" s="108">
        <f>('B&amp;A $'!D52+DSM!C54-(FAC!C56+$D$81*'B&amp;A kWh'!D54)*(1+C$93))/(1+C$85+C$89+C$93)</f>
        <v>0</v>
      </c>
      <c r="D52" s="108">
        <f>('B&amp;A+DSM $'!D52-(FAC!D54+$D$81*'B&amp;A kWh'!E52)*(1+D$93))/(1+D$85+D$89+D$93)</f>
        <v>0</v>
      </c>
      <c r="E52" s="108">
        <f>('B&amp;A+DSM $'!E52-(FAC!E54+$D$81*'B&amp;A kWh'!F52)*(1+E$93))/(1+E$85+E$89+E$93)</f>
        <v>0</v>
      </c>
      <c r="F52" s="108">
        <f>('B&amp;A+DSM $'!F52-(FAC!F54+$D$81*'B&amp;A kWh'!G52)*(1+F$93))/(1+F$85+F$89+F$93)</f>
        <v>0</v>
      </c>
      <c r="G52" s="108">
        <f>('B&amp;A+DSM $'!G52-(FAC!G54+$D$81*'B&amp;A kWh'!H52)*(1+G$93))/(1+G$85+G$89+G$93)</f>
        <v>0</v>
      </c>
      <c r="H52" s="108">
        <f>('B&amp;A+DSM $'!H52-(FAC!H54+$D$81*'B&amp;A kWh'!I52)*(1+H$93))/(1+H$85+H$89+H$93)</f>
        <v>0</v>
      </c>
      <c r="I52" s="108">
        <f>('B&amp;A+DSM $'!I52-(FAC!I54+$D$81*'B&amp;A kWh'!J52)*(1+I$93))/(1+I$85+I$89+I$93)</f>
        <v>0</v>
      </c>
      <c r="J52" s="108">
        <f>('B&amp;A+DSM $'!J52-(FAC!J54+$D$81*'B&amp;A kWh'!K52)*(1+J$93))/(1+J$85+J$89+J$93)</f>
        <v>0</v>
      </c>
      <c r="K52" s="108">
        <f>('B&amp;A+DSM $'!K52-(FAC!K54+$D$81*'B&amp;A kWh'!L52)*(1+K$93))/(1+K$85+K$89+K$93)</f>
        <v>0</v>
      </c>
      <c r="L52" s="108">
        <f>('B&amp;A+DSM $'!L52-(FAC!L54+$D$81*'B&amp;A kWh'!M52)*(1+L$93))/(1+L$85+L$89+L$93)</f>
        <v>0</v>
      </c>
      <c r="M52" s="108">
        <f>('B&amp;A+DSM $'!M52-(FAC!M54+$D$81*'B&amp;A kWh'!N52)*(1+M$93))/(1+M$85+M$89+M$93)</f>
        <v>0</v>
      </c>
      <c r="N52" s="108">
        <f>('B&amp;A+DSM $'!N52-(FAC!N54+$D$81*'B&amp;A kWh'!O52)*(1+N$93))/(1+N$85+N$89+N$93)</f>
        <v>0</v>
      </c>
      <c r="O52" s="108">
        <f>('B&amp;A+DSM $'!O52-(FAC!O54+$D$81*'B&amp;A kWh'!P52)*(1+O$93))/(1+O$85+O$89+O$93)</f>
        <v>0</v>
      </c>
      <c r="Q52" s="46" t="s">
        <v>3</v>
      </c>
      <c r="R52" s="46">
        <v>52</v>
      </c>
      <c r="S52" s="46">
        <v>54</v>
      </c>
      <c r="T52" s="46">
        <v>52</v>
      </c>
    </row>
    <row r="53" spans="1:20" x14ac:dyDescent="0.25">
      <c r="A53" s="102"/>
      <c r="D53" s="108"/>
      <c r="E53" s="108"/>
      <c r="R53" s="46">
        <v>53</v>
      </c>
      <c r="S53" s="46">
        <v>55</v>
      </c>
      <c r="T53" s="46">
        <v>53</v>
      </c>
    </row>
    <row r="54" spans="1:20" x14ac:dyDescent="0.25">
      <c r="A54" s="102" t="s">
        <v>119</v>
      </c>
      <c r="B54" s="108">
        <f>('B&amp;A $'!C54+DSM!B56-(FAC!B58+$D$81*'B&amp;A kWh'!C56)*(1+B$93))/(1+B$85+B$89+B$93)</f>
        <v>0</v>
      </c>
      <c r="C54" s="108">
        <f>('B&amp;A $'!D54+DSM!C56-(FAC!C58+$D$81*'B&amp;A kWh'!D56)*(1+C$93))/(1+C$85+C$89+C$93)</f>
        <v>0</v>
      </c>
      <c r="D54" s="108">
        <f>('B&amp;A+DSM $'!D54-(FAC!D56+$D$81*'B&amp;A kWh'!E54)*(1+D$93))/(1+D$85+D$89+D$93)</f>
        <v>646181.51892630116</v>
      </c>
      <c r="E54" s="108">
        <f>('B&amp;A+DSM $'!E54-(FAC!E56+$D$81*'B&amp;A kWh'!F54)*(1+E$93))/(1+E$85+E$89+E$93)</f>
        <v>768877.77352369204</v>
      </c>
      <c r="F54" s="108">
        <f>('B&amp;A+DSM $'!F54-(FAC!F56+$D$81*'B&amp;A kWh'!G54)*(1+F$93))/(1+F$85+F$89+F$93)</f>
        <v>708682.94239737489</v>
      </c>
      <c r="G54" s="108">
        <f>('B&amp;A+DSM $'!G54-(FAC!G56+$D$81*'B&amp;A kWh'!H54)*(1+G$93))/(1+G$85+G$89+G$93)</f>
        <v>539348.81377192121</v>
      </c>
      <c r="H54" s="108">
        <f>('B&amp;A+DSM $'!H54-(FAC!H56+$D$81*'B&amp;A kWh'!I54)*(1+H$93))/(1+H$85+H$89+H$93)</f>
        <v>622180.35939029034</v>
      </c>
      <c r="I54" s="108">
        <f>('B&amp;A+DSM $'!I54-(FAC!I56+$D$81*'B&amp;A kWh'!J54)*(1+I$93))/(1+I$85+I$89+I$93)</f>
        <v>734502.20294349187</v>
      </c>
      <c r="J54" s="108">
        <f>('B&amp;A+DSM $'!J54-(FAC!J56+$D$81*'B&amp;A kWh'!K54)*(1+J$93))/(1+J$85+J$89+J$93)</f>
        <v>792281.44734255539</v>
      </c>
      <c r="K54" s="108">
        <f>('B&amp;A+DSM $'!K54-(FAC!K56+$D$81*'B&amp;A kWh'!L54)*(1+K$93))/(1+K$85+K$89+K$93)</f>
        <v>693377.66609304876</v>
      </c>
      <c r="L54" s="108">
        <f>('B&amp;A+DSM $'!L54-(FAC!L56+$D$81*'B&amp;A kWh'!M54)*(1+L$93))/(1+L$85+L$89+L$93)</f>
        <v>678204.19371970079</v>
      </c>
      <c r="M54" s="108">
        <f>('B&amp;A+DSM $'!M54-(FAC!M56+$D$81*'B&amp;A kWh'!N54)*(1+M$93))/(1+M$85+M$89+M$93)</f>
        <v>597915.78210253164</v>
      </c>
      <c r="N54" s="108">
        <f>('B&amp;A+DSM $'!N54-(FAC!N56+$D$81*'B&amp;A kWh'!O54)*(1+N$93))/(1+N$85+N$89+N$93)</f>
        <v>431777.13865072577</v>
      </c>
      <c r="O54" s="108">
        <f>('B&amp;A+DSM $'!O54-(FAC!O56+$D$81*'B&amp;A kWh'!P54)*(1+O$93))/(1+O$85+O$89+O$93)</f>
        <v>823829.36688270234</v>
      </c>
      <c r="Q54" s="46" t="s">
        <v>119</v>
      </c>
      <c r="R54" s="46">
        <v>54</v>
      </c>
      <c r="S54" s="46">
        <v>56</v>
      </c>
      <c r="T54" s="46">
        <v>54</v>
      </c>
    </row>
    <row r="55" spans="1:20" x14ac:dyDescent="0.25">
      <c r="A55" s="102"/>
      <c r="D55" s="108"/>
      <c r="E55" s="108"/>
      <c r="R55" s="46">
        <v>55</v>
      </c>
      <c r="S55" s="46">
        <v>57</v>
      </c>
      <c r="T55" s="46">
        <v>55</v>
      </c>
    </row>
    <row r="56" spans="1:20" x14ac:dyDescent="0.25">
      <c r="A56" s="102" t="s">
        <v>120</v>
      </c>
      <c r="B56" s="108" t="e">
        <f>('B&amp;A $'!C56+DSM!B58-(FAC!B60+$D$81*'B&amp;A kWh'!C58)*(1+B$93))/(1+B$85+B$89+B$93)</f>
        <v>#REF!</v>
      </c>
      <c r="C56" s="108" t="e">
        <f>('B&amp;A $'!D56+DSM!C58-(FAC!C60+$D$81*'B&amp;A kWh'!D58)*(1+C$93))/(1+C$85+C$89+C$93)</f>
        <v>#REF!</v>
      </c>
      <c r="D56" s="108">
        <f>('B&amp;A+DSM $'!D56-(FAC!D58+$D$81*'B&amp;A kWh'!E56)*(1+D$93))/(1+D$85+D$89+D$93)</f>
        <v>9145.4906510940073</v>
      </c>
      <c r="E56" s="108">
        <f>('B&amp;A+DSM $'!E56-(FAC!E58+$D$81*'B&amp;A kWh'!F56)*(1+E$93))/(1+E$85+E$89+E$93)</f>
        <v>9993.6117667225953</v>
      </c>
      <c r="F56" s="108">
        <f>('B&amp;A+DSM $'!F56-(FAC!F58+$D$81*'B&amp;A kWh'!G56)*(1+F$93))/(1+F$85+F$89+F$93)</f>
        <v>11400.905783036496</v>
      </c>
      <c r="G56" s="108">
        <f>('B&amp;A+DSM $'!G56-(FAC!G58+$D$81*'B&amp;A kWh'!H56)*(1+G$93))/(1+G$85+G$89+G$93)</f>
        <v>8512.8532394051072</v>
      </c>
      <c r="H56" s="108">
        <f>('B&amp;A+DSM $'!H56-(FAC!H58+$D$81*'B&amp;A kWh'!I56)*(1+H$93))/(1+H$85+H$89+H$93)</f>
        <v>8440.7590110905749</v>
      </c>
      <c r="I56" s="108">
        <f>('B&amp;A+DSM $'!I56-(FAC!I58+$D$81*'B&amp;A kWh'!J56)*(1+I$93))/(1+I$85+I$89+I$93)</f>
        <v>11467.428167022943</v>
      </c>
      <c r="J56" s="108">
        <f>('B&amp;A+DSM $'!J56-(FAC!J58+$D$81*'B&amp;A kWh'!K56)*(1+J$93))/(1+J$85+J$89+J$93)</f>
        <v>13260.474170486172</v>
      </c>
      <c r="K56" s="108">
        <f>('B&amp;A+DSM $'!K56-(FAC!K58+$D$81*'B&amp;A kWh'!L56)*(1+K$93))/(1+K$85+K$89+K$93)</f>
        <v>12663.21880558609</v>
      </c>
      <c r="L56" s="108">
        <f>('B&amp;A+DSM $'!L56-(FAC!L58+$D$81*'B&amp;A kWh'!M56)*(1+L$93))/(1+L$85+L$89+L$93)</f>
        <v>10723.535121136614</v>
      </c>
      <c r="M56" s="108">
        <f>('B&amp;A+DSM $'!M56-(FAC!M58+$D$81*'B&amp;A kWh'!N56)*(1+M$93))/(1+M$85+M$89+M$93)</f>
        <v>13451.966845759933</v>
      </c>
      <c r="N56" s="108">
        <f>('B&amp;A+DSM $'!N56-(FAC!N58+$D$81*'B&amp;A kWh'!O56)*(1+N$93))/(1+N$85+N$89+N$93)</f>
        <v>6703.0612760176846</v>
      </c>
      <c r="O56" s="108">
        <f>('B&amp;A+DSM $'!O56-(FAC!O58+$D$81*'B&amp;A kWh'!P56)*(1+O$93))/(1+O$85+O$89+O$93)</f>
        <v>13166.48472005923</v>
      </c>
      <c r="Q56" s="46" t="s">
        <v>120</v>
      </c>
      <c r="R56" s="46">
        <v>56</v>
      </c>
      <c r="S56" s="46">
        <v>58</v>
      </c>
      <c r="T56" s="46">
        <v>56</v>
      </c>
    </row>
    <row r="57" spans="1:20" x14ac:dyDescent="0.25">
      <c r="A57" s="102"/>
      <c r="D57" s="108"/>
      <c r="E57" s="108"/>
      <c r="R57" s="46">
        <v>57</v>
      </c>
      <c r="S57" s="46">
        <v>59</v>
      </c>
      <c r="T57" s="46">
        <v>57</v>
      </c>
    </row>
    <row r="58" spans="1:20" x14ac:dyDescent="0.25">
      <c r="A58" s="102" t="s">
        <v>242</v>
      </c>
      <c r="B58" s="108" t="e">
        <f>('B&amp;A $'!C58+DSM!B60-(FAC!B62+$D$81*'B&amp;A kWh'!C60)*(1+B$93))/(1+B$85+B$89+B$93)</f>
        <v>#REF!</v>
      </c>
      <c r="C58" s="108" t="e">
        <f>('B&amp;A $'!D58+DSM!C60-(FAC!C62+$D$81*'B&amp;A kWh'!D60)*(1+C$93))/(1+C$85+C$89+C$93)</f>
        <v>#REF!</v>
      </c>
      <c r="D58" s="108">
        <f>('B&amp;A+DSM $'!D58-(FAC!D60+$D$81*'B&amp;A kWh'!E58)*(1+D$93))/(1+D$85+D$89+D$93)</f>
        <v>168138.80592000185</v>
      </c>
      <c r="E58" s="108">
        <f>('B&amp;A+DSM $'!E58-(FAC!E60+$D$81*'B&amp;A kWh'!F58)*(1+E$93))/(1+E$85+E$89+E$93)</f>
        <v>228219.03097479272</v>
      </c>
      <c r="F58" s="108">
        <f>('B&amp;A+DSM $'!F58-(FAC!F60+$D$81*'B&amp;A kWh'!G58)*(1+F$93))/(1+F$85+F$89+F$93)</f>
        <v>163440.95792163341</v>
      </c>
      <c r="G58" s="108">
        <f>('B&amp;A+DSM $'!G58-(FAC!G60+$D$81*'B&amp;A kWh'!H58)*(1+G$93))/(1+G$85+G$89+G$93)</f>
        <v>176921.37827695042</v>
      </c>
      <c r="H58" s="108">
        <f>('B&amp;A+DSM $'!H58-(FAC!H60+$D$81*'B&amp;A kWh'!I58)*(1+H$93))/(1+H$85+H$89+H$93)</f>
        <v>217873.76032945528</v>
      </c>
      <c r="I58" s="108">
        <f>('B&amp;A+DSM $'!I58-(FAC!I60+$D$81*'B&amp;A kWh'!J58)*(1+I$93))/(1+I$85+I$89+I$93)</f>
        <v>169849.56526272875</v>
      </c>
      <c r="J58" s="108">
        <f>('B&amp;A+DSM $'!J58-(FAC!J60+$D$81*'B&amp;A kWh'!K58)*(1+J$93))/(1+J$85+J$89+J$93)</f>
        <v>212289.28151911133</v>
      </c>
      <c r="K58" s="108">
        <f>('B&amp;A+DSM $'!K58-(FAC!K60+$D$81*'B&amp;A kWh'!L58)*(1+K$93))/(1+K$85+K$89+K$93)</f>
        <v>187658.7079717</v>
      </c>
      <c r="L58" s="108">
        <f>('B&amp;A+DSM $'!L58-(FAC!L60+$D$81*'B&amp;A kWh'!M58)*(1+L$93))/(1+L$85+L$89+L$93)</f>
        <v>176450.24825739049</v>
      </c>
      <c r="M58" s="108">
        <f>('B&amp;A+DSM $'!M58-(FAC!M60+$D$81*'B&amp;A kWh'!N58)*(1+M$93))/(1+M$85+M$89+M$93)</f>
        <v>122604.01520689909</v>
      </c>
      <c r="N58" s="108">
        <f>('B&amp;A+DSM $'!N58-(FAC!N60+$D$81*'B&amp;A kWh'!O58)*(1+N$93))/(1+N$85+N$89+N$93)</f>
        <v>141316.02458010759</v>
      </c>
      <c r="O58" s="108">
        <f>('B&amp;A+DSM $'!O58-(FAC!O60+$D$81*'B&amp;A kWh'!P58)*(1+O$93))/(1+O$85+O$89+O$93)</f>
        <v>162529.16088889533</v>
      </c>
      <c r="Q58" s="46" t="s">
        <v>242</v>
      </c>
      <c r="R58" s="46">
        <v>58</v>
      </c>
      <c r="S58" s="46">
        <v>60</v>
      </c>
      <c r="T58" s="46">
        <v>58</v>
      </c>
    </row>
    <row r="59" spans="1:20" x14ac:dyDescent="0.25">
      <c r="A59" s="102"/>
      <c r="D59" s="108"/>
      <c r="E59" s="108"/>
      <c r="R59" s="46">
        <v>59</v>
      </c>
      <c r="S59" s="46">
        <v>61</v>
      </c>
      <c r="T59" s="46">
        <v>59</v>
      </c>
    </row>
    <row r="60" spans="1:20" x14ac:dyDescent="0.25">
      <c r="A60" s="102" t="s">
        <v>122</v>
      </c>
      <c r="B60" s="108">
        <f>('B&amp;A $'!C60+DSM!B62-(FAC!B68+$D$81*'B&amp;A kWh'!C66)*(1+B$93))/(1+B$85+B$89+B$93)</f>
        <v>0</v>
      </c>
      <c r="C60" s="108">
        <f>('B&amp;A $'!D60+DSM!C62-(FAC!C68+$D$81*'B&amp;A kWh'!D66)*(1+C$93))/(1+C$85+C$89+C$93)</f>
        <v>0</v>
      </c>
      <c r="D60" s="108">
        <f>('B&amp;A+DSM $'!D60-(FAC!D62+$D$81*'B&amp;A kWh'!E60)*(1+D$93))/(1+D$85+D$89+D$93)</f>
        <v>122030.30680218761</v>
      </c>
      <c r="E60" s="108">
        <f>('B&amp;A+DSM $'!E60-(FAC!E62+$D$81*'B&amp;A kWh'!F60)*(1+E$93))/(1+E$85+E$89+E$93)</f>
        <v>86255.454007317909</v>
      </c>
      <c r="F60" s="108">
        <f>('B&amp;A+DSM $'!F60-(FAC!F62+$D$81*'B&amp;A kWh'!G60)*(1+F$93))/(1+F$85+F$89+F$93)</f>
        <v>-97766.632333176414</v>
      </c>
      <c r="G60" s="108">
        <f>('B&amp;A+DSM $'!G60-(FAC!G62+$D$81*'B&amp;A kWh'!H60)*(1+G$93))/(1+G$85+G$89+G$93)</f>
        <v>-68458.964597239814</v>
      </c>
      <c r="H60" s="108">
        <f>('B&amp;A+DSM $'!H60-(FAC!H62+$D$81*'B&amp;A kWh'!I60)*(1+H$93))/(1+H$85+H$89+H$93)</f>
        <v>-66894.435685549601</v>
      </c>
      <c r="I60" s="108">
        <f>('B&amp;A+DSM $'!I60-(FAC!I62+$D$81*'B&amp;A kWh'!J60)*(1+I$93))/(1+I$85+I$89+I$93)</f>
        <v>90389.59085310658</v>
      </c>
      <c r="J60" s="108">
        <f>('B&amp;A+DSM $'!J60-(FAC!J62+$D$81*'B&amp;A kWh'!K60)*(1+J$93))/(1+J$85+J$89+J$93)</f>
        <v>-19345.838549588043</v>
      </c>
      <c r="K60" s="108">
        <f>('B&amp;A+DSM $'!K60-(FAC!K62+$D$81*'B&amp;A kWh'!L60)*(1+K$93))/(1+K$85+K$89+K$93)</f>
        <v>-131735.62712392621</v>
      </c>
      <c r="L60" s="108">
        <f>('B&amp;A+DSM $'!L60-(FAC!L62+$D$81*'B&amp;A kWh'!M60)*(1+L$93))/(1+L$85+L$89+L$93)</f>
        <v>-166349.34707019114</v>
      </c>
      <c r="M60" s="108">
        <f>('B&amp;A+DSM $'!M60-(FAC!M62+$D$81*'B&amp;A kWh'!N60)*(1+M$93))/(1+M$85+M$89+M$93)</f>
        <v>-125202.44801458392</v>
      </c>
      <c r="N60" s="108">
        <f>('B&amp;A+DSM $'!N60-(FAC!N62+$D$81*'B&amp;A kWh'!O60)*(1+N$93))/(1+N$85+N$89+N$93)</f>
        <v>-233281.65062250404</v>
      </c>
      <c r="O60" s="108">
        <f>('B&amp;A+DSM $'!O60-(FAC!O62+$D$81*'B&amp;A kWh'!P60)*(1+O$93))/(1+O$85+O$89+O$93)</f>
        <v>299650.92099072516</v>
      </c>
      <c r="Q60" s="46" t="s">
        <v>121</v>
      </c>
      <c r="R60" s="46">
        <v>60</v>
      </c>
      <c r="S60" s="46">
        <v>62</v>
      </c>
      <c r="T60" s="46">
        <v>60</v>
      </c>
    </row>
    <row r="61" spans="1:20" x14ac:dyDescent="0.25">
      <c r="A61" s="102"/>
      <c r="D61" s="108"/>
      <c r="E61" s="108"/>
      <c r="R61" s="46">
        <v>61</v>
      </c>
      <c r="S61" s="46">
        <v>63</v>
      </c>
      <c r="T61" s="46">
        <v>61</v>
      </c>
    </row>
    <row r="62" spans="1:20" x14ac:dyDescent="0.25">
      <c r="A62" s="102" t="s">
        <v>243</v>
      </c>
      <c r="B62" s="108">
        <f>('B&amp;A $'!C62+DSM!B64-(FAC!B70+$D$81*'B&amp;A kWh'!C68)*(1+B$93))/(1+B$85+B$89+B$93)</f>
        <v>0</v>
      </c>
      <c r="C62" s="108">
        <f>('B&amp;A $'!D62+DSM!C64-(FAC!C70+$D$81*'B&amp;A kWh'!D68)*(1+C$93))/(1+C$85+C$89+C$93)</f>
        <v>0</v>
      </c>
      <c r="D62" s="108">
        <f>('B&amp;A+DSM $'!D62-(FAC!D64+$D$81*'B&amp;A kWh'!E62)*(1+D$93))/(1+D$85+D$89+D$93)</f>
        <v>57986.69494999788</v>
      </c>
      <c r="E62" s="108">
        <f>('B&amp;A+DSM $'!E62-(FAC!E64+$D$81*'B&amp;A kWh'!F62)*(1+E$93))/(1+E$85+E$89+E$93)</f>
        <v>62962.568169285973</v>
      </c>
      <c r="F62" s="108">
        <f>('B&amp;A+DSM $'!F62-(FAC!F64+$D$81*'B&amp;A kWh'!G62)*(1+F$93))/(1+F$85+F$89+F$93)</f>
        <v>57510.681821710852</v>
      </c>
      <c r="G62" s="108">
        <f>('B&amp;A+DSM $'!G62-(FAC!G64+$D$81*'B&amp;A kWh'!H62)*(1+G$93))/(1+G$85+G$89+G$93)</f>
        <v>56015.743396942817</v>
      </c>
      <c r="H62" s="108">
        <f>('B&amp;A+DSM $'!H62-(FAC!H64+$D$81*'B&amp;A kWh'!I62)*(1+H$93))/(1+H$85+H$89+H$93)</f>
        <v>65532.108601989792</v>
      </c>
      <c r="I62" s="108">
        <f>('B&amp;A+DSM $'!I62-(FAC!I64+$D$81*'B&amp;A kWh'!J62)*(1+I$93))/(1+I$85+I$89+I$93)</f>
        <v>55809.366693704374</v>
      </c>
      <c r="J62" s="108">
        <f>('B&amp;A+DSM $'!J62-(FAC!J64+$D$81*'B&amp;A kWh'!K62)*(1+J$93))/(1+J$85+J$89+J$93)</f>
        <v>67995.15734983221</v>
      </c>
      <c r="K62" s="108">
        <f>('B&amp;A+DSM $'!K62-(FAC!K64+$D$81*'B&amp;A kWh'!L62)*(1+K$93))/(1+K$85+K$89+K$93)</f>
        <v>56869.405194236802</v>
      </c>
      <c r="L62" s="108">
        <f>('B&amp;A+DSM $'!L62-(FAC!L64+$D$81*'B&amp;A kWh'!M62)*(1+L$93))/(1+L$85+L$89+L$93)</f>
        <v>58327.537109037032</v>
      </c>
      <c r="M62" s="108">
        <f>('B&amp;A+DSM $'!M62-(FAC!M64+$D$81*'B&amp;A kWh'!N62)*(1+M$93))/(1+M$85+M$89+M$93)</f>
        <v>53388.730145626389</v>
      </c>
      <c r="N62" s="108">
        <f>('B&amp;A+DSM $'!N62-(FAC!N64+$D$81*'B&amp;A kWh'!O62)*(1+N$93))/(1+N$85+N$89+N$93)</f>
        <v>56818.410187658024</v>
      </c>
      <c r="O62" s="108">
        <f>('B&amp;A+DSM $'!O62-(FAC!O64+$D$81*'B&amp;A kWh'!P62)*(1+O$93))/(1+O$85+O$89+O$93)</f>
        <v>66297.276526991089</v>
      </c>
      <c r="Q62" s="46" t="s">
        <v>243</v>
      </c>
      <c r="R62" s="46">
        <v>62</v>
      </c>
      <c r="S62" s="46">
        <v>64</v>
      </c>
      <c r="T62" s="46">
        <v>62</v>
      </c>
    </row>
    <row r="63" spans="1:20" x14ac:dyDescent="0.25">
      <c r="A63" s="102"/>
      <c r="D63" s="108"/>
      <c r="E63" s="108"/>
      <c r="R63" s="46">
        <v>63</v>
      </c>
      <c r="S63" s="46">
        <v>65</v>
      </c>
      <c r="T63" s="46">
        <v>63</v>
      </c>
    </row>
    <row r="64" spans="1:20" x14ac:dyDescent="0.25">
      <c r="A64" s="102" t="s">
        <v>244</v>
      </c>
      <c r="B64" s="108">
        <f>('B&amp;A $'!C64+DSM!B66-(FAC!B72+$D$81*'B&amp;A kWh'!C70)*(1+B$93))/(1+B$85+B$89+B$93)</f>
        <v>0</v>
      </c>
      <c r="C64" s="108">
        <f>('B&amp;A $'!D64+DSM!C66-(FAC!C72+$D$81*'B&amp;A kWh'!D70)*(1+C$93))/(1+C$85+C$89+C$93)</f>
        <v>0</v>
      </c>
      <c r="D64" s="108">
        <f>('B&amp;A+DSM $'!D64-(FAC!D66+$D$81*'B&amp;A kWh'!E64)*(1+D$93))/(1+D$85+D$89+D$93)</f>
        <v>132350.95593771513</v>
      </c>
      <c r="E64" s="108">
        <f>('B&amp;A+DSM $'!E64-(FAC!E66+$D$81*'B&amp;A kWh'!F64)*(1+E$93))/(1+E$85+E$89+E$93)</f>
        <v>153084.73857497884</v>
      </c>
      <c r="F64" s="108">
        <f>('B&amp;A+DSM $'!F64-(FAC!F66+$D$81*'B&amp;A kWh'!G64)*(1+F$93))/(1+F$85+F$89+F$93)</f>
        <v>72374.438319625857</v>
      </c>
      <c r="G64" s="108">
        <f>('B&amp;A+DSM $'!G64-(FAC!G66+$D$81*'B&amp;A kWh'!H64)*(1+G$93))/(1+G$85+G$89+G$93)</f>
        <v>160600.65191523408</v>
      </c>
      <c r="H64" s="108">
        <f>('B&amp;A+DSM $'!H64-(FAC!H66+$D$81*'B&amp;A kWh'!I64)*(1+H$93))/(1+H$85+H$89+H$93)</f>
        <v>144447.08118136349</v>
      </c>
      <c r="I64" s="108">
        <f>('B&amp;A+DSM $'!I64-(FAC!I66+$D$81*'B&amp;A kWh'!J64)*(1+I$93))/(1+I$85+I$89+I$93)</f>
        <v>134955.07389499401</v>
      </c>
      <c r="J64" s="108">
        <f>('B&amp;A+DSM $'!J64-(FAC!J66+$D$81*'B&amp;A kWh'!K64)*(1+J$93))/(1+J$85+J$89+J$93)</f>
        <v>151107.20698443576</v>
      </c>
      <c r="K64" s="108">
        <f>('B&amp;A+DSM $'!K64-(FAC!K66+$D$81*'B&amp;A kWh'!L64)*(1+K$93))/(1+K$85+K$89+K$93)</f>
        <v>154074.63921247728</v>
      </c>
      <c r="L64" s="108">
        <f>('B&amp;A+DSM $'!L64-(FAC!L66+$D$81*'B&amp;A kWh'!M64)*(1+L$93))/(1+L$85+L$89+L$93)</f>
        <v>96444.556417755724</v>
      </c>
      <c r="M64" s="108">
        <f>('B&amp;A+DSM $'!M64-(FAC!M66+$D$81*'B&amp;A kWh'!N64)*(1+M$93))/(1+M$85+M$89+M$93)</f>
        <v>134232.15430219585</v>
      </c>
      <c r="N64" s="108">
        <f>('B&amp;A+DSM $'!N64-(FAC!N66+$D$81*'B&amp;A kWh'!O64)*(1+N$93))/(1+N$85+N$89+N$93)</f>
        <v>88113.298649018645</v>
      </c>
      <c r="O64" s="108">
        <f>('B&amp;A+DSM $'!O64-(FAC!O66+$D$81*'B&amp;A kWh'!P64)*(1+O$93))/(1+O$85+O$89+O$93)</f>
        <v>142340.75263601315</v>
      </c>
      <c r="Q64" s="46" t="s">
        <v>244</v>
      </c>
      <c r="R64" s="46">
        <v>64</v>
      </c>
      <c r="S64" s="46">
        <v>66</v>
      </c>
      <c r="T64" s="46">
        <v>64</v>
      </c>
    </row>
    <row r="65" spans="1:20" x14ac:dyDescent="0.25">
      <c r="A65" s="102"/>
      <c r="D65" s="108"/>
      <c r="E65" s="108"/>
      <c r="R65" s="46">
        <v>65</v>
      </c>
      <c r="S65" s="46">
        <v>67</v>
      </c>
      <c r="T65" s="46">
        <v>65</v>
      </c>
    </row>
    <row r="66" spans="1:20" x14ac:dyDescent="0.25">
      <c r="A66" s="102" t="s">
        <v>123</v>
      </c>
      <c r="B66" s="108">
        <f>('B&amp;A $'!C66+DSM!B68-(FAC!B74+$D$81*'B&amp;A kWh'!C72)*(1+B$93))/(1+B$85+B$89+B$93)</f>
        <v>0</v>
      </c>
      <c r="C66" s="108">
        <f>('B&amp;A $'!D66+DSM!C68-(FAC!C74+$D$81*'B&amp;A kWh'!D72)*(1+C$93))/(1+C$85+C$89+C$93)</f>
        <v>0</v>
      </c>
      <c r="D66" s="108">
        <f>('B&amp;A+DSM $'!D66-(FAC!D68+$D$81*'B&amp;A kWh'!E66)*(1+D$93))/(1+D$85+D$89+D$93)</f>
        <v>71951.977863099746</v>
      </c>
      <c r="E66" s="108">
        <f>('B&amp;A+DSM $'!E66-(FAC!E68+$D$81*'B&amp;A kWh'!F66)*(1+E$93))/(1+E$85+E$89+E$93)</f>
        <v>88313.025524796467</v>
      </c>
      <c r="F66" s="108">
        <f>('B&amp;A+DSM $'!F66-(FAC!F68+$D$81*'B&amp;A kWh'!G66)*(1+F$93))/(1+F$85+F$89+F$93)</f>
        <v>80447.530835442536</v>
      </c>
      <c r="G66" s="108">
        <f>('B&amp;A+DSM $'!G66-(FAC!G68+$D$81*'B&amp;A kWh'!H66)*(1+G$93))/(1+G$85+G$89+G$93)</f>
        <v>66958.006827650956</v>
      </c>
      <c r="H66" s="108">
        <f>('B&amp;A+DSM $'!H66-(FAC!H68+$D$81*'B&amp;A kWh'!I66)*(1+H$93))/(1+H$85+H$89+H$93)</f>
        <v>73846.608676742428</v>
      </c>
      <c r="I66" s="108">
        <f>('B&amp;A+DSM $'!I66-(FAC!I68+$D$81*'B&amp;A kWh'!J66)*(1+I$93))/(1+I$85+I$89+I$93)</f>
        <v>78354.709031249484</v>
      </c>
      <c r="J66" s="108">
        <f>('B&amp;A+DSM $'!J66-(FAC!J68+$D$81*'B&amp;A kWh'!K66)*(1+J$93))/(1+J$85+J$89+J$93)</f>
        <v>90487.487334416248</v>
      </c>
      <c r="K66" s="108">
        <f>('B&amp;A+DSM $'!K66-(FAC!K68+$D$81*'B&amp;A kWh'!L66)*(1+K$93))/(1+K$85+K$89+K$93)</f>
        <v>83170.059629586409</v>
      </c>
      <c r="L66" s="108">
        <f>('B&amp;A+DSM $'!L66-(FAC!L68+$D$81*'B&amp;A kWh'!M66)*(1+L$93))/(1+L$85+L$89+L$93)</f>
        <v>64442.516893317428</v>
      </c>
      <c r="M66" s="108">
        <f>('B&amp;A+DSM $'!M66-(FAC!M68+$D$81*'B&amp;A kWh'!N66)*(1+M$93))/(1+M$85+M$89+M$93)</f>
        <v>78394.911459047013</v>
      </c>
      <c r="N66" s="108">
        <f>('B&amp;A+DSM $'!N66-(FAC!N68+$D$81*'B&amp;A kWh'!O66)*(1+N$93))/(1+N$85+N$89+N$93)</f>
        <v>41870.307251345119</v>
      </c>
      <c r="O66" s="108">
        <f>('B&amp;A+DSM $'!O66-(FAC!O68+$D$81*'B&amp;A kWh'!P66)*(1+O$93))/(1+O$85+O$89+O$93)</f>
        <v>95386.717593723894</v>
      </c>
      <c r="Q66" s="46" t="s">
        <v>123</v>
      </c>
      <c r="R66" s="46">
        <v>66</v>
      </c>
      <c r="S66" s="46">
        <v>68</v>
      </c>
      <c r="T66" s="46">
        <v>66</v>
      </c>
    </row>
    <row r="67" spans="1:20" x14ac:dyDescent="0.25">
      <c r="A67" s="102"/>
      <c r="D67" s="108"/>
      <c r="E67" s="108"/>
      <c r="R67" s="46">
        <v>67</v>
      </c>
      <c r="S67" s="46">
        <v>69</v>
      </c>
      <c r="T67" s="46">
        <v>67</v>
      </c>
    </row>
    <row r="68" spans="1:20" x14ac:dyDescent="0.25">
      <c r="A68" s="102" t="s">
        <v>124</v>
      </c>
      <c r="B68" s="108">
        <f>('B&amp;A $'!C68+DSM!B70-(FAC!B76+$D$81*'B&amp;A kWh'!C74)*(1+B$93))/(1+B$85+B$89+B$93)</f>
        <v>0</v>
      </c>
      <c r="C68" s="108">
        <f>('B&amp;A $'!D68+DSM!C70-(FAC!C76+$D$81*'B&amp;A kWh'!D74)*(1+C$93))/(1+C$85+C$89+C$93)</f>
        <v>0</v>
      </c>
      <c r="D68" s="108">
        <f>('B&amp;A+DSM $'!D68-(FAC!D70+$D$81*'B&amp;A kWh'!E68)*(1+D$93))/(1+D$85+D$89+D$93)</f>
        <v>1302014.9147278457</v>
      </c>
      <c r="E68" s="108">
        <f>('B&amp;A+DSM $'!E68-(FAC!E70+$D$81*'B&amp;A kWh'!F68)*(1+E$93))/(1+E$85+E$89+E$93)</f>
        <v>1849723.3460308507</v>
      </c>
      <c r="F68" s="108">
        <f>('B&amp;A+DSM $'!F68-(FAC!F70+$D$81*'B&amp;A kWh'!G68)*(1+F$93))/(1+F$85+F$89+F$93)</f>
        <v>1090773.2111820211</v>
      </c>
      <c r="G68" s="108">
        <f>('B&amp;A+DSM $'!G68-(FAC!G70+$D$81*'B&amp;A kWh'!H68)*(1+G$93))/(1+G$85+G$89+G$93)</f>
        <v>1394560.582011479</v>
      </c>
      <c r="H68" s="108">
        <f>('B&amp;A+DSM $'!H68-(FAC!H70+$D$81*'B&amp;A kWh'!I68)*(1+H$93))/(1+H$85+H$89+H$93)</f>
        <v>1259533.1375040775</v>
      </c>
      <c r="I68" s="108">
        <f>('B&amp;A+DSM $'!I68-(FAC!I70+$D$81*'B&amp;A kWh'!J68)*(1+I$93))/(1+I$85+I$89+I$93)</f>
        <v>1318951.6775714955</v>
      </c>
      <c r="J68" s="108">
        <f>('B&amp;A+DSM $'!J68-(FAC!J70+$D$81*'B&amp;A kWh'!K68)*(1+J$93))/(1+J$85+J$89+J$93)</f>
        <v>1565365.6909770002</v>
      </c>
      <c r="K68" s="108">
        <f>('B&amp;A+DSM $'!K68-(FAC!K70+$D$81*'B&amp;A kWh'!L68)*(1+K$93))/(1+K$85+K$89+K$93)</f>
        <v>1478063.2731644723</v>
      </c>
      <c r="L68" s="108">
        <f>('B&amp;A+DSM $'!L68-(FAC!L70+$D$81*'B&amp;A kWh'!M68)*(1+L$93))/(1+L$85+L$89+L$93)</f>
        <v>1144369.6390324072</v>
      </c>
      <c r="M68" s="108">
        <f>('B&amp;A+DSM $'!M68-(FAC!M70+$D$81*'B&amp;A kWh'!N68)*(1+M$93))/(1+M$85+M$89+M$93)</f>
        <v>1204107.837578607</v>
      </c>
      <c r="N68" s="108">
        <f>('B&amp;A+DSM $'!N68-(FAC!N70+$D$81*'B&amp;A kWh'!O68)*(1+N$93))/(1+N$85+N$89+N$93)</f>
        <v>943037.83149539644</v>
      </c>
      <c r="O68" s="108">
        <f>('B&amp;A+DSM $'!O68-(FAC!O70+$D$81*'B&amp;A kWh'!P68)*(1+O$93))/(1+O$85+O$89+O$93)</f>
        <v>1826724.3775507598</v>
      </c>
      <c r="Q68" s="46" t="s">
        <v>124</v>
      </c>
      <c r="R68" s="46">
        <v>68</v>
      </c>
      <c r="S68" s="46">
        <v>70</v>
      </c>
      <c r="T68" s="46">
        <v>68</v>
      </c>
    </row>
    <row r="69" spans="1:20" x14ac:dyDescent="0.25">
      <c r="A69" s="102"/>
      <c r="D69" s="108"/>
      <c r="E69" s="108"/>
      <c r="R69" s="46">
        <v>69</v>
      </c>
      <c r="S69" s="46">
        <v>71</v>
      </c>
      <c r="T69" s="46">
        <v>69</v>
      </c>
    </row>
    <row r="70" spans="1:20" x14ac:dyDescent="0.25">
      <c r="A70" s="102" t="s">
        <v>125</v>
      </c>
      <c r="B70" s="108">
        <f>('B&amp;A $'!C70+DSM!B72-(FAC!B78+$D$81*'B&amp;A kWh'!C76)*(1+B$93))/(1+B$85+B$89+B$93)</f>
        <v>0</v>
      </c>
      <c r="C70" s="108">
        <f>('B&amp;A $'!D70+DSM!C72-(FAC!C78+$D$81*'B&amp;A kWh'!D76)*(1+C$93))/(1+C$85+C$89+C$93)</f>
        <v>0</v>
      </c>
      <c r="D70" s="108">
        <f>('B&amp;A+DSM $'!D70-(FAC!D72+$D$81*'B&amp;A kWh'!E70)*(1+D$93))/(1+D$85+D$89+D$93)</f>
        <v>3327720.5861856756</v>
      </c>
      <c r="E70" s="108">
        <f>('B&amp;A+DSM $'!E70-(FAC!E72+$D$81*'B&amp;A kWh'!F70)*(1+E$93))/(1+E$85+E$89+E$93)</f>
        <v>3354185.3301706365</v>
      </c>
      <c r="F70" s="108">
        <f>('B&amp;A+DSM $'!F70-(FAC!F72+$D$81*'B&amp;A kWh'!G70)*(1+F$93))/(1+F$85+F$89+F$93)</f>
        <v>4150824.940192441</v>
      </c>
      <c r="G70" s="108">
        <f>('B&amp;A+DSM $'!G70-(FAC!G72+$D$81*'B&amp;A kWh'!H70)*(1+G$93))/(1+G$85+G$89+G$93)</f>
        <v>3285919.4521606769</v>
      </c>
      <c r="H70" s="108">
        <f>('B&amp;A+DSM $'!H70-(FAC!H72+$D$81*'B&amp;A kWh'!I70)*(1+H$93))/(1+H$85+H$89+H$93)</f>
        <v>2713137.6283366852</v>
      </c>
      <c r="I70" s="108">
        <f>('B&amp;A+DSM $'!I70-(FAC!I72+$D$81*'B&amp;A kWh'!J70)*(1+I$93))/(1+I$85+I$89+I$93)</f>
        <v>5187332.6940240404</v>
      </c>
      <c r="J70" s="108">
        <f>('B&amp;A+DSM $'!J70-(FAC!J72+$D$81*'B&amp;A kWh'!K70)*(1+J$93))/(1+J$85+J$89+J$93)</f>
        <v>1465060.0789766822</v>
      </c>
      <c r="K70" s="108">
        <f>('B&amp;A+DSM $'!K70-(FAC!K72+$D$81*'B&amp;A kWh'!L70)*(1+K$93))/(1+K$85+K$89+K$93)</f>
        <v>3369077.8277562386</v>
      </c>
      <c r="L70" s="108">
        <f>('B&amp;A+DSM $'!L70-(FAC!L72+$D$81*'B&amp;A kWh'!M70)*(1+L$93))/(1+L$85+L$89+L$93)</f>
        <v>4415308.7679876424</v>
      </c>
      <c r="M70" s="108">
        <f>('B&amp;A+DSM $'!M70-(FAC!M72+$D$81*'B&amp;A kWh'!N70)*(1+M$93))/(1+M$85+M$89+M$93)</f>
        <v>2635980.4451260543</v>
      </c>
      <c r="N70" s="108">
        <f>('B&amp;A+DSM $'!N70-(FAC!N72+$D$81*'B&amp;A kWh'!O70)*(1+N$93))/(1+N$85+N$89+N$93)</f>
        <v>2674655.3998001451</v>
      </c>
      <c r="O70" s="108">
        <f>('B&amp;A+DSM $'!O70-(FAC!O72+$D$81*'B&amp;A kWh'!P70)*(1+O$93))/(1+O$85+O$89+O$93)</f>
        <v>3171624.9091300336</v>
      </c>
      <c r="Q70" s="46" t="s">
        <v>125</v>
      </c>
      <c r="R70" s="46">
        <v>70</v>
      </c>
      <c r="S70" s="46">
        <v>72</v>
      </c>
      <c r="T70" s="46">
        <v>70</v>
      </c>
    </row>
    <row r="71" spans="1:20" x14ac:dyDescent="0.25">
      <c r="A71" s="102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R71" s="46">
        <v>71</v>
      </c>
      <c r="S71" s="46">
        <v>73</v>
      </c>
      <c r="T71" s="46">
        <v>71</v>
      </c>
    </row>
    <row r="72" spans="1:20" x14ac:dyDescent="0.25">
      <c r="A72" s="102" t="s">
        <v>126</v>
      </c>
      <c r="B72" s="108"/>
      <c r="C72" s="108"/>
      <c r="D72" s="108">
        <f>('B&amp;A+DSM $'!D72-(FAC!D74+$D$81*'B&amp;A kWh'!E72)*(1+D$93))/(1+D$85+D$89+D$93)</f>
        <v>533075.46113464679</v>
      </c>
      <c r="E72" s="108">
        <f>('B&amp;A+DSM $'!E72-(FAC!E74+$D$81*'B&amp;A kWh'!F72)*(1+E$93))/(1+E$85+E$89+E$93)</f>
        <v>663527.78928933037</v>
      </c>
      <c r="F72" s="108">
        <f>('B&amp;A+DSM $'!F72-(FAC!F74+$D$81*'B&amp;A kWh'!G72)*(1+F$93))/(1+F$85+F$89+F$93)</f>
        <v>632151.06483853783</v>
      </c>
      <c r="G72" s="108">
        <f>('B&amp;A+DSM $'!G72-(FAC!G74+$D$81*'B&amp;A kWh'!H72)*(1+G$93))/(1+G$85+G$89+G$93)</f>
        <v>578098.26176278142</v>
      </c>
      <c r="H72" s="108">
        <f>('B&amp;A+DSM $'!H72-(FAC!H74+$D$81*'B&amp;A kWh'!I72)*(1+H$93))/(1+H$85+H$89+H$93)</f>
        <v>391603.49546727212</v>
      </c>
      <c r="I72" s="108">
        <f>('B&amp;A+DSM $'!I72-(FAC!I74+$D$81*'B&amp;A kWh'!J72)*(1+I$93))/(1+I$85+I$89+I$93)</f>
        <v>406697.17129740835</v>
      </c>
      <c r="J72" s="108">
        <f>('B&amp;A+DSM $'!J72-(FAC!J74+$D$81*'B&amp;A kWh'!K72)*(1+J$93))/(1+J$85+J$89+J$93)</f>
        <v>888931.20965377858</v>
      </c>
      <c r="K72" s="108">
        <f>('B&amp;A+DSM $'!K72-(FAC!K74+$D$81*'B&amp;A kWh'!L72)*(1+K$93))/(1+K$85+K$89+K$93)</f>
        <v>745396.39439824165</v>
      </c>
      <c r="L72" s="108">
        <f>('B&amp;A+DSM $'!L72-(FAC!L74+$D$81*'B&amp;A kWh'!M72)*(1+L$93))/(1+L$85+L$89+L$93)</f>
        <v>340028.8953769381</v>
      </c>
      <c r="M72" s="108">
        <f>('B&amp;A+DSM $'!M72-(FAC!M74+$D$81*'B&amp;A kWh'!N72)*(1+M$93))/(1+M$85+M$89+M$93)</f>
        <v>291015.45391334256</v>
      </c>
      <c r="N72" s="108">
        <f>('B&amp;A+DSM $'!N72-(FAC!N74+$D$81*'B&amp;A kWh'!O72)*(1+N$93))/(1+N$85+N$89+N$93)</f>
        <v>-163764.6063875563</v>
      </c>
      <c r="O72" s="108">
        <f>('B&amp;A+DSM $'!O72-(FAC!O74+$D$81*'B&amp;A kWh'!P72)*(1+O$93))/(1+O$85+O$89+O$93)</f>
        <v>1186123.6668940086</v>
      </c>
      <c r="Q72" s="46" t="s">
        <v>126</v>
      </c>
      <c r="R72" s="46">
        <v>72</v>
      </c>
      <c r="S72" s="46">
        <v>74</v>
      </c>
      <c r="T72" s="46">
        <v>72</v>
      </c>
    </row>
    <row r="73" spans="1:20" x14ac:dyDescent="0.25">
      <c r="A73" s="102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R73" s="46">
        <v>73</v>
      </c>
      <c r="S73" s="46">
        <v>75</v>
      </c>
      <c r="T73" s="46">
        <v>73</v>
      </c>
    </row>
    <row r="74" spans="1:20" x14ac:dyDescent="0.25">
      <c r="A74" s="102" t="s">
        <v>2</v>
      </c>
      <c r="B74" s="108"/>
      <c r="C74" s="108"/>
      <c r="D74" s="108">
        <f>('B&amp;A+DSM $'!D74-(FAC!D76+$D$81*'B&amp;A kWh'!E74)*(1+D$93))/(1+D$85+D$89+D$93)</f>
        <v>107072.92426955284</v>
      </c>
      <c r="E74" s="108">
        <f>('B&amp;A+DSM $'!E74-(FAC!E76+$D$81*'B&amp;A kWh'!F74)*(1+E$93))/(1+E$85+E$89+E$93)</f>
        <v>107348.67637037345</v>
      </c>
      <c r="F74" s="108">
        <f>('B&amp;A+DSM $'!F74-(FAC!F76+$D$81*'B&amp;A kWh'!G74)*(1+F$93))/(1+F$85+F$89+F$93)</f>
        <v>107614.71229742811</v>
      </c>
      <c r="G74" s="108">
        <f>('B&amp;A+DSM $'!G74-(FAC!G76+$D$81*'B&amp;A kWh'!H74)*(1+G$93))/(1+G$85+G$89+G$93)</f>
        <v>109147.26476979563</v>
      </c>
      <c r="H74" s="108">
        <f>('B&amp;A+DSM $'!H74-(FAC!H76+$D$81*'B&amp;A kWh'!I74)*(1+H$93))/(1+H$85+H$89+H$93)</f>
        <v>106273.120888605</v>
      </c>
      <c r="I74" s="108">
        <f>('B&amp;A+DSM $'!I74-(FAC!I76+$D$81*'B&amp;A kWh'!J74)*(1+I$93))/(1+I$85+I$89+I$93)</f>
        <v>105601.88305522104</v>
      </c>
      <c r="J74" s="108">
        <f>('B&amp;A+DSM $'!J74-(FAC!J76+$D$81*'B&amp;A kWh'!K74)*(1+J$93))/(1+J$85+J$89+J$93)</f>
        <v>104765.96929221028</v>
      </c>
      <c r="K74" s="108">
        <f>('B&amp;A+DSM $'!K74-(FAC!K76+$D$81*'B&amp;A kWh'!L74)*(1+K$93))/(1+K$85+K$89+K$93)</f>
        <v>108909.1541420126</v>
      </c>
      <c r="L74" s="108">
        <f>('B&amp;A+DSM $'!L74-(FAC!L76+$D$81*'B&amp;A kWh'!M74)*(1+L$93))/(1+L$85+L$89+L$93)</f>
        <v>105358.92840915969</v>
      </c>
      <c r="M74" s="108">
        <f>('B&amp;A+DSM $'!M74-(FAC!M76+$D$81*'B&amp;A kWh'!N74)*(1+M$93))/(1+M$85+M$89+M$93)</f>
        <v>103395.83578795787</v>
      </c>
      <c r="N74" s="108">
        <f>('B&amp;A+DSM $'!N74-(FAC!N76+$D$81*'B&amp;A kWh'!O74)*(1+N$93))/(1+N$85+N$89+N$93)</f>
        <v>105253.80298218725</v>
      </c>
      <c r="O74" s="108">
        <f>('B&amp;A+DSM $'!O74-(FAC!O76+$D$81*'B&amp;A kWh'!P74)*(1+O$93))/(1+O$85+O$89+O$93)</f>
        <v>105987.63570316175</v>
      </c>
      <c r="Q74" s="46" t="s">
        <v>2</v>
      </c>
      <c r="R74" s="46">
        <v>74</v>
      </c>
      <c r="S74" s="46">
        <v>76</v>
      </c>
      <c r="T74" s="46">
        <v>74</v>
      </c>
    </row>
    <row r="75" spans="1:20" x14ac:dyDescent="0.25">
      <c r="A75" s="102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R75" s="46">
        <v>75</v>
      </c>
      <c r="S75" s="46">
        <v>77</v>
      </c>
      <c r="T75" s="46">
        <v>75</v>
      </c>
    </row>
    <row r="76" spans="1:20" x14ac:dyDescent="0.25">
      <c r="A76" s="102" t="s">
        <v>1</v>
      </c>
      <c r="B76" s="108"/>
      <c r="C76" s="108"/>
      <c r="D76" s="108">
        <f>('B&amp;A+DSM $'!D76-(FAC!D78+$D$81*'B&amp;A kWh'!E76)*(1+D$93))/(1+D$85+D$89+D$93)</f>
        <v>11026.465433724654</v>
      </c>
      <c r="E76" s="108">
        <f>('B&amp;A+DSM $'!E76-(FAC!E78+$D$81*'B&amp;A kWh'!F76)*(1+E$93))/(1+E$85+E$89+E$93)</f>
        <v>13674.306468133906</v>
      </c>
      <c r="F76" s="108">
        <f>('B&amp;A+DSM $'!F76-(FAC!F78+$D$81*'B&amp;A kWh'!G76)*(1+F$93))/(1+F$85+F$89+F$93)</f>
        <v>13905.855706174336</v>
      </c>
      <c r="G76" s="108">
        <f>('B&amp;A+DSM $'!G76-(FAC!G78+$D$81*'B&amp;A kWh'!H76)*(1+G$93))/(1+G$85+G$89+G$93)</f>
        <v>11484.519538811499</v>
      </c>
      <c r="H76" s="108">
        <f>('B&amp;A+DSM $'!H76-(FAC!H78+$D$81*'B&amp;A kWh'!I76)*(1+H$93))/(1+H$85+H$89+H$93)</f>
        <v>9907.5033298901835</v>
      </c>
      <c r="I76" s="108">
        <f>('B&amp;A+DSM $'!I76-(FAC!I78+$D$81*'B&amp;A kWh'!J76)*(1+I$93))/(1+I$85+I$89+I$93)</f>
        <v>11608.60346111143</v>
      </c>
      <c r="J76" s="108">
        <f>('B&amp;A+DSM $'!J76-(FAC!J78+$D$81*'B&amp;A kWh'!K76)*(1+J$93))/(1+J$85+J$89+J$93)</f>
        <v>14981.016523025666</v>
      </c>
      <c r="K76" s="108">
        <f>('B&amp;A+DSM $'!K76-(FAC!K78+$D$81*'B&amp;A kWh'!L76)*(1+K$93))/(1+K$85+K$89+K$93)</f>
        <v>11873.31573027298</v>
      </c>
      <c r="L76" s="108">
        <f>('B&amp;A+DSM $'!L76-(FAC!L78+$D$81*'B&amp;A kWh'!M76)*(1+L$93))/(1+L$85+L$89+L$93)</f>
        <v>10834.696227166211</v>
      </c>
      <c r="M76" s="108">
        <f>('B&amp;A+DSM $'!M76-(FAC!M78+$D$81*'B&amp;A kWh'!N76)*(1+M$93))/(1+M$85+M$89+M$93)</f>
        <v>9537.8351700818657</v>
      </c>
      <c r="N76" s="108">
        <f>('B&amp;A+DSM $'!N76-(FAC!N78+$D$81*'B&amp;A kWh'!O76)*(1+N$93))/(1+N$85+N$89+N$93)</f>
        <v>4189.7053729867757</v>
      </c>
      <c r="O76" s="108">
        <f>('B&amp;A+DSM $'!O76-(FAC!O78+$D$81*'B&amp;A kWh'!P76)*(1+O$93))/(1+O$85+O$89+O$93)</f>
        <v>14332.594179799622</v>
      </c>
      <c r="Q76" s="46" t="s">
        <v>1</v>
      </c>
      <c r="R76" s="46">
        <v>76</v>
      </c>
      <c r="S76" s="46">
        <v>78</v>
      </c>
      <c r="T76" s="46">
        <v>76</v>
      </c>
    </row>
    <row r="77" spans="1:20" x14ac:dyDescent="0.25">
      <c r="A77" s="102"/>
      <c r="B77" s="108"/>
      <c r="C77" s="108"/>
      <c r="D77" s="108"/>
      <c r="E77" s="108"/>
      <c r="F77" s="108"/>
      <c r="G77" s="108"/>
      <c r="J77" s="108"/>
      <c r="K77" s="108"/>
      <c r="L77" s="108"/>
      <c r="M77" s="108"/>
      <c r="N77" s="108"/>
      <c r="O77" s="108"/>
      <c r="R77" s="46">
        <v>79</v>
      </c>
    </row>
    <row r="78" spans="1:20" x14ac:dyDescent="0.25">
      <c r="A78" s="109"/>
      <c r="D78" s="108"/>
    </row>
    <row r="79" spans="1:20" x14ac:dyDescent="0.25">
      <c r="A79" s="102" t="s">
        <v>0</v>
      </c>
      <c r="B79" s="110" t="e">
        <f>SUM(B10:B70)</f>
        <v>#REF!</v>
      </c>
      <c r="C79" s="110" t="e">
        <f t="shared" ref="C79" si="0">SUM(C10:C70)</f>
        <v>#REF!</v>
      </c>
      <c r="D79" s="110">
        <f t="shared" ref="D79:O79" si="1">SUM(D10:D70)-D18</f>
        <v>13992113.732694663</v>
      </c>
      <c r="E79" s="110">
        <f t="shared" si="1"/>
        <v>16113431.941504158</v>
      </c>
      <c r="F79" s="110">
        <f t="shared" si="1"/>
        <v>15517413.680532912</v>
      </c>
      <c r="G79" s="110">
        <f t="shared" si="1"/>
        <v>14693280.005864862</v>
      </c>
      <c r="H79" s="110">
        <f t="shared" si="1"/>
        <v>13596705.401251767</v>
      </c>
      <c r="I79" s="110">
        <f t="shared" si="1"/>
        <v>16314778.326163648</v>
      </c>
      <c r="J79" s="110">
        <f t="shared" si="1"/>
        <v>13783137.848695852</v>
      </c>
      <c r="K79" s="110">
        <f t="shared" si="1"/>
        <v>15188663.766243165</v>
      </c>
      <c r="L79" s="110">
        <f t="shared" si="1"/>
        <v>15403963.099828916</v>
      </c>
      <c r="M79" s="110">
        <f t="shared" si="1"/>
        <v>13199508.248474672</v>
      </c>
      <c r="N79" s="110">
        <f t="shared" si="1"/>
        <v>9738391.6194350738</v>
      </c>
      <c r="O79" s="110">
        <f t="shared" si="1"/>
        <v>16768602.087365009</v>
      </c>
    </row>
    <row r="80" spans="1:20" x14ac:dyDescent="0.25">
      <c r="D80" s="108"/>
    </row>
    <row r="81" spans="1:15" x14ac:dyDescent="0.25">
      <c r="A81" s="46" t="s">
        <v>154</v>
      </c>
      <c r="D81" s="64">
        <v>2.6120000000000001E-2</v>
      </c>
      <c r="E81" s="111" t="s">
        <v>155</v>
      </c>
      <c r="F81" s="108"/>
      <c r="G81" s="108"/>
      <c r="H81" s="108"/>
      <c r="I81" s="108"/>
      <c r="J81" s="108"/>
      <c r="K81" s="108"/>
      <c r="L81" s="108"/>
      <c r="M81" s="108"/>
      <c r="N81" s="108"/>
      <c r="O81" s="108"/>
    </row>
    <row r="82" spans="1:15" x14ac:dyDescent="0.25">
      <c r="D82" s="108"/>
    </row>
    <row r="83" spans="1:15" x14ac:dyDescent="0.25">
      <c r="A83" s="105" t="s">
        <v>156</v>
      </c>
      <c r="D83" s="108"/>
    </row>
    <row r="84" spans="1:15" x14ac:dyDescent="0.25">
      <c r="A84" s="102" t="s">
        <v>84</v>
      </c>
      <c r="B84" s="106">
        <f>Environmental!B9</f>
        <v>0</v>
      </c>
      <c r="C84" s="106">
        <f>Environmental!C9</f>
        <v>0</v>
      </c>
      <c r="D84" s="106">
        <f>Environmental!D9</f>
        <v>4.2641999999999999E-2</v>
      </c>
      <c r="E84" s="106">
        <f>Environmental!E9</f>
        <v>6.6160999999999998E-2</v>
      </c>
      <c r="F84" s="106">
        <f>Environmental!F9</f>
        <v>4.9723999999999997E-2</v>
      </c>
      <c r="G84" s="106">
        <f>Environmental!G9</f>
        <v>6.2431E-2</v>
      </c>
      <c r="H84" s="106">
        <f>Environmental!H9</f>
        <v>5.9358000000000001E-2</v>
      </c>
      <c r="I84" s="106">
        <f>Environmental!I9</f>
        <v>5.3728999999999999E-2</v>
      </c>
      <c r="J84" s="106">
        <f>Environmental!J9</f>
        <v>5.0094E-2</v>
      </c>
      <c r="K84" s="106">
        <f>Environmental!K9</f>
        <v>5.9121E-2</v>
      </c>
      <c r="L84" s="106">
        <f>Environmental!L9</f>
        <v>5.7579999999999999E-2</v>
      </c>
      <c r="M84" s="106">
        <f>Environmental!M9</f>
        <v>5.7446999999999998E-2</v>
      </c>
      <c r="N84" s="106">
        <f>Environmental!N9</f>
        <v>2.7417E-2</v>
      </c>
      <c r="O84" s="106">
        <f>Environmental!O9</f>
        <v>9.3179999999999999E-3</v>
      </c>
    </row>
    <row r="85" spans="1:15" x14ac:dyDescent="0.25">
      <c r="A85" s="102" t="s">
        <v>92</v>
      </c>
      <c r="B85" s="106">
        <f>Environmental!B10</f>
        <v>0</v>
      </c>
      <c r="C85" s="106">
        <f>Environmental!C10</f>
        <v>0</v>
      </c>
      <c r="D85" s="106">
        <f>Environmental!D10</f>
        <v>6.5272999999999998E-2</v>
      </c>
      <c r="E85" s="106">
        <f>Environmental!E10</f>
        <v>0.100643</v>
      </c>
      <c r="F85" s="106">
        <f>Environmental!F10</f>
        <v>7.5639999999999999E-2</v>
      </c>
      <c r="G85" s="106">
        <f>Environmental!G10</f>
        <v>9.6329999999999999E-2</v>
      </c>
      <c r="H85" s="106">
        <f>Environmental!H10</f>
        <v>9.3637999999999999E-2</v>
      </c>
      <c r="I85" s="106">
        <f>Environmental!I10</f>
        <v>8.6392999999999998E-2</v>
      </c>
      <c r="J85" s="106">
        <f>Environmental!J10</f>
        <v>8.0601999999999993E-2</v>
      </c>
      <c r="K85" s="106">
        <f>Environmental!K10</f>
        <v>9.5183000000000004E-2</v>
      </c>
      <c r="L85" s="106">
        <f>Environmental!L10</f>
        <v>9.3863000000000002E-2</v>
      </c>
      <c r="M85" s="106">
        <f>Environmental!M10</f>
        <v>9.5758999999999997E-2</v>
      </c>
      <c r="N85" s="106">
        <f>Environmental!N10</f>
        <v>4.5578E-2</v>
      </c>
      <c r="O85" s="106">
        <f>Environmental!O10</f>
        <v>1.7498E-2</v>
      </c>
    </row>
    <row r="87" spans="1:15" x14ac:dyDescent="0.25">
      <c r="A87" s="105" t="s">
        <v>265</v>
      </c>
    </row>
    <row r="88" spans="1:15" x14ac:dyDescent="0.25">
      <c r="A88" s="102" t="s">
        <v>84</v>
      </c>
      <c r="B88" s="106">
        <f>'Decommissioning rider'!B9</f>
        <v>0</v>
      </c>
      <c r="C88" s="106">
        <f>'Decommissioning rider'!C9</f>
        <v>0</v>
      </c>
      <c r="D88" s="106">
        <f>'Decommissioning rider'!D9</f>
        <v>5.6344999999999999E-2</v>
      </c>
      <c r="E88" s="106">
        <f>'Decommissioning rider'!E9</f>
        <v>5.6344999999999999E-2</v>
      </c>
      <c r="F88" s="106">
        <f>'Decommissioning rider'!F9</f>
        <v>5.6344999999999999E-2</v>
      </c>
      <c r="G88" s="106">
        <f>'Decommissioning rider'!G9</f>
        <v>5.6344999999999999E-2</v>
      </c>
      <c r="H88" s="106">
        <f>'Decommissioning rider'!H9</f>
        <v>5.6344999999999999E-2</v>
      </c>
      <c r="I88" s="106">
        <f>'Decommissioning rider'!I9</f>
        <v>5.6344999999999999E-2</v>
      </c>
      <c r="J88" s="106">
        <f>'Decommissioning rider'!J9</f>
        <v>4.6917E-2</v>
      </c>
      <c r="K88" s="106">
        <f>'Decommissioning rider'!K9</f>
        <v>4.6917E-2</v>
      </c>
      <c r="L88" s="106">
        <f>'Decommissioning rider'!L9</f>
        <v>4.6917E-2</v>
      </c>
      <c r="M88" s="106">
        <f>'Decommissioning rider'!M9</f>
        <v>4.6917E-2</v>
      </c>
      <c r="N88" s="106">
        <f>'Decommissioning rider'!N9</f>
        <v>4.6917E-2</v>
      </c>
      <c r="O88" s="106">
        <f>'Decommissioning rider'!O9</f>
        <v>4.6917E-2</v>
      </c>
    </row>
    <row r="89" spans="1:15" x14ac:dyDescent="0.25">
      <c r="A89" s="102" t="s">
        <v>92</v>
      </c>
      <c r="B89" s="106">
        <f>'Decommissioning rider'!B10</f>
        <v>0</v>
      </c>
      <c r="C89" s="106">
        <f>'Decommissioning rider'!C10</f>
        <v>0</v>
      </c>
      <c r="D89" s="106">
        <f>'Decommissioning rider'!D10</f>
        <v>8.3578E-2</v>
      </c>
      <c r="E89" s="106">
        <f>'Decommissioning rider'!E10</f>
        <v>8.3578E-2</v>
      </c>
      <c r="F89" s="106">
        <f>'Decommissioning rider'!F10</f>
        <v>8.3578E-2</v>
      </c>
      <c r="G89" s="106">
        <f>'Decommissioning rider'!G10</f>
        <v>8.3578E-2</v>
      </c>
      <c r="H89" s="106">
        <f>'Decommissioning rider'!H10</f>
        <v>8.3578E-2</v>
      </c>
      <c r="I89" s="106">
        <f>'Decommissioning rider'!I10</f>
        <v>8.3578E-2</v>
      </c>
      <c r="J89" s="106">
        <f>'Decommissioning rider'!J10</f>
        <v>7.9233999999999999E-2</v>
      </c>
      <c r="K89" s="106">
        <f>'Decommissioning rider'!K10</f>
        <v>7.9233999999999999E-2</v>
      </c>
      <c r="L89" s="106">
        <f>'Decommissioning rider'!L10</f>
        <v>7.9233999999999999E-2</v>
      </c>
      <c r="M89" s="106">
        <f>'Decommissioning rider'!M10</f>
        <v>7.9233999999999999E-2</v>
      </c>
      <c r="N89" s="106">
        <f>'Decommissioning rider'!N10</f>
        <v>7.9233999999999999E-2</v>
      </c>
      <c r="O89" s="106">
        <f>'Decommissioning rider'!O10</f>
        <v>7.9233999999999999E-2</v>
      </c>
    </row>
    <row r="91" spans="1:15" x14ac:dyDescent="0.25">
      <c r="A91" s="105"/>
    </row>
    <row r="92" spans="1:15" x14ac:dyDescent="0.25">
      <c r="A92" s="102"/>
      <c r="B92" s="106">
        <f>PPA!B9</f>
        <v>0</v>
      </c>
      <c r="C92" s="106">
        <f>PPA!C9</f>
        <v>0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x14ac:dyDescent="0.25">
      <c r="A93" s="102"/>
      <c r="B93" s="106">
        <f>PPA!B20</f>
        <v>0</v>
      </c>
      <c r="C93" s="106">
        <f>PPA!C20</f>
        <v>0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</sheetData>
  <pageMargins left="0.7" right="0.7" top="0.75" bottom="0.75" header="0.3" footer="0.3"/>
  <pageSetup scale="45" orientation="portrait" r:id="rId1"/>
  <headerFooter>
    <oddFooter>&amp;L&amp;F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81"/>
  <sheetViews>
    <sheetView zoomScale="90" zoomScaleNormal="90" workbookViewId="0">
      <pane xSplit="1" ySplit="9" topLeftCell="D10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A25" sqref="A1:XFD1048576"/>
    </sheetView>
  </sheetViews>
  <sheetFormatPr defaultColWidth="9.140625" defaultRowHeight="15.75" outlineLevelCol="1" x14ac:dyDescent="0.25"/>
  <cols>
    <col min="1" max="1" width="36.5703125" style="26" bestFit="1" customWidth="1"/>
    <col min="2" max="3" width="17.28515625" style="26" hidden="1" customWidth="1" outlineLevel="1"/>
    <col min="4" max="4" width="17.28515625" style="26" customWidth="1" outlineLevel="1"/>
    <col min="5" max="5" width="12.7109375" style="26" customWidth="1" outlineLevel="1"/>
    <col min="6" max="7" width="13.5703125" style="26" customWidth="1" outlineLevel="1"/>
    <col min="8" max="15" width="12.7109375" style="26" customWidth="1" outlineLevel="1"/>
    <col min="16" max="16" width="14.28515625" style="26" customWidth="1"/>
    <col min="17" max="17" width="9.140625" style="26"/>
    <col min="18" max="18" width="20" style="26" customWidth="1"/>
    <col min="19" max="16384" width="9.140625" style="26"/>
  </cols>
  <sheetData>
    <row r="1" spans="1:20" x14ac:dyDescent="0.25">
      <c r="A1" s="26" t="s">
        <v>70</v>
      </c>
      <c r="D1" s="150"/>
    </row>
    <row r="2" spans="1:20" x14ac:dyDescent="0.25">
      <c r="A2" s="26" t="s">
        <v>71</v>
      </c>
    </row>
    <row r="3" spans="1:20" x14ac:dyDescent="0.25">
      <c r="A3" s="26" t="str">
        <f>'B&amp;A kWh'!B3</f>
        <v>TEST YEAR ENDED March 31, 2023</v>
      </c>
    </row>
    <row r="4" spans="1:20" x14ac:dyDescent="0.25">
      <c r="A4" s="26" t="s">
        <v>81</v>
      </c>
    </row>
    <row r="5" spans="1:20" x14ac:dyDescent="0.25">
      <c r="A5" s="26" t="s">
        <v>83</v>
      </c>
    </row>
    <row r="6" spans="1:20" x14ac:dyDescent="0.25">
      <c r="A6" s="26" t="s">
        <v>131</v>
      </c>
    </row>
    <row r="7" spans="1:20" x14ac:dyDescent="0.25">
      <c r="D7" s="26">
        <v>2022</v>
      </c>
      <c r="O7" s="26">
        <v>2023</v>
      </c>
      <c r="P7" s="32" t="s">
        <v>292</v>
      </c>
    </row>
    <row r="8" spans="1:20" x14ac:dyDescent="0.25">
      <c r="A8" s="7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20" x14ac:dyDescent="0.25">
      <c r="A9" s="75"/>
      <c r="B9" s="167"/>
      <c r="C9" s="167"/>
      <c r="D9" s="60">
        <v>1E-4</v>
      </c>
      <c r="E9" s="60">
        <v>1E-4</v>
      </c>
      <c r="F9" s="60">
        <v>1E-4</v>
      </c>
      <c r="G9" s="60">
        <v>1E-4</v>
      </c>
      <c r="H9" s="60">
        <v>1E-4</v>
      </c>
      <c r="I9" s="60">
        <v>1E-4</v>
      </c>
      <c r="J9" s="60">
        <v>-6.6E-4</v>
      </c>
      <c r="K9" s="60">
        <v>-6.6E-4</v>
      </c>
      <c r="L9" s="60">
        <v>-6.6E-4</v>
      </c>
      <c r="M9" s="60">
        <v>-6.6E-4</v>
      </c>
      <c r="N9" s="60">
        <v>-6.6E-4</v>
      </c>
      <c r="O9" s="60">
        <v>-6.6E-4</v>
      </c>
    </row>
    <row r="11" spans="1:20" x14ac:dyDescent="0.25">
      <c r="S11" s="26" t="s">
        <v>269</v>
      </c>
      <c r="T11" s="26" t="s">
        <v>268</v>
      </c>
    </row>
    <row r="12" spans="1:20" x14ac:dyDescent="0.25">
      <c r="A12" s="24" t="s">
        <v>21</v>
      </c>
      <c r="B12" s="13">
        <f>ROUND(B$9*'B&amp;A kWh'!C10,2)</f>
        <v>0</v>
      </c>
      <c r="C12" s="13">
        <f>ROUND(C$9*'B&amp;A kWh'!D10,2)</f>
        <v>0</v>
      </c>
      <c r="D12" s="13">
        <f>ROUND(D$9*'B&amp;A kWh'!E10,2)</f>
        <v>12557.91</v>
      </c>
      <c r="E12" s="13">
        <f>ROUND(E$9*'B&amp;A kWh'!F10,2)</f>
        <v>11366.16</v>
      </c>
      <c r="F12" s="13">
        <f>ROUND(F$9*'B&amp;A kWh'!G10,2)</f>
        <v>14276.64</v>
      </c>
      <c r="G12" s="13">
        <f>ROUND(G$9*'B&amp;A kWh'!H10,2)</f>
        <v>16464.689999999999</v>
      </c>
      <c r="H12" s="13">
        <f>ROUND(H$9*'B&amp;A kWh'!I10,2)</f>
        <v>16147.53</v>
      </c>
      <c r="I12" s="13">
        <f>ROUND(I$9*'B&amp;A kWh'!J10,2)</f>
        <v>12053.32</v>
      </c>
      <c r="J12" s="13">
        <f>ROUND(J$9*'B&amp;A kWh'!K10,2)</f>
        <v>-75940.22</v>
      </c>
      <c r="K12" s="13">
        <f>ROUND(K$9*'B&amp;A kWh'!L10,2)</f>
        <v>-96638.9</v>
      </c>
      <c r="L12" s="13">
        <f>ROUND(L$9*'B&amp;A kWh'!M10,2)</f>
        <v>-146343.09</v>
      </c>
      <c r="M12" s="13">
        <f>ROUND(M$9*'B&amp;A kWh'!N10,2)</f>
        <v>-141581.01</v>
      </c>
      <c r="N12" s="13">
        <f>ROUND(N$9*'B&amp;A kWh'!O10,2)</f>
        <v>-105990.5</v>
      </c>
      <c r="O12" s="13">
        <f>ROUND(O$9*'B&amp;A kWh'!P10,2)</f>
        <v>-100568.45</v>
      </c>
      <c r="P12" s="13">
        <f>SUM(D12:O12)</f>
        <v>-584195.91999999993</v>
      </c>
      <c r="R12" s="24"/>
      <c r="S12" s="32" t="s">
        <v>21</v>
      </c>
      <c r="T12" s="26">
        <v>10</v>
      </c>
    </row>
    <row r="13" spans="1:20" x14ac:dyDescent="0.25">
      <c r="A13" s="24"/>
      <c r="R13" s="24"/>
      <c r="S13" s="32"/>
      <c r="T13" s="26">
        <v>11</v>
      </c>
    </row>
    <row r="14" spans="1:20" x14ac:dyDescent="0.25">
      <c r="A14" s="24" t="s">
        <v>20</v>
      </c>
      <c r="B14" s="13">
        <f>ROUND(B$9*'B&amp;A kWh'!C12,2)</f>
        <v>0</v>
      </c>
      <c r="C14" s="13">
        <f>ROUND(C$9*'B&amp;A kWh'!D12,2)</f>
        <v>0</v>
      </c>
      <c r="D14" s="13">
        <f>ROUND(D$9*'B&amp;A kWh'!E12,2)</f>
        <v>17.66</v>
      </c>
      <c r="E14" s="13">
        <f>ROUND(E$9*'B&amp;A kWh'!F12,2)</f>
        <v>15.92</v>
      </c>
      <c r="F14" s="13">
        <f>ROUND(F$9*'B&amp;A kWh'!G12,2)</f>
        <v>20.05</v>
      </c>
      <c r="G14" s="13">
        <f>ROUND(G$9*'B&amp;A kWh'!H12,2)</f>
        <v>24.19</v>
      </c>
      <c r="H14" s="13">
        <f>ROUND(H$9*'B&amp;A kWh'!I12,2)</f>
        <v>22.99</v>
      </c>
      <c r="I14" s="13">
        <f>ROUND(I$9*'B&amp;A kWh'!J12,2)</f>
        <v>18.91</v>
      </c>
      <c r="J14" s="13">
        <f>ROUND(J$9*'B&amp;A kWh'!K12,2)</f>
        <v>-106.02</v>
      </c>
      <c r="K14" s="13">
        <f>ROUND(K$9*'B&amp;A kWh'!L12,2)</f>
        <v>-132.03</v>
      </c>
      <c r="L14" s="13">
        <f>ROUND(L$9*'B&amp;A kWh'!M12,2)</f>
        <v>-238.62</v>
      </c>
      <c r="M14" s="13">
        <f>ROUND(M$9*'B&amp;A kWh'!N12,2)</f>
        <v>-250.91</v>
      </c>
      <c r="N14" s="13">
        <f>ROUND(N$9*'B&amp;A kWh'!O12,2)</f>
        <v>-159.57</v>
      </c>
      <c r="O14" s="13">
        <f>ROUND(O$9*'B&amp;A kWh'!P12,2)</f>
        <v>-140.51</v>
      </c>
      <c r="P14" s="13">
        <f t="shared" ref="P14" si="0">SUM(D14:O14)</f>
        <v>-907.94</v>
      </c>
      <c r="R14" s="24"/>
      <c r="S14" s="32" t="s">
        <v>20</v>
      </c>
      <c r="T14" s="26">
        <v>12</v>
      </c>
    </row>
    <row r="15" spans="1:20" x14ac:dyDescent="0.25">
      <c r="A15" s="24"/>
      <c r="R15" s="24"/>
      <c r="S15" s="32"/>
      <c r="T15" s="26">
        <v>13</v>
      </c>
    </row>
    <row r="16" spans="1:20" x14ac:dyDescent="0.25">
      <c r="A16" s="24" t="s">
        <v>19</v>
      </c>
      <c r="B16" s="13">
        <f>ROUND(B$9*'B&amp;A kWh'!C14,2)</f>
        <v>0</v>
      </c>
      <c r="C16" s="13">
        <f>ROUND(C$9*'B&amp;A kWh'!D14,2)</f>
        <v>0</v>
      </c>
      <c r="D16" s="13">
        <f>ROUND(D$9*'B&amp;A kWh'!E14,2)</f>
        <v>0.53</v>
      </c>
      <c r="E16" s="13">
        <f>ROUND(E$9*'B&amp;A kWh'!F14,2)</f>
        <v>0.47</v>
      </c>
      <c r="F16" s="13">
        <f>ROUND(F$9*'B&amp;A kWh'!G14,2)</f>
        <v>0.66</v>
      </c>
      <c r="G16" s="13">
        <f>ROUND(G$9*'B&amp;A kWh'!H14,2)</f>
        <v>0.77</v>
      </c>
      <c r="H16" s="13">
        <f>ROUND(H$9*'B&amp;A kWh'!I14,2)</f>
        <v>0.92</v>
      </c>
      <c r="I16" s="13">
        <f>ROUND(I$9*'B&amp;A kWh'!J14,2)</f>
        <v>0.79</v>
      </c>
      <c r="J16" s="13">
        <f>ROUND(J$9*'B&amp;A kWh'!K14,2)</f>
        <v>-5.01</v>
      </c>
      <c r="K16" s="13">
        <f>ROUND(K$9*'B&amp;A kWh'!L14,2)</f>
        <v>-2.94</v>
      </c>
      <c r="L16" s="13">
        <f>ROUND(L$9*'B&amp;A kWh'!M14,2)</f>
        <v>-11</v>
      </c>
      <c r="M16" s="13">
        <f>ROUND(M$9*'B&amp;A kWh'!N14,2)</f>
        <v>-11.73</v>
      </c>
      <c r="N16" s="13">
        <f>ROUND(N$9*'B&amp;A kWh'!O14,2)</f>
        <v>-8.01</v>
      </c>
      <c r="O16" s="13">
        <f>ROUND(O$9*'B&amp;A kWh'!P14,2)</f>
        <v>-6.63</v>
      </c>
      <c r="P16" s="13">
        <f t="shared" ref="P16" si="1">SUM(D16:O16)</f>
        <v>-41.18</v>
      </c>
      <c r="R16" s="24"/>
      <c r="S16" s="32" t="s">
        <v>19</v>
      </c>
      <c r="T16" s="26">
        <v>14</v>
      </c>
    </row>
    <row r="17" spans="1:20" x14ac:dyDescent="0.25">
      <c r="A17" s="24"/>
      <c r="R17" s="24"/>
      <c r="S17" s="32"/>
      <c r="T17" s="26">
        <v>15</v>
      </c>
    </row>
    <row r="18" spans="1:20" x14ac:dyDescent="0.25">
      <c r="A18" s="43" t="s">
        <v>172</v>
      </c>
      <c r="D18" s="13">
        <f>ROUND(D$9*'B&amp;A kWh'!E16,2)</f>
        <v>0</v>
      </c>
      <c r="E18" s="13">
        <f>ROUND(E$9*'B&amp;A kWh'!F16,2)</f>
        <v>0</v>
      </c>
      <c r="F18" s="13">
        <f>ROUND(F$9*'B&amp;A kWh'!G16,2)</f>
        <v>0</v>
      </c>
      <c r="G18" s="13">
        <f>ROUND(G$9*'B&amp;A kWh'!H16,2)</f>
        <v>0</v>
      </c>
      <c r="H18" s="13">
        <f>ROUND(H$9*'B&amp;A kWh'!I16,2)</f>
        <v>0</v>
      </c>
      <c r="I18" s="13">
        <f>ROUND(I$9*'B&amp;A kWh'!J16,2)</f>
        <v>0</v>
      </c>
      <c r="J18" s="13">
        <f>ROUND(J$9*'B&amp;A kWh'!K16,2)</f>
        <v>0</v>
      </c>
      <c r="K18" s="13">
        <f>ROUND(K$9*'B&amp;A kWh'!L16,2)</f>
        <v>0</v>
      </c>
      <c r="L18" s="13">
        <f>ROUND(L$9*'B&amp;A kWh'!M16,2)</f>
        <v>0</v>
      </c>
      <c r="M18" s="13">
        <f>ROUND(M$9*'B&amp;A kWh'!N16,2)</f>
        <v>0</v>
      </c>
      <c r="N18" s="13">
        <f>ROUND(N$9*'B&amp;A kWh'!O16,2)</f>
        <v>0</v>
      </c>
      <c r="O18" s="13">
        <f>ROUND(O$9*'B&amp;A kWh'!P16,2)</f>
        <v>0</v>
      </c>
      <c r="P18" s="13">
        <f t="shared" ref="P18:P20" si="2">SUM(D18:O18)</f>
        <v>0</v>
      </c>
      <c r="R18" s="43"/>
      <c r="S18" s="32" t="s">
        <v>172</v>
      </c>
      <c r="T18" s="26">
        <v>16</v>
      </c>
    </row>
    <row r="19" spans="1:20" x14ac:dyDescent="0.25">
      <c r="A19" s="43" t="s">
        <v>174</v>
      </c>
      <c r="D19" s="13">
        <f>D20-D18</f>
        <v>270.87</v>
      </c>
      <c r="E19" s="13">
        <f t="shared" ref="E19:O19" si="3">E20-E18</f>
        <v>274.38</v>
      </c>
      <c r="F19" s="13">
        <f t="shared" si="3"/>
        <v>225.38</v>
      </c>
      <c r="G19" s="13">
        <f t="shared" si="3"/>
        <v>240.58</v>
      </c>
      <c r="H19" s="13">
        <f t="shared" si="3"/>
        <v>298.69</v>
      </c>
      <c r="I19" s="13">
        <f t="shared" si="3"/>
        <v>291.76</v>
      </c>
      <c r="J19" s="13">
        <f t="shared" si="3"/>
        <v>-2781.48</v>
      </c>
      <c r="K19" s="13">
        <f t="shared" si="3"/>
        <v>-3013.39</v>
      </c>
      <c r="L19" s="13">
        <f t="shared" si="3"/>
        <v>-2474.14</v>
      </c>
      <c r="M19" s="13">
        <f t="shared" si="3"/>
        <v>-1925.5</v>
      </c>
      <c r="N19" s="13">
        <f t="shared" si="3"/>
        <v>-1840.76</v>
      </c>
      <c r="O19" s="13">
        <f t="shared" si="3"/>
        <v>-2387.39</v>
      </c>
      <c r="P19" s="13">
        <f t="shared" si="2"/>
        <v>-12821</v>
      </c>
      <c r="R19" s="43"/>
      <c r="S19" s="32" t="s">
        <v>174</v>
      </c>
      <c r="T19" s="26">
        <v>17</v>
      </c>
    </row>
    <row r="20" spans="1:20" x14ac:dyDescent="0.25">
      <c r="A20" s="24" t="s">
        <v>18</v>
      </c>
      <c r="B20" s="13">
        <f>ROUND(B$9*'B&amp;A kWh'!C18,2)</f>
        <v>0</v>
      </c>
      <c r="C20" s="13">
        <f>ROUND(C$9*'B&amp;A kWh'!D18,2)</f>
        <v>0</v>
      </c>
      <c r="D20" s="13">
        <f>ROUND(D$9*'B&amp;A kWh'!E18,2)</f>
        <v>270.87</v>
      </c>
      <c r="E20" s="13">
        <f>ROUND(E$9*'B&amp;A kWh'!F18,2)</f>
        <v>274.38</v>
      </c>
      <c r="F20" s="13">
        <f>ROUND(F$9*'B&amp;A kWh'!G18,2)</f>
        <v>225.38</v>
      </c>
      <c r="G20" s="13">
        <f>ROUND(G$9*'B&amp;A kWh'!H18,2)</f>
        <v>240.58</v>
      </c>
      <c r="H20" s="13">
        <f>ROUND(H$9*'B&amp;A kWh'!I18,2)</f>
        <v>298.69</v>
      </c>
      <c r="I20" s="13">
        <f>ROUND(I$9*'B&amp;A kWh'!J18,2)</f>
        <v>291.76</v>
      </c>
      <c r="J20" s="13">
        <f>ROUND(J$9*'B&amp;A kWh'!K18,2)</f>
        <v>-2781.48</v>
      </c>
      <c r="K20" s="13">
        <f>ROUND(K$9*'B&amp;A kWh'!L18,2)</f>
        <v>-3013.39</v>
      </c>
      <c r="L20" s="13">
        <f>ROUND(L$9*'B&amp;A kWh'!M18,2)</f>
        <v>-2474.14</v>
      </c>
      <c r="M20" s="13">
        <f>ROUND(M$9*'B&amp;A kWh'!N18,2)</f>
        <v>-1925.5</v>
      </c>
      <c r="N20" s="13">
        <f>ROUND(N$9*'B&amp;A kWh'!O18,2)</f>
        <v>-1840.76</v>
      </c>
      <c r="O20" s="13">
        <f>ROUND(O$9*'B&amp;A kWh'!P18,2)</f>
        <v>-2387.39</v>
      </c>
      <c r="P20" s="13">
        <f t="shared" si="2"/>
        <v>-12821</v>
      </c>
      <c r="R20" s="24"/>
      <c r="S20" s="32" t="s">
        <v>18</v>
      </c>
      <c r="T20" s="26">
        <v>18</v>
      </c>
    </row>
    <row r="21" spans="1:20" x14ac:dyDescent="0.25">
      <c r="A21" s="24"/>
      <c r="R21" s="24"/>
      <c r="S21" s="32"/>
      <c r="T21" s="26">
        <v>19</v>
      </c>
    </row>
    <row r="22" spans="1:20" x14ac:dyDescent="0.25">
      <c r="A22" s="24" t="s">
        <v>17</v>
      </c>
      <c r="B22" s="13">
        <f>ROUND(B$9*'B&amp;A kWh'!C20,2)</f>
        <v>0</v>
      </c>
      <c r="C22" s="13">
        <f>ROUND(C$9*'B&amp;A kWh'!D20,2)</f>
        <v>0</v>
      </c>
      <c r="D22" s="13">
        <f>ROUND(D$9*'B&amp;A kWh'!E20,2)</f>
        <v>976.39</v>
      </c>
      <c r="E22" s="13">
        <f>ROUND(E$9*'B&amp;A kWh'!F20,2)</f>
        <v>1010.25</v>
      </c>
      <c r="F22" s="13">
        <f>ROUND(F$9*'B&amp;A kWh'!G20,2)</f>
        <v>1166.29</v>
      </c>
      <c r="G22" s="13">
        <f>ROUND(G$9*'B&amp;A kWh'!H20,2)</f>
        <v>1228.8499999999999</v>
      </c>
      <c r="H22" s="13">
        <f>ROUND(H$9*'B&amp;A kWh'!I20,2)</f>
        <v>1225.52</v>
      </c>
      <c r="I22" s="13">
        <f>ROUND(I$9*'B&amp;A kWh'!J20,2)</f>
        <v>1030.69</v>
      </c>
      <c r="J22" s="13">
        <f>ROUND(J$9*'B&amp;A kWh'!K20,2)</f>
        <v>-6691.68</v>
      </c>
      <c r="K22" s="13">
        <f>ROUND(K$9*'B&amp;A kWh'!L20,2)</f>
        <v>-7338.33</v>
      </c>
      <c r="L22" s="13">
        <f>ROUND(L$9*'B&amp;A kWh'!M20,2)</f>
        <v>-9575.19</v>
      </c>
      <c r="M22" s="13">
        <f>ROUND(M$9*'B&amp;A kWh'!N20,2)</f>
        <v>-9387.1299999999992</v>
      </c>
      <c r="N22" s="13">
        <f>ROUND(N$9*'B&amp;A kWh'!O20,2)</f>
        <v>-7678.43</v>
      </c>
      <c r="O22" s="13">
        <f>ROUND(O$9*'B&amp;A kWh'!P20,2)</f>
        <v>-7872.11</v>
      </c>
      <c r="P22" s="13">
        <f t="shared" ref="P22" si="4">SUM(D22:O22)</f>
        <v>-41904.879999999997</v>
      </c>
      <c r="R22" s="24"/>
      <c r="S22" s="32" t="s">
        <v>17</v>
      </c>
      <c r="T22" s="26">
        <v>20</v>
      </c>
    </row>
    <row r="23" spans="1:20" x14ac:dyDescent="0.25">
      <c r="A23" s="24"/>
      <c r="R23" s="24"/>
      <c r="S23" s="32"/>
      <c r="T23" s="26">
        <v>21</v>
      </c>
    </row>
    <row r="24" spans="1:20" x14ac:dyDescent="0.25">
      <c r="A24" s="24" t="s">
        <v>16</v>
      </c>
      <c r="B24" s="13">
        <f>ROUND(B$9*'B&amp;A kWh'!C22,2)</f>
        <v>0</v>
      </c>
      <c r="C24" s="13">
        <f>ROUND(C$9*'B&amp;A kWh'!D22,2)</f>
        <v>0</v>
      </c>
      <c r="D24" s="13">
        <f>ROUND(D$9*'B&amp;A kWh'!E22,2)</f>
        <v>7.49</v>
      </c>
      <c r="E24" s="13">
        <f>ROUND(E$9*'B&amp;A kWh'!F22,2)</f>
        <v>7.55</v>
      </c>
      <c r="F24" s="13">
        <f>ROUND(F$9*'B&amp;A kWh'!G22,2)</f>
        <v>7.73</v>
      </c>
      <c r="G24" s="13">
        <f>ROUND(G$9*'B&amp;A kWh'!H22,2)</f>
        <v>6.96</v>
      </c>
      <c r="H24" s="13">
        <f>ROUND(H$9*'B&amp;A kWh'!I22,2)</f>
        <v>6.76</v>
      </c>
      <c r="I24" s="13">
        <f>ROUND(I$9*'B&amp;A kWh'!J22,2)</f>
        <v>7.04</v>
      </c>
      <c r="J24" s="13">
        <f>ROUND(J$9*'B&amp;A kWh'!K22,2)</f>
        <v>-52.15</v>
      </c>
      <c r="K24" s="13">
        <f>ROUND(K$9*'B&amp;A kWh'!L22,2)</f>
        <v>-53.11</v>
      </c>
      <c r="L24" s="13">
        <f>ROUND(L$9*'B&amp;A kWh'!M22,2)</f>
        <v>-48.18</v>
      </c>
      <c r="M24" s="13">
        <f>ROUND(M$9*'B&amp;A kWh'!N22,2)</f>
        <v>-45.51</v>
      </c>
      <c r="N24" s="13">
        <f>ROUND(N$9*'B&amp;A kWh'!O22,2)</f>
        <v>-43.61</v>
      </c>
      <c r="O24" s="13">
        <f>ROUND(O$9*'B&amp;A kWh'!P22,2)</f>
        <v>-50.6</v>
      </c>
      <c r="P24" s="13">
        <f t="shared" ref="P24" si="5">SUM(D24:O24)</f>
        <v>-249.62999999999997</v>
      </c>
      <c r="R24" s="24"/>
      <c r="S24" s="32" t="s">
        <v>16</v>
      </c>
      <c r="T24" s="26">
        <v>22</v>
      </c>
    </row>
    <row r="25" spans="1:20" x14ac:dyDescent="0.25">
      <c r="A25" s="24"/>
      <c r="R25" s="24"/>
      <c r="S25" s="32"/>
      <c r="T25" s="26">
        <v>23</v>
      </c>
    </row>
    <row r="26" spans="1:20" x14ac:dyDescent="0.25">
      <c r="A26" s="24" t="s">
        <v>15</v>
      </c>
      <c r="B26" s="13">
        <f>ROUND(B$9*'B&amp;A kWh'!C24,2)</f>
        <v>0</v>
      </c>
      <c r="C26" s="13">
        <f>ROUND(C$9*'B&amp;A kWh'!D24,2)</f>
        <v>0</v>
      </c>
      <c r="D26" s="13">
        <f>ROUND(D$9*'B&amp;A kWh'!E24,2)</f>
        <v>66.239999999999995</v>
      </c>
      <c r="E26" s="13">
        <f>ROUND(E$9*'B&amp;A kWh'!F24,2)</f>
        <v>76.55</v>
      </c>
      <c r="F26" s="13">
        <f>ROUND(F$9*'B&amp;A kWh'!G24,2)</f>
        <v>78.59</v>
      </c>
      <c r="G26" s="13">
        <f>ROUND(G$9*'B&amp;A kWh'!H24,2)</f>
        <v>64.67</v>
      </c>
      <c r="H26" s="13">
        <f>ROUND(H$9*'B&amp;A kWh'!I24,2)</f>
        <v>69.14</v>
      </c>
      <c r="I26" s="13">
        <f>ROUND(I$9*'B&amp;A kWh'!J24,2)</f>
        <v>61.65</v>
      </c>
      <c r="J26" s="13">
        <f>ROUND(J$9*'B&amp;A kWh'!K24,2)</f>
        <v>-457.51</v>
      </c>
      <c r="K26" s="13">
        <f>ROUND(K$9*'B&amp;A kWh'!L24,2)</f>
        <v>-465.47</v>
      </c>
      <c r="L26" s="13">
        <f>ROUND(L$9*'B&amp;A kWh'!M24,2)</f>
        <v>-417.34</v>
      </c>
      <c r="M26" s="13">
        <f>ROUND(M$9*'B&amp;A kWh'!N24,2)</f>
        <v>-363.9</v>
      </c>
      <c r="N26" s="13">
        <f>ROUND(N$9*'B&amp;A kWh'!O24,2)</f>
        <v>-353.14</v>
      </c>
      <c r="O26" s="13">
        <f>ROUND(O$9*'B&amp;A kWh'!P24,2)</f>
        <v>-437.88</v>
      </c>
      <c r="P26" s="13">
        <f t="shared" ref="P26" si="6">SUM(D26:O26)</f>
        <v>-2078.4</v>
      </c>
      <c r="R26" s="24"/>
      <c r="S26" s="32" t="s">
        <v>15</v>
      </c>
      <c r="T26" s="26">
        <v>24</v>
      </c>
    </row>
    <row r="27" spans="1:20" x14ac:dyDescent="0.25">
      <c r="A27" s="24"/>
      <c r="R27" s="24"/>
      <c r="S27" s="32"/>
      <c r="T27" s="26">
        <v>25</v>
      </c>
    </row>
    <row r="28" spans="1:20" x14ac:dyDescent="0.25">
      <c r="A28" s="24" t="s">
        <v>14</v>
      </c>
      <c r="B28" s="13">
        <f>ROUND(B$9*'B&amp;A kWh'!C26,2)</f>
        <v>0</v>
      </c>
      <c r="C28" s="13">
        <f>ROUND(C$9*'B&amp;A kWh'!D26,2)</f>
        <v>0</v>
      </c>
      <c r="D28" s="13">
        <f>ROUND(D$9*'B&amp;A kWh'!E26,2)</f>
        <v>24.43</v>
      </c>
      <c r="E28" s="13">
        <f>ROUND(E$9*'B&amp;A kWh'!F26,2)</f>
        <v>27.53</v>
      </c>
      <c r="F28" s="13">
        <f>ROUND(F$9*'B&amp;A kWh'!G26,2)</f>
        <v>25.26</v>
      </c>
      <c r="G28" s="13">
        <f>ROUND(G$9*'B&amp;A kWh'!H26,2)</f>
        <v>23.73</v>
      </c>
      <c r="H28" s="13">
        <f>ROUND(H$9*'B&amp;A kWh'!I26,2)</f>
        <v>24.21</v>
      </c>
      <c r="I28" s="13">
        <f>ROUND(I$9*'B&amp;A kWh'!J26,2)</f>
        <v>22.34</v>
      </c>
      <c r="J28" s="13">
        <f>ROUND(J$9*'B&amp;A kWh'!K26,2)</f>
        <v>-184.08</v>
      </c>
      <c r="K28" s="13">
        <f>ROUND(K$9*'B&amp;A kWh'!L26,2)</f>
        <v>-189.88</v>
      </c>
      <c r="L28" s="13">
        <f>ROUND(L$9*'B&amp;A kWh'!M26,2)</f>
        <v>-205.9</v>
      </c>
      <c r="M28" s="13">
        <f>ROUND(M$9*'B&amp;A kWh'!N26,2)</f>
        <v>-307.85000000000002</v>
      </c>
      <c r="N28" s="13">
        <f>ROUND(N$9*'B&amp;A kWh'!O26,2)</f>
        <v>-50.89</v>
      </c>
      <c r="O28" s="13">
        <f>ROUND(O$9*'B&amp;A kWh'!P26,2)</f>
        <v>-176.54</v>
      </c>
      <c r="P28" s="13">
        <f t="shared" ref="P28" si="7">SUM(D28:O28)</f>
        <v>-967.64</v>
      </c>
      <c r="R28" s="24"/>
      <c r="S28" s="32" t="s">
        <v>14</v>
      </c>
      <c r="T28" s="26">
        <v>26</v>
      </c>
    </row>
    <row r="29" spans="1:20" x14ac:dyDescent="0.25">
      <c r="A29" s="24"/>
      <c r="R29" s="24"/>
      <c r="S29" s="32"/>
      <c r="T29" s="26">
        <v>27</v>
      </c>
    </row>
    <row r="30" spans="1:20" x14ac:dyDescent="0.25">
      <c r="A30" s="24" t="s">
        <v>13</v>
      </c>
      <c r="B30" s="13">
        <f>ROUND(B$9*'B&amp;A kWh'!C28,2)</f>
        <v>0</v>
      </c>
      <c r="C30" s="13">
        <f>ROUND(C$9*'B&amp;A kWh'!D28,2)</f>
        <v>0</v>
      </c>
      <c r="D30" s="13">
        <f>ROUND(D$9*'B&amp;A kWh'!E28,2)</f>
        <v>18.489999999999998</v>
      </c>
      <c r="E30" s="13">
        <f>ROUND(E$9*'B&amp;A kWh'!F28,2)</f>
        <v>13.54</v>
      </c>
      <c r="F30" s="13">
        <f>ROUND(F$9*'B&amp;A kWh'!G28,2)</f>
        <v>7.55</v>
      </c>
      <c r="G30" s="13">
        <f>ROUND(G$9*'B&amp;A kWh'!H28,2)</f>
        <v>6.33</v>
      </c>
      <c r="H30" s="13">
        <f>ROUND(H$9*'B&amp;A kWh'!I28,2)</f>
        <v>8.44</v>
      </c>
      <c r="I30" s="13">
        <f>ROUND(I$9*'B&amp;A kWh'!J28,2)</f>
        <v>9.0500000000000007</v>
      </c>
      <c r="J30" s="13">
        <f>ROUND(J$9*'B&amp;A kWh'!K28,2)</f>
        <v>-88.03</v>
      </c>
      <c r="K30" s="13">
        <f>ROUND(K$9*'B&amp;A kWh'!L28,2)</f>
        <v>-84.46</v>
      </c>
      <c r="L30" s="13">
        <f>ROUND(L$9*'B&amp;A kWh'!M28,2)</f>
        <v>-75.8</v>
      </c>
      <c r="M30" s="13">
        <f>ROUND(M$9*'B&amp;A kWh'!N28,2)</f>
        <v>-72.16</v>
      </c>
      <c r="N30" s="13">
        <f>ROUND(N$9*'B&amp;A kWh'!O28,2)</f>
        <v>-75.08</v>
      </c>
      <c r="O30" s="13">
        <f>ROUND(O$9*'B&amp;A kWh'!P28,2)</f>
        <v>-109.21</v>
      </c>
      <c r="P30" s="13">
        <f t="shared" ref="P30" si="8">SUM(D30:O30)</f>
        <v>-441.33999999999992</v>
      </c>
      <c r="R30" s="24"/>
      <c r="S30" s="32" t="s">
        <v>13</v>
      </c>
      <c r="T30" s="26">
        <v>28</v>
      </c>
    </row>
    <row r="31" spans="1:20" x14ac:dyDescent="0.25">
      <c r="A31" s="24"/>
      <c r="R31" s="24"/>
      <c r="S31" s="32"/>
      <c r="T31" s="26">
        <v>29</v>
      </c>
    </row>
    <row r="32" spans="1:20" x14ac:dyDescent="0.25">
      <c r="A32" s="24" t="s">
        <v>12</v>
      </c>
      <c r="B32" s="13">
        <f>ROUND(B$9*'B&amp;A kWh'!C30,2)</f>
        <v>0</v>
      </c>
      <c r="C32" s="13">
        <f>ROUND(C$9*'B&amp;A kWh'!D30,2)</f>
        <v>0</v>
      </c>
      <c r="D32" s="13">
        <f>ROUND(D$9*'B&amp;A kWh'!E30,2)</f>
        <v>3059.11</v>
      </c>
      <c r="E32" s="13">
        <f>ROUND(E$9*'B&amp;A kWh'!F30,2)</f>
        <v>3449.38</v>
      </c>
      <c r="F32" s="13">
        <f>ROUND(F$9*'B&amp;A kWh'!G30,2)</f>
        <v>4093.49</v>
      </c>
      <c r="G32" s="13">
        <f>ROUND(G$9*'B&amp;A kWh'!H30,2)</f>
        <v>4067.5</v>
      </c>
      <c r="H32" s="13">
        <f>ROUND(H$9*'B&amp;A kWh'!I30,2)</f>
        <v>4186.88</v>
      </c>
      <c r="I32" s="13">
        <f>ROUND(I$9*'B&amp;A kWh'!J30,2)</f>
        <v>3494.34</v>
      </c>
      <c r="J32" s="13">
        <f>ROUND(J$9*'B&amp;A kWh'!K30,2)</f>
        <v>-22490.71</v>
      </c>
      <c r="K32" s="13">
        <f>ROUND(K$9*'B&amp;A kWh'!L30,2)</f>
        <v>-22432.93</v>
      </c>
      <c r="L32" s="13">
        <f>ROUND(L$9*'B&amp;A kWh'!M30,2)</f>
        <v>-26720.92</v>
      </c>
      <c r="M32" s="13">
        <f>ROUND(M$9*'B&amp;A kWh'!N30,2)</f>
        <v>-24877.53</v>
      </c>
      <c r="N32" s="13">
        <f>ROUND(N$9*'B&amp;A kWh'!O30,2)</f>
        <v>-22273.48</v>
      </c>
      <c r="O32" s="13">
        <f>ROUND(O$9*'B&amp;A kWh'!P30,2)</f>
        <v>-23440.75</v>
      </c>
      <c r="P32" s="13">
        <f t="shared" ref="P32" si="9">SUM(D32:O32)</f>
        <v>-119885.62</v>
      </c>
      <c r="R32" s="24"/>
      <c r="S32" s="32" t="s">
        <v>12</v>
      </c>
      <c r="T32" s="26">
        <v>30</v>
      </c>
    </row>
    <row r="33" spans="1:20" x14ac:dyDescent="0.25">
      <c r="A33" s="24"/>
      <c r="R33" s="24"/>
      <c r="S33" s="32"/>
      <c r="T33" s="26">
        <v>31</v>
      </c>
    </row>
    <row r="34" spans="1:20" x14ac:dyDescent="0.25">
      <c r="A34" s="24" t="s">
        <v>11</v>
      </c>
      <c r="B34" s="13">
        <f>ROUND(B$9*'B&amp;A kWh'!C32,2)</f>
        <v>0</v>
      </c>
      <c r="C34" s="13">
        <f>ROUND(C$9*'B&amp;A kWh'!D32,2)</f>
        <v>0</v>
      </c>
      <c r="D34" s="13">
        <f>ROUND(D$9*'B&amp;A kWh'!E32,2)</f>
        <v>5.48</v>
      </c>
      <c r="E34" s="13">
        <f>ROUND(E$9*'B&amp;A kWh'!F32,2)</f>
        <v>3.05</v>
      </c>
      <c r="F34" s="13">
        <f>ROUND(F$9*'B&amp;A kWh'!G32,2)</f>
        <v>5.15</v>
      </c>
      <c r="G34" s="13">
        <f>ROUND(G$9*'B&amp;A kWh'!H32,2)</f>
        <v>6.56</v>
      </c>
      <c r="H34" s="13">
        <f>ROUND(H$9*'B&amp;A kWh'!I32,2)</f>
        <v>6.11</v>
      </c>
      <c r="I34" s="13">
        <f>ROUND(I$9*'B&amp;A kWh'!J32,2)</f>
        <v>5.9</v>
      </c>
      <c r="J34" s="13">
        <f>ROUND(J$9*'B&amp;A kWh'!K32,2)</f>
        <v>-15.2</v>
      </c>
      <c r="K34" s="13">
        <f>ROUND(K$9*'B&amp;A kWh'!L32,2)</f>
        <v>-43.51</v>
      </c>
      <c r="L34" s="13">
        <f>ROUND(L$9*'B&amp;A kWh'!M32,2)</f>
        <v>-75.95</v>
      </c>
      <c r="M34" s="13">
        <f>ROUND(M$9*'B&amp;A kWh'!N32,2)</f>
        <v>-78.97</v>
      </c>
      <c r="N34" s="13">
        <f>ROUND(N$9*'B&amp;A kWh'!O32,2)</f>
        <v>-49.23</v>
      </c>
      <c r="O34" s="13">
        <f>ROUND(O$9*'B&amp;A kWh'!P32,2)</f>
        <v>-38.869999999999997</v>
      </c>
      <c r="P34" s="13">
        <f t="shared" ref="P34" si="10">SUM(D34:O34)</f>
        <v>-269.47999999999996</v>
      </c>
      <c r="R34" s="24"/>
      <c r="S34" s="32" t="s">
        <v>11</v>
      </c>
      <c r="T34" s="26">
        <v>32</v>
      </c>
    </row>
    <row r="35" spans="1:20" x14ac:dyDescent="0.25">
      <c r="A35" s="24"/>
      <c r="R35" s="24"/>
      <c r="S35" s="32"/>
      <c r="T35" s="26">
        <v>33</v>
      </c>
    </row>
    <row r="36" spans="1:20" x14ac:dyDescent="0.25">
      <c r="A36" s="24" t="s">
        <v>10</v>
      </c>
      <c r="B36" s="13">
        <f>ROUND(B$9*'B&amp;A kWh'!C34,2)</f>
        <v>0</v>
      </c>
      <c r="C36" s="13">
        <f>ROUND(C$9*'B&amp;A kWh'!D34,2)</f>
        <v>0</v>
      </c>
      <c r="D36" s="13">
        <f>ROUND(D$9*'B&amp;A kWh'!E34,2)</f>
        <v>58.64</v>
      </c>
      <c r="E36" s="13">
        <f>ROUND(E$9*'B&amp;A kWh'!F34,2)</f>
        <v>66.66</v>
      </c>
      <c r="F36" s="13">
        <f>ROUND(F$9*'B&amp;A kWh'!G34,2)</f>
        <v>73.06</v>
      </c>
      <c r="G36" s="13">
        <f>ROUND(G$9*'B&amp;A kWh'!H34,2)</f>
        <v>72.3</v>
      </c>
      <c r="H36" s="13">
        <f>ROUND(H$9*'B&amp;A kWh'!I34,2)</f>
        <v>69.569999999999993</v>
      </c>
      <c r="I36" s="13">
        <f>ROUND(I$9*'B&amp;A kWh'!J34,2)</f>
        <v>65.8</v>
      </c>
      <c r="J36" s="13">
        <f>ROUND(J$9*'B&amp;A kWh'!K34,2)</f>
        <v>-444.1</v>
      </c>
      <c r="K36" s="13">
        <f>ROUND(K$9*'B&amp;A kWh'!L34,2)</f>
        <v>-476.63</v>
      </c>
      <c r="L36" s="13">
        <f>ROUND(L$9*'B&amp;A kWh'!M34,2)</f>
        <v>-528.64</v>
      </c>
      <c r="M36" s="13">
        <f>ROUND(M$9*'B&amp;A kWh'!N34,2)</f>
        <v>-523.07000000000005</v>
      </c>
      <c r="N36" s="13">
        <f>ROUND(N$9*'B&amp;A kWh'!O34,2)</f>
        <v>-390.39</v>
      </c>
      <c r="O36" s="13">
        <f>ROUND(O$9*'B&amp;A kWh'!P34,2)</f>
        <v>-458.47</v>
      </c>
      <c r="P36" s="13">
        <f t="shared" ref="P36" si="11">SUM(D36:O36)</f>
        <v>-2415.2700000000004</v>
      </c>
      <c r="R36" s="24"/>
      <c r="S36" s="32" t="s">
        <v>10</v>
      </c>
      <c r="T36" s="26">
        <v>34</v>
      </c>
    </row>
    <row r="37" spans="1:20" x14ac:dyDescent="0.25">
      <c r="A37" s="24"/>
      <c r="R37" s="24"/>
      <c r="S37" s="32"/>
      <c r="T37" s="26">
        <v>35</v>
      </c>
    </row>
    <row r="38" spans="1:20" x14ac:dyDescent="0.25">
      <c r="A38" s="24" t="s">
        <v>9</v>
      </c>
      <c r="B38" s="13">
        <f>ROUND(B$9*'B&amp;A kWh'!C36,2)</f>
        <v>0</v>
      </c>
      <c r="C38" s="13">
        <f>ROUND(C$9*'B&amp;A kWh'!D36,2)</f>
        <v>0</v>
      </c>
      <c r="D38" s="13">
        <f>ROUND(D$9*'B&amp;A kWh'!E36,2)</f>
        <v>71.849999999999994</v>
      </c>
      <c r="E38" s="13">
        <f>ROUND(E$9*'B&amp;A kWh'!F36,2)</f>
        <v>75.58</v>
      </c>
      <c r="F38" s="13">
        <f>ROUND(F$9*'B&amp;A kWh'!G36,2)</f>
        <v>66.03</v>
      </c>
      <c r="G38" s="13">
        <f>ROUND(G$9*'B&amp;A kWh'!H36,2)</f>
        <v>48.13</v>
      </c>
      <c r="H38" s="13">
        <f>ROUND(H$9*'B&amp;A kWh'!I36,2)</f>
        <v>54.15</v>
      </c>
      <c r="I38" s="13">
        <f>ROUND(I$9*'B&amp;A kWh'!J36,2)</f>
        <v>48.24</v>
      </c>
      <c r="J38" s="13">
        <f>ROUND(J$9*'B&amp;A kWh'!K36,2)</f>
        <v>-490.96</v>
      </c>
      <c r="K38" s="13">
        <f>ROUND(K$9*'B&amp;A kWh'!L36,2)</f>
        <v>-574.59</v>
      </c>
      <c r="L38" s="13">
        <f>ROUND(L$9*'B&amp;A kWh'!M36,2)</f>
        <v>-566.75</v>
      </c>
      <c r="M38" s="13">
        <f>ROUND(M$9*'B&amp;A kWh'!N36,2)</f>
        <v>-441.11</v>
      </c>
      <c r="N38" s="13">
        <f>ROUND(N$9*'B&amp;A kWh'!O36,2)</f>
        <v>-531.47</v>
      </c>
      <c r="O38" s="13">
        <f>ROUND(O$9*'B&amp;A kWh'!P36,2)</f>
        <v>-372.9</v>
      </c>
      <c r="P38" s="13">
        <f t="shared" ref="P38" si="12">SUM(D38:O38)</f>
        <v>-2613.7999999999997</v>
      </c>
      <c r="R38" s="24"/>
      <c r="S38" s="32" t="s">
        <v>9</v>
      </c>
      <c r="T38" s="26">
        <v>36</v>
      </c>
    </row>
    <row r="39" spans="1:20" x14ac:dyDescent="0.25">
      <c r="A39" s="24"/>
      <c r="R39" s="24"/>
      <c r="S39" s="32"/>
      <c r="T39" s="26">
        <v>37</v>
      </c>
    </row>
    <row r="40" spans="1:20" x14ac:dyDescent="0.25">
      <c r="A40" s="24" t="s">
        <v>8</v>
      </c>
      <c r="B40" s="13">
        <f>ROUND(B$9*'B&amp;A kWh'!C38,2)</f>
        <v>0</v>
      </c>
      <c r="C40" s="13">
        <f>ROUND(C$9*'B&amp;A kWh'!D38,2)</f>
        <v>0</v>
      </c>
      <c r="D40" s="13">
        <f>ROUND(D$9*'B&amp;A kWh'!E38,2)</f>
        <v>5.85</v>
      </c>
      <c r="E40" s="13">
        <f>ROUND(E$9*'B&amp;A kWh'!F38,2)</f>
        <v>3.92</v>
      </c>
      <c r="F40" s="13">
        <f>ROUND(F$9*'B&amp;A kWh'!G38,2)</f>
        <v>5.72</v>
      </c>
      <c r="G40" s="13">
        <f>ROUND(G$9*'B&amp;A kWh'!H38,2)</f>
        <v>1.31</v>
      </c>
      <c r="H40" s="13">
        <f>ROUND(H$9*'B&amp;A kWh'!I38,2)</f>
        <v>3.07</v>
      </c>
      <c r="I40" s="13">
        <f>ROUND(I$9*'B&amp;A kWh'!J38,2)</f>
        <v>4.41</v>
      </c>
      <c r="J40" s="13">
        <f>ROUND(J$9*'B&amp;A kWh'!K38,2)</f>
        <v>-9.23</v>
      </c>
      <c r="K40" s="13">
        <f>ROUND(K$9*'B&amp;A kWh'!L38,2)</f>
        <v>-21.28</v>
      </c>
      <c r="L40" s="13">
        <f>ROUND(L$9*'B&amp;A kWh'!M38,2)</f>
        <v>-33.86</v>
      </c>
      <c r="M40" s="13">
        <f>ROUND(M$9*'B&amp;A kWh'!N38,2)</f>
        <v>-20.68</v>
      </c>
      <c r="N40" s="13">
        <f>ROUND(N$9*'B&amp;A kWh'!O38,2)</f>
        <v>-8.4600000000000009</v>
      </c>
      <c r="O40" s="13">
        <f>ROUND(O$9*'B&amp;A kWh'!P38,2)</f>
        <v>-18.350000000000001</v>
      </c>
      <c r="P40" s="13">
        <f t="shared" ref="P40" si="13">SUM(D40:O40)</f>
        <v>-87.580000000000013</v>
      </c>
      <c r="R40" s="24"/>
      <c r="S40" s="32" t="s">
        <v>8</v>
      </c>
      <c r="T40" s="26">
        <v>38</v>
      </c>
    </row>
    <row r="41" spans="1:20" x14ac:dyDescent="0.25">
      <c r="A41" s="24"/>
      <c r="R41" s="24"/>
      <c r="S41" s="32"/>
      <c r="T41" s="26">
        <v>39</v>
      </c>
    </row>
    <row r="42" spans="1:20" x14ac:dyDescent="0.25">
      <c r="A42" s="24" t="s">
        <v>7</v>
      </c>
      <c r="B42" s="13">
        <f>ROUND(B$9*'B&amp;A kWh'!C40,2)</f>
        <v>0</v>
      </c>
      <c r="C42" s="13">
        <f>ROUND(C$9*'B&amp;A kWh'!D40,2)</f>
        <v>0</v>
      </c>
      <c r="D42" s="13">
        <f>ROUND(D$9*'B&amp;A kWh'!E40,2)</f>
        <v>2196.69</v>
      </c>
      <c r="E42" s="13">
        <f>ROUND(E$9*'B&amp;A kWh'!F40,2)</f>
        <v>2553.08</v>
      </c>
      <c r="F42" s="13">
        <f>ROUND(F$9*'B&amp;A kWh'!G40,2)</f>
        <v>2686.73</v>
      </c>
      <c r="G42" s="13">
        <f>ROUND(G$9*'B&amp;A kWh'!H40,2)</f>
        <v>2548.36</v>
      </c>
      <c r="H42" s="13">
        <f>ROUND(H$9*'B&amp;A kWh'!I40,2)</f>
        <v>2651.78</v>
      </c>
      <c r="I42" s="13">
        <f>ROUND(I$9*'B&amp;A kWh'!J40,2)</f>
        <v>2316.08</v>
      </c>
      <c r="J42" s="13">
        <f>ROUND(J$9*'B&amp;A kWh'!K40,2)</f>
        <v>-16711.3</v>
      </c>
      <c r="K42" s="13">
        <f>ROUND(K$9*'B&amp;A kWh'!L40,2)</f>
        <v>-16933.18</v>
      </c>
      <c r="L42" s="13">
        <f>ROUND(L$9*'B&amp;A kWh'!M40,2)</f>
        <v>-16763.599999999999</v>
      </c>
      <c r="M42" s="13">
        <f>ROUND(M$9*'B&amp;A kWh'!N40,2)</f>
        <v>-14920.15</v>
      </c>
      <c r="N42" s="13">
        <f>ROUND(N$9*'B&amp;A kWh'!O40,2)</f>
        <v>-14698.5</v>
      </c>
      <c r="O42" s="13">
        <f>ROUND(O$9*'B&amp;A kWh'!P40,2)</f>
        <v>-16524.73</v>
      </c>
      <c r="P42" s="13">
        <f t="shared" ref="P42" si="14">SUM(D42:O42)</f>
        <v>-81598.740000000005</v>
      </c>
      <c r="R42" s="24"/>
      <c r="S42" s="32" t="s">
        <v>7</v>
      </c>
      <c r="T42" s="26">
        <v>40</v>
      </c>
    </row>
    <row r="43" spans="1:20" x14ac:dyDescent="0.25">
      <c r="A43" s="24"/>
      <c r="R43" s="24"/>
      <c r="S43" s="32"/>
      <c r="T43" s="26">
        <v>41</v>
      </c>
    </row>
    <row r="44" spans="1:20" x14ac:dyDescent="0.25">
      <c r="A44" s="24" t="s">
        <v>6</v>
      </c>
      <c r="B44" s="13">
        <f>ROUND(B$9*'B&amp;A kWh'!C42,2)</f>
        <v>0</v>
      </c>
      <c r="C44" s="13">
        <f>ROUND(C$9*'B&amp;A kWh'!D42,2)</f>
        <v>0</v>
      </c>
      <c r="D44" s="13">
        <f>ROUND(D$9*'B&amp;A kWh'!E42,2)</f>
        <v>7.1</v>
      </c>
      <c r="E44" s="13">
        <f>ROUND(E$9*'B&amp;A kWh'!F42,2)</f>
        <v>14.46</v>
      </c>
      <c r="F44" s="13">
        <f>ROUND(F$9*'B&amp;A kWh'!G42,2)</f>
        <v>8.1199999999999992</v>
      </c>
      <c r="G44" s="13">
        <f>ROUND(G$9*'B&amp;A kWh'!H42,2)</f>
        <v>16.07</v>
      </c>
      <c r="H44" s="13">
        <f>ROUND(H$9*'B&amp;A kWh'!I42,2)</f>
        <v>15.01</v>
      </c>
      <c r="I44" s="13">
        <f>ROUND(I$9*'B&amp;A kWh'!J42,2)</f>
        <v>16.53</v>
      </c>
      <c r="J44" s="13">
        <f>ROUND(J$9*'B&amp;A kWh'!K42,2)</f>
        <v>-163.46</v>
      </c>
      <c r="K44" s="13">
        <f>ROUND(K$9*'B&amp;A kWh'!L42,2)</f>
        <v>-173.19</v>
      </c>
      <c r="L44" s="13">
        <f>ROUND(L$9*'B&amp;A kWh'!M42,2)</f>
        <v>-153.75</v>
      </c>
      <c r="M44" s="13">
        <f>ROUND(M$9*'B&amp;A kWh'!N42,2)</f>
        <v>-84.4</v>
      </c>
      <c r="N44" s="13">
        <f>ROUND(N$9*'B&amp;A kWh'!O42,2)</f>
        <v>-15.94</v>
      </c>
      <c r="O44" s="13">
        <f>ROUND(O$9*'B&amp;A kWh'!P42,2)</f>
        <v>-49.33</v>
      </c>
      <c r="P44" s="13">
        <f t="shared" ref="P44" si="15">SUM(D44:O44)</f>
        <v>-562.78000000000009</v>
      </c>
      <c r="R44" s="24"/>
      <c r="S44" s="32" t="s">
        <v>6</v>
      </c>
      <c r="T44" s="26">
        <v>42</v>
      </c>
    </row>
    <row r="45" spans="1:20" x14ac:dyDescent="0.25">
      <c r="A45" s="24"/>
      <c r="R45" s="24"/>
      <c r="S45" s="32"/>
      <c r="T45" s="26">
        <v>43</v>
      </c>
    </row>
    <row r="46" spans="1:20" x14ac:dyDescent="0.25">
      <c r="A46" s="24" t="s">
        <v>118</v>
      </c>
      <c r="B46" s="13">
        <f>ROUND(B$9*'B&amp;A kWh'!C44,2)</f>
        <v>0</v>
      </c>
      <c r="C46" s="13">
        <f>ROUND(C$9*'B&amp;A kWh'!D44,2)</f>
        <v>0</v>
      </c>
      <c r="D46" s="13">
        <f>ROUND(D$9*'B&amp;A kWh'!E44,2)</f>
        <v>22.75</v>
      </c>
      <c r="E46" s="13">
        <f>ROUND(E$9*'B&amp;A kWh'!F44,2)</f>
        <v>62.09</v>
      </c>
      <c r="F46" s="13">
        <f>ROUND(F$9*'B&amp;A kWh'!G44,2)</f>
        <v>42.68</v>
      </c>
      <c r="G46" s="13">
        <f>ROUND(G$9*'B&amp;A kWh'!H44,2)</f>
        <v>38.049999999999997</v>
      </c>
      <c r="H46" s="13">
        <f>ROUND(H$9*'B&amp;A kWh'!I44,2)</f>
        <v>40.86</v>
      </c>
      <c r="I46" s="13">
        <f>ROUND(I$9*'B&amp;A kWh'!J44,2)</f>
        <v>40.53</v>
      </c>
      <c r="J46" s="13">
        <f>ROUND(J$9*'B&amp;A kWh'!K44,2)</f>
        <v>-294.08999999999997</v>
      </c>
      <c r="K46" s="13">
        <f>ROUND(K$9*'B&amp;A kWh'!L44,2)</f>
        <v>-302.8</v>
      </c>
      <c r="L46" s="13">
        <f>ROUND(L$9*'B&amp;A kWh'!M44,2)</f>
        <v>-282.41000000000003</v>
      </c>
      <c r="M46" s="13">
        <f>ROUND(M$9*'B&amp;A kWh'!N44,2)</f>
        <v>-248.64</v>
      </c>
      <c r="N46" s="13">
        <f>ROUND(N$9*'B&amp;A kWh'!O44,2)</f>
        <v>-248.06</v>
      </c>
      <c r="O46" s="13">
        <f>ROUND(O$9*'B&amp;A kWh'!P44,2)</f>
        <v>-316.89</v>
      </c>
      <c r="P46" s="13">
        <f t="shared" ref="P46" si="16">SUM(D46:O46)</f>
        <v>-1445.9299999999998</v>
      </c>
      <c r="R46" s="24"/>
      <c r="S46" s="32" t="s">
        <v>118</v>
      </c>
      <c r="T46" s="26">
        <v>44</v>
      </c>
    </row>
    <row r="47" spans="1:20" x14ac:dyDescent="0.25">
      <c r="A47" s="24"/>
      <c r="R47" s="32"/>
      <c r="S47" s="32"/>
      <c r="T47" s="26">
        <v>45</v>
      </c>
    </row>
    <row r="48" spans="1:20" x14ac:dyDescent="0.25">
      <c r="A48" s="24" t="s">
        <v>311</v>
      </c>
      <c r="B48" s="13">
        <f>ROUND(B$9*'B&amp;A kWh'!C48,2)</f>
        <v>0</v>
      </c>
      <c r="C48" s="13">
        <f>ROUND(C$9*'B&amp;A kWh'!D48,2)</f>
        <v>0</v>
      </c>
      <c r="D48" s="13">
        <f>ROUND(D$9*'B&amp;A kWh'!E46,2)</f>
        <v>26.77</v>
      </c>
      <c r="E48" s="13">
        <f>ROUND(E$9*'B&amp;A kWh'!F46,2)</f>
        <v>24.19</v>
      </c>
      <c r="F48" s="13">
        <f>ROUND(F$9*'B&amp;A kWh'!G46,2)</f>
        <v>24.67</v>
      </c>
      <c r="G48" s="13">
        <f>ROUND(G$9*'B&amp;A kWh'!H46,2)</f>
        <v>19.66</v>
      </c>
      <c r="H48" s="13">
        <f>ROUND(H$9*'B&amp;A kWh'!I46,2)</f>
        <v>32.94</v>
      </c>
      <c r="I48" s="13">
        <f>ROUND(I$9*'B&amp;A kWh'!J46,2)</f>
        <v>31.36</v>
      </c>
      <c r="J48" s="13">
        <f>ROUND(J$9*'B&amp;A kWh'!K46,2)</f>
        <v>-215.2</v>
      </c>
      <c r="K48" s="13">
        <f>ROUND(K$9*'B&amp;A kWh'!L46,2)</f>
        <v>-25.4</v>
      </c>
      <c r="L48" s="13">
        <f>ROUND(L$9*'B&amp;A kWh'!M46,2)</f>
        <v>-51.65</v>
      </c>
      <c r="M48" s="13">
        <f>ROUND(M$9*'B&amp;A kWh'!N46,2)</f>
        <v>-47.03</v>
      </c>
      <c r="N48" s="13">
        <f>ROUND(N$9*'B&amp;A kWh'!O46,2)</f>
        <v>-46.23</v>
      </c>
      <c r="O48" s="13">
        <f>ROUND(O$9*'B&amp;A kWh'!P46,2)</f>
        <v>-85.33</v>
      </c>
      <c r="P48" s="13">
        <f t="shared" ref="P48" si="17">SUM(D48:O48)</f>
        <v>-311.25</v>
      </c>
      <c r="R48" s="32"/>
      <c r="S48" s="32" t="s">
        <v>241</v>
      </c>
      <c r="T48" s="26">
        <v>46</v>
      </c>
    </row>
    <row r="49" spans="1:20" x14ac:dyDescent="0.25">
      <c r="A49" s="24"/>
      <c r="R49" s="24"/>
      <c r="S49" s="32"/>
      <c r="T49" s="26">
        <v>47</v>
      </c>
    </row>
    <row r="50" spans="1:20" x14ac:dyDescent="0.25">
      <c r="A50" s="24" t="s">
        <v>5</v>
      </c>
      <c r="B50" s="13">
        <f>ROUND(B$9*'B&amp;A kWh'!C50,2)</f>
        <v>0</v>
      </c>
      <c r="C50" s="13">
        <f>ROUND(C$9*'B&amp;A kWh'!D50,2)</f>
        <v>0</v>
      </c>
      <c r="D50" s="13">
        <f>ROUND(D$9*'B&amp;A kWh'!E48,2)</f>
        <v>594.65</v>
      </c>
      <c r="E50" s="13">
        <f>ROUND(E$9*'B&amp;A kWh'!F48,2)</f>
        <v>735.92</v>
      </c>
      <c r="F50" s="13">
        <f>ROUND(F$9*'B&amp;A kWh'!G48,2)</f>
        <v>629.6</v>
      </c>
      <c r="G50" s="13">
        <f>ROUND(G$9*'B&amp;A kWh'!H48,2)</f>
        <v>607.74</v>
      </c>
      <c r="H50" s="13">
        <f>ROUND(H$9*'B&amp;A kWh'!I48,2)</f>
        <v>664.59</v>
      </c>
      <c r="I50" s="13">
        <f>ROUND(I$9*'B&amp;A kWh'!J48,2)</f>
        <v>617.35</v>
      </c>
      <c r="J50" s="13">
        <f>ROUND(J$9*'B&amp;A kWh'!K48,2)</f>
        <v>-4573.59</v>
      </c>
      <c r="K50" s="13">
        <f>ROUND(K$9*'B&amp;A kWh'!L48,2)</f>
        <v>-4828.21</v>
      </c>
      <c r="L50" s="13">
        <f>ROUND(L$9*'B&amp;A kWh'!M48,2)</f>
        <v>-4855.2700000000004</v>
      </c>
      <c r="M50" s="13">
        <f>ROUND(M$9*'B&amp;A kWh'!N48,2)</f>
        <v>-4391.78</v>
      </c>
      <c r="N50" s="13">
        <f>ROUND(N$9*'B&amp;A kWh'!O48,2)</f>
        <v>-4737.1499999999996</v>
      </c>
      <c r="O50" s="13">
        <f>ROUND(O$9*'B&amp;A kWh'!P48,2)</f>
        <v>-5159.32</v>
      </c>
      <c r="P50" s="13">
        <f t="shared" ref="P50" si="18">SUM(D50:O50)</f>
        <v>-24695.47</v>
      </c>
      <c r="R50" s="24"/>
      <c r="S50" s="32" t="s">
        <v>5</v>
      </c>
      <c r="T50" s="26">
        <v>48</v>
      </c>
    </row>
    <row r="51" spans="1:20" x14ac:dyDescent="0.25">
      <c r="A51" s="24"/>
      <c r="R51" s="24"/>
      <c r="S51" s="32"/>
      <c r="T51" s="26">
        <v>49</v>
      </c>
    </row>
    <row r="52" spans="1:20" x14ac:dyDescent="0.25">
      <c r="A52" s="24" t="s">
        <v>4</v>
      </c>
      <c r="B52" s="13">
        <f>ROUND(B$9*'B&amp;A kWh'!C52,2)</f>
        <v>0</v>
      </c>
      <c r="C52" s="13">
        <f>ROUND(C$9*'B&amp;A kWh'!D52,2)</f>
        <v>0</v>
      </c>
      <c r="D52" s="13">
        <f>ROUND(D$9*'B&amp;A kWh'!E50,2)</f>
        <v>74.709999999999994</v>
      </c>
      <c r="E52" s="13">
        <f>ROUND(E$9*'B&amp;A kWh'!F50,2)</f>
        <v>139.18</v>
      </c>
      <c r="F52" s="13">
        <f>ROUND(F$9*'B&amp;A kWh'!G50,2)</f>
        <v>287.7</v>
      </c>
      <c r="G52" s="13">
        <f>ROUND(G$9*'B&amp;A kWh'!H50,2)</f>
        <v>5.72</v>
      </c>
      <c r="H52" s="13">
        <f>ROUND(H$9*'B&amp;A kWh'!I50,2)</f>
        <v>117.38</v>
      </c>
      <c r="I52" s="13">
        <f>ROUND(I$9*'B&amp;A kWh'!J50,2)</f>
        <v>103.79</v>
      </c>
      <c r="J52" s="13">
        <f>ROUND(J$9*'B&amp;A kWh'!K50,2)</f>
        <v>-613.27</v>
      </c>
      <c r="K52" s="13">
        <f>ROUND(K$9*'B&amp;A kWh'!L50,2)</f>
        <v>-699.54</v>
      </c>
      <c r="L52" s="13">
        <f>ROUND(L$9*'B&amp;A kWh'!M50,2)</f>
        <v>-578.57000000000005</v>
      </c>
      <c r="M52" s="13">
        <f>ROUND(M$9*'B&amp;A kWh'!N50,2)</f>
        <v>-561.29999999999995</v>
      </c>
      <c r="N52" s="13">
        <f>ROUND(N$9*'B&amp;A kWh'!O50,2)</f>
        <v>-589.37</v>
      </c>
      <c r="O52" s="13">
        <f>ROUND(O$9*'B&amp;A kWh'!P50,2)</f>
        <v>-714.45</v>
      </c>
      <c r="P52" s="13">
        <f t="shared" ref="P52" si="19">SUM(D52:O52)</f>
        <v>-3028.0200000000004</v>
      </c>
      <c r="R52" s="24"/>
      <c r="S52" s="32" t="s">
        <v>4</v>
      </c>
      <c r="T52" s="26">
        <v>50</v>
      </c>
    </row>
    <row r="53" spans="1:20" x14ac:dyDescent="0.25">
      <c r="A53" s="24"/>
      <c r="R53" s="24"/>
      <c r="S53" s="32"/>
      <c r="T53" s="26">
        <v>51</v>
      </c>
    </row>
    <row r="54" spans="1:20" x14ac:dyDescent="0.25">
      <c r="A54" s="24" t="s">
        <v>3</v>
      </c>
      <c r="B54" s="13">
        <f>ROUND(B$9*'B&amp;A kWh'!C54,2)</f>
        <v>0</v>
      </c>
      <c r="C54" s="13">
        <f>ROUND(C$9*'B&amp;A kWh'!D54,2)</f>
        <v>0</v>
      </c>
      <c r="D54" s="13">
        <f>ROUND(D$9*'B&amp;A kWh'!E52,2)</f>
        <v>0</v>
      </c>
      <c r="E54" s="13">
        <f>ROUND(E$9*'B&amp;A kWh'!F52,2)</f>
        <v>0</v>
      </c>
      <c r="F54" s="13">
        <f>ROUND(F$9*'B&amp;A kWh'!G52,2)</f>
        <v>0</v>
      </c>
      <c r="G54" s="13">
        <f>ROUND(G$9*'B&amp;A kWh'!H52,2)</f>
        <v>0</v>
      </c>
      <c r="H54" s="13">
        <f>ROUND(H$9*'B&amp;A kWh'!I52,2)</f>
        <v>0</v>
      </c>
      <c r="I54" s="13">
        <f>ROUND(I$9*'B&amp;A kWh'!J52,2)</f>
        <v>0</v>
      </c>
      <c r="J54" s="13">
        <f>ROUND(J$9*'B&amp;A kWh'!K52,2)</f>
        <v>0</v>
      </c>
      <c r="K54" s="13">
        <f>ROUND(K$9*'B&amp;A kWh'!L52,2)</f>
        <v>0</v>
      </c>
      <c r="L54" s="13">
        <f>ROUND(L$9*'B&amp;A kWh'!M52,2)</f>
        <v>0</v>
      </c>
      <c r="M54" s="13">
        <f>ROUND(M$9*'B&amp;A kWh'!N52,2)</f>
        <v>0</v>
      </c>
      <c r="N54" s="13">
        <f>ROUND(N$9*'B&amp;A kWh'!O52,2)</f>
        <v>0</v>
      </c>
      <c r="O54" s="13">
        <f>ROUND(O$9*'B&amp;A kWh'!P52,2)</f>
        <v>0</v>
      </c>
      <c r="P54" s="13">
        <f t="shared" ref="P54" si="20">SUM(D54:O54)</f>
        <v>0</v>
      </c>
      <c r="R54" s="24"/>
      <c r="S54" s="32" t="s">
        <v>3</v>
      </c>
      <c r="T54" s="26">
        <v>52</v>
      </c>
    </row>
    <row r="55" spans="1:20" x14ac:dyDescent="0.25">
      <c r="A55" s="24"/>
      <c r="R55" s="24"/>
      <c r="S55" s="32"/>
      <c r="T55" s="26">
        <v>53</v>
      </c>
    </row>
    <row r="56" spans="1:20" x14ac:dyDescent="0.25">
      <c r="A56" s="24" t="s">
        <v>119</v>
      </c>
      <c r="B56" s="13">
        <f>ROUND(B$9*'B&amp;A kWh'!C56,2)</f>
        <v>0</v>
      </c>
      <c r="C56" s="13">
        <f>ROUND(C$9*'B&amp;A kWh'!D56,2)</f>
        <v>0</v>
      </c>
      <c r="D56" s="13">
        <f>ROUND(D$9*'B&amp;A kWh'!E54,2)</f>
        <v>631.91999999999996</v>
      </c>
      <c r="E56" s="13">
        <f>ROUND(E$9*'B&amp;A kWh'!F54,2)</f>
        <v>745</v>
      </c>
      <c r="F56" s="13">
        <f>ROUND(F$9*'B&amp;A kWh'!G54,2)</f>
        <v>758.18</v>
      </c>
      <c r="G56" s="13">
        <f>ROUND(G$9*'B&amp;A kWh'!H54,2)</f>
        <v>584.72</v>
      </c>
      <c r="H56" s="13">
        <f>ROUND(H$9*'B&amp;A kWh'!I54,2)</f>
        <v>714.01</v>
      </c>
      <c r="I56" s="13">
        <f>ROUND(I$9*'B&amp;A kWh'!J54,2)</f>
        <v>766.05</v>
      </c>
      <c r="J56" s="13">
        <f>ROUND(J$9*'B&amp;A kWh'!K54,2)</f>
        <v>-4949.8500000000004</v>
      </c>
      <c r="K56" s="13">
        <f>ROUND(K$9*'B&amp;A kWh'!L54,2)</f>
        <v>-4433.75</v>
      </c>
      <c r="L56" s="13">
        <f>ROUND(L$9*'B&amp;A kWh'!M54,2)</f>
        <v>-5127.74</v>
      </c>
      <c r="M56" s="13">
        <f>ROUND(M$9*'B&amp;A kWh'!N54,2)</f>
        <v>-4547.84</v>
      </c>
      <c r="N56" s="13">
        <f>ROUND(N$9*'B&amp;A kWh'!O54,2)</f>
        <v>-4411.92</v>
      </c>
      <c r="O56" s="13">
        <f>ROUND(O$9*'B&amp;A kWh'!P54,2)</f>
        <v>-4875.8100000000004</v>
      </c>
      <c r="P56" s="13">
        <f t="shared" ref="P56" si="21">SUM(D56:O56)</f>
        <v>-24147.030000000002</v>
      </c>
      <c r="R56" s="24"/>
      <c r="S56" s="32" t="s">
        <v>119</v>
      </c>
      <c r="T56" s="26">
        <v>54</v>
      </c>
    </row>
    <row r="57" spans="1:20" x14ac:dyDescent="0.25">
      <c r="A57" s="24"/>
      <c r="R57" s="24"/>
      <c r="S57" s="32"/>
      <c r="T57" s="26">
        <v>55</v>
      </c>
    </row>
    <row r="58" spans="1:20" x14ac:dyDescent="0.25">
      <c r="A58" s="24" t="s">
        <v>120</v>
      </c>
      <c r="B58" s="13">
        <f>ROUND(B$9*'B&amp;A kWh'!C58,2)</f>
        <v>0</v>
      </c>
      <c r="C58" s="13">
        <f>ROUND(C$9*'B&amp;A kWh'!D58,2)</f>
        <v>0</v>
      </c>
      <c r="D58" s="13">
        <f>ROUND(D$9*'B&amp;A kWh'!E56,2)</f>
        <v>10.78</v>
      </c>
      <c r="E58" s="13">
        <f>ROUND(E$9*'B&amp;A kWh'!F56,2)</f>
        <v>11.5</v>
      </c>
      <c r="F58" s="13">
        <f>ROUND(F$9*'B&amp;A kWh'!G56,2)</f>
        <v>13.35</v>
      </c>
      <c r="G58" s="13">
        <f>ROUND(G$9*'B&amp;A kWh'!H56,2)</f>
        <v>10.84</v>
      </c>
      <c r="H58" s="13">
        <f>ROUND(H$9*'B&amp;A kWh'!I56,2)</f>
        <v>12.1</v>
      </c>
      <c r="I58" s="13">
        <f>ROUND(I$9*'B&amp;A kWh'!J56,2)</f>
        <v>13.02</v>
      </c>
      <c r="J58" s="13">
        <f>ROUND(J$9*'B&amp;A kWh'!K56,2)</f>
        <v>-88.66</v>
      </c>
      <c r="K58" s="13">
        <f>ROUND(K$9*'B&amp;A kWh'!L56,2)</f>
        <v>-93.84</v>
      </c>
      <c r="L58" s="13">
        <f>ROUND(L$9*'B&amp;A kWh'!M56,2)</f>
        <v>-121.09</v>
      </c>
      <c r="M58" s="13">
        <f>ROUND(M$9*'B&amp;A kWh'!N56,2)</f>
        <v>-129.18</v>
      </c>
      <c r="N58" s="13">
        <f>ROUND(N$9*'B&amp;A kWh'!O56,2)</f>
        <v>-118.11</v>
      </c>
      <c r="O58" s="13">
        <f>ROUND(O$9*'B&amp;A kWh'!P56,2)</f>
        <v>-86.74</v>
      </c>
      <c r="P58" s="13">
        <f t="shared" ref="P58" si="22">SUM(D58:O58)</f>
        <v>-566.03</v>
      </c>
      <c r="R58" s="24"/>
      <c r="S58" s="32" t="s">
        <v>120</v>
      </c>
      <c r="T58" s="26">
        <v>56</v>
      </c>
    </row>
    <row r="59" spans="1:20" x14ac:dyDescent="0.25">
      <c r="A59" s="24"/>
      <c r="R59" s="24"/>
      <c r="S59" s="32"/>
      <c r="T59" s="26">
        <v>57</v>
      </c>
    </row>
    <row r="60" spans="1:20" x14ac:dyDescent="0.25">
      <c r="A60" s="24" t="s">
        <v>242</v>
      </c>
      <c r="B60" s="13">
        <f>ROUND(B$9*'B&amp;A kWh'!C60,2)</f>
        <v>0</v>
      </c>
      <c r="C60" s="13">
        <f>ROUND(C$9*'B&amp;A kWh'!D60,2)</f>
        <v>0</v>
      </c>
      <c r="D60" s="13">
        <f>ROUND(D$9*'B&amp;A kWh'!E58,2)</f>
        <v>216.23</v>
      </c>
      <c r="E60" s="13">
        <f>ROUND(E$9*'B&amp;A kWh'!F58,2)</f>
        <v>229.1</v>
      </c>
      <c r="F60" s="13">
        <f>ROUND(F$9*'B&amp;A kWh'!G58,2)</f>
        <v>203.84</v>
      </c>
      <c r="G60" s="13">
        <f>ROUND(G$9*'B&amp;A kWh'!H58,2)</f>
        <v>224.57</v>
      </c>
      <c r="H60" s="13">
        <f>ROUND(H$9*'B&amp;A kWh'!I58,2)</f>
        <v>240.29</v>
      </c>
      <c r="I60" s="13">
        <f>ROUND(I$9*'B&amp;A kWh'!J58,2)</f>
        <v>211.84</v>
      </c>
      <c r="J60" s="13">
        <f>ROUND(J$9*'B&amp;A kWh'!K58,2)</f>
        <v>-1545.47</v>
      </c>
      <c r="K60" s="13">
        <f>ROUND(K$9*'B&amp;A kWh'!L58,2)</f>
        <v>-1822.29</v>
      </c>
      <c r="L60" s="13">
        <f>ROUND(L$9*'B&amp;A kWh'!M58,2)</f>
        <v>-1505.61</v>
      </c>
      <c r="M60" s="13">
        <f>ROUND(M$9*'B&amp;A kWh'!N58,2)</f>
        <v>-1213.1500000000001</v>
      </c>
      <c r="N60" s="13">
        <f>ROUND(N$9*'B&amp;A kWh'!O58,2)</f>
        <v>-1273.53</v>
      </c>
      <c r="O60" s="13">
        <f>ROUND(O$9*'B&amp;A kWh'!P58,2)</f>
        <v>-1275.24</v>
      </c>
      <c r="P60" s="13">
        <f t="shared" ref="P60" si="23">SUM(D60:O60)</f>
        <v>-7309.4199999999992</v>
      </c>
      <c r="R60" s="24"/>
      <c r="S60" s="32" t="s">
        <v>242</v>
      </c>
      <c r="T60" s="26">
        <v>58</v>
      </c>
    </row>
    <row r="61" spans="1:20" x14ac:dyDescent="0.25">
      <c r="A61" s="24"/>
      <c r="R61" s="24"/>
      <c r="S61" s="32"/>
      <c r="T61" s="26">
        <v>59</v>
      </c>
    </row>
    <row r="62" spans="1:20" x14ac:dyDescent="0.25">
      <c r="A62" s="24" t="s">
        <v>122</v>
      </c>
      <c r="B62" s="13">
        <f>ROUND(B$9*'B&amp;A kWh'!C66,2)</f>
        <v>0</v>
      </c>
      <c r="C62" s="13">
        <f>ROUND(C$9*'B&amp;A kWh'!D66,2)</f>
        <v>0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f t="shared" ref="P62" si="24">SUM(D62:O62)</f>
        <v>0</v>
      </c>
      <c r="R62" s="24"/>
      <c r="S62" s="32" t="s">
        <v>122</v>
      </c>
      <c r="T62" s="26">
        <v>60</v>
      </c>
    </row>
    <row r="63" spans="1:20" x14ac:dyDescent="0.25">
      <c r="A63" s="24"/>
      <c r="R63" s="24"/>
      <c r="S63" s="32"/>
      <c r="T63" s="26">
        <v>61</v>
      </c>
    </row>
    <row r="64" spans="1:20" x14ac:dyDescent="0.25">
      <c r="A64" s="24" t="s">
        <v>243</v>
      </c>
      <c r="B64" s="13">
        <f>ROUND(B$9*'B&amp;A kWh'!C68,2)</f>
        <v>0</v>
      </c>
      <c r="C64" s="13">
        <f>ROUND(C$9*'B&amp;A kWh'!D68,2)</f>
        <v>0</v>
      </c>
      <c r="D64" s="13">
        <f>ROUND(D$9*'B&amp;A kWh'!E62,2)</f>
        <v>142.31</v>
      </c>
      <c r="E64" s="13">
        <f>ROUND(E$9*'B&amp;A kWh'!F62,2)</f>
        <v>144.34</v>
      </c>
      <c r="F64" s="13">
        <f>ROUND(F$9*'B&amp;A kWh'!G62,2)</f>
        <v>130.41</v>
      </c>
      <c r="G64" s="13">
        <f>ROUND(G$9*'B&amp;A kWh'!H62,2)</f>
        <v>137.25</v>
      </c>
      <c r="H64" s="13">
        <f>ROUND(H$9*'B&amp;A kWh'!I62,2)</f>
        <v>136.77000000000001</v>
      </c>
      <c r="I64" s="13">
        <f>ROUND(I$9*'B&amp;A kWh'!J62,2)</f>
        <v>106.81</v>
      </c>
      <c r="J64" s="13">
        <f>ROUND(J$9*'B&amp;A kWh'!K62,2)</f>
        <v>-999.1</v>
      </c>
      <c r="K64" s="13">
        <f>ROUND(K$9*'B&amp;A kWh'!L62,2)</f>
        <v>-958.85</v>
      </c>
      <c r="L64" s="13">
        <f>ROUND(L$9*'B&amp;A kWh'!M62,2)</f>
        <v>-1089.01</v>
      </c>
      <c r="M64" s="13">
        <f>ROUND(M$9*'B&amp;A kWh'!N62,2)</f>
        <v>-1004</v>
      </c>
      <c r="N64" s="13">
        <f>ROUND(N$9*'B&amp;A kWh'!O62,2)</f>
        <v>-998.86</v>
      </c>
      <c r="O64" s="13">
        <f>ROUND(O$9*'B&amp;A kWh'!P62,2)</f>
        <v>-1087.79</v>
      </c>
      <c r="P64" s="13">
        <f t="shared" ref="P64" si="25">SUM(D64:O64)</f>
        <v>-5339.72</v>
      </c>
      <c r="R64" s="24"/>
      <c r="S64" s="32" t="s">
        <v>243</v>
      </c>
      <c r="T64" s="26">
        <v>62</v>
      </c>
    </row>
    <row r="65" spans="1:20" x14ac:dyDescent="0.25">
      <c r="A65" s="24"/>
      <c r="R65" s="24"/>
      <c r="S65" s="32"/>
      <c r="T65" s="26">
        <v>63</v>
      </c>
    </row>
    <row r="66" spans="1:20" x14ac:dyDescent="0.25">
      <c r="A66" s="24" t="s">
        <v>244</v>
      </c>
      <c r="B66" s="13">
        <f>ROUND(B$9*'B&amp;A kWh'!C70,2)</f>
        <v>0</v>
      </c>
      <c r="C66" s="13">
        <f>ROUND(C$9*'B&amp;A kWh'!D70,2)</f>
        <v>0</v>
      </c>
      <c r="D66" s="13">
        <f>ROUND(D$9*'B&amp;A kWh'!E64,2)</f>
        <v>545.12</v>
      </c>
      <c r="E66" s="13">
        <f>ROUND(E$9*'B&amp;A kWh'!F64,2)</f>
        <v>447.28</v>
      </c>
      <c r="F66" s="13">
        <f>ROUND(F$9*'B&amp;A kWh'!G64,2)</f>
        <v>334.3</v>
      </c>
      <c r="G66" s="13">
        <f>ROUND(G$9*'B&amp;A kWh'!H64,2)</f>
        <v>432.68</v>
      </c>
      <c r="H66" s="13">
        <f>ROUND(H$9*'B&amp;A kWh'!I64,2)</f>
        <v>393.09</v>
      </c>
      <c r="I66" s="13">
        <f>ROUND(I$9*'B&amp;A kWh'!J64,2)</f>
        <v>341.71</v>
      </c>
      <c r="J66" s="13">
        <f>ROUND(J$9*'B&amp;A kWh'!K64,2)</f>
        <v>-2920.49</v>
      </c>
      <c r="K66" s="13">
        <f>ROUND(K$9*'B&amp;A kWh'!L64,2)</f>
        <v>-3137.27</v>
      </c>
      <c r="L66" s="13">
        <f>ROUND(L$9*'B&amp;A kWh'!M64,2)</f>
        <v>-2736.42</v>
      </c>
      <c r="M66" s="13">
        <f>ROUND(M$9*'B&amp;A kWh'!N64,2)</f>
        <v>-2695.73</v>
      </c>
      <c r="N66" s="13">
        <f>ROUND(N$9*'B&amp;A kWh'!O64,2)</f>
        <v>-2908.45</v>
      </c>
      <c r="O66" s="13">
        <f>ROUND(O$9*'B&amp;A kWh'!P64,2)</f>
        <v>-3121.35</v>
      </c>
      <c r="P66" s="13">
        <f t="shared" ref="P66" si="26">SUM(D66:O66)</f>
        <v>-15025.53</v>
      </c>
      <c r="R66" s="24"/>
      <c r="S66" s="32" t="s">
        <v>244</v>
      </c>
      <c r="T66" s="26">
        <v>64</v>
      </c>
    </row>
    <row r="67" spans="1:20" x14ac:dyDescent="0.25">
      <c r="A67" s="24"/>
      <c r="R67" s="24"/>
      <c r="S67" s="32"/>
      <c r="T67" s="26">
        <v>65</v>
      </c>
    </row>
    <row r="68" spans="1:20" x14ac:dyDescent="0.25">
      <c r="A68" s="24" t="s">
        <v>123</v>
      </c>
      <c r="B68" s="13">
        <f>ROUND(B$9*'B&amp;A kWh'!C72,2)</f>
        <v>0</v>
      </c>
      <c r="C68" s="13">
        <f>ROUND(C$9*'B&amp;A kWh'!D72,2)</f>
        <v>0</v>
      </c>
      <c r="D68" s="13">
        <f>ROUND(D$9*'B&amp;A kWh'!E66,2)</f>
        <v>123.86</v>
      </c>
      <c r="E68" s="13">
        <f>ROUND(E$9*'B&amp;A kWh'!F66,2)</f>
        <v>125.75</v>
      </c>
      <c r="F68" s="13">
        <f>ROUND(F$9*'B&amp;A kWh'!G66,2)</f>
        <v>127.55</v>
      </c>
      <c r="G68" s="13">
        <f>ROUND(G$9*'B&amp;A kWh'!H66,2)</f>
        <v>119.52</v>
      </c>
      <c r="H68" s="13">
        <f>ROUND(H$9*'B&amp;A kWh'!I66,2)</f>
        <v>125.4</v>
      </c>
      <c r="I68" s="13">
        <f>ROUND(I$9*'B&amp;A kWh'!J66,2)</f>
        <v>118.98</v>
      </c>
      <c r="J68" s="13">
        <f>ROUND(J$9*'B&amp;A kWh'!K66,2)</f>
        <v>-913.45</v>
      </c>
      <c r="K68" s="13">
        <f>ROUND(K$9*'B&amp;A kWh'!L66,2)</f>
        <v>-938.54</v>
      </c>
      <c r="L68" s="13">
        <f>ROUND(L$9*'B&amp;A kWh'!M66,2)</f>
        <v>-968.93</v>
      </c>
      <c r="M68" s="13">
        <f>ROUND(M$9*'B&amp;A kWh'!N66,2)</f>
        <v>-890.55</v>
      </c>
      <c r="N68" s="13">
        <f>ROUND(N$9*'B&amp;A kWh'!O66,2)</f>
        <v>-835.38</v>
      </c>
      <c r="O68" s="13">
        <f>ROUND(O$9*'B&amp;A kWh'!P66,2)</f>
        <v>-909.44</v>
      </c>
      <c r="P68" s="13">
        <f t="shared" ref="P68" si="27">SUM(D68:O68)</f>
        <v>-4715.2299999999996</v>
      </c>
      <c r="R68" s="24"/>
      <c r="S68" s="32" t="s">
        <v>123</v>
      </c>
      <c r="T68" s="26">
        <v>66</v>
      </c>
    </row>
    <row r="69" spans="1:20" x14ac:dyDescent="0.25">
      <c r="A69" s="24"/>
      <c r="R69" s="24"/>
      <c r="S69" s="32"/>
      <c r="T69" s="26">
        <v>67</v>
      </c>
    </row>
    <row r="70" spans="1:20" x14ac:dyDescent="0.25">
      <c r="A70" s="24" t="s">
        <v>124</v>
      </c>
      <c r="B70" s="13">
        <f>ROUND(B$9*'B&amp;A kWh'!C74,2)</f>
        <v>0</v>
      </c>
      <c r="C70" s="13">
        <f>ROUND(C$9*'B&amp;A kWh'!D74,2)</f>
        <v>0</v>
      </c>
      <c r="D70" s="13">
        <f>ROUND(D$9*'B&amp;A kWh'!E68,2)</f>
        <v>2244.04</v>
      </c>
      <c r="E70" s="13">
        <f>ROUND(E$9*'B&amp;A kWh'!F68,2)</f>
        <v>2533.86</v>
      </c>
      <c r="F70" s="13">
        <f>ROUND(F$9*'B&amp;A kWh'!G68,2)</f>
        <v>2543.17</v>
      </c>
      <c r="G70" s="13">
        <f>ROUND(G$9*'B&amp;A kWh'!H68,2)</f>
        <v>2320.2399999999998</v>
      </c>
      <c r="H70" s="13">
        <f>ROUND(H$9*'B&amp;A kWh'!I68,2)</f>
        <v>2400.89</v>
      </c>
      <c r="I70" s="13">
        <f>ROUND(I$9*'B&amp;A kWh'!J68,2)</f>
        <v>2199.2199999999998</v>
      </c>
      <c r="J70" s="13">
        <f>ROUND(J$9*'B&amp;A kWh'!K68,2)</f>
        <v>-16778.939999999999</v>
      </c>
      <c r="K70" s="13">
        <f>ROUND(K$9*'B&amp;A kWh'!L68,2)</f>
        <v>-15725.15</v>
      </c>
      <c r="L70" s="13">
        <f>ROUND(L$9*'B&amp;A kWh'!M68,2)</f>
        <v>-14395.27</v>
      </c>
      <c r="M70" s="13">
        <f>ROUND(M$9*'B&amp;A kWh'!N68,2)</f>
        <v>-12921.7</v>
      </c>
      <c r="N70" s="13">
        <f>ROUND(N$9*'B&amp;A kWh'!O68,2)</f>
        <v>-13748.06</v>
      </c>
      <c r="O70" s="13">
        <f>ROUND(O$9*'B&amp;A kWh'!P68,2)</f>
        <v>-16353.27</v>
      </c>
      <c r="P70" s="13">
        <f t="shared" ref="P70" si="28">SUM(D70:O70)</f>
        <v>-75680.97</v>
      </c>
      <c r="R70" s="24"/>
      <c r="S70" s="32" t="s">
        <v>124</v>
      </c>
      <c r="T70" s="26">
        <v>68</v>
      </c>
    </row>
    <row r="71" spans="1:20" x14ac:dyDescent="0.25">
      <c r="A71" s="24"/>
      <c r="R71" s="24"/>
      <c r="S71" s="32"/>
      <c r="T71" s="26">
        <v>69</v>
      </c>
    </row>
    <row r="72" spans="1:20" x14ac:dyDescent="0.25">
      <c r="A72" s="24" t="s">
        <v>125</v>
      </c>
      <c r="B72" s="13">
        <f>ROUND(B$9*'B&amp;A kWh'!C76,2)</f>
        <v>0</v>
      </c>
      <c r="C72" s="13">
        <f>ROUND(C$9*'B&amp;A kWh'!D76,2)</f>
        <v>0</v>
      </c>
      <c r="D72" s="13">
        <f>ROUND(D$9*'B&amp;A kWh'!E70,2)</f>
        <v>10927.2</v>
      </c>
      <c r="E72" s="13">
        <f>ROUND(E$9*'B&amp;A kWh'!F70,2)</f>
        <v>17082.77</v>
      </c>
      <c r="F72" s="13">
        <f>ROUND(F$9*'B&amp;A kWh'!G70,2)</f>
        <v>8627.9500000000007</v>
      </c>
      <c r="G72" s="13">
        <f>ROUND(G$9*'B&amp;A kWh'!H70,2)</f>
        <v>14308.15</v>
      </c>
      <c r="H72" s="13">
        <f>ROUND(H$9*'B&amp;A kWh'!I70,2)</f>
        <v>14426.55</v>
      </c>
      <c r="I72" s="13">
        <f>ROUND(I$9*'B&amp;A kWh'!J70,2)</f>
        <v>12827.31</v>
      </c>
      <c r="J72" s="13">
        <f>ROUND(J$9*'B&amp;A kWh'!K70,2)</f>
        <v>-92216.22</v>
      </c>
      <c r="K72" s="13">
        <f>ROUND(K$9*'B&amp;A kWh'!L70,2)</f>
        <v>-87504.93</v>
      </c>
      <c r="L72" s="13">
        <f>ROUND(L$9*'B&amp;A kWh'!M70,2)</f>
        <v>-85368.09</v>
      </c>
      <c r="M72" s="13">
        <f>ROUND(M$9*'B&amp;A kWh'!N70,2)</f>
        <v>-87212.27</v>
      </c>
      <c r="N72" s="13">
        <f>ROUND(N$9*'B&amp;A kWh'!O70,2)</f>
        <v>-72022</v>
      </c>
      <c r="O72" s="13">
        <f>ROUND(O$9*'B&amp;A kWh'!P70,2)</f>
        <v>-87231.72</v>
      </c>
      <c r="P72" s="13">
        <f t="shared" ref="P72:P78" si="29">SUM(D72:O72)</f>
        <v>-433355.30000000005</v>
      </c>
      <c r="R72" s="24"/>
      <c r="S72" s="32" t="s">
        <v>125</v>
      </c>
      <c r="T72" s="26">
        <v>70</v>
      </c>
    </row>
    <row r="73" spans="1:20" x14ac:dyDescent="0.25">
      <c r="A73" s="24"/>
      <c r="B73" s="13"/>
      <c r="C73" s="13"/>
      <c r="P73" s="13"/>
      <c r="R73" s="24"/>
      <c r="S73" s="32"/>
      <c r="T73" s="26">
        <v>71</v>
      </c>
    </row>
    <row r="74" spans="1:20" x14ac:dyDescent="0.25">
      <c r="A74" s="24" t="s">
        <v>126</v>
      </c>
      <c r="B74" s="13"/>
      <c r="C74" s="13"/>
      <c r="D74" s="13">
        <f>ROUND(D$9*'B&amp;A kWh'!E72,2)</f>
        <v>1895.49</v>
      </c>
      <c r="E74" s="13">
        <f>ROUND(E$9*'B&amp;A kWh'!F72,2)</f>
        <v>1889.71</v>
      </c>
      <c r="F74" s="13">
        <f>ROUND(F$9*'B&amp;A kWh'!G72,2)</f>
        <v>2496.81</v>
      </c>
      <c r="G74" s="13">
        <f>ROUND(G$9*'B&amp;A kWh'!H72,2)</f>
        <v>1922.06</v>
      </c>
      <c r="H74" s="13">
        <f>ROUND(H$9*'B&amp;A kWh'!I72,2)</f>
        <v>1695.94</v>
      </c>
      <c r="I74" s="13">
        <f>ROUND(I$9*'B&amp;A kWh'!J72,2)</f>
        <v>1719.06</v>
      </c>
      <c r="J74" s="13">
        <f>ROUND(J$9*'B&amp;A kWh'!K72,2)</f>
        <v>-14334.9</v>
      </c>
      <c r="K74" s="13">
        <f>ROUND(K$9*'B&amp;A kWh'!L72,2)</f>
        <v>-9143.6299999999992</v>
      </c>
      <c r="L74" s="13">
        <f>ROUND(L$9*'B&amp;A kWh'!M72,2)</f>
        <v>-14893.32</v>
      </c>
      <c r="M74" s="13">
        <f>ROUND(M$9*'B&amp;A kWh'!N72,2)</f>
        <v>-9808.7000000000007</v>
      </c>
      <c r="N74" s="13">
        <f>ROUND(N$9*'B&amp;A kWh'!O72,2)</f>
        <v>-11414</v>
      </c>
      <c r="O74" s="13">
        <f>ROUND(O$9*'B&amp;A kWh'!P72,2)</f>
        <v>-17006.77</v>
      </c>
      <c r="P74" s="13">
        <f t="shared" si="29"/>
        <v>-64982.25</v>
      </c>
      <c r="R74" s="24"/>
      <c r="S74" s="32" t="s">
        <v>126</v>
      </c>
      <c r="T74" s="26">
        <v>72</v>
      </c>
    </row>
    <row r="75" spans="1:20" x14ac:dyDescent="0.25">
      <c r="A75" s="24"/>
      <c r="B75" s="13"/>
      <c r="C75" s="13"/>
      <c r="P75" s="13"/>
      <c r="R75" s="24"/>
      <c r="S75" s="32"/>
      <c r="T75" s="26">
        <v>73</v>
      </c>
    </row>
    <row r="76" spans="1:20" x14ac:dyDescent="0.25">
      <c r="A76" s="24" t="s">
        <v>2</v>
      </c>
      <c r="B76" s="13"/>
      <c r="C76" s="13"/>
      <c r="D76" s="13">
        <f>ROUND(D$9*'B&amp;A kWh'!E74,2)</f>
        <v>63.77</v>
      </c>
      <c r="E76" s="13">
        <f>ROUND(E$9*'B&amp;A kWh'!F74,2)</f>
        <v>56.05</v>
      </c>
      <c r="F76" s="13">
        <f>ROUND(F$9*'B&amp;A kWh'!G74,2)</f>
        <v>50.59</v>
      </c>
      <c r="G76" s="13">
        <f>ROUND(G$9*'B&amp;A kWh'!H74,2)</f>
        <v>54.73</v>
      </c>
      <c r="H76" s="13">
        <f>ROUND(H$9*'B&amp;A kWh'!I74,2)</f>
        <v>60.86</v>
      </c>
      <c r="I76" s="13">
        <f>ROUND(I$9*'B&amp;A kWh'!J74,2)</f>
        <v>66.7</v>
      </c>
      <c r="J76" s="13">
        <f>ROUND(J$9*'B&amp;A kWh'!K74,2)</f>
        <v>-514.22</v>
      </c>
      <c r="K76" s="13">
        <f>ROUND(K$9*'B&amp;A kWh'!L74,2)</f>
        <v>-562.66</v>
      </c>
      <c r="L76" s="13">
        <f>ROUND(L$9*'B&amp;A kWh'!M74,2)</f>
        <v>-600.1</v>
      </c>
      <c r="M76" s="13">
        <f>ROUND(M$9*'B&amp;A kWh'!N74,2)</f>
        <v>-577.5</v>
      </c>
      <c r="N76" s="13">
        <f>ROUND(N$9*'B&amp;A kWh'!O74,2)</f>
        <v>-489.18</v>
      </c>
      <c r="O76" s="13">
        <f>ROUND(O$9*'B&amp;A kWh'!P74,2)</f>
        <v>-490.01</v>
      </c>
      <c r="P76" s="13">
        <f t="shared" si="29"/>
        <v>-2880.9700000000003</v>
      </c>
      <c r="R76" s="24"/>
      <c r="S76" s="32" t="s">
        <v>2</v>
      </c>
      <c r="T76" s="26">
        <v>74</v>
      </c>
    </row>
    <row r="77" spans="1:20" x14ac:dyDescent="0.25">
      <c r="A77" s="24"/>
      <c r="B77" s="13"/>
      <c r="C77" s="13"/>
      <c r="P77" s="13"/>
      <c r="R77" s="24"/>
      <c r="S77" s="32"/>
      <c r="T77" s="26">
        <v>75</v>
      </c>
    </row>
    <row r="78" spans="1:20" x14ac:dyDescent="0.25">
      <c r="A78" s="24" t="s">
        <v>1</v>
      </c>
      <c r="B78" s="13"/>
      <c r="C78" s="13"/>
      <c r="D78" s="13">
        <f>ROUND(D$9*'B&amp;A kWh'!E76,2)</f>
        <v>13.27</v>
      </c>
      <c r="E78" s="13">
        <f>ROUND(E$9*'B&amp;A kWh'!F76,2)</f>
        <v>15.53</v>
      </c>
      <c r="F78" s="13">
        <f>ROUND(F$9*'B&amp;A kWh'!G76,2)</f>
        <v>17.239999999999998</v>
      </c>
      <c r="G78" s="13">
        <f>ROUND(G$9*'B&amp;A kWh'!H76,2)</f>
        <v>14.54</v>
      </c>
      <c r="H78" s="13">
        <f>ROUND(H$9*'B&amp;A kWh'!I76,2)</f>
        <v>15.06</v>
      </c>
      <c r="I78" s="13">
        <f>ROUND(I$9*'B&amp;A kWh'!J76,2)</f>
        <v>13.35</v>
      </c>
      <c r="J78" s="13">
        <f>ROUND(J$9*'B&amp;A kWh'!K76,2)</f>
        <v>-111.33</v>
      </c>
      <c r="K78" s="13">
        <f>ROUND(K$9*'B&amp;A kWh'!L76,2)</f>
        <v>-92.11</v>
      </c>
      <c r="L78" s="13">
        <f>ROUND(L$9*'B&amp;A kWh'!M76,2)</f>
        <v>-99.56</v>
      </c>
      <c r="M78" s="13">
        <f>ROUND(M$9*'B&amp;A kWh'!N76,2)</f>
        <v>-82.16</v>
      </c>
      <c r="N78" s="13">
        <f>ROUND(N$9*'B&amp;A kWh'!O76,2)</f>
        <v>-89.78</v>
      </c>
      <c r="O78" s="13">
        <f>ROUND(O$9*'B&amp;A kWh'!P76,2)</f>
        <v>-101.91</v>
      </c>
      <c r="P78" s="13">
        <f t="shared" si="29"/>
        <v>-487.86</v>
      </c>
      <c r="R78" s="24"/>
      <c r="S78" s="32" t="s">
        <v>1</v>
      </c>
      <c r="T78" s="26">
        <v>76</v>
      </c>
    </row>
    <row r="79" spans="1:20" x14ac:dyDescent="0.25">
      <c r="A79" s="24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</row>
    <row r="80" spans="1:20" x14ac:dyDescent="0.25">
      <c r="A80" s="158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8"/>
    </row>
    <row r="81" spans="1:16" x14ac:dyDescent="0.25">
      <c r="A81" s="26" t="s">
        <v>0</v>
      </c>
      <c r="B81" s="13">
        <f>SUM(B12:B72)</f>
        <v>0</v>
      </c>
      <c r="C81" s="13">
        <f t="shared" ref="C81" si="30">SUM(C12:C72)</f>
        <v>0</v>
      </c>
      <c r="D81" s="13">
        <f>SUM(D12:D78)-D20</f>
        <v>36877.599999999984</v>
      </c>
      <c r="E81" s="13">
        <f t="shared" ref="E81:O81" si="31">SUM(E12:E78)-E20</f>
        <v>43200.749999999993</v>
      </c>
      <c r="F81" s="13">
        <f t="shared" si="31"/>
        <v>39034.489999999991</v>
      </c>
      <c r="G81" s="13">
        <f t="shared" si="31"/>
        <v>45621.470000000008</v>
      </c>
      <c r="H81" s="13">
        <f t="shared" si="31"/>
        <v>45867.499999999993</v>
      </c>
      <c r="I81" s="13">
        <f t="shared" si="31"/>
        <v>38623.929999999993</v>
      </c>
      <c r="J81" s="13">
        <f t="shared" si="31"/>
        <v>-267699.92</v>
      </c>
      <c r="K81" s="13">
        <f t="shared" si="31"/>
        <v>-278842.78999999998</v>
      </c>
      <c r="L81" s="13">
        <f t="shared" si="31"/>
        <v>-336905.76999999996</v>
      </c>
      <c r="M81" s="13">
        <f t="shared" si="31"/>
        <v>-321223.14</v>
      </c>
      <c r="N81" s="13">
        <f t="shared" si="31"/>
        <v>-268097.54000000004</v>
      </c>
      <c r="O81" s="13">
        <f t="shared" si="31"/>
        <v>-291468.76</v>
      </c>
      <c r="P81" s="13">
        <f>SUM(D81:O81)</f>
        <v>-1515012.18</v>
      </c>
    </row>
  </sheetData>
  <pageMargins left="0.7" right="0.36" top="0.75" bottom="0.75" header="0.3" footer="0.3"/>
  <pageSetup scale="46" orientation="portrait" r:id="rId1"/>
  <headerFooter>
    <oddFooter>&amp;L&amp;F
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92"/>
  <sheetViews>
    <sheetView zoomScaleNormal="100" workbookViewId="0">
      <pane xSplit="1" ySplit="8" topLeftCell="B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J30" sqref="J30"/>
    </sheetView>
  </sheetViews>
  <sheetFormatPr defaultRowHeight="12.75" x14ac:dyDescent="0.2"/>
  <cols>
    <col min="1" max="1" width="17.42578125" style="51" customWidth="1"/>
    <col min="2" max="3" width="1.28515625" style="51" customWidth="1"/>
    <col min="4" max="4" width="13.85546875" style="51" bestFit="1" customWidth="1"/>
    <col min="5" max="15" width="13.85546875" style="51" customWidth="1"/>
    <col min="16" max="20" width="9.140625" style="51" customWidth="1"/>
    <col min="21" max="21" width="21.5703125" style="51" bestFit="1" customWidth="1"/>
    <col min="22" max="16384" width="9.140625" style="51"/>
  </cols>
  <sheetData>
    <row r="1" spans="1:24" ht="15" x14ac:dyDescent="0.25">
      <c r="A1" s="46" t="s">
        <v>70</v>
      </c>
      <c r="D1" s="97"/>
    </row>
    <row r="2" spans="1:24" ht="15" x14ac:dyDescent="0.25">
      <c r="A2" s="46" t="s">
        <v>71</v>
      </c>
    </row>
    <row r="3" spans="1:24" ht="15" x14ac:dyDescent="0.25">
      <c r="A3" s="46" t="str">
        <f>'B&amp;A kWh'!B3</f>
        <v>TEST YEAR ENDED March 31, 2023</v>
      </c>
    </row>
    <row r="4" spans="1:24" ht="15" x14ac:dyDescent="0.25">
      <c r="A4" s="98"/>
    </row>
    <row r="5" spans="1:24" ht="15" x14ac:dyDescent="0.25">
      <c r="A5" s="98" t="s">
        <v>158</v>
      </c>
    </row>
    <row r="6" spans="1:24" ht="15" x14ac:dyDescent="0.25">
      <c r="A6" s="98"/>
    </row>
    <row r="7" spans="1:24" ht="15" x14ac:dyDescent="0.25">
      <c r="A7" s="99" t="s">
        <v>80</v>
      </c>
      <c r="C7" s="24"/>
      <c r="D7" s="24">
        <v>2022</v>
      </c>
      <c r="E7" s="24"/>
      <c r="F7" s="24"/>
      <c r="G7" s="24"/>
      <c r="H7" s="24"/>
      <c r="I7" s="24"/>
      <c r="J7" s="24"/>
      <c r="K7" s="24"/>
      <c r="L7" s="24"/>
      <c r="M7" s="24"/>
      <c r="N7" s="51">
        <v>2023</v>
      </c>
    </row>
    <row r="8" spans="1:24" ht="15" x14ac:dyDescent="0.25">
      <c r="A8" s="98" t="s">
        <v>22</v>
      </c>
      <c r="B8" s="100" t="s">
        <v>106</v>
      </c>
      <c r="C8" s="100" t="s">
        <v>107</v>
      </c>
      <c r="D8" s="100" t="s">
        <v>109</v>
      </c>
      <c r="E8" s="100" t="s">
        <v>110</v>
      </c>
      <c r="F8" s="100" t="s">
        <v>111</v>
      </c>
      <c r="G8" s="100" t="s">
        <v>112</v>
      </c>
      <c r="H8" s="100" t="s">
        <v>113</v>
      </c>
      <c r="I8" s="100" t="s">
        <v>114</v>
      </c>
      <c r="J8" s="100" t="s">
        <v>115</v>
      </c>
      <c r="K8" s="100" t="s">
        <v>116</v>
      </c>
      <c r="L8" s="100" t="s">
        <v>117</v>
      </c>
      <c r="M8" s="100" t="s">
        <v>106</v>
      </c>
      <c r="N8" s="100" t="s">
        <v>107</v>
      </c>
      <c r="O8" s="100" t="s">
        <v>108</v>
      </c>
    </row>
    <row r="9" spans="1:24" ht="15" x14ac:dyDescent="0.25">
      <c r="A9" s="46"/>
      <c r="B9" s="101"/>
      <c r="V9" s="51" t="s">
        <v>262</v>
      </c>
      <c r="W9" s="51" t="s">
        <v>263</v>
      </c>
      <c r="X9" s="51" t="s">
        <v>264</v>
      </c>
    </row>
    <row r="10" spans="1:24" ht="15" x14ac:dyDescent="0.25">
      <c r="A10" s="24" t="s">
        <v>21</v>
      </c>
      <c r="B10" s="101">
        <f>'B&amp;A+DSM $'!B10/(1+B$83+B$87+B$91)</f>
        <v>0</v>
      </c>
      <c r="C10" s="101">
        <f>'B&amp;A+DSM $'!C10/(1+C$83+C$87+C$91)</f>
        <v>0</v>
      </c>
      <c r="D10" s="101">
        <f>'B&amp;A+DSM $'!D10/(1+D$83+D$87+D$91)</f>
        <v>20447578.833962545</v>
      </c>
      <c r="E10" s="101">
        <f>'B&amp;A+DSM $'!E10/(1+E$83+E$87+E$91)</f>
        <v>18757547.692395411</v>
      </c>
      <c r="F10" s="101">
        <f>'B&amp;A+DSM $'!F10/(1+F$83+F$87+F$91)</f>
        <v>23249591.842823546</v>
      </c>
      <c r="G10" s="101">
        <f>'B&amp;A+DSM $'!G10/(1+G$83+G$87+G$91)</f>
        <v>26715469.682939213</v>
      </c>
      <c r="H10" s="101">
        <f>'B&amp;A+DSM $'!H10/(1+H$83+H$87+H$91)</f>
        <v>24893231.146640278</v>
      </c>
      <c r="I10" s="101">
        <f>'B&amp;A+DSM $'!I10/(1+I$83+I$87+I$91)</f>
        <v>18406081.414392196</v>
      </c>
      <c r="J10" s="101">
        <f>'B&amp;A+DSM $'!J10/(1+J$83+J$87+J$91)</f>
        <v>20084634.766652286</v>
      </c>
      <c r="K10" s="101">
        <f>'B&amp;A+DSM $'!K10/(1+K$83+K$87+K$91)</f>
        <v>26021171.786141161</v>
      </c>
      <c r="L10" s="101">
        <f>'B&amp;A+DSM $'!L10/(1+L$83+L$87+L$91)</f>
        <v>29581957.171454515</v>
      </c>
      <c r="M10" s="101">
        <f>'B&amp;A+DSM $'!M10/(1+M$83+M$87+M$91)</f>
        <v>29837219.775363915</v>
      </c>
      <c r="N10" s="101">
        <f>'B&amp;A+DSM $'!N10/(1+N$83+N$87+N$91)</f>
        <v>19734259.113087736</v>
      </c>
      <c r="O10" s="101">
        <f>'B&amp;A+DSM $'!O10/(1+O$83+O$87+O$91)</f>
        <v>15535799.003062764</v>
      </c>
      <c r="U10" s="51" t="s">
        <v>21</v>
      </c>
      <c r="V10" s="51">
        <v>10</v>
      </c>
      <c r="W10" s="51">
        <v>12</v>
      </c>
      <c r="X10" s="51">
        <v>10</v>
      </c>
    </row>
    <row r="11" spans="1:24" ht="15" x14ac:dyDescent="0.25">
      <c r="A11" s="24"/>
      <c r="V11" s="51">
        <v>11</v>
      </c>
      <c r="W11" s="51">
        <v>13</v>
      </c>
      <c r="X11" s="51">
        <v>11</v>
      </c>
    </row>
    <row r="12" spans="1:24" ht="15" x14ac:dyDescent="0.25">
      <c r="A12" s="24" t="s">
        <v>20</v>
      </c>
      <c r="B12" s="101">
        <f>'B&amp;A+DSM $'!B12/(1+B$83+B$87+B$91)</f>
        <v>0</v>
      </c>
      <c r="C12" s="101">
        <f>'B&amp;A+DSM $'!C12/(1+C$83+C$87+C$91)</f>
        <v>0</v>
      </c>
      <c r="D12" s="101">
        <f>'B&amp;A+DSM $'!D12/(1+D$83+D$87+D$91)</f>
        <v>27838.736945932927</v>
      </c>
      <c r="E12" s="101">
        <f>'B&amp;A+DSM $'!E12/(1+E$83+E$87+E$91)</f>
        <v>25897.866024769577</v>
      </c>
      <c r="F12" s="101">
        <f>'B&amp;A+DSM $'!F12/(1+F$83+F$87+F$91)</f>
        <v>32951.714585618072</v>
      </c>
      <c r="G12" s="101">
        <f>'B&amp;A+DSM $'!G12/(1+G$83+G$87+G$91)</f>
        <v>39339.760595507949</v>
      </c>
      <c r="H12" s="101">
        <f>'B&amp;A+DSM $'!H12/(1+H$83+H$87+H$91)</f>
        <v>35265.442505756459</v>
      </c>
      <c r="I12" s="101">
        <f>'B&amp;A+DSM $'!I12/(1+I$83+I$87+I$91)</f>
        <v>28415.772281847876</v>
      </c>
      <c r="J12" s="101">
        <f>'B&amp;A+DSM $'!J12/(1+J$83+J$87+J$91)</f>
        <v>27217.94038528328</v>
      </c>
      <c r="K12" s="101">
        <f>'B&amp;A+DSM $'!K12/(1+K$83+K$87+K$91)</f>
        <v>34347.707764109371</v>
      </c>
      <c r="L12" s="101">
        <f>'B&amp;A+DSM $'!L12/(1+L$83+L$87+L$91)</f>
        <v>45347.194243171318</v>
      </c>
      <c r="M12" s="101">
        <f>'B&amp;A+DSM $'!M12/(1+M$83+M$87+M$91)</f>
        <v>49830.53594648141</v>
      </c>
      <c r="N12" s="101">
        <f>'B&amp;A+DSM $'!N12/(1+N$83+N$87+N$91)</f>
        <v>26905.254790409683</v>
      </c>
      <c r="O12" s="101">
        <f>'B&amp;A+DSM $'!O12/(1+O$83+O$87+O$91)</f>
        <v>20051.910796366341</v>
      </c>
      <c r="U12" s="51" t="s">
        <v>20</v>
      </c>
      <c r="V12" s="51">
        <v>12</v>
      </c>
      <c r="W12" s="51">
        <v>14</v>
      </c>
      <c r="X12" s="51">
        <v>12</v>
      </c>
    </row>
    <row r="13" spans="1:24" ht="15" x14ac:dyDescent="0.25">
      <c r="A13" s="24"/>
      <c r="V13" s="51">
        <v>13</v>
      </c>
      <c r="W13" s="51">
        <v>15</v>
      </c>
      <c r="X13" s="51">
        <v>13</v>
      </c>
    </row>
    <row r="14" spans="1:24" ht="15" x14ac:dyDescent="0.25">
      <c r="A14" s="24" t="s">
        <v>19</v>
      </c>
      <c r="B14" s="101">
        <f>'B&amp;A+DSM $'!B14/(1+B$83+B$87+B$91)</f>
        <v>0</v>
      </c>
      <c r="C14" s="101">
        <f>'B&amp;A+DSM $'!C14/(1+C$83+C$87+C$91)</f>
        <v>0</v>
      </c>
      <c r="D14" s="101">
        <f>'B&amp;A+DSM $'!D14/(1+D$83+D$87+D$91)</f>
        <v>817.07972887759354</v>
      </c>
      <c r="E14" s="101">
        <f>'B&amp;A+DSM $'!E14/(1+E$83+E$87+E$91)</f>
        <v>773.85777893392105</v>
      </c>
      <c r="F14" s="101">
        <f>'B&amp;A+DSM $'!F14/(1+F$83+F$87+F$91)</f>
        <v>1054.3013139324942</v>
      </c>
      <c r="G14" s="101">
        <f>'B&amp;A+DSM $'!G14/(1+G$83+G$87+G$91)</f>
        <v>1214.613112901957</v>
      </c>
      <c r="H14" s="101">
        <f>'B&amp;A+DSM $'!H14/(1+H$83+H$87+H$91)</f>
        <v>1339.6934488837978</v>
      </c>
      <c r="I14" s="101">
        <f>'B&amp;A+DSM $'!I14/(1+I$83+I$87+I$91)</f>
        <v>1145.5182267128137</v>
      </c>
      <c r="J14" s="101">
        <f>'B&amp;A+DSM $'!J14/(1+J$83+J$87+J$91)</f>
        <v>1260.97185898774</v>
      </c>
      <c r="K14" s="101">
        <f>'B&amp;A+DSM $'!K14/(1+K$83+K$87+K$91)</f>
        <v>846.91484379379369</v>
      </c>
      <c r="L14" s="101">
        <f>'B&amp;A+DSM $'!L14/(1+L$83+L$87+L$91)</f>
        <v>2130.8251629474776</v>
      </c>
      <c r="M14" s="101">
        <f>'B&amp;A+DSM $'!M14/(1+M$83+M$87+M$91)</f>
        <v>2311.1130025969696</v>
      </c>
      <c r="N14" s="101">
        <f>'B&amp;A+DSM $'!N14/(1+N$83+N$87+N$91)</f>
        <v>1319.1335283068393</v>
      </c>
      <c r="O14" s="101">
        <f>'B&amp;A+DSM $'!O14/(1+O$83+O$87+O$91)</f>
        <v>953.29164437838165</v>
      </c>
      <c r="U14" s="51" t="s">
        <v>19</v>
      </c>
      <c r="V14" s="51">
        <v>14</v>
      </c>
      <c r="W14" s="51">
        <v>16</v>
      </c>
      <c r="X14" s="51">
        <v>14</v>
      </c>
    </row>
    <row r="15" spans="1:24" ht="15" x14ac:dyDescent="0.25">
      <c r="A15" s="24"/>
      <c r="V15" s="51">
        <v>15</v>
      </c>
      <c r="W15" s="51">
        <v>17</v>
      </c>
      <c r="X15" s="51">
        <v>15</v>
      </c>
    </row>
    <row r="16" spans="1:24" ht="15" x14ac:dyDescent="0.25">
      <c r="A16" s="43" t="s">
        <v>172</v>
      </c>
      <c r="D16" s="101">
        <f>'B&amp;A+DSM $'!D16/(1+D$83+D$87+D$91)</f>
        <v>0</v>
      </c>
      <c r="E16" s="101">
        <f>'B&amp;A+DSM $'!E16/(1+E$83+E$87+E$91)</f>
        <v>0</v>
      </c>
      <c r="F16" s="101">
        <f>'B&amp;A+DSM $'!F16/(1+F$83+F$87+F$91)</f>
        <v>0</v>
      </c>
      <c r="G16" s="101">
        <f>'B&amp;A+DSM $'!G16/(1+G$83+G$87+G$91)</f>
        <v>0</v>
      </c>
      <c r="H16" s="101">
        <f>'B&amp;A+DSM $'!H16/(1+H$83+H$87+H$91)</f>
        <v>0</v>
      </c>
      <c r="I16" s="101">
        <f>'B&amp;A+DSM $'!I16/(1+I$83+I$87+I$91)</f>
        <v>0</v>
      </c>
      <c r="J16" s="101">
        <f>'B&amp;A+DSM $'!J16/(1+J$83+J$87+J$91)</f>
        <v>0</v>
      </c>
      <c r="K16" s="101">
        <f>'B&amp;A+DSM $'!K16/(1+K$83+K$87+K$91)</f>
        <v>0</v>
      </c>
      <c r="L16" s="101">
        <f>'B&amp;A+DSM $'!L16/(1+L$83+L$87+L$91)</f>
        <v>0</v>
      </c>
      <c r="M16" s="101">
        <f>'B&amp;A+DSM $'!M16/(1+M$83+M$87+M$91)</f>
        <v>0</v>
      </c>
      <c r="N16" s="101">
        <f>'B&amp;A+DSM $'!N16/(1+N$83+N$87+N$91)</f>
        <v>0</v>
      </c>
      <c r="O16" s="101">
        <f>'B&amp;A+DSM $'!O16/(1+O$83+O$87+O$91)</f>
        <v>0</v>
      </c>
      <c r="U16" s="51" t="s">
        <v>172</v>
      </c>
      <c r="V16" s="51">
        <v>16</v>
      </c>
      <c r="W16" s="51">
        <v>18</v>
      </c>
      <c r="X16" s="51">
        <v>16</v>
      </c>
    </row>
    <row r="17" spans="1:24" ht="15" x14ac:dyDescent="0.25">
      <c r="A17" s="43" t="s">
        <v>174</v>
      </c>
      <c r="D17" s="101">
        <f>'B&amp;A+DSM - Fuel and % Riders'!D17+FAC!D19+'B&amp;A kWh'!E17*'B&amp;A+DSM - Fuel and % Riders'!$D$81</f>
        <v>723534.7233324073</v>
      </c>
      <c r="E17" s="101">
        <f>'B&amp;A+DSM - Fuel and % Riders'!E17+FAC!E19+'B&amp;A kWh'!F17*'B&amp;A+DSM - Fuel and % Riders'!$D$81</f>
        <v>802686.16700395348</v>
      </c>
      <c r="F17" s="101">
        <f>'B&amp;A+DSM - Fuel and % Riders'!F17+FAC!F19+'B&amp;A kWh'!G17*'B&amp;A+DSM - Fuel and % Riders'!$D$81</f>
        <v>742160.40957379295</v>
      </c>
      <c r="G17" s="101">
        <f>'B&amp;A+DSM - Fuel and % Riders'!G17+FAC!G19+'B&amp;A kWh'!H17*'B&amp;A+DSM - Fuel and % Riders'!$D$81</f>
        <v>700994.07367918396</v>
      </c>
      <c r="H17" s="101">
        <f>'B&amp;A+DSM - Fuel and % Riders'!H17+FAC!H19+'B&amp;A kWh'!I17*'B&amp;A+DSM - Fuel and % Riders'!$D$81</f>
        <v>751350.73184916831</v>
      </c>
      <c r="I17" s="101">
        <f>'B&amp;A+DSM - Fuel and % Riders'!I17+FAC!I19+'B&amp;A kWh'!J17*'B&amp;A+DSM - Fuel and % Riders'!$D$81</f>
        <v>656744.58685126062</v>
      </c>
      <c r="J17" s="101">
        <f>'B&amp;A+DSM - Fuel and % Riders'!J17+FAC!J19+'B&amp;A kWh'!K17*'B&amp;A+DSM - Fuel and % Riders'!$D$81</f>
        <v>914029.11874618195</v>
      </c>
      <c r="K17" s="101">
        <f>'B&amp;A+DSM - Fuel and % Riders'!K17+FAC!K19+'B&amp;A kWh'!L17*'B&amp;A+DSM - Fuel and % Riders'!$D$81</f>
        <v>1010228.2282828535</v>
      </c>
      <c r="L17" s="101">
        <f>'B&amp;A+DSM - Fuel and % Riders'!L17+FAC!L19+'B&amp;A kWh'!M17*'B&amp;A+DSM - Fuel and % Riders'!$D$81</f>
        <v>688610.5512770887</v>
      </c>
      <c r="M17" s="101">
        <f>'B&amp;A+DSM - Fuel and % Riders'!M17+FAC!M19+'B&amp;A kWh'!N17*'B&amp;A+DSM - Fuel and % Riders'!$D$81</f>
        <v>606566.23611536564</v>
      </c>
      <c r="N17" s="101">
        <f>'B&amp;A+DSM - Fuel and % Riders'!N17+FAC!N19+'B&amp;A kWh'!O17*'B&amp;A+DSM - Fuel and % Riders'!$D$81</f>
        <v>644237.85074131796</v>
      </c>
      <c r="O17" s="101">
        <f>'B&amp;A+DSM - Fuel and % Riders'!O17+FAC!O19+'B&amp;A kWh'!P17*'B&amp;A+DSM - Fuel and % Riders'!$D$81</f>
        <v>669214.68562492798</v>
      </c>
      <c r="U17" s="51" t="s">
        <v>174</v>
      </c>
      <c r="V17" s="51">
        <v>17</v>
      </c>
      <c r="W17" s="51">
        <v>19</v>
      </c>
      <c r="X17" s="51">
        <v>17</v>
      </c>
    </row>
    <row r="18" spans="1:24" ht="15" x14ac:dyDescent="0.25">
      <c r="A18" s="102" t="s">
        <v>18</v>
      </c>
      <c r="B18" s="101" t="e">
        <f>'B&amp;A+DSM - Fuel and % Riders'!B18+FAC!B20+'B&amp;A kWh'!C18*'B&amp;A+DSM - Fuel and % Riders'!$D$81</f>
        <v>#REF!</v>
      </c>
      <c r="C18" s="101" t="e">
        <f>'B&amp;A+DSM - Fuel and % Riders'!C18+FAC!C20+'B&amp;A kWh'!D18*'B&amp;A+DSM - Fuel and % Riders'!$D$81</f>
        <v>#REF!</v>
      </c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U18" s="51" t="s">
        <v>18</v>
      </c>
      <c r="V18" s="51">
        <v>18</v>
      </c>
      <c r="W18" s="51">
        <v>20</v>
      </c>
      <c r="X18" s="51">
        <v>18</v>
      </c>
    </row>
    <row r="19" spans="1:24" ht="15" x14ac:dyDescent="0.25">
      <c r="A19" s="24"/>
      <c r="V19" s="51">
        <v>19</v>
      </c>
      <c r="W19" s="51">
        <v>21</v>
      </c>
      <c r="X19" s="51">
        <v>19</v>
      </c>
    </row>
    <row r="20" spans="1:24" ht="15" x14ac:dyDescent="0.25">
      <c r="A20" s="24" t="s">
        <v>17</v>
      </c>
      <c r="B20" s="101">
        <f>'B&amp;A+DSM - Fuel and % Riders'!B20+FAC!B22+'B&amp;A kWh'!C20*'B&amp;A+DSM - Fuel and % Riders'!$D$81</f>
        <v>0</v>
      </c>
      <c r="C20" s="101">
        <f>'B&amp;A+DSM - Fuel and % Riders'!C20+FAC!C22+'B&amp;A kWh'!D20*'B&amp;A+DSM - Fuel and % Riders'!$D$81</f>
        <v>0</v>
      </c>
      <c r="D20" s="101">
        <f>'B&amp;A+DSM - Fuel and % Riders'!D20+FAC!D22+'B&amp;A kWh'!E20*'B&amp;A+DSM - Fuel and % Riders'!$D$81</f>
        <v>1788518.9592507938</v>
      </c>
      <c r="E20" s="101">
        <f>'B&amp;A+DSM - Fuel and % Riders'!E20+FAC!E22+'B&amp;A kWh'!F20*'B&amp;A+DSM - Fuel and % Riders'!$D$81</f>
        <v>2038180.4292645385</v>
      </c>
      <c r="F20" s="101">
        <f>'B&amp;A+DSM - Fuel and % Riders'!F20+FAC!F22+'B&amp;A kWh'!G20*'B&amp;A+DSM - Fuel and % Riders'!$D$81</f>
        <v>2229711.0031354725</v>
      </c>
      <c r="G20" s="101">
        <f>'B&amp;A+DSM - Fuel and % Riders'!G20+FAC!G22+'B&amp;A kWh'!H20*'B&amp;A+DSM - Fuel and % Riders'!$D$81</f>
        <v>2316794.5429734206</v>
      </c>
      <c r="H20" s="101">
        <f>'B&amp;A+DSM - Fuel and % Riders'!H20+FAC!H22+'B&amp;A kWh'!I20*'B&amp;A+DSM - Fuel and % Riders'!$D$81</f>
        <v>2248963.8041390134</v>
      </c>
      <c r="I20" s="101">
        <f>'B&amp;A+DSM - Fuel and % Riders'!I20+FAC!I22+'B&amp;A kWh'!J20*'B&amp;A+DSM - Fuel and % Riders'!$D$81</f>
        <v>1884278.5131884462</v>
      </c>
      <c r="J20" s="101">
        <f>'B&amp;A+DSM - Fuel and % Riders'!J20+FAC!J22+'B&amp;A kWh'!K20*'B&amp;A+DSM - Fuel and % Riders'!$D$81</f>
        <v>2145630.1901245913</v>
      </c>
      <c r="K20" s="101">
        <f>'B&amp;A+DSM - Fuel and % Riders'!K20+FAC!K22+'B&amp;A kWh'!L20*'B&amp;A+DSM - Fuel and % Riders'!$D$81</f>
        <v>2411113.8947594841</v>
      </c>
      <c r="L20" s="101">
        <f>'B&amp;A+DSM - Fuel and % Riders'!L20+FAC!L22+'B&amp;A kWh'!M20*'B&amp;A+DSM - Fuel and % Riders'!$D$81</f>
        <v>2702707.71259289</v>
      </c>
      <c r="M20" s="101">
        <f>'B&amp;A+DSM - Fuel and % Riders'!M20+FAC!M22+'B&amp;A kWh'!N20*'B&amp;A+DSM - Fuel and % Riders'!$D$81</f>
        <v>2578087.1380863534</v>
      </c>
      <c r="N20" s="101">
        <f>'B&amp;A+DSM - Fuel and % Riders'!N20+FAC!N22+'B&amp;A kWh'!O20*'B&amp;A+DSM - Fuel and % Riders'!$D$81</f>
        <v>2065789.5611978178</v>
      </c>
      <c r="O20" s="101">
        <f>'B&amp;A+DSM - Fuel and % Riders'!O20+FAC!O22+'B&amp;A kWh'!P20*'B&amp;A+DSM - Fuel and % Riders'!$D$81</f>
        <v>1907396.4410071475</v>
      </c>
      <c r="U20" s="51" t="s">
        <v>17</v>
      </c>
      <c r="V20" s="51">
        <v>20</v>
      </c>
      <c r="W20" s="51">
        <v>22</v>
      </c>
      <c r="X20" s="51">
        <v>20</v>
      </c>
    </row>
    <row r="21" spans="1:24" ht="15" x14ac:dyDescent="0.25">
      <c r="A21" s="24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V21" s="51">
        <v>21</v>
      </c>
      <c r="W21" s="51">
        <v>23</v>
      </c>
      <c r="X21" s="51">
        <v>21</v>
      </c>
    </row>
    <row r="22" spans="1:24" ht="15" x14ac:dyDescent="0.25">
      <c r="A22" s="24" t="s">
        <v>16</v>
      </c>
      <c r="B22" s="101">
        <f>'B&amp;A+DSM - Fuel and % Riders'!B22+FAC!B24+'B&amp;A kWh'!C22*'B&amp;A+DSM - Fuel and % Riders'!$D$81</f>
        <v>0</v>
      </c>
      <c r="C22" s="101">
        <f>'B&amp;A+DSM - Fuel and % Riders'!C22+FAC!C24+'B&amp;A kWh'!D22*'B&amp;A+DSM - Fuel and % Riders'!$D$81</f>
        <v>0</v>
      </c>
      <c r="D22" s="101">
        <f>'B&amp;A+DSM - Fuel and % Riders'!D22+FAC!D24+'B&amp;A kWh'!E22*'B&amp;A+DSM - Fuel and % Riders'!$D$81</f>
        <v>10127.003591964738</v>
      </c>
      <c r="E22" s="101">
        <f>'B&amp;A+DSM - Fuel and % Riders'!E22+FAC!E24+'B&amp;A kWh'!F22*'B&amp;A+DSM - Fuel and % Riders'!$D$81</f>
        <v>11119.158295422189</v>
      </c>
      <c r="F22" s="101">
        <f>'B&amp;A+DSM - Fuel and % Riders'!F22+FAC!F24+'B&amp;A kWh'!G22*'B&amp;A+DSM - Fuel and % Riders'!$D$81</f>
        <v>11884.034110234592</v>
      </c>
      <c r="G22" s="101">
        <f>'B&amp;A+DSM - Fuel and % Riders'!G22+FAC!G24+'B&amp;A kWh'!H22*'B&amp;A+DSM - Fuel and % Riders'!$D$81</f>
        <v>10866.821395959416</v>
      </c>
      <c r="H22" s="101">
        <f>'B&amp;A+DSM - Fuel and % Riders'!H22+FAC!H24+'B&amp;A kWh'!I22*'B&amp;A+DSM - Fuel and % Riders'!$D$81</f>
        <v>10165.377609755355</v>
      </c>
      <c r="I22" s="101">
        <f>'B&amp;A+DSM - Fuel and % Riders'!I22+FAC!I24+'B&amp;A kWh'!J22*'B&amp;A+DSM - Fuel and % Riders'!$D$81</f>
        <v>9450.4700612393299</v>
      </c>
      <c r="J22" s="101">
        <f>'B&amp;A+DSM - Fuel and % Riders'!J22+FAC!J24+'B&amp;A kWh'!K22*'B&amp;A+DSM - Fuel and % Riders'!$D$81</f>
        <v>10992.782258663328</v>
      </c>
      <c r="K22" s="101">
        <f>'B&amp;A+DSM - Fuel and % Riders'!K22+FAC!K24+'B&amp;A kWh'!L22*'B&amp;A+DSM - Fuel and % Riders'!$D$81</f>
        <v>12998.693628740832</v>
      </c>
      <c r="L22" s="101">
        <f>'B&amp;A+DSM - Fuel and % Riders'!L22+FAC!L24+'B&amp;A kWh'!M22*'B&amp;A+DSM - Fuel and % Riders'!$D$81</f>
        <v>11883.105665063571</v>
      </c>
      <c r="M22" s="101">
        <f>'B&amp;A+DSM - Fuel and % Riders'!M22+FAC!M24+'B&amp;A kWh'!N22*'B&amp;A+DSM - Fuel and % Riders'!$D$81</f>
        <v>10937.960886291512</v>
      </c>
      <c r="N22" s="101">
        <f>'B&amp;A+DSM - Fuel and % Riders'!N22+FAC!N24+'B&amp;A kWh'!O22*'B&amp;A+DSM - Fuel and % Riders'!$D$81</f>
        <v>9868.0837466357043</v>
      </c>
      <c r="O22" s="101">
        <f>'B&amp;A+DSM - Fuel and % Riders'!O22+FAC!O24+'B&amp;A kWh'!P22*'B&amp;A+DSM - Fuel and % Riders'!$D$81</f>
        <v>8648.1462282984721</v>
      </c>
      <c r="U22" s="51" t="s">
        <v>16</v>
      </c>
      <c r="V22" s="51">
        <v>22</v>
      </c>
      <c r="W22" s="51">
        <v>24</v>
      </c>
      <c r="X22" s="51">
        <v>22</v>
      </c>
    </row>
    <row r="23" spans="1:24" ht="15" x14ac:dyDescent="0.25">
      <c r="A23" s="24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V23" s="51">
        <v>23</v>
      </c>
      <c r="W23" s="51">
        <v>25</v>
      </c>
      <c r="X23" s="51">
        <v>23</v>
      </c>
    </row>
    <row r="24" spans="1:24" ht="15" x14ac:dyDescent="0.25">
      <c r="A24" s="24" t="s">
        <v>15</v>
      </c>
      <c r="B24" s="101">
        <f>'B&amp;A+DSM - Fuel and % Riders'!B24+FAC!B26+'B&amp;A kWh'!C24*'B&amp;A+DSM - Fuel and % Riders'!$D$81</f>
        <v>0</v>
      </c>
      <c r="C24" s="101">
        <f>'B&amp;A+DSM - Fuel and % Riders'!C24+FAC!C26+'B&amp;A kWh'!D24*'B&amp;A+DSM - Fuel and % Riders'!$D$81</f>
        <v>0</v>
      </c>
      <c r="D24" s="101">
        <f>'B&amp;A+DSM - Fuel and % Riders'!D24+FAC!D26+'B&amp;A kWh'!E24*'B&amp;A+DSM - Fuel and % Riders'!$D$81</f>
        <v>101218.76546844139</v>
      </c>
      <c r="E24" s="101">
        <f>'B&amp;A+DSM - Fuel and % Riders'!E24+FAC!E26+'B&amp;A kWh'!F24*'B&amp;A+DSM - Fuel and % Riders'!$D$81</f>
        <v>117211.16015699733</v>
      </c>
      <c r="F24" s="101">
        <f>'B&amp;A+DSM - Fuel and % Riders'!F24+FAC!F26+'B&amp;A kWh'!G24*'B&amp;A+DSM - Fuel and % Riders'!$D$81</f>
        <v>142621.41305797675</v>
      </c>
      <c r="G24" s="101">
        <f>'B&amp;A+DSM - Fuel and % Riders'!G24+FAC!G26+'B&amp;A kWh'!H24*'B&amp;A+DSM - Fuel and % Riders'!$D$81</f>
        <v>120593.30689254944</v>
      </c>
      <c r="H24" s="101">
        <f>'B&amp;A+DSM - Fuel and % Riders'!H24+FAC!H26+'B&amp;A kWh'!I24*'B&amp;A+DSM - Fuel and % Riders'!$D$81</f>
        <v>120306.65257047515</v>
      </c>
      <c r="I24" s="101">
        <f>'B&amp;A+DSM - Fuel and % Riders'!I24+FAC!I26+'B&amp;A kWh'!J24*'B&amp;A+DSM - Fuel and % Riders'!$D$81</f>
        <v>104251.47396820692</v>
      </c>
      <c r="J24" s="101">
        <f>'B&amp;A+DSM - Fuel and % Riders'!J24+FAC!J26+'B&amp;A kWh'!K24*'B&amp;A+DSM - Fuel and % Riders'!$D$81</f>
        <v>116006.2252084939</v>
      </c>
      <c r="K24" s="101">
        <f>'B&amp;A+DSM - Fuel and % Riders'!K24+FAC!K26+'B&amp;A kWh'!L24*'B&amp;A+DSM - Fuel and % Riders'!$D$81</f>
        <v>129110.65087314324</v>
      </c>
      <c r="L24" s="101">
        <f>'B&amp;A+DSM - Fuel and % Riders'!L24+FAC!L26+'B&amp;A kWh'!M24*'B&amp;A+DSM - Fuel and % Riders'!$D$81</f>
        <v>122760.60047304722</v>
      </c>
      <c r="M24" s="101">
        <f>'B&amp;A+DSM - Fuel and % Riders'!M24+FAC!M26+'B&amp;A kWh'!N24*'B&amp;A+DSM - Fuel and % Riders'!$D$81</f>
        <v>102017.12310278128</v>
      </c>
      <c r="N24" s="101">
        <f>'B&amp;A+DSM - Fuel and % Riders'!N24+FAC!N26+'B&amp;A kWh'!O24*'B&amp;A+DSM - Fuel and % Riders'!$D$81</f>
        <v>90452.119756317537</v>
      </c>
      <c r="O24" s="101">
        <f>'B&amp;A+DSM - Fuel and % Riders'!O24+FAC!O26+'B&amp;A kWh'!P24*'B&amp;A+DSM - Fuel and % Riders'!$D$81</f>
        <v>95319.934245638564</v>
      </c>
      <c r="U24" s="51" t="s">
        <v>15</v>
      </c>
      <c r="V24" s="51">
        <v>24</v>
      </c>
      <c r="W24" s="51">
        <v>26</v>
      </c>
      <c r="X24" s="51">
        <v>24</v>
      </c>
    </row>
    <row r="25" spans="1:24" ht="15" x14ac:dyDescent="0.25">
      <c r="A25" s="24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V25" s="51">
        <v>25</v>
      </c>
      <c r="W25" s="51">
        <v>27</v>
      </c>
      <c r="X25" s="51">
        <v>25</v>
      </c>
    </row>
    <row r="26" spans="1:24" ht="15" x14ac:dyDescent="0.25">
      <c r="A26" s="24" t="s">
        <v>14</v>
      </c>
      <c r="B26" s="101">
        <f>'B&amp;A+DSM - Fuel and % Riders'!B26+FAC!B28+'B&amp;A kWh'!C26*'B&amp;A+DSM - Fuel and % Riders'!$D$81</f>
        <v>0</v>
      </c>
      <c r="C26" s="101">
        <f>'B&amp;A+DSM - Fuel and % Riders'!C26+FAC!C28+'B&amp;A kWh'!D26*'B&amp;A+DSM - Fuel and % Riders'!$D$81</f>
        <v>0</v>
      </c>
      <c r="D26" s="101">
        <f>'B&amp;A+DSM - Fuel and % Riders'!D26+FAC!D28+'B&amp;A kWh'!E26*'B&amp;A+DSM - Fuel and % Riders'!$D$81</f>
        <v>48803.788109000008</v>
      </c>
      <c r="E26" s="101">
        <f>'B&amp;A+DSM - Fuel and % Riders'!E26+FAC!E28+'B&amp;A kWh'!F26*'B&amp;A+DSM - Fuel and % Riders'!$D$81</f>
        <v>60193.775838157751</v>
      </c>
      <c r="F26" s="101">
        <f>'B&amp;A+DSM - Fuel and % Riders'!F26+FAC!F28+'B&amp;A kWh'!G26*'B&amp;A+DSM - Fuel and % Riders'!$D$81</f>
        <v>53886.423178550998</v>
      </c>
      <c r="G26" s="101">
        <f>'B&amp;A+DSM - Fuel and % Riders'!G26+FAC!G28+'B&amp;A kWh'!H26*'B&amp;A+DSM - Fuel and % Riders'!$D$81</f>
        <v>52390.407883525026</v>
      </c>
      <c r="H26" s="101">
        <f>'B&amp;A+DSM - Fuel and % Riders'!H26+FAC!H28+'B&amp;A kWh'!I26*'B&amp;A+DSM - Fuel and % Riders'!$D$81</f>
        <v>51697.818709063831</v>
      </c>
      <c r="I26" s="101">
        <f>'B&amp;A+DSM - Fuel and % Riders'!I26+FAC!I28+'B&amp;A kWh'!J26*'B&amp;A+DSM - Fuel and % Riders'!$D$81</f>
        <v>46304.939652209679</v>
      </c>
      <c r="J26" s="101">
        <f>'B&amp;A+DSM - Fuel and % Riders'!J26+FAC!J28+'B&amp;A kWh'!K26*'B&amp;A+DSM - Fuel and % Riders'!$D$81</f>
        <v>62797.491105081484</v>
      </c>
      <c r="K26" s="101">
        <f>'B&amp;A+DSM - Fuel and % Riders'!K26+FAC!K28+'B&amp;A kWh'!L26*'B&amp;A+DSM - Fuel and % Riders'!$D$81</f>
        <v>65698.178485788027</v>
      </c>
      <c r="L26" s="101">
        <f>'B&amp;A+DSM - Fuel and % Riders'!L26+FAC!L28+'B&amp;A kWh'!M26*'B&amp;A+DSM - Fuel and % Riders'!$D$81</f>
        <v>64703.26326977602</v>
      </c>
      <c r="M26" s="101">
        <f>'B&amp;A+DSM - Fuel and % Riders'!M26+FAC!M28+'B&amp;A kWh'!N26*'B&amp;A+DSM - Fuel and % Riders'!$D$81</f>
        <v>86974.42791275261</v>
      </c>
      <c r="N26" s="101">
        <f>'B&amp;A+DSM - Fuel and % Riders'!N26+FAC!N28+'B&amp;A kWh'!O26*'B&amp;A+DSM - Fuel and % Riders'!$D$81</f>
        <v>21288.211743955224</v>
      </c>
      <c r="O26" s="101">
        <f>'B&amp;A+DSM - Fuel and % Riders'!O26+FAC!O28+'B&amp;A kWh'!P26*'B&amp;A+DSM - Fuel and % Riders'!$D$81</f>
        <v>47768.114771669279</v>
      </c>
      <c r="U26" s="51" t="s">
        <v>14</v>
      </c>
      <c r="V26" s="51">
        <v>26</v>
      </c>
      <c r="W26" s="51">
        <v>28</v>
      </c>
      <c r="X26" s="51">
        <v>26</v>
      </c>
    </row>
    <row r="27" spans="1:24" ht="15" x14ac:dyDescent="0.25">
      <c r="A27" s="24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V27" s="51">
        <v>27</v>
      </c>
      <c r="W27" s="51">
        <v>29</v>
      </c>
      <c r="X27" s="51">
        <v>27</v>
      </c>
    </row>
    <row r="28" spans="1:24" ht="15" x14ac:dyDescent="0.25">
      <c r="A28" s="24" t="s">
        <v>13</v>
      </c>
      <c r="B28" s="101">
        <f>'B&amp;A+DSM - Fuel and % Riders'!B28+FAC!B30+'B&amp;A kWh'!C28*'B&amp;A+DSM - Fuel and % Riders'!$D$81</f>
        <v>0</v>
      </c>
      <c r="C28" s="101">
        <f>'B&amp;A+DSM - Fuel and % Riders'!C28+FAC!C30+'B&amp;A kWh'!D28*'B&amp;A+DSM - Fuel and % Riders'!$D$81</f>
        <v>0</v>
      </c>
      <c r="D28" s="101">
        <f>'B&amp;A+DSM - Fuel and % Riders'!D28+FAC!D30+'B&amp;A kWh'!E28*'B&amp;A+DSM - Fuel and % Riders'!$D$81</f>
        <v>24511.244548857114</v>
      </c>
      <c r="E28" s="101">
        <f>'B&amp;A+DSM - Fuel and % Riders'!E28+FAC!E30+'B&amp;A kWh'!F28*'B&amp;A+DSM - Fuel and % Riders'!$D$81</f>
        <v>20466.664372069099</v>
      </c>
      <c r="F28" s="101">
        <f>'B&amp;A+DSM - Fuel and % Riders'!F28+FAC!F30+'B&amp;A kWh'!G28*'B&amp;A+DSM - Fuel and % Riders'!$D$81</f>
        <v>12563.972289477217</v>
      </c>
      <c r="G28" s="101">
        <f>'B&amp;A+DSM - Fuel and % Riders'!G28+FAC!G30+'B&amp;A kWh'!H28*'B&amp;A+DSM - Fuel and % Riders'!$D$81</f>
        <v>10962.832030176183</v>
      </c>
      <c r="H28" s="101">
        <f>'B&amp;A+DSM - Fuel and % Riders'!H28+FAC!H30+'B&amp;A kWh'!I28*'B&amp;A+DSM - Fuel and % Riders'!$D$81</f>
        <v>13573.694855811678</v>
      </c>
      <c r="I28" s="101">
        <f>'B&amp;A+DSM - Fuel and % Riders'!I28+FAC!I30+'B&amp;A kWh'!J28*'B&amp;A+DSM - Fuel and % Riders'!$D$81</f>
        <v>13402.716351750019</v>
      </c>
      <c r="J28" s="101">
        <f>'B&amp;A+DSM - Fuel and % Riders'!J28+FAC!J30+'B&amp;A kWh'!K28*'B&amp;A+DSM - Fuel and % Riders'!$D$81</f>
        <v>21279.772400776383</v>
      </c>
      <c r="K28" s="101">
        <f>'B&amp;A+DSM - Fuel and % Riders'!K28+FAC!K30+'B&amp;A kWh'!L28*'B&amp;A+DSM - Fuel and % Riders'!$D$81</f>
        <v>21744.861355516005</v>
      </c>
      <c r="L28" s="101">
        <f>'B&amp;A+DSM - Fuel and % Riders'!L28+FAC!L30+'B&amp;A kWh'!M28*'B&amp;A+DSM - Fuel and % Riders'!$D$81</f>
        <v>18752.034942655213</v>
      </c>
      <c r="M28" s="101">
        <f>'B&amp;A+DSM - Fuel and % Riders'!M28+FAC!M30+'B&amp;A kWh'!N28*'B&amp;A+DSM - Fuel and % Riders'!$D$81</f>
        <v>17567.820268894029</v>
      </c>
      <c r="N28" s="101">
        <f>'B&amp;A+DSM - Fuel and % Riders'!N28+FAC!N30+'B&amp;A kWh'!O28*'B&amp;A+DSM - Fuel and % Riders'!$D$81</f>
        <v>17677.368093209247</v>
      </c>
      <c r="O28" s="101">
        <f>'B&amp;A+DSM - Fuel and % Riders'!O28+FAC!O30+'B&amp;A kWh'!P28*'B&amp;A+DSM - Fuel and % Riders'!$D$81</f>
        <v>18307.7132454282</v>
      </c>
      <c r="U28" s="51" t="s">
        <v>13</v>
      </c>
      <c r="V28" s="51">
        <v>28</v>
      </c>
      <c r="W28" s="51">
        <v>30</v>
      </c>
      <c r="X28" s="51">
        <v>28</v>
      </c>
    </row>
    <row r="29" spans="1:24" ht="15" x14ac:dyDescent="0.25">
      <c r="A29" s="24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V29" s="51">
        <v>29</v>
      </c>
      <c r="W29" s="51">
        <v>31</v>
      </c>
      <c r="X29" s="51">
        <v>29</v>
      </c>
    </row>
    <row r="30" spans="1:24" ht="15" x14ac:dyDescent="0.25">
      <c r="A30" s="24" t="s">
        <v>12</v>
      </c>
      <c r="B30" s="101">
        <f>'B&amp;A+DSM - Fuel and % Riders'!B30+FAC!B32+'B&amp;A kWh'!C30*'B&amp;A+DSM - Fuel and % Riders'!$D$81</f>
        <v>0</v>
      </c>
      <c r="C30" s="101">
        <f>'B&amp;A+DSM - Fuel and % Riders'!C30+FAC!C32+'B&amp;A kWh'!D30*'B&amp;A+DSM - Fuel and % Riders'!$D$81</f>
        <v>0</v>
      </c>
      <c r="D30" s="101">
        <f>'B&amp;A+DSM - Fuel and % Riders'!D30+FAC!D32+'B&amp;A kWh'!E30*'B&amp;A+DSM - Fuel and % Riders'!$D$81</f>
        <v>4395631.0243531168</v>
      </c>
      <c r="E30" s="101">
        <f>'B&amp;A+DSM - Fuel and % Riders'!E30+FAC!E32+'B&amp;A kWh'!F30*'B&amp;A+DSM - Fuel and % Riders'!$D$81</f>
        <v>5280496.1185427513</v>
      </c>
      <c r="F30" s="101">
        <f>'B&amp;A+DSM - Fuel and % Riders'!F30+FAC!F32+'B&amp;A kWh'!G30*'B&amp;A+DSM - Fuel and % Riders'!$D$81</f>
        <v>6217860.1835182905</v>
      </c>
      <c r="G30" s="101">
        <f>'B&amp;A+DSM - Fuel and % Riders'!G30+FAC!G32+'B&amp;A kWh'!H30*'B&amp;A+DSM - Fuel and % Riders'!$D$81</f>
        <v>6290431.9409825634</v>
      </c>
      <c r="H30" s="101">
        <f>'B&amp;A+DSM - Fuel and % Riders'!H30+FAC!H32+'B&amp;A kWh'!I30*'B&amp;A+DSM - Fuel and % Riders'!$D$81</f>
        <v>6142786.1722808667</v>
      </c>
      <c r="I30" s="101">
        <f>'B&amp;A+DSM - Fuel and % Riders'!I30+FAC!I32+'B&amp;A kWh'!J30*'B&amp;A+DSM - Fuel and % Riders'!$D$81</f>
        <v>5024284.281017229</v>
      </c>
      <c r="J30" s="101">
        <f>'B&amp;A+DSM - Fuel and % Riders'!J30+FAC!J32+'B&amp;A kWh'!K30*'B&amp;A+DSM - Fuel and % Riders'!$D$81</f>
        <v>5588918.8397012278</v>
      </c>
      <c r="K30" s="101">
        <f>'B&amp;A+DSM - Fuel and % Riders'!K30+FAC!K32+'B&amp;A kWh'!L30*'B&amp;A+DSM - Fuel and % Riders'!$D$81</f>
        <v>5937458.1157938549</v>
      </c>
      <c r="L30" s="101">
        <f>'B&amp;A+DSM - Fuel and % Riders'!L30+FAC!L32+'B&amp;A kWh'!M30*'B&amp;A+DSM - Fuel and % Riders'!$D$81</f>
        <v>6618442.439670478</v>
      </c>
      <c r="M30" s="101">
        <f>'B&amp;A+DSM - Fuel and % Riders'!M30+FAC!M32+'B&amp;A kWh'!N30*'B&amp;A+DSM - Fuel and % Riders'!$D$81</f>
        <v>6078267.5209228462</v>
      </c>
      <c r="N30" s="101">
        <f>'B&amp;A+DSM - Fuel and % Riders'!N30+FAC!N32+'B&amp;A kWh'!O30*'B&amp;A+DSM - Fuel and % Riders'!$D$81</f>
        <v>4883799.3190451181</v>
      </c>
      <c r="O30" s="101">
        <f>'B&amp;A+DSM - Fuel and % Riders'!O30+FAC!O32+'B&amp;A kWh'!P30*'B&amp;A+DSM - Fuel and % Riders'!$D$81</f>
        <v>4363715.2238952387</v>
      </c>
      <c r="U30" s="51" t="s">
        <v>12</v>
      </c>
      <c r="V30" s="51">
        <v>30</v>
      </c>
      <c r="W30" s="51">
        <v>32</v>
      </c>
      <c r="X30" s="51">
        <v>30</v>
      </c>
    </row>
    <row r="31" spans="1:24" ht="15" x14ac:dyDescent="0.25">
      <c r="A31" s="24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V31" s="51">
        <v>31</v>
      </c>
      <c r="W31" s="51">
        <v>33</v>
      </c>
      <c r="X31" s="51">
        <v>31</v>
      </c>
    </row>
    <row r="32" spans="1:24" ht="15" x14ac:dyDescent="0.25">
      <c r="A32" s="24" t="s">
        <v>11</v>
      </c>
      <c r="B32" s="101">
        <f>'B&amp;A+DSM - Fuel and % Riders'!B32+FAC!B34+'B&amp;A kWh'!C32*'B&amp;A+DSM - Fuel and % Riders'!$D$81</f>
        <v>0</v>
      </c>
      <c r="C32" s="101">
        <f>'B&amp;A+DSM - Fuel and % Riders'!C32+FAC!C34+'B&amp;A kWh'!D32*'B&amp;A+DSM - Fuel and % Riders'!$D$81</f>
        <v>0</v>
      </c>
      <c r="D32" s="101">
        <f>'B&amp;A+DSM - Fuel and % Riders'!D32+FAC!D34+'B&amp;A kWh'!E32*'B&amp;A+DSM - Fuel and % Riders'!$D$81</f>
        <v>7436.7248099446851</v>
      </c>
      <c r="E32" s="101">
        <f>'B&amp;A+DSM - Fuel and % Riders'!E32+FAC!E34+'B&amp;A kWh'!F32*'B&amp;A+DSM - Fuel and % Riders'!$D$81</f>
        <v>5458.162578505262</v>
      </c>
      <c r="F32" s="101">
        <f>'B&amp;A+DSM - Fuel and % Riders'!F32+FAC!F34+'B&amp;A kWh'!G32*'B&amp;A+DSM - Fuel and % Riders'!$D$81</f>
        <v>8443.1430700224464</v>
      </c>
      <c r="G32" s="101">
        <f>'B&amp;A+DSM - Fuel and % Riders'!G32+FAC!G34+'B&amp;A kWh'!H32*'B&amp;A+DSM - Fuel and % Riders'!$D$81</f>
        <v>10825.208081926659</v>
      </c>
      <c r="H32" s="101">
        <f>'B&amp;A+DSM - Fuel and % Riders'!H32+FAC!H34+'B&amp;A kWh'!I32*'B&amp;A+DSM - Fuel and % Riders'!$D$81</f>
        <v>9432.5137822159413</v>
      </c>
      <c r="I32" s="101">
        <f>'B&amp;A+DSM - Fuel and % Riders'!I32+FAC!I34+'B&amp;A kWh'!J32*'B&amp;A+DSM - Fuel and % Riders'!$D$81</f>
        <v>8896.1932211239782</v>
      </c>
      <c r="J32" s="101">
        <f>'B&amp;A+DSM - Fuel and % Riders'!J32+FAC!J34+'B&amp;A kWh'!K32*'B&amp;A+DSM - Fuel and % Riders'!$D$81</f>
        <v>4603.7849670240266</v>
      </c>
      <c r="K32" s="101">
        <f>'B&amp;A+DSM - Fuel and % Riders'!K32+FAC!K34+'B&amp;A kWh'!L32*'B&amp;A+DSM - Fuel and % Riders'!$D$81</f>
        <v>11042.131351450806</v>
      </c>
      <c r="L32" s="101">
        <f>'B&amp;A+DSM - Fuel and % Riders'!L32+FAC!L34+'B&amp;A kWh'!M32*'B&amp;A+DSM - Fuel and % Riders'!$D$81</f>
        <v>17668.486327247279</v>
      </c>
      <c r="M32" s="101">
        <f>'B&amp;A+DSM - Fuel and % Riders'!M32+FAC!M34+'B&amp;A kWh'!N32*'B&amp;A+DSM - Fuel and % Riders'!$D$81</f>
        <v>17797.602213916885</v>
      </c>
      <c r="N32" s="101">
        <f>'B&amp;A+DSM - Fuel and % Riders'!N32+FAC!N34+'B&amp;A kWh'!O32*'B&amp;A+DSM - Fuel and % Riders'!$D$81</f>
        <v>10363.87287524756</v>
      </c>
      <c r="O32" s="101">
        <f>'B&amp;A+DSM - Fuel and % Riders'!O32+FAC!O34+'B&amp;A kWh'!P32*'B&amp;A+DSM - Fuel and % Riders'!$D$81</f>
        <v>6761.982618632228</v>
      </c>
      <c r="U32" s="51" t="s">
        <v>11</v>
      </c>
      <c r="V32" s="51">
        <v>32</v>
      </c>
      <c r="W32" s="51">
        <v>34</v>
      </c>
      <c r="X32" s="51">
        <v>32</v>
      </c>
    </row>
    <row r="33" spans="1:24" ht="15" x14ac:dyDescent="0.25">
      <c r="A33" s="24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V33" s="51">
        <v>33</v>
      </c>
      <c r="W33" s="51">
        <v>35</v>
      </c>
      <c r="X33" s="51">
        <v>33</v>
      </c>
    </row>
    <row r="34" spans="1:24" ht="15" x14ac:dyDescent="0.25">
      <c r="A34" s="24" t="s">
        <v>10</v>
      </c>
      <c r="B34" s="101">
        <f>'B&amp;A+DSM - Fuel and % Riders'!B34+FAC!B36+'B&amp;A kWh'!C34*'B&amp;A+DSM - Fuel and % Riders'!$D$81</f>
        <v>0</v>
      </c>
      <c r="C34" s="101">
        <f>'B&amp;A+DSM - Fuel and % Riders'!C34+FAC!C36+'B&amp;A kWh'!D34*'B&amp;A+DSM - Fuel and % Riders'!$D$81</f>
        <v>0</v>
      </c>
      <c r="D34" s="101">
        <f>'B&amp;A+DSM - Fuel and % Riders'!D34+FAC!D36+'B&amp;A kWh'!E34*'B&amp;A+DSM - Fuel and % Riders'!$D$81</f>
        <v>75256.351401769381</v>
      </c>
      <c r="E34" s="101">
        <f>'B&amp;A+DSM - Fuel and % Riders'!E34+FAC!E36+'B&amp;A kWh'!F34*'B&amp;A+DSM - Fuel and % Riders'!$D$81</f>
        <v>93703.130285288556</v>
      </c>
      <c r="F34" s="101">
        <f>'B&amp;A+DSM - Fuel and % Riders'!F34+FAC!F36+'B&amp;A kWh'!G34*'B&amp;A+DSM - Fuel and % Riders'!$D$81</f>
        <v>107416.61716574518</v>
      </c>
      <c r="G34" s="101">
        <f>'B&amp;A+DSM - Fuel and % Riders'!G34+FAC!G36+'B&amp;A kWh'!H34*'B&amp;A+DSM - Fuel and % Riders'!$D$81</f>
        <v>108736.05296554472</v>
      </c>
      <c r="H34" s="101">
        <f>'B&amp;A+DSM - Fuel and % Riders'!H34+FAC!H36+'B&amp;A kWh'!I34*'B&amp;A+DSM - Fuel and % Riders'!$D$81</f>
        <v>97302.419610981844</v>
      </c>
      <c r="I34" s="101">
        <f>'B&amp;A+DSM - Fuel and % Riders'!I34+FAC!I36+'B&amp;A kWh'!J34*'B&amp;A+DSM - Fuel and % Riders'!$D$81</f>
        <v>89780.299154412452</v>
      </c>
      <c r="J34" s="101">
        <f>'B&amp;A+DSM - Fuel and % Riders'!J34+FAC!J36+'B&amp;A kWh'!K34*'B&amp;A+DSM - Fuel and % Riders'!$D$81</f>
        <v>100980.32709309536</v>
      </c>
      <c r="K34" s="101">
        <f>'B&amp;A+DSM - Fuel and % Riders'!K34+FAC!K36+'B&amp;A kWh'!L34*'B&amp;A+DSM - Fuel and % Riders'!$D$81</f>
        <v>113697.06069297245</v>
      </c>
      <c r="L34" s="101">
        <f>'B&amp;A+DSM - Fuel and % Riders'!L34+FAC!L36+'B&amp;A kWh'!M34*'B&amp;A+DSM - Fuel and % Riders'!$D$81</f>
        <v>121625.00646447428</v>
      </c>
      <c r="M34" s="101">
        <f>'B&amp;A+DSM - Fuel and % Riders'!M34+FAC!M36+'B&amp;A kWh'!N34*'B&amp;A+DSM - Fuel and % Riders'!$D$81</f>
        <v>119752.62290265843</v>
      </c>
      <c r="N34" s="101">
        <f>'B&amp;A+DSM - Fuel and % Riders'!N34+FAC!N36+'B&amp;A kWh'!O34*'B&amp;A+DSM - Fuel and % Riders'!$D$81</f>
        <v>81056.60381168437</v>
      </c>
      <c r="O34" s="101">
        <f>'B&amp;A+DSM - Fuel and % Riders'!O34+FAC!O36+'B&amp;A kWh'!P34*'B&amp;A+DSM - Fuel and % Riders'!$D$81</f>
        <v>72011.90192759654</v>
      </c>
      <c r="U34" s="51" t="s">
        <v>10</v>
      </c>
      <c r="V34" s="51">
        <v>34</v>
      </c>
      <c r="W34" s="51">
        <v>36</v>
      </c>
      <c r="X34" s="51">
        <v>34</v>
      </c>
    </row>
    <row r="35" spans="1:24" ht="15" x14ac:dyDescent="0.25">
      <c r="A35" s="24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V35" s="51">
        <v>35</v>
      </c>
      <c r="W35" s="51">
        <v>37</v>
      </c>
      <c r="X35" s="51">
        <v>35</v>
      </c>
    </row>
    <row r="36" spans="1:24" ht="15" x14ac:dyDescent="0.25">
      <c r="A36" s="24" t="s">
        <v>9</v>
      </c>
      <c r="B36" s="101">
        <f>'B&amp;A+DSM - Fuel and % Riders'!B36+FAC!B38+'B&amp;A kWh'!C36*'B&amp;A+DSM - Fuel and % Riders'!$D$81</f>
        <v>0</v>
      </c>
      <c r="C36" s="101">
        <f>'B&amp;A+DSM - Fuel and % Riders'!C36+FAC!C38+'B&amp;A kWh'!D36*'B&amp;A+DSM - Fuel and % Riders'!$D$81</f>
        <v>0</v>
      </c>
      <c r="D36" s="101">
        <f>'B&amp;A+DSM - Fuel and % Riders'!D36+FAC!D38+'B&amp;A kWh'!E36*'B&amp;A+DSM - Fuel and % Riders'!$D$81</f>
        <v>94891.013400489406</v>
      </c>
      <c r="E36" s="101">
        <f>'B&amp;A+DSM - Fuel and % Riders'!E36+FAC!E38+'B&amp;A kWh'!F36*'B&amp;A+DSM - Fuel and % Riders'!$D$81</f>
        <v>110708.12764372569</v>
      </c>
      <c r="F36" s="101">
        <f>'B&amp;A+DSM - Fuel and % Riders'!F36+FAC!F38+'B&amp;A kWh'!G36*'B&amp;A+DSM - Fuel and % Riders'!$D$81</f>
        <v>98585.686246514815</v>
      </c>
      <c r="G36" s="101">
        <f>'B&amp;A+DSM - Fuel and % Riders'!G36+FAC!G38+'B&amp;A kWh'!H36*'B&amp;A+DSM - Fuel and % Riders'!$D$81</f>
        <v>72367.78382087106</v>
      </c>
      <c r="H36" s="101">
        <f>'B&amp;A+DSM - Fuel and % Riders'!H36+FAC!H38+'B&amp;A kWh'!I36*'B&amp;A+DSM - Fuel and % Riders'!$D$81</f>
        <v>80081.800842374694</v>
      </c>
      <c r="I36" s="101">
        <f>'B&amp;A+DSM - Fuel and % Riders'!I36+FAC!I38+'B&amp;A kWh'!J36*'B&amp;A+DSM - Fuel and % Riders'!$D$81</f>
        <v>67692.569267638944</v>
      </c>
      <c r="J36" s="101">
        <f>'B&amp;A+DSM - Fuel and % Riders'!J36+FAC!J38+'B&amp;A kWh'!K36*'B&amp;A+DSM - Fuel and % Riders'!$D$81</f>
        <v>114071.44486695621</v>
      </c>
      <c r="K36" s="101">
        <f>'B&amp;A+DSM - Fuel and % Riders'!K36+FAC!K38+'B&amp;A kWh'!L36*'B&amp;A+DSM - Fuel and % Riders'!$D$81</f>
        <v>139835.87817659276</v>
      </c>
      <c r="L36" s="101">
        <f>'B&amp;A+DSM - Fuel and % Riders'!L36+FAC!L38+'B&amp;A kWh'!M36*'B&amp;A+DSM - Fuel and % Riders'!$D$81</f>
        <v>140547.82450403803</v>
      </c>
      <c r="M36" s="101">
        <f>'B&amp;A+DSM - Fuel and % Riders'!M36+FAC!M38+'B&amp;A kWh'!N36*'B&amp;A+DSM - Fuel and % Riders'!$D$81</f>
        <v>94143.510322876376</v>
      </c>
      <c r="N36" s="101">
        <f>'B&amp;A+DSM - Fuel and % Riders'!N36+FAC!N38+'B&amp;A kWh'!O36*'B&amp;A+DSM - Fuel and % Riders'!$D$81</f>
        <v>118538.77479963115</v>
      </c>
      <c r="O36" s="101">
        <f>'B&amp;A+DSM - Fuel and % Riders'!O36+FAC!O38+'B&amp;A kWh'!P36*'B&amp;A+DSM - Fuel and % Riders'!$D$81</f>
        <v>62214.182030978729</v>
      </c>
      <c r="U36" s="51" t="s">
        <v>9</v>
      </c>
      <c r="V36" s="51">
        <v>36</v>
      </c>
      <c r="W36" s="51">
        <v>38</v>
      </c>
      <c r="X36" s="51">
        <v>36</v>
      </c>
    </row>
    <row r="37" spans="1:24" ht="15" x14ac:dyDescent="0.25">
      <c r="A37" s="24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V37" s="51">
        <v>37</v>
      </c>
      <c r="W37" s="51">
        <v>39</v>
      </c>
      <c r="X37" s="51">
        <v>37</v>
      </c>
    </row>
    <row r="38" spans="1:24" ht="15" x14ac:dyDescent="0.25">
      <c r="A38" s="24" t="s">
        <v>8</v>
      </c>
      <c r="B38" s="101">
        <f>'B&amp;A+DSM - Fuel and % Riders'!B38+FAC!B40+'B&amp;A kWh'!C38*'B&amp;A+DSM - Fuel and % Riders'!$D$81</f>
        <v>0</v>
      </c>
      <c r="C38" s="101">
        <f>'B&amp;A+DSM - Fuel and % Riders'!C38+FAC!C40+'B&amp;A kWh'!D38*'B&amp;A+DSM - Fuel and % Riders'!$D$81</f>
        <v>0</v>
      </c>
      <c r="D38" s="101">
        <f>'B&amp;A+DSM - Fuel and % Riders'!D38+FAC!D40+'B&amp;A kWh'!E38*'B&amp;A+DSM - Fuel and % Riders'!$D$81</f>
        <v>6664.1626856900339</v>
      </c>
      <c r="E38" s="101">
        <f>'B&amp;A+DSM - Fuel and % Riders'!E38+FAC!E40+'B&amp;A kWh'!F38*'B&amp;A+DSM - Fuel and % Riders'!$D$81</f>
        <v>6440.3210606815792</v>
      </c>
      <c r="F38" s="101">
        <f>'B&amp;A+DSM - Fuel and % Riders'!F38+FAC!F40+'B&amp;A kWh'!G38*'B&amp;A+DSM - Fuel and % Riders'!$D$81</f>
        <v>8434.8330578699097</v>
      </c>
      <c r="G38" s="101">
        <f>'B&amp;A+DSM - Fuel and % Riders'!G38+FAC!G40+'B&amp;A kWh'!H38*'B&amp;A+DSM - Fuel and % Riders'!$D$81</f>
        <v>2282.4591863251712</v>
      </c>
      <c r="H38" s="101">
        <f>'B&amp;A+DSM - Fuel and % Riders'!H38+FAC!H40+'B&amp;A kWh'!I38*'B&amp;A+DSM - Fuel and % Riders'!$D$81</f>
        <v>4947.2277448515824</v>
      </c>
      <c r="I38" s="101">
        <f>'B&amp;A+DSM - Fuel and % Riders'!I38+FAC!I40+'B&amp;A kWh'!J38*'B&amp;A+DSM - Fuel and % Riders'!$D$81</f>
        <v>6592.5607583732935</v>
      </c>
      <c r="J38" s="101">
        <f>'B&amp;A+DSM - Fuel and % Riders'!J38+FAC!J40+'B&amp;A kWh'!K38*'B&amp;A+DSM - Fuel and % Riders'!$D$81</f>
        <v>2402.2272379483993</v>
      </c>
      <c r="K38" s="101">
        <f>'B&amp;A+DSM - Fuel and % Riders'!K38+FAC!K40+'B&amp;A kWh'!L38*'B&amp;A+DSM - Fuel and % Riders'!$D$81</f>
        <v>5104.2588858807394</v>
      </c>
      <c r="L38" s="101">
        <f>'B&amp;A+DSM - Fuel and % Riders'!L38+FAC!L40+'B&amp;A kWh'!M38*'B&amp;A+DSM - Fuel and % Riders'!$D$81</f>
        <v>8329.8309395140222</v>
      </c>
      <c r="M38" s="101">
        <f>'B&amp;A+DSM - Fuel and % Riders'!M38+FAC!M40+'B&amp;A kWh'!N38*'B&amp;A+DSM - Fuel and % Riders'!$D$81</f>
        <v>4759.9742287681029</v>
      </c>
      <c r="N38" s="101">
        <f>'B&amp;A+DSM - Fuel and % Riders'!N38+FAC!N40+'B&amp;A kWh'!O38*'B&amp;A+DSM - Fuel and % Riders'!$D$81</f>
        <v>2403.0314514190818</v>
      </c>
      <c r="O38" s="101">
        <f>'B&amp;A+DSM - Fuel and % Riders'!O38+FAC!O40+'B&amp;A kWh'!P38*'B&amp;A+DSM - Fuel and % Riders'!$D$81</f>
        <v>4032.0911417110465</v>
      </c>
      <c r="U38" s="51" t="s">
        <v>8</v>
      </c>
      <c r="V38" s="51">
        <v>38</v>
      </c>
      <c r="W38" s="51">
        <v>40</v>
      </c>
      <c r="X38" s="51">
        <v>38</v>
      </c>
    </row>
    <row r="39" spans="1:24" ht="15" x14ac:dyDescent="0.25">
      <c r="A39" s="24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V39" s="51">
        <v>39</v>
      </c>
      <c r="W39" s="51">
        <v>41</v>
      </c>
      <c r="X39" s="51">
        <v>39</v>
      </c>
    </row>
    <row r="40" spans="1:24" ht="15" x14ac:dyDescent="0.25">
      <c r="A40" s="24" t="s">
        <v>7</v>
      </c>
      <c r="B40" s="101">
        <f>'B&amp;A+DSM - Fuel and % Riders'!B40+FAC!B42+'B&amp;A kWh'!C40*'B&amp;A+DSM - Fuel and % Riders'!$D$81</f>
        <v>0</v>
      </c>
      <c r="C40" s="101">
        <f>'B&amp;A+DSM - Fuel and % Riders'!C40+FAC!C42+'B&amp;A kWh'!D40*'B&amp;A+DSM - Fuel and % Riders'!$D$81</f>
        <v>0</v>
      </c>
      <c r="D40" s="101">
        <f>'B&amp;A+DSM - Fuel and % Riders'!D40+FAC!D42+'B&amp;A kWh'!E40*'B&amp;A+DSM - Fuel and % Riders'!$D$81</f>
        <v>2738837.9780327128</v>
      </c>
      <c r="E40" s="101">
        <f>'B&amp;A+DSM - Fuel and % Riders'!E40+FAC!E42+'B&amp;A kWh'!F40*'B&amp;A+DSM - Fuel and % Riders'!$D$81</f>
        <v>3427901.3857216863</v>
      </c>
      <c r="F40" s="101">
        <f>'B&amp;A+DSM - Fuel and % Riders'!F40+FAC!F42+'B&amp;A kWh'!G40*'B&amp;A+DSM - Fuel and % Riders'!$D$81</f>
        <v>3711329.5119595658</v>
      </c>
      <c r="G40" s="101">
        <f>'B&amp;A+DSM - Fuel and % Riders'!G40+FAC!G42+'B&amp;A kWh'!H40*'B&amp;A+DSM - Fuel and % Riders'!$D$81</f>
        <v>3582426.507812703</v>
      </c>
      <c r="H40" s="101">
        <f>'B&amp;A+DSM - Fuel and % Riders'!H40+FAC!H42+'B&amp;A kWh'!I40*'B&amp;A+DSM - Fuel and % Riders'!$D$81</f>
        <v>3476203.0439301906</v>
      </c>
      <c r="I40" s="101">
        <f>'B&amp;A+DSM - Fuel and % Riders'!I40+FAC!I42+'B&amp;A kWh'!J40*'B&amp;A+DSM - Fuel and % Riders'!$D$81</f>
        <v>2999494.6682511228</v>
      </c>
      <c r="J40" s="101">
        <f>'B&amp;A+DSM - Fuel and % Riders'!J40+FAC!J42+'B&amp;A kWh'!K40*'B&amp;A+DSM - Fuel and % Riders'!$D$81</f>
        <v>3679482.1125429869</v>
      </c>
      <c r="K40" s="101">
        <f>'B&amp;A+DSM - Fuel and % Riders'!K40+FAC!K42+'B&amp;A kWh'!L40*'B&amp;A+DSM - Fuel and % Riders'!$D$81</f>
        <v>3971322.8103535348</v>
      </c>
      <c r="L40" s="101">
        <f>'B&amp;A+DSM - Fuel and % Riders'!L40+FAC!L42+'B&amp;A kWh'!M40*'B&amp;A+DSM - Fuel and % Riders'!$D$81</f>
        <v>3696145.5973175876</v>
      </c>
      <c r="M40" s="101">
        <f>'B&amp;A+DSM - Fuel and % Riders'!M40+FAC!M42+'B&amp;A kWh'!N40*'B&amp;A+DSM - Fuel and % Riders'!$D$81</f>
        <v>3273114.8492765222</v>
      </c>
      <c r="N40" s="101">
        <f>'B&amp;A+DSM - Fuel and % Riders'!N40+FAC!N42+'B&amp;A kWh'!O40*'B&amp;A+DSM - Fuel and % Riders'!$D$81</f>
        <v>2855041.2764584189</v>
      </c>
      <c r="O40" s="101">
        <f>'B&amp;A+DSM - Fuel and % Riders'!O40+FAC!O42+'B&amp;A kWh'!P40*'B&amp;A+DSM - Fuel and % Riders'!$D$81</f>
        <v>2627370.6334425597</v>
      </c>
      <c r="U40" s="51" t="s">
        <v>7</v>
      </c>
      <c r="V40" s="51">
        <v>40</v>
      </c>
      <c r="W40" s="51">
        <v>42</v>
      </c>
      <c r="X40" s="51">
        <v>40</v>
      </c>
    </row>
    <row r="41" spans="1:24" ht="15" x14ac:dyDescent="0.25">
      <c r="A41" s="24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V41" s="51">
        <v>41</v>
      </c>
      <c r="W41" s="51">
        <v>43</v>
      </c>
      <c r="X41" s="51">
        <v>41</v>
      </c>
    </row>
    <row r="42" spans="1:24" ht="15" x14ac:dyDescent="0.25">
      <c r="A42" s="24" t="s">
        <v>6</v>
      </c>
      <c r="B42" s="101">
        <f>'B&amp;A+DSM - Fuel and % Riders'!B42+FAC!B44+'B&amp;A kWh'!C42*'B&amp;A+DSM - Fuel and % Riders'!$D$81</f>
        <v>0</v>
      </c>
      <c r="C42" s="101">
        <f>'B&amp;A+DSM - Fuel and % Riders'!C42+FAC!C44+'B&amp;A kWh'!D42*'B&amp;A+DSM - Fuel and % Riders'!$D$81</f>
        <v>0</v>
      </c>
      <c r="D42" s="101">
        <f>'B&amp;A+DSM - Fuel and % Riders'!D42+FAC!D44+'B&amp;A kWh'!E42*'B&amp;A+DSM - Fuel and % Riders'!$D$81</f>
        <v>8716.7580269704958</v>
      </c>
      <c r="E42" s="101">
        <f>'B&amp;A+DSM - Fuel and % Riders'!E42+FAC!E44+'B&amp;A kWh'!F42*'B&amp;A+DSM - Fuel and % Riders'!$D$81</f>
        <v>19248.994978529077</v>
      </c>
      <c r="F42" s="101">
        <f>'B&amp;A+DSM - Fuel and % Riders'!F42+FAC!F44+'B&amp;A kWh'!G42*'B&amp;A+DSM - Fuel and % Riders'!$D$81</f>
        <v>11861.410528205324</v>
      </c>
      <c r="G42" s="101">
        <f>'B&amp;A+DSM - Fuel and % Riders'!G42+FAC!G44+'B&amp;A kWh'!H42*'B&amp;A+DSM - Fuel and % Riders'!$D$81</f>
        <v>22229.956896615397</v>
      </c>
      <c r="H42" s="101">
        <f>'B&amp;A+DSM - Fuel and % Riders'!H42+FAC!H44+'B&amp;A kWh'!I42*'B&amp;A+DSM - Fuel and % Riders'!$D$81</f>
        <v>20661.054667415468</v>
      </c>
      <c r="I42" s="101">
        <f>'B&amp;A+DSM - Fuel and % Riders'!I42+FAC!I44+'B&amp;A kWh'!J42*'B&amp;A+DSM - Fuel and % Riders'!$D$81</f>
        <v>21057.050088338772</v>
      </c>
      <c r="J42" s="101">
        <f>'B&amp;A+DSM - Fuel and % Riders'!J42+FAC!J44+'B&amp;A kWh'!K42*'B&amp;A+DSM - Fuel and % Riders'!$D$81</f>
        <v>35150.49609161682</v>
      </c>
      <c r="K42" s="101">
        <f>'B&amp;A+DSM - Fuel and % Riders'!K42+FAC!K44+'B&amp;A kWh'!L42*'B&amp;A+DSM - Fuel and % Riders'!$D$81</f>
        <v>39757.961569487263</v>
      </c>
      <c r="L42" s="101">
        <f>'B&amp;A+DSM - Fuel and % Riders'!L42+FAC!L44+'B&amp;A kWh'!M42*'B&amp;A+DSM - Fuel and % Riders'!$D$81</f>
        <v>34078.907214829873</v>
      </c>
      <c r="M42" s="101">
        <f>'B&amp;A+DSM - Fuel and % Riders'!M42+FAC!M44+'B&amp;A kWh'!N42*'B&amp;A+DSM - Fuel and % Riders'!$D$81</f>
        <v>18475.480053515894</v>
      </c>
      <c r="N42" s="101">
        <f>'B&amp;A+DSM - Fuel and % Riders'!N42+FAC!N44+'B&amp;A kWh'!O42*'B&amp;A+DSM - Fuel and % Riders'!$D$81</f>
        <v>3446.0685584681532</v>
      </c>
      <c r="O42" s="101">
        <f>'B&amp;A+DSM - Fuel and % Riders'!O42+FAC!O44+'B&amp;A kWh'!P42*'B&amp;A+DSM - Fuel and % Riders'!$D$81</f>
        <v>6883.696107235095</v>
      </c>
      <c r="U42" s="51" t="s">
        <v>6</v>
      </c>
      <c r="V42" s="51">
        <v>42</v>
      </c>
      <c r="W42" s="51">
        <v>44</v>
      </c>
      <c r="X42" s="51">
        <v>42</v>
      </c>
    </row>
    <row r="43" spans="1:24" ht="15" x14ac:dyDescent="0.25">
      <c r="A43" s="24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V43" s="51">
        <v>43</v>
      </c>
      <c r="W43" s="51">
        <v>45</v>
      </c>
      <c r="X43" s="51">
        <v>43</v>
      </c>
    </row>
    <row r="44" spans="1:24" ht="15" x14ac:dyDescent="0.25">
      <c r="A44" s="24" t="s">
        <v>118</v>
      </c>
      <c r="B44" s="101">
        <f>'B&amp;A+DSM - Fuel and % Riders'!B44+FAC!B46+'B&amp;A kWh'!C44*'B&amp;A+DSM - Fuel and % Riders'!$D$81</f>
        <v>0</v>
      </c>
      <c r="C44" s="101">
        <f>'B&amp;A+DSM - Fuel and % Riders'!C44+FAC!C46+'B&amp;A kWh'!D44*'B&amp;A+DSM - Fuel and % Riders'!$D$81</f>
        <v>0</v>
      </c>
      <c r="D44" s="101">
        <f>'B&amp;A+DSM - Fuel and % Riders'!D44+FAC!D46+'B&amp;A kWh'!E44*'B&amp;A+DSM - Fuel and % Riders'!$D$81</f>
        <v>23336.116989841365</v>
      </c>
      <c r="E44" s="101">
        <f>'B&amp;A+DSM - Fuel and % Riders'!E44+FAC!E46+'B&amp;A kWh'!F44*'B&amp;A+DSM - Fuel and % Riders'!$D$81</f>
        <v>70804.59003892327</v>
      </c>
      <c r="F44" s="101">
        <f>'B&amp;A+DSM - Fuel and % Riders'!F44+FAC!F46+'B&amp;A kWh'!G44*'B&amp;A+DSM - Fuel and % Riders'!$D$81</f>
        <v>50646.841664090731</v>
      </c>
      <c r="G44" s="101">
        <f>'B&amp;A+DSM - Fuel and % Riders'!G44+FAC!G46+'B&amp;A kWh'!H44*'B&amp;A+DSM - Fuel and % Riders'!$D$81</f>
        <v>47992.899197162486</v>
      </c>
      <c r="H44" s="101">
        <f>'B&amp;A+DSM - Fuel and % Riders'!H44+FAC!H46+'B&amp;A kWh'!I44*'B&amp;A+DSM - Fuel and % Riders'!$D$81</f>
        <v>48922.836522050675</v>
      </c>
      <c r="I44" s="101">
        <f>'B&amp;A+DSM - Fuel and % Riders'!I44+FAC!I46+'B&amp;A kWh'!J44*'B&amp;A+DSM - Fuel and % Riders'!$D$81</f>
        <v>43296.869336467797</v>
      </c>
      <c r="J44" s="101">
        <f>'B&amp;A+DSM - Fuel and % Riders'!J44+FAC!J46+'B&amp;A kWh'!K44*'B&amp;A+DSM - Fuel and % Riders'!$D$81</f>
        <v>56159.226255821268</v>
      </c>
      <c r="K44" s="101">
        <f>'B&amp;A+DSM - Fuel and % Riders'!K44+FAC!K46+'B&amp;A kWh'!L44*'B&amp;A+DSM - Fuel and % Riders'!$D$81</f>
        <v>62162.503780804938</v>
      </c>
      <c r="L44" s="101">
        <f>'B&amp;A+DSM - Fuel and % Riders'!L44+FAC!L46+'B&amp;A kWh'!M44*'B&amp;A+DSM - Fuel and % Riders'!$D$81</f>
        <v>53868.558404240772</v>
      </c>
      <c r="M44" s="101">
        <f>'B&amp;A+DSM - Fuel and % Riders'!M44+FAC!M46+'B&amp;A kWh'!N44*'B&amp;A+DSM - Fuel and % Riders'!$D$81</f>
        <v>60124.630088243255</v>
      </c>
      <c r="N44" s="101">
        <f>'B&amp;A+DSM - Fuel and % Riders'!N44+FAC!N46+'B&amp;A kWh'!O44*'B&amp;A+DSM - Fuel and % Riders'!$D$81</f>
        <v>53565.370730496477</v>
      </c>
      <c r="O44" s="101">
        <f>'B&amp;A+DSM - Fuel and % Riders'!O44+FAC!O46+'B&amp;A kWh'!P44*'B&amp;A+DSM - Fuel and % Riders'!$D$81</f>
        <v>37419.084046219636</v>
      </c>
      <c r="U44" s="51" t="s">
        <v>118</v>
      </c>
      <c r="V44" s="51">
        <v>44</v>
      </c>
      <c r="W44" s="51">
        <v>46</v>
      </c>
      <c r="X44" s="51">
        <v>44</v>
      </c>
    </row>
    <row r="45" spans="1:24" ht="15" x14ac:dyDescent="0.25">
      <c r="A45" s="24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V45" s="51">
        <v>45</v>
      </c>
      <c r="W45" s="51">
        <v>47</v>
      </c>
      <c r="X45" s="51">
        <v>45</v>
      </c>
    </row>
    <row r="46" spans="1:24" ht="15" x14ac:dyDescent="0.25">
      <c r="A46" s="24" t="s">
        <v>241</v>
      </c>
      <c r="B46" s="101">
        <f>'B&amp;A+DSM - Fuel and % Riders'!B46+FAC!B50+'B&amp;A kWh'!C48*'B&amp;A+DSM - Fuel and % Riders'!$D$81</f>
        <v>0</v>
      </c>
      <c r="C46" s="101">
        <f>'B&amp;A+DSM - Fuel and % Riders'!C46+FAC!C50+'B&amp;A kWh'!D48*'B&amp;A+DSM - Fuel and % Riders'!$D$81</f>
        <v>0</v>
      </c>
      <c r="D46" s="101">
        <f>'B&amp;A+DSM - Fuel and % Riders'!D46+FAC!D48+'B&amp;A kWh'!E46*'B&amp;A+DSM - Fuel and % Riders'!$D$81</f>
        <v>23877.620079102133</v>
      </c>
      <c r="E46" s="101">
        <f>'B&amp;A+DSM - Fuel and % Riders'!E46+FAC!E48+'B&amp;A kWh'!F46*'B&amp;A+DSM - Fuel and % Riders'!$D$81</f>
        <v>25261.359362853724</v>
      </c>
      <c r="F46" s="101">
        <f>'B&amp;A+DSM - Fuel and % Riders'!F46+FAC!F48+'B&amp;A kWh'!G46*'B&amp;A+DSM - Fuel and % Riders'!$D$81</f>
        <v>30290.892435531052</v>
      </c>
      <c r="G46" s="101">
        <f>'B&amp;A+DSM - Fuel and % Riders'!G46+FAC!G48+'B&amp;A kWh'!H46*'B&amp;A+DSM - Fuel and % Riders'!$D$81</f>
        <v>25233.944654267416</v>
      </c>
      <c r="H46" s="101">
        <f>'B&amp;A+DSM - Fuel and % Riders'!H46+FAC!H48+'B&amp;A kWh'!I46*'B&amp;A+DSM - Fuel and % Riders'!$D$81</f>
        <v>39800.586404307935</v>
      </c>
      <c r="I46" s="101">
        <f>'B&amp;A+DSM - Fuel and % Riders'!I46+FAC!I48+'B&amp;A kWh'!J46*'B&amp;A+DSM - Fuel and % Riders'!$D$81</f>
        <v>45388.701994820178</v>
      </c>
      <c r="J46" s="101">
        <f>'B&amp;A+DSM - Fuel and % Riders'!J46+FAC!J48+'B&amp;A kWh'!K46*'B&amp;A+DSM - Fuel and % Riders'!$D$81</f>
        <v>41026.573225563334</v>
      </c>
      <c r="K46" s="101">
        <f>'B&amp;A+DSM - Fuel and % Riders'!K46+FAC!K48+'B&amp;A kWh'!L46*'B&amp;A+DSM - Fuel and % Riders'!$D$81</f>
        <v>10082.799352203994</v>
      </c>
      <c r="L46" s="101">
        <f>'B&amp;A+DSM - Fuel and % Riders'!L46+FAC!L48+'B&amp;A kWh'!M46*'B&amp;A+DSM - Fuel and % Riders'!$D$81</f>
        <v>14995.935022654528</v>
      </c>
      <c r="M46" s="101">
        <f>'B&amp;A+DSM - Fuel and % Riders'!M46+FAC!M48+'B&amp;A kWh'!N46*'B&amp;A+DSM - Fuel and % Riders'!$D$81</f>
        <v>16246.104190898091</v>
      </c>
      <c r="N46" s="101">
        <f>'B&amp;A+DSM - Fuel and % Riders'!N46+FAC!N48+'B&amp;A kWh'!O46*'B&amp;A+DSM - Fuel and % Riders'!$D$81</f>
        <v>12447.417578781877</v>
      </c>
      <c r="O46" s="101">
        <f>'B&amp;A+DSM - Fuel and % Riders'!O46+FAC!O48+'B&amp;A kWh'!P46*'B&amp;A+DSM - Fuel and % Riders'!$D$81</f>
        <v>-4523.4457379608502</v>
      </c>
      <c r="U46" s="51" t="s">
        <v>241</v>
      </c>
      <c r="V46" s="51">
        <v>46</v>
      </c>
      <c r="W46" s="51">
        <v>48</v>
      </c>
      <c r="X46" s="51">
        <v>46</v>
      </c>
    </row>
    <row r="47" spans="1:24" ht="15" x14ac:dyDescent="0.25">
      <c r="A47" s="24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V47" s="51">
        <v>47</v>
      </c>
      <c r="W47" s="51">
        <v>49</v>
      </c>
      <c r="X47" s="51">
        <v>47</v>
      </c>
    </row>
    <row r="48" spans="1:24" ht="15" x14ac:dyDescent="0.25">
      <c r="A48" s="24" t="s">
        <v>5</v>
      </c>
      <c r="B48" s="101">
        <f>'B&amp;A+DSM - Fuel and % Riders'!B48+FAC!B52+'B&amp;A kWh'!C50*'B&amp;A+DSM - Fuel and % Riders'!$D$81</f>
        <v>0</v>
      </c>
      <c r="C48" s="101">
        <f>'B&amp;A+DSM - Fuel and % Riders'!C48+FAC!C52+'B&amp;A kWh'!D50*'B&amp;A+DSM - Fuel and % Riders'!$D$81</f>
        <v>0</v>
      </c>
      <c r="D48" s="101">
        <f>'B&amp;A+DSM - Fuel and % Riders'!D48+FAC!D50+'B&amp;A kWh'!E48*'B&amp;A+DSM - Fuel and % Riders'!$D$81</f>
        <v>727005.94060958037</v>
      </c>
      <c r="E48" s="101">
        <f>'B&amp;A+DSM - Fuel and % Riders'!E48+FAC!E50+'B&amp;A kWh'!F48*'B&amp;A+DSM - Fuel and % Riders'!$D$81</f>
        <v>993529.57614669669</v>
      </c>
      <c r="F48" s="101">
        <f>'B&amp;A+DSM - Fuel and % Riders'!F48+FAC!F50+'B&amp;A kWh'!G48*'B&amp;A+DSM - Fuel and % Riders'!$D$81</f>
        <v>852606.46037334937</v>
      </c>
      <c r="G48" s="101">
        <f>'B&amp;A+DSM - Fuel and % Riders'!G48+FAC!G50+'B&amp;A kWh'!H48*'B&amp;A+DSM - Fuel and % Riders'!$D$81</f>
        <v>879364.40791517869</v>
      </c>
      <c r="H48" s="101">
        <f>'B&amp;A+DSM - Fuel and % Riders'!H48+FAC!H50+'B&amp;A kWh'!I48*'B&amp;A+DSM - Fuel and % Riders'!$D$81</f>
        <v>902346.4000614048</v>
      </c>
      <c r="I48" s="101">
        <f>'B&amp;A+DSM - Fuel and % Riders'!I48+FAC!I50+'B&amp;A kWh'!J48*'B&amp;A+DSM - Fuel and % Riders'!$D$81</f>
        <v>802349.49681579287</v>
      </c>
      <c r="J48" s="101">
        <f>'B&amp;A+DSM - Fuel and % Riders'!J48+FAC!J50+'B&amp;A kWh'!K48*'B&amp;A+DSM - Fuel and % Riders'!$D$81</f>
        <v>1015085.839759602</v>
      </c>
      <c r="K48" s="101">
        <f>'B&amp;A+DSM - Fuel and % Riders'!K48+FAC!K50+'B&amp;A kWh'!L48*'B&amp;A+DSM - Fuel and % Riders'!$D$81</f>
        <v>1116071.1185599603</v>
      </c>
      <c r="L48" s="101">
        <f>'B&amp;A+DSM - Fuel and % Riders'!L48+FAC!L50+'B&amp;A kWh'!M48*'B&amp;A+DSM - Fuel and % Riders'!$D$81</f>
        <v>1055722.7633601187</v>
      </c>
      <c r="M48" s="101">
        <f>'B&amp;A+DSM - Fuel and % Riders'!M48+FAC!M50+'B&amp;A kWh'!N48*'B&amp;A+DSM - Fuel and % Riders'!$D$81</f>
        <v>957433.61386466096</v>
      </c>
      <c r="N48" s="101">
        <f>'B&amp;A+DSM - Fuel and % Riders'!N48+FAC!N50+'B&amp;A kWh'!O48*'B&amp;A+DSM - Fuel and % Riders'!$D$81</f>
        <v>914456.24083908845</v>
      </c>
      <c r="O48" s="101">
        <f>'B&amp;A+DSM - Fuel and % Riders'!O48+FAC!O50+'B&amp;A kWh'!P48*'B&amp;A+DSM - Fuel and % Riders'!$D$81</f>
        <v>814781.84846096835</v>
      </c>
      <c r="U48" s="51" t="s">
        <v>5</v>
      </c>
      <c r="V48" s="51">
        <v>48</v>
      </c>
      <c r="W48" s="51">
        <v>50</v>
      </c>
      <c r="X48" s="51">
        <v>48</v>
      </c>
    </row>
    <row r="49" spans="1:24" ht="15" x14ac:dyDescent="0.25">
      <c r="A49" s="24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V49" s="51">
        <v>49</v>
      </c>
      <c r="W49" s="51">
        <v>51</v>
      </c>
      <c r="X49" s="51">
        <v>49</v>
      </c>
    </row>
    <row r="50" spans="1:24" ht="15" x14ac:dyDescent="0.25">
      <c r="A50" s="24" t="s">
        <v>4</v>
      </c>
      <c r="B50" s="101">
        <f>'B&amp;A+DSM - Fuel and % Riders'!B50+FAC!B54+'B&amp;A kWh'!C52*'B&amp;A+DSM - Fuel and % Riders'!$D$81</f>
        <v>0</v>
      </c>
      <c r="C50" s="101">
        <f>'B&amp;A+DSM - Fuel and % Riders'!C50+FAC!C54+'B&amp;A kWh'!D52*'B&amp;A+DSM - Fuel and % Riders'!$D$81</f>
        <v>0</v>
      </c>
      <c r="D50" s="101">
        <f>'B&amp;A+DSM - Fuel and % Riders'!D50+FAC!D52+'B&amp;A kWh'!E50*'B&amp;A+DSM - Fuel and % Riders'!$D$81</f>
        <v>78681.709960066408</v>
      </c>
      <c r="E50" s="101">
        <f>'B&amp;A+DSM - Fuel and % Riders'!E50+FAC!E52+'B&amp;A kWh'!F50*'B&amp;A+DSM - Fuel and % Riders'!$D$81</f>
        <v>134460.76759030923</v>
      </c>
      <c r="F50" s="101">
        <f>'B&amp;A+DSM - Fuel and % Riders'!F50+FAC!F52+'B&amp;A kWh'!G50*'B&amp;A+DSM - Fuel and % Riders'!$D$81</f>
        <v>274207.49664811313</v>
      </c>
      <c r="G50" s="101">
        <f>'B&amp;A+DSM - Fuel and % Riders'!G50+FAC!G52+'B&amp;A kWh'!H50*'B&amp;A+DSM - Fuel and % Riders'!$D$81</f>
        <v>74075.682573871716</v>
      </c>
      <c r="H50" s="101">
        <f>'B&amp;A+DSM - Fuel and % Riders'!H50+FAC!H52+'B&amp;A kWh'!I50*'B&amp;A+DSM - Fuel and % Riders'!$D$81</f>
        <v>40368.079285675747</v>
      </c>
      <c r="I50" s="101">
        <f>'B&amp;A+DSM - Fuel and % Riders'!I50+FAC!I52+'B&amp;A kWh'!J50*'B&amp;A+DSM - Fuel and % Riders'!$D$81</f>
        <v>90978.968823375631</v>
      </c>
      <c r="J50" s="101">
        <f>'B&amp;A+DSM - Fuel and % Riders'!J50+FAC!J52+'B&amp;A kWh'!K50*'B&amp;A+DSM - Fuel and % Riders'!$D$81</f>
        <v>97790.560845287648</v>
      </c>
      <c r="K50" s="101">
        <f>'B&amp;A+DSM - Fuel and % Riders'!K50+FAC!K52+'B&amp;A kWh'!L50*'B&amp;A+DSM - Fuel and % Riders'!$D$81</f>
        <v>117653.85407747555</v>
      </c>
      <c r="L50" s="101">
        <f>'B&amp;A+DSM - Fuel and % Riders'!L50+FAC!L52+'B&amp;A kWh'!M50*'B&amp;A+DSM - Fuel and % Riders'!$D$81</f>
        <v>93900.195275013291</v>
      </c>
      <c r="M50" s="101">
        <f>'B&amp;A+DSM - Fuel and % Riders'!M50+FAC!M52+'B&amp;A kWh'!N50*'B&amp;A+DSM - Fuel and % Riders'!$D$81</f>
        <v>90966.918605189916</v>
      </c>
      <c r="N50" s="101">
        <f>'B&amp;A+DSM - Fuel and % Riders'!N50+FAC!N52+'B&amp;A kWh'!O50*'B&amp;A+DSM - Fuel and % Riders'!$D$81</f>
        <v>80120.081579553414</v>
      </c>
      <c r="O50" s="101">
        <f>'B&amp;A+DSM - Fuel and % Riders'!O50+FAC!O52+'B&amp;A kWh'!P50*'B&amp;A+DSM - Fuel and % Riders'!$D$81</f>
        <v>68310.061228813749</v>
      </c>
      <c r="U50" s="51" t="s">
        <v>4</v>
      </c>
      <c r="V50" s="51">
        <v>50</v>
      </c>
      <c r="W50" s="51">
        <v>52</v>
      </c>
      <c r="X50" s="51">
        <v>50</v>
      </c>
    </row>
    <row r="51" spans="1:24" ht="15" x14ac:dyDescent="0.25">
      <c r="A51" s="24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V51" s="51">
        <v>51</v>
      </c>
      <c r="W51" s="51">
        <v>53</v>
      </c>
      <c r="X51" s="51">
        <v>51</v>
      </c>
    </row>
    <row r="52" spans="1:24" ht="15" x14ac:dyDescent="0.25">
      <c r="A52" s="24" t="s">
        <v>3</v>
      </c>
      <c r="B52" s="101">
        <f>'B&amp;A+DSM - Fuel and % Riders'!B52+FAC!B56+'B&amp;A kWh'!C54*'B&amp;A+DSM - Fuel and % Riders'!$D$81</f>
        <v>0</v>
      </c>
      <c r="C52" s="101">
        <f>'B&amp;A+DSM - Fuel and % Riders'!C52+FAC!C56+'B&amp;A kWh'!D54*'B&amp;A+DSM - Fuel and % Riders'!$D$81</f>
        <v>0</v>
      </c>
      <c r="D52" s="101">
        <f>'B&amp;A+DSM - Fuel and % Riders'!D52+FAC!D54+'B&amp;A kWh'!E52*'B&amp;A+DSM - Fuel and % Riders'!$D$81</f>
        <v>0</v>
      </c>
      <c r="E52" s="101">
        <f>'B&amp;A+DSM - Fuel and % Riders'!E52+FAC!E54+'B&amp;A kWh'!F52*'B&amp;A+DSM - Fuel and % Riders'!$D$81</f>
        <v>0</v>
      </c>
      <c r="F52" s="101">
        <f>'B&amp;A+DSM - Fuel and % Riders'!F52+FAC!F54+'B&amp;A kWh'!G52*'B&amp;A+DSM - Fuel and % Riders'!$D$81</f>
        <v>0</v>
      </c>
      <c r="G52" s="101">
        <f>'B&amp;A+DSM - Fuel and % Riders'!G52+FAC!G54+'B&amp;A kWh'!H52*'B&amp;A+DSM - Fuel and % Riders'!$D$81</f>
        <v>0</v>
      </c>
      <c r="H52" s="101">
        <f>'B&amp;A+DSM - Fuel and % Riders'!H52+FAC!H54+'B&amp;A kWh'!I52*'B&amp;A+DSM - Fuel and % Riders'!$D$81</f>
        <v>0</v>
      </c>
      <c r="I52" s="101">
        <f>'B&amp;A+DSM - Fuel and % Riders'!I52+FAC!I54+'B&amp;A kWh'!J52*'B&amp;A+DSM - Fuel and % Riders'!$D$81</f>
        <v>0</v>
      </c>
      <c r="J52" s="101">
        <f>'B&amp;A+DSM - Fuel and % Riders'!J52+FAC!J54+'B&amp;A kWh'!K52*'B&amp;A+DSM - Fuel and % Riders'!$D$81</f>
        <v>0</v>
      </c>
      <c r="K52" s="101">
        <f>'B&amp;A+DSM - Fuel and % Riders'!K52+FAC!K54+'B&amp;A kWh'!L52*'B&amp;A+DSM - Fuel and % Riders'!$D$81</f>
        <v>0</v>
      </c>
      <c r="L52" s="101">
        <f>'B&amp;A+DSM - Fuel and % Riders'!L52+FAC!L54+'B&amp;A kWh'!M52*'B&amp;A+DSM - Fuel and % Riders'!$D$81</f>
        <v>0</v>
      </c>
      <c r="M52" s="101">
        <f>'B&amp;A+DSM - Fuel and % Riders'!M52+FAC!M54+'B&amp;A kWh'!N52*'B&amp;A+DSM - Fuel and % Riders'!$D$81</f>
        <v>0</v>
      </c>
      <c r="N52" s="101">
        <f>'B&amp;A+DSM - Fuel and % Riders'!N52+FAC!N54+'B&amp;A kWh'!O52*'B&amp;A+DSM - Fuel and % Riders'!$D$81</f>
        <v>0</v>
      </c>
      <c r="O52" s="101">
        <f>'B&amp;A+DSM - Fuel and % Riders'!O52+FAC!O54+'B&amp;A kWh'!P52*'B&amp;A+DSM - Fuel and % Riders'!$D$81</f>
        <v>0</v>
      </c>
      <c r="U52" s="51" t="s">
        <v>3</v>
      </c>
      <c r="V52" s="51">
        <v>52</v>
      </c>
      <c r="W52" s="51">
        <v>54</v>
      </c>
      <c r="X52" s="51">
        <v>52</v>
      </c>
    </row>
    <row r="53" spans="1:24" ht="15" x14ac:dyDescent="0.25">
      <c r="A53" s="24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V53" s="51">
        <v>53</v>
      </c>
      <c r="W53" s="51">
        <v>55</v>
      </c>
      <c r="X53" s="51">
        <v>53</v>
      </c>
    </row>
    <row r="54" spans="1:24" ht="15" x14ac:dyDescent="0.25">
      <c r="A54" s="24" t="s">
        <v>119</v>
      </c>
      <c r="B54" s="101">
        <f>'B&amp;A+DSM - Fuel and % Riders'!B54+FAC!B58+'B&amp;A kWh'!C56*'B&amp;A+DSM - Fuel and % Riders'!$D$81</f>
        <v>0</v>
      </c>
      <c r="C54" s="101">
        <f>'B&amp;A+DSM - Fuel and % Riders'!C54+FAC!C58+'B&amp;A kWh'!D56*'B&amp;A+DSM - Fuel and % Riders'!$D$81</f>
        <v>0</v>
      </c>
      <c r="D54" s="101">
        <f>'B&amp;A+DSM - Fuel and % Riders'!D54+FAC!D56+'B&amp;A kWh'!E54*'B&amp;A+DSM - Fuel and % Riders'!$D$81</f>
        <v>875948.17472630111</v>
      </c>
      <c r="E54" s="101">
        <f>'B&amp;A+DSM - Fuel and % Riders'!E54+FAC!E56+'B&amp;A kWh'!F54*'B&amp;A+DSM - Fuel and % Riders'!$D$81</f>
        <v>1092280.8876836919</v>
      </c>
      <c r="F54" s="101">
        <f>'B&amp;A+DSM - Fuel and % Riders'!F54+FAC!F56+'B&amp;A kWh'!G54*'B&amp;A+DSM - Fuel and % Riders'!$D$81</f>
        <v>1133413.9192773749</v>
      </c>
      <c r="G54" s="101">
        <f>'B&amp;A+DSM - Fuel and % Riders'!G54+FAC!G56+'B&amp;A kWh'!H54*'B&amp;A+DSM - Fuel and % Riders'!$D$81</f>
        <v>880710.21361192118</v>
      </c>
      <c r="H54" s="101">
        <f>'B&amp;A+DSM - Fuel and % Riders'!H54+FAC!H56+'B&amp;A kWh'!I54*'B&amp;A+DSM - Fuel and % Riders'!$D$81</f>
        <v>1036664.1554302904</v>
      </c>
      <c r="I54" s="101">
        <f>'B&amp;A+DSM - Fuel and % Riders'!I54+FAC!I56+'B&amp;A kWh'!J54*'B&amp;A+DSM - Fuel and % Riders'!$D$81</f>
        <v>1051645.9060634919</v>
      </c>
      <c r="J54" s="101">
        <f>'B&amp;A+DSM - Fuel and % Riders'!J54+FAC!J56+'B&amp;A kWh'!K54*'B&amp;A+DSM - Fuel and % Riders'!$D$81</f>
        <v>1193519.5125825554</v>
      </c>
      <c r="K54" s="101">
        <f>'B&amp;A+DSM - Fuel and % Riders'!K54+FAC!K56+'B&amp;A kWh'!L54*'B&amp;A+DSM - Fuel and % Riders'!$D$81</f>
        <v>1146291.4676130489</v>
      </c>
      <c r="L54" s="101">
        <f>'B&amp;A+DSM - Fuel and % Riders'!L54+FAC!L56+'B&amp;A kWh'!M54*'B&amp;A+DSM - Fuel and % Riders'!$D$81</f>
        <v>1206983.2986797008</v>
      </c>
      <c r="M54" s="101">
        <f>'B&amp;A+DSM - Fuel and % Riders'!M54+FAC!M56+'B&amp;A kWh'!N54*'B&amp;A+DSM - Fuel and % Riders'!$D$81</f>
        <v>1038573.6135425316</v>
      </c>
      <c r="N54" s="101">
        <f>'B&amp;A+DSM - Fuel and % Riders'!N54+FAC!N56+'B&amp;A kWh'!O54*'B&amp;A+DSM - Fuel and % Riders'!$D$81</f>
        <v>948172.2217707258</v>
      </c>
      <c r="O54" s="101">
        <f>'B&amp;A+DSM - Fuel and % Riders'!O54+FAC!O56+'B&amp;A kWh'!P54*'B&amp;A+DSM - Fuel and % Riders'!$D$81</f>
        <v>877315.5176827024</v>
      </c>
      <c r="U54" s="51" t="s">
        <v>119</v>
      </c>
      <c r="V54" s="51">
        <v>54</v>
      </c>
      <c r="W54" s="51">
        <v>56</v>
      </c>
      <c r="X54" s="51">
        <v>54</v>
      </c>
    </row>
    <row r="55" spans="1:24" ht="15" x14ac:dyDescent="0.25">
      <c r="A55" s="24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V55" s="51">
        <v>55</v>
      </c>
      <c r="W55" s="51">
        <v>57</v>
      </c>
      <c r="X55" s="51">
        <v>55</v>
      </c>
    </row>
    <row r="56" spans="1:24" ht="15" x14ac:dyDescent="0.25">
      <c r="A56" s="24" t="s">
        <v>120</v>
      </c>
      <c r="B56" s="101" t="e">
        <f>'B&amp;A+DSM - Fuel and % Riders'!B56+FAC!B60+'B&amp;A kWh'!C58*'B&amp;A+DSM - Fuel and % Riders'!$D$81</f>
        <v>#REF!</v>
      </c>
      <c r="C56" s="101" t="e">
        <f>'B&amp;A+DSM - Fuel and % Riders'!C56+FAC!C60+'B&amp;A kWh'!D58*'B&amp;A+DSM - Fuel and % Riders'!$D$81</f>
        <v>#REF!</v>
      </c>
      <c r="D56" s="101">
        <f>'B&amp;A+DSM - Fuel and % Riders'!D56+FAC!D58+'B&amp;A kWh'!E56*'B&amp;A+DSM - Fuel and % Riders'!$D$81</f>
        <v>13065.684571094007</v>
      </c>
      <c r="E56" s="101">
        <f>'B&amp;A+DSM - Fuel and % Riders'!E56+FAC!E58+'B&amp;A kWh'!F56*'B&amp;A+DSM - Fuel and % Riders'!$D$81</f>
        <v>14986.156846722595</v>
      </c>
      <c r="F56" s="101">
        <f>'B&amp;A+DSM - Fuel and % Riders'!F56+FAC!F58+'B&amp;A kWh'!G56*'B&amp;A+DSM - Fuel and % Riders'!$D$81</f>
        <v>18881.820583036497</v>
      </c>
      <c r="G56" s="101">
        <f>'B&amp;A+DSM - Fuel and % Riders'!G56+FAC!G58+'B&amp;A kWh'!H56*'B&amp;A+DSM - Fuel and % Riders'!$D$81</f>
        <v>14841.419599405108</v>
      </c>
      <c r="H56" s="101">
        <f>'B&amp;A+DSM - Fuel and % Riders'!H56+FAC!H58+'B&amp;A kWh'!I56*'B&amp;A+DSM - Fuel and % Riders'!$D$81</f>
        <v>15465.502451090575</v>
      </c>
      <c r="I56" s="101">
        <f>'B&amp;A+DSM - Fuel and % Riders'!I56+FAC!I58+'B&amp;A kWh'!J56*'B&amp;A+DSM - Fuel and % Riders'!$D$81</f>
        <v>16856.879767022943</v>
      </c>
      <c r="J56" s="101">
        <f>'B&amp;A+DSM - Fuel and % Riders'!J56+FAC!J58+'B&amp;A kWh'!K56*'B&amp;A+DSM - Fuel and % Riders'!$D$81</f>
        <v>20447.608850486169</v>
      </c>
      <c r="K56" s="101">
        <f>'B&amp;A+DSM - Fuel and % Riders'!K56+FAC!K58+'B&amp;A kWh'!L56*'B&amp;A+DSM - Fuel and % Riders'!$D$81</f>
        <v>22249.529365586091</v>
      </c>
      <c r="L56" s="101">
        <f>'B&amp;A+DSM - Fuel and % Riders'!L56+FAC!L58+'B&amp;A kWh'!M56*'B&amp;A+DSM - Fuel and % Riders'!$D$81</f>
        <v>23210.908241136614</v>
      </c>
      <c r="M56" s="101">
        <f>'B&amp;A+DSM - Fuel and % Riders'!M56+FAC!M58+'B&amp;A kWh'!N56*'B&amp;A+DSM - Fuel and % Riders'!$D$81</f>
        <v>25968.639965759932</v>
      </c>
      <c r="N56" s="101">
        <f>'B&amp;A+DSM - Fuel and % Riders'!N56+FAC!N58+'B&amp;A kWh'!O56*'B&amp;A+DSM - Fuel and % Riders'!$D$81</f>
        <v>20527.107516017684</v>
      </c>
      <c r="O56" s="101">
        <f>'B&amp;A+DSM - Fuel and % Riders'!O56+FAC!O58+'B&amp;A kWh'!P56*'B&amp;A+DSM - Fuel and % Riders'!$D$81</f>
        <v>14117.989600059229</v>
      </c>
      <c r="U56" s="51" t="s">
        <v>120</v>
      </c>
      <c r="V56" s="51">
        <v>56</v>
      </c>
      <c r="W56" s="51">
        <v>58</v>
      </c>
      <c r="X56" s="51">
        <v>56</v>
      </c>
    </row>
    <row r="57" spans="1:24" ht="15" x14ac:dyDescent="0.25">
      <c r="A57" s="24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V57" s="51">
        <v>57</v>
      </c>
      <c r="W57" s="51">
        <v>59</v>
      </c>
      <c r="X57" s="51">
        <v>57</v>
      </c>
    </row>
    <row r="58" spans="1:24" ht="15" x14ac:dyDescent="0.25">
      <c r="A58" s="24" t="s">
        <v>242</v>
      </c>
      <c r="B58" s="101" t="e">
        <f>'B&amp;A+DSM - Fuel and % Riders'!B58+FAC!B62+'B&amp;A kWh'!C60*'B&amp;A+DSM - Fuel and % Riders'!$D$81</f>
        <v>#REF!</v>
      </c>
      <c r="C58" s="101" t="e">
        <f>'B&amp;A+DSM - Fuel and % Riders'!C58+FAC!C62+'B&amp;A kWh'!D60*'B&amp;A+DSM - Fuel and % Riders'!$D$81</f>
        <v>#REF!</v>
      </c>
      <c r="D58" s="101">
        <f>'B&amp;A+DSM - Fuel and % Riders'!D58+FAC!D60+'B&amp;A kWh'!E58*'B&amp;A+DSM - Fuel and % Riders'!$D$81</f>
        <v>246761.45060000184</v>
      </c>
      <c r="E58" s="101">
        <f>'B&amp;A+DSM - Fuel and % Riders'!E58+FAC!E60+'B&amp;A kWh'!F58*'B&amp;A+DSM - Fuel and % Riders'!$D$81</f>
        <v>327673.12189479271</v>
      </c>
      <c r="F58" s="101">
        <f>'B&amp;A+DSM - Fuel and % Riders'!F58+FAC!F60+'B&amp;A kWh'!G58*'B&amp;A+DSM - Fuel and % Riders'!$D$81</f>
        <v>277631.95756163343</v>
      </c>
      <c r="G58" s="101">
        <f>'B&amp;A+DSM - Fuel and % Riders'!G58+FAC!G60+'B&amp;A kWh'!H58*'B&amp;A+DSM - Fuel and % Riders'!$D$81</f>
        <v>308023.58867695043</v>
      </c>
      <c r="H58" s="101">
        <f>'B&amp;A+DSM - Fuel and % Riders'!H58+FAC!H60+'B&amp;A kWh'!I58*'B&amp;A+DSM - Fuel and % Riders'!$D$81</f>
        <v>357360.82368945528</v>
      </c>
      <c r="I58" s="101">
        <f>'B&amp;A+DSM - Fuel and % Riders'!I58+FAC!I60+'B&amp;A kWh'!J58*'B&amp;A+DSM - Fuel and % Riders'!$D$81</f>
        <v>257552.10954272875</v>
      </c>
      <c r="J58" s="101">
        <f>'B&amp;A+DSM - Fuel and % Riders'!J58+FAC!J60+'B&amp;A kWh'!K58*'B&amp;A+DSM - Fuel and % Riders'!$D$81</f>
        <v>337566.17039911135</v>
      </c>
      <c r="K58" s="101">
        <f>'B&amp;A+DSM - Fuel and % Riders'!K58+FAC!K60+'B&amp;A kWh'!L58*'B&amp;A+DSM - Fuel and % Riders'!$D$81</f>
        <v>373808.23113169998</v>
      </c>
      <c r="L58" s="101">
        <f>'B&amp;A+DSM - Fuel and % Riders'!L58+FAC!L60+'B&amp;A kWh'!M58*'B&amp;A+DSM - Fuel and % Riders'!$D$81</f>
        <v>331710.49137739046</v>
      </c>
      <c r="M58" s="101">
        <f>'B&amp;A+DSM - Fuel and % Riders'!M58+FAC!M60+'B&amp;A kWh'!N58*'B&amp;A+DSM - Fuel and % Riders'!$D$81</f>
        <v>240150.70556689909</v>
      </c>
      <c r="N58" s="101">
        <f>'B&amp;A+DSM - Fuel and % Riders'!N58+FAC!N60+'B&amp;A kWh'!O58*'B&amp;A+DSM - Fuel and % Riders'!$D$81</f>
        <v>290377.47434010758</v>
      </c>
      <c r="O58" s="101">
        <f>'B&amp;A+DSM - Fuel and % Riders'!O58+FAC!O60+'B&amp;A kWh'!P58*'B&amp;A+DSM - Fuel and % Riders'!$D$81</f>
        <v>176518.18920889535</v>
      </c>
      <c r="U58" s="51" t="s">
        <v>242</v>
      </c>
      <c r="V58" s="51">
        <v>58</v>
      </c>
      <c r="W58" s="51">
        <v>60</v>
      </c>
      <c r="X58" s="51">
        <v>58</v>
      </c>
    </row>
    <row r="59" spans="1:24" ht="15" x14ac:dyDescent="0.25">
      <c r="A59" s="24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V59" s="51">
        <v>59</v>
      </c>
      <c r="W59" s="51">
        <v>61</v>
      </c>
      <c r="X59" s="51">
        <v>59</v>
      </c>
    </row>
    <row r="60" spans="1:24" ht="15" x14ac:dyDescent="0.25">
      <c r="A60" s="24" t="s">
        <v>122</v>
      </c>
      <c r="B60" s="101">
        <f>'B&amp;A+DSM - Fuel and % Riders'!B60+FAC!B68+'B&amp;A kWh'!C66*'B&amp;A+DSM - Fuel and % Riders'!$D$81</f>
        <v>0</v>
      </c>
      <c r="C60" s="101">
        <f>'B&amp;A+DSM - Fuel and % Riders'!C60+FAC!C68+'B&amp;A kWh'!D66*'B&amp;A+DSM - Fuel and % Riders'!$D$81</f>
        <v>0</v>
      </c>
      <c r="D60" s="101">
        <f>'B&amp;A+DSM - Fuel and % Riders'!D60+FAC!D62+'B&amp;A kWh'!E60*'B&amp;A+DSM - Fuel and % Riders'!$D$81</f>
        <v>557477.66680218768</v>
      </c>
      <c r="E60" s="101">
        <f>'B&amp;A+DSM - Fuel and % Riders'!E60+FAC!E62+'B&amp;A kWh'!F60*'B&amp;A+DSM - Fuel and % Riders'!$D$81</f>
        <v>630095.93400731788</v>
      </c>
      <c r="F60" s="101">
        <f>'B&amp;A+DSM - Fuel and % Riders'!F60+FAC!F62+'B&amp;A kWh'!G60*'B&amp;A+DSM - Fuel and % Riders'!$D$81</f>
        <v>484393.20766682364</v>
      </c>
      <c r="G60" s="101">
        <f>'B&amp;A+DSM - Fuel and % Riders'!G60+FAC!G62+'B&amp;A kWh'!H60*'B&amp;A+DSM - Fuel and % Riders'!$D$81</f>
        <v>623694.31540276017</v>
      </c>
      <c r="H60" s="101">
        <f>'B&amp;A+DSM - Fuel and % Riders'!H60+FAC!H62+'B&amp;A kWh'!I60*'B&amp;A+DSM - Fuel and % Riders'!$D$81</f>
        <v>638064.76431445044</v>
      </c>
      <c r="I60" s="101">
        <f>'B&amp;A+DSM - Fuel and % Riders'!I60+FAC!I62+'B&amp;A kWh'!J60*'B&amp;A+DSM - Fuel and % Riders'!$D$81</f>
        <v>520618.39085310663</v>
      </c>
      <c r="J60" s="101">
        <f>'B&amp;A+DSM - Fuel and % Riders'!J60+FAC!J62+'B&amp;A kWh'!K60*'B&amp;A+DSM - Fuel and % Riders'!$D$81</f>
        <v>602110.16145041189</v>
      </c>
      <c r="K60" s="101">
        <f>'B&amp;A+DSM - Fuel and % Riders'!K60+FAC!K62+'B&amp;A kWh'!L60*'B&amp;A+DSM - Fuel and % Riders'!$D$81</f>
        <v>526822.93287607387</v>
      </c>
      <c r="L60" s="101">
        <f>'B&amp;A+DSM - Fuel and % Riders'!L60+FAC!L62+'B&amp;A kWh'!M60*'B&amp;A+DSM - Fuel and % Riders'!$D$81</f>
        <v>638936.57292980887</v>
      </c>
      <c r="M60" s="101">
        <f>'B&amp;A+DSM - Fuel and % Riders'!M60+FAC!M62+'B&amp;A kWh'!N60*'B&amp;A+DSM - Fuel and % Riders'!$D$81</f>
        <v>634523.5519854161</v>
      </c>
      <c r="N60" s="101">
        <f>'B&amp;A+DSM - Fuel and % Riders'!N60+FAC!N62+'B&amp;A kWh'!O60*'B&amp;A+DSM - Fuel and % Riders'!$D$81</f>
        <v>569500.34937749594</v>
      </c>
      <c r="O60" s="101">
        <f>'B&amp;A+DSM - Fuel and % Riders'!O60+FAC!O62+'B&amp;A kWh'!P60*'B&amp;A+DSM - Fuel and % Riders'!$D$81</f>
        <v>377669.16711072519</v>
      </c>
      <c r="U60" s="51" t="s">
        <v>121</v>
      </c>
      <c r="V60" s="51">
        <v>60</v>
      </c>
      <c r="W60" s="51">
        <v>62</v>
      </c>
      <c r="X60" s="51">
        <v>60</v>
      </c>
    </row>
    <row r="61" spans="1:24" ht="15" x14ac:dyDescent="0.25">
      <c r="A61" s="24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V61" s="51">
        <v>61</v>
      </c>
      <c r="W61" s="51">
        <v>63</v>
      </c>
      <c r="X61" s="51">
        <v>61</v>
      </c>
    </row>
    <row r="62" spans="1:24" ht="15" x14ac:dyDescent="0.25">
      <c r="A62" s="24" t="s">
        <v>243</v>
      </c>
      <c r="B62" s="101">
        <f>'B&amp;A+DSM - Fuel and % Riders'!B62+FAC!B70+'B&amp;A kWh'!C68*'B&amp;A+DSM - Fuel and % Riders'!$D$81</f>
        <v>0</v>
      </c>
      <c r="C62" s="101">
        <f>'B&amp;A+DSM - Fuel and % Riders'!C62+FAC!C70+'B&amp;A kWh'!D68*'B&amp;A+DSM - Fuel and % Riders'!$D$81</f>
        <v>0</v>
      </c>
      <c r="D62" s="101">
        <f>'B&amp;A+DSM - Fuel and % Riders'!D62+FAC!D64+'B&amp;A kWh'!E62*'B&amp;A+DSM - Fuel and % Riders'!$D$81</f>
        <v>109730.46246999787</v>
      </c>
      <c r="E62" s="101">
        <f>'B&amp;A+DSM - Fuel and % Riders'!E62+FAC!E64+'B&amp;A kWh'!F62*'B&amp;A+DSM - Fuel and % Riders'!$D$81</f>
        <v>125620.04272928598</v>
      </c>
      <c r="F62" s="101">
        <f>'B&amp;A+DSM - Fuel and % Riders'!F62+FAC!F64+'B&amp;A kWh'!G62*'B&amp;A+DSM - Fuel and % Riders'!$D$81</f>
        <v>130565.63426171086</v>
      </c>
      <c r="G62" s="101">
        <f>'B&amp;A+DSM - Fuel and % Riders'!G62+FAC!G64+'B&amp;A kWh'!H62*'B&amp;A+DSM - Fuel and % Riders'!$D$81</f>
        <v>136139.4896369428</v>
      </c>
      <c r="H62" s="101">
        <f>'B&amp;A+DSM - Fuel and % Riders'!H62+FAC!H64+'B&amp;A kWh'!I62*'B&amp;A+DSM - Fuel and % Riders'!$D$81</f>
        <v>144925.76184198979</v>
      </c>
      <c r="I62" s="101">
        <f>'B&amp;A+DSM - Fuel and % Riders'!I62+FAC!I64+'B&amp;A kWh'!J62*'B&amp;A+DSM - Fuel and % Riders'!$D$81</f>
        <v>100027.13613370438</v>
      </c>
      <c r="J62" s="101">
        <f>'B&amp;A+DSM - Fuel and % Riders'!J62+FAC!J64+'B&amp;A kWh'!K62*'B&amp;A+DSM - Fuel and % Riders'!$D$81</f>
        <v>148982.86602983222</v>
      </c>
      <c r="K62" s="101">
        <f>'B&amp;A+DSM - Fuel and % Riders'!K62+FAC!K64+'B&amp;A kWh'!L62*'B&amp;A+DSM - Fuel and % Riders'!$D$81</f>
        <v>154817.04895423682</v>
      </c>
      <c r="L62" s="101">
        <f>'B&amp;A+DSM - Fuel and % Riders'!L62+FAC!L64+'B&amp;A kWh'!M62*'B&amp;A+DSM - Fuel and % Riders'!$D$81</f>
        <v>170627.21830903704</v>
      </c>
      <c r="M62" s="101">
        <f>'B&amp;A+DSM - Fuel and % Riders'!M62+FAC!M64+'B&amp;A kWh'!N62*'B&amp;A+DSM - Fuel and % Riders'!$D$81</f>
        <v>150670.4259456264</v>
      </c>
      <c r="N62" s="101">
        <f>'B&amp;A+DSM - Fuel and % Riders'!N62+FAC!N64+'B&amp;A kWh'!O62*'B&amp;A+DSM - Fuel and % Riders'!$D$81</f>
        <v>173730.100587658</v>
      </c>
      <c r="O62" s="101">
        <f>'B&amp;A+DSM - Fuel and % Riders'!O62+FAC!O64+'B&amp;A kWh'!P62*'B&amp;A+DSM - Fuel and % Riders'!$D$81</f>
        <v>78229.961846991093</v>
      </c>
      <c r="U62" s="51" t="s">
        <v>243</v>
      </c>
      <c r="V62" s="51">
        <v>62</v>
      </c>
      <c r="W62" s="51">
        <v>64</v>
      </c>
      <c r="X62" s="51">
        <v>62</v>
      </c>
    </row>
    <row r="63" spans="1:24" ht="15" x14ac:dyDescent="0.25">
      <c r="A63" s="24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V63" s="51">
        <v>63</v>
      </c>
      <c r="W63" s="51">
        <v>65</v>
      </c>
      <c r="X63" s="51">
        <v>63</v>
      </c>
    </row>
    <row r="64" spans="1:24" ht="15" x14ac:dyDescent="0.25">
      <c r="A64" s="24" t="s">
        <v>244</v>
      </c>
      <c r="B64" s="101">
        <f>'B&amp;A+DSM - Fuel and % Riders'!B64+FAC!B72+'B&amp;A kWh'!C70*'B&amp;A+DSM - Fuel and % Riders'!$D$81</f>
        <v>0</v>
      </c>
      <c r="C64" s="101">
        <f>'B&amp;A+DSM - Fuel and % Riders'!C64+FAC!C72+'B&amp;A kWh'!D70*'B&amp;A+DSM - Fuel and % Riders'!$D$81</f>
        <v>0</v>
      </c>
      <c r="D64" s="101">
        <f>'B&amp;A+DSM - Fuel and % Riders'!D64+FAC!D66+'B&amp;A kWh'!E64*'B&amp;A+DSM - Fuel and % Riders'!$D$81</f>
        <v>330557.16785771516</v>
      </c>
      <c r="E64" s="101">
        <f>'B&amp;A+DSM - Fuel and % Riders'!E64+FAC!E66+'B&amp;A kWh'!F64*'B&amp;A+DSM - Fuel and % Riders'!$D$81</f>
        <v>347249.63637497881</v>
      </c>
      <c r="F64" s="101">
        <f>'B&amp;A+DSM - Fuel and % Riders'!F64+FAC!F66+'B&amp;A kWh'!G64*'B&amp;A+DSM - Fuel and % Riders'!$D$81</f>
        <v>259649.46667962585</v>
      </c>
      <c r="G64" s="101">
        <f>'B&amp;A+DSM - Fuel and % Riders'!G64+FAC!G66+'B&amp;A kWh'!H64*'B&amp;A+DSM - Fuel and % Riders'!$D$81</f>
        <v>413199.23791523412</v>
      </c>
      <c r="H64" s="101">
        <f>'B&amp;A+DSM - Fuel and % Riders'!H64+FAC!H66+'B&amp;A kWh'!I64*'B&amp;A+DSM - Fuel and % Riders'!$D$81</f>
        <v>372637.21606136346</v>
      </c>
      <c r="I64" s="101">
        <f>'B&amp;A+DSM - Fuel and % Riders'!I64+FAC!I66+'B&amp;A kWh'!J64*'B&amp;A+DSM - Fuel and % Riders'!$D$81</f>
        <v>276424.13113499398</v>
      </c>
      <c r="J64" s="101">
        <f>'B&amp;A+DSM - Fuel and % Riders'!J64+FAC!J66+'B&amp;A kWh'!K64*'B&amp;A+DSM - Fuel and % Riders'!$D$81</f>
        <v>387843.58846443571</v>
      </c>
      <c r="K64" s="101">
        <f>'B&amp;A+DSM - Fuel and % Riders'!K64+FAC!K66+'B&amp;A kWh'!L64*'B&amp;A+DSM - Fuel and % Riders'!$D$81</f>
        <v>474551.36365247733</v>
      </c>
      <c r="L64" s="101">
        <f>'B&amp;A+DSM - Fuel and % Riders'!L64+FAC!L66+'B&amp;A kWh'!M64*'B&amp;A+DSM - Fuel and % Riders'!$D$81</f>
        <v>378627.09661775571</v>
      </c>
      <c r="M64" s="101">
        <f>'B&amp;A+DSM - Fuel and % Riders'!M64+FAC!M66+'B&amp;A kWh'!N64*'B&amp;A+DSM - Fuel and % Riders'!$D$81</f>
        <v>395431.83262219583</v>
      </c>
      <c r="N64" s="101">
        <f>'B&amp;A+DSM - Fuel and % Riders'!N64+FAC!N66+'B&amp;A kWh'!O64*'B&amp;A+DSM - Fuel and % Riders'!$D$81</f>
        <v>428533.65296901867</v>
      </c>
      <c r="O64" s="101">
        <f>'B&amp;A+DSM - Fuel and % Riders'!O64+FAC!O66+'B&amp;A kWh'!P64*'B&amp;A+DSM - Fuel and % Riders'!$D$81</f>
        <v>176580.98431601317</v>
      </c>
      <c r="U64" s="51" t="s">
        <v>244</v>
      </c>
      <c r="V64" s="51">
        <v>64</v>
      </c>
      <c r="W64" s="51">
        <v>66</v>
      </c>
      <c r="X64" s="51">
        <v>64</v>
      </c>
    </row>
    <row r="65" spans="1:24" ht="15" x14ac:dyDescent="0.25">
      <c r="A65" s="24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V65" s="51">
        <v>65</v>
      </c>
      <c r="W65" s="51">
        <v>67</v>
      </c>
      <c r="X65" s="51">
        <v>65</v>
      </c>
    </row>
    <row r="66" spans="1:24" ht="15" x14ac:dyDescent="0.25">
      <c r="A66" s="24" t="s">
        <v>123</v>
      </c>
      <c r="B66" s="101">
        <f>'B&amp;A+DSM - Fuel and % Riders'!B66+FAC!B74+'B&amp;A kWh'!C72*'B&amp;A+DSM - Fuel and % Riders'!$D$81</f>
        <v>0</v>
      </c>
      <c r="C66" s="101">
        <f>'B&amp;A+DSM - Fuel and % Riders'!C66+FAC!C74+'B&amp;A kWh'!D72*'B&amp;A+DSM - Fuel and % Riders'!$D$81</f>
        <v>0</v>
      </c>
      <c r="D66" s="101">
        <f>'B&amp;A+DSM - Fuel and % Riders'!D66+FAC!D68+'B&amp;A kWh'!E66*'B&amp;A+DSM - Fuel and % Riders'!$D$81</f>
        <v>116988.16614309973</v>
      </c>
      <c r="E66" s="101">
        <f>'B&amp;A+DSM - Fuel and % Riders'!E66+FAC!E68+'B&amp;A kWh'!F66*'B&amp;A+DSM - Fuel and % Riders'!$D$81</f>
        <v>142901.31612479646</v>
      </c>
      <c r="F66" s="101">
        <f>'B&amp;A+DSM - Fuel and % Riders'!F66+FAC!F68+'B&amp;A kWh'!G66*'B&amp;A+DSM - Fuel and % Riders'!$D$81</f>
        <v>151903.00503544253</v>
      </c>
      <c r="G66" s="101">
        <f>'B&amp;A+DSM - Fuel and % Riders'!G66+FAC!G68+'B&amp;A kWh'!H66*'B&amp;A+DSM - Fuel and % Riders'!$D$81</f>
        <v>136735.76890765096</v>
      </c>
      <c r="H66" s="101">
        <f>'B&amp;A+DSM - Fuel and % Riders'!H66+FAC!H68+'B&amp;A kWh'!I66*'B&amp;A+DSM - Fuel and % Riders'!$D$81</f>
        <v>146638.75939674242</v>
      </c>
      <c r="I66" s="101">
        <f>'B&amp;A+DSM - Fuel and % Riders'!I66+FAC!I68+'B&amp;A kWh'!J66*'B&amp;A+DSM - Fuel and % Riders'!$D$81</f>
        <v>127612.68175124949</v>
      </c>
      <c r="J66" s="101">
        <f>'B&amp;A+DSM - Fuel and % Riders'!J66+FAC!J68+'B&amp;A kWh'!K66*'B&amp;A+DSM - Fuel and % Riders'!$D$81</f>
        <v>164532.66197441623</v>
      </c>
      <c r="K66" s="101">
        <f>'B&amp;A+DSM - Fuel and % Riders'!K66+FAC!K68+'B&amp;A kWh'!L66*'B&amp;A+DSM - Fuel and % Riders'!$D$81</f>
        <v>179043.58770958643</v>
      </c>
      <c r="L66" s="101">
        <f>'B&amp;A+DSM - Fuel and % Riders'!L66+FAC!L68+'B&amp;A kWh'!M66*'B&amp;A+DSM - Fuel and % Riders'!$D$81</f>
        <v>164359.56365331745</v>
      </c>
      <c r="M66" s="101">
        <f>'B&amp;A+DSM - Fuel and % Riders'!M66+FAC!M68+'B&amp;A kWh'!N66*'B&amp;A+DSM - Fuel and % Riders'!$D$81</f>
        <v>164683.60925904702</v>
      </c>
      <c r="N66" s="101">
        <f>'B&amp;A+DSM - Fuel and % Riders'!N66+FAC!N68+'B&amp;A kWh'!O66*'B&amp;A+DSM - Fuel and % Riders'!$D$81</f>
        <v>139648.18321134514</v>
      </c>
      <c r="O66" s="101">
        <f>'B&amp;A+DSM - Fuel and % Riders'!O66+FAC!O68+'B&amp;A kWh'!P66*'B&amp;A+DSM - Fuel and % Riders'!$D$81</f>
        <v>105362.98203372391</v>
      </c>
      <c r="U66" s="51" t="s">
        <v>123</v>
      </c>
      <c r="V66" s="51">
        <v>66</v>
      </c>
      <c r="W66" s="51">
        <v>68</v>
      </c>
      <c r="X66" s="51">
        <v>66</v>
      </c>
    </row>
    <row r="67" spans="1:24" ht="15" x14ac:dyDescent="0.25">
      <c r="A67" s="24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V67" s="51">
        <v>67</v>
      </c>
      <c r="W67" s="51">
        <v>69</v>
      </c>
      <c r="X67" s="51">
        <v>67</v>
      </c>
    </row>
    <row r="68" spans="1:24" ht="15" x14ac:dyDescent="0.25">
      <c r="A68" s="24" t="s">
        <v>124</v>
      </c>
      <c r="B68" s="101">
        <f>'B&amp;A+DSM - Fuel and % Riders'!B68+FAC!B76+'B&amp;A kWh'!C74*'B&amp;A+DSM - Fuel and % Riders'!$D$81</f>
        <v>0</v>
      </c>
      <c r="C68" s="101">
        <f>'B&amp;A+DSM - Fuel and % Riders'!C68+FAC!C76+'B&amp;A kWh'!D74*'B&amp;A+DSM - Fuel and % Riders'!$D$81</f>
        <v>0</v>
      </c>
      <c r="D68" s="101">
        <f>'B&amp;A+DSM - Fuel and % Riders'!D68+FAC!D70+'B&amp;A kWh'!E68*'B&amp;A+DSM - Fuel and % Riders'!$D$81</f>
        <v>2117946.4079278456</v>
      </c>
      <c r="E68" s="101">
        <f>'B&amp;A+DSM - Fuel and % Riders'!E68+FAC!E70+'B&amp;A kWh'!F68*'B&amp;A+DSM - Fuel and % Riders'!$D$81</f>
        <v>2949670.3254708508</v>
      </c>
      <c r="F68" s="101">
        <f>'B&amp;A+DSM - Fuel and % Riders'!F68+FAC!F70+'B&amp;A kWh'!G68*'B&amp;A+DSM - Fuel and % Riders'!$D$81</f>
        <v>2515457.8308620211</v>
      </c>
      <c r="G68" s="101">
        <f>'B&amp;A+DSM - Fuel and % Riders'!G68+FAC!G70+'B&amp;A kWh'!H68*'B&amp;A+DSM - Fuel and % Riders'!$D$81</f>
        <v>2749119.0248114788</v>
      </c>
      <c r="H68" s="101">
        <f>'B&amp;A+DSM - Fuel and % Riders'!H68+FAC!H70+'B&amp;A kWh'!I68*'B&amp;A+DSM - Fuel and % Riders'!$D$81</f>
        <v>2653249.7855040776</v>
      </c>
      <c r="I68" s="101">
        <f>'B&amp;A+DSM - Fuel and % Riders'!I68+FAC!I70+'B&amp;A kWh'!J68*'B&amp;A+DSM - Fuel and % Riders'!$D$81</f>
        <v>2229429.0444114953</v>
      </c>
      <c r="J68" s="101">
        <f>'B&amp;A+DSM - Fuel and % Riders'!J68+FAC!J70+'B&amp;A kWh'!K68*'B&amp;A+DSM - Fuel and % Riders'!$D$81</f>
        <v>2925476.7694170005</v>
      </c>
      <c r="K68" s="101">
        <f>'B&amp;A+DSM - Fuel and % Riders'!K68+FAC!K70+'B&amp;A kWh'!L68*'B&amp;A+DSM - Fuel and % Riders'!$D$81</f>
        <v>3084411.5880844723</v>
      </c>
      <c r="L68" s="101">
        <f>'B&amp;A+DSM - Fuel and % Riders'!L68+FAC!L70+'B&amp;A kWh'!M68*'B&amp;A+DSM - Fuel and % Riders'!$D$81</f>
        <v>2628827.1885924074</v>
      </c>
      <c r="M68" s="101">
        <f>'B&amp;A+DSM - Fuel and % Riders'!M68+FAC!M70+'B&amp;A kWh'!N68*'B&amp;A+DSM - Fuel and % Riders'!$D$81</f>
        <v>2456142.0371786072</v>
      </c>
      <c r="N68" s="101">
        <f>'B&amp;A+DSM - Fuel and % Riders'!N68+FAC!N70+'B&amp;A kWh'!O68*'B&amp;A+DSM - Fuel and % Riders'!$D$81</f>
        <v>2552185.3821753962</v>
      </c>
      <c r="O68" s="101">
        <f>'B&amp;A+DSM - Fuel and % Riders'!O68+FAC!O70+'B&amp;A kWh'!P68*'B&amp;A+DSM - Fuel and % Riders'!$D$81</f>
        <v>2006114.7975107599</v>
      </c>
      <c r="U68" s="51" t="s">
        <v>124</v>
      </c>
      <c r="V68" s="51">
        <v>68</v>
      </c>
      <c r="W68" s="51">
        <v>70</v>
      </c>
      <c r="X68" s="51">
        <v>68</v>
      </c>
    </row>
    <row r="69" spans="1:24" ht="15" x14ac:dyDescent="0.25">
      <c r="A69" s="24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V69" s="51">
        <v>69</v>
      </c>
      <c r="W69" s="51">
        <v>71</v>
      </c>
      <c r="X69" s="51">
        <v>69</v>
      </c>
    </row>
    <row r="70" spans="1:24" ht="15" x14ac:dyDescent="0.25">
      <c r="A70" s="24" t="s">
        <v>125</v>
      </c>
      <c r="B70" s="101">
        <f>'B&amp;A+DSM - Fuel and % Riders'!B70+FAC!B78+'B&amp;A kWh'!C76*'B&amp;A+DSM - Fuel and % Riders'!$D$81</f>
        <v>0</v>
      </c>
      <c r="C70" s="101">
        <f>'B&amp;A+DSM - Fuel and % Riders'!C70+FAC!C78+'B&amp;A kWh'!D76*'B&amp;A+DSM - Fuel and % Riders'!$D$81</f>
        <v>0</v>
      </c>
      <c r="D70" s="101">
        <f>'B&amp;A+DSM - Fuel and % Riders'!D70+FAC!D72+'B&amp;A kWh'!E70*'B&amp;A+DSM - Fuel and % Riders'!$D$81</f>
        <v>7300848.9430256765</v>
      </c>
      <c r="E70" s="101">
        <f>'B&amp;A+DSM - Fuel and % Riders'!E70+FAC!E72+'B&amp;A kWh'!F70*'B&amp;A+DSM - Fuel and % Riders'!$D$81</f>
        <v>10769813.664290637</v>
      </c>
      <c r="F70" s="101">
        <f>'B&amp;A+DSM - Fuel and % Riders'!F70+FAC!F72+'B&amp;A kWh'!G70*'B&amp;A+DSM - Fuel and % Riders'!$D$81</f>
        <v>8984202.7546724416</v>
      </c>
      <c r="G70" s="101">
        <f>'B&amp;A+DSM - Fuel and % Riders'!G70+FAC!G72+'B&amp;A kWh'!H70*'B&amp;A+DSM - Fuel and % Riders'!$D$81</f>
        <v>11639016.953200677</v>
      </c>
      <c r="H70" s="101">
        <f>'B&amp;A+DSM - Fuel and % Riders'!H70+FAC!H72+'B&amp;A kWh'!I70*'B&amp;A+DSM - Fuel and % Riders'!$D$81</f>
        <v>11087748.802056685</v>
      </c>
      <c r="I70" s="101">
        <f>'B&amp;A+DSM - Fuel and % Riders'!I70+FAC!I72+'B&amp;A kWh'!J70*'B&amp;A+DSM - Fuel and % Riders'!$D$81</f>
        <v>10497837.87466404</v>
      </c>
      <c r="J70" s="101">
        <f>'B&amp;A+DSM - Fuel and % Riders'!J70+FAC!J72+'B&amp;A kWh'!K70*'B&amp;A+DSM - Fuel and % Riders'!$D$81</f>
        <v>8940163.1072166823</v>
      </c>
      <c r="K70" s="101">
        <f>'B&amp;A+DSM - Fuel and % Riders'!K70+FAC!K72+'B&amp;A kWh'!L70*'B&amp;A+DSM - Fuel and % Riders'!$D$81</f>
        <v>12307838.722516239</v>
      </c>
      <c r="L70" s="101">
        <f>'B&amp;A+DSM - Fuel and % Riders'!L70+FAC!L72+'B&amp;A kWh'!M70*'B&amp;A+DSM - Fuel and % Riders'!$D$81</f>
        <v>13218569.278187644</v>
      </c>
      <c r="M70" s="101">
        <f>'B&amp;A+DSM - Fuel and % Riders'!M70+FAC!M72+'B&amp;A kWh'!N70*'B&amp;A+DSM - Fuel and % Riders'!$D$81</f>
        <v>11086321.103966055</v>
      </c>
      <c r="N70" s="101">
        <f>'B&amp;A+DSM - Fuel and % Riders'!N70+FAC!N72+'B&amp;A kWh'!O70*'B&amp;A+DSM - Fuel and % Riders'!$D$81</f>
        <v>11104502.710240144</v>
      </c>
      <c r="O70" s="101">
        <f>'B&amp;A+DSM - Fuel and % Riders'!O70+FAC!O72+'B&amp;A kWh'!P70*'B&amp;A+DSM - Fuel and % Riders'!$D$81</f>
        <v>4128530.4092900339</v>
      </c>
      <c r="U70" s="51" t="s">
        <v>125</v>
      </c>
      <c r="V70" s="51">
        <v>70</v>
      </c>
      <c r="W70" s="51">
        <v>72</v>
      </c>
      <c r="X70" s="51">
        <v>70</v>
      </c>
    </row>
    <row r="71" spans="1:24" ht="15" x14ac:dyDescent="0.25">
      <c r="A71" s="24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V71" s="51">
        <v>71</v>
      </c>
      <c r="W71" s="51">
        <v>73</v>
      </c>
      <c r="X71" s="51">
        <v>71</v>
      </c>
    </row>
    <row r="72" spans="1:24" ht="15" x14ac:dyDescent="0.25">
      <c r="A72" s="24" t="s">
        <v>126</v>
      </c>
      <c r="B72" s="101"/>
      <c r="C72" s="101"/>
      <c r="D72" s="101">
        <f>'B&amp;A+DSM - Fuel and % Riders'!D72+FAC!D74+'B&amp;A kWh'!E72*'B&amp;A+DSM - Fuel and % Riders'!$D$81</f>
        <v>1222277.2645346469</v>
      </c>
      <c r="E72" s="101">
        <f>'B&amp;A+DSM - Fuel and % Riders'!E72+FAC!E74+'B&amp;A kWh'!F72*'B&amp;A+DSM - Fuel and % Riders'!$D$81</f>
        <v>1483852.2871293302</v>
      </c>
      <c r="F72" s="101">
        <f>'B&amp;A+DSM - Fuel and % Riders'!F72+FAC!F74+'B&amp;A kWh'!G72*'B&amp;A+DSM - Fuel and % Riders'!$D$81</f>
        <v>2030863.5217585377</v>
      </c>
      <c r="G72" s="101">
        <f>'B&amp;A+DSM - Fuel and % Riders'!G72+FAC!G74+'B&amp;A kWh'!H72*'B&amp;A+DSM - Fuel and % Riders'!$D$81</f>
        <v>1700195.0179227816</v>
      </c>
      <c r="H72" s="101">
        <f>'B&amp;A+DSM - Fuel and % Riders'!H72+FAC!H74+'B&amp;A kWh'!I72*'B&amp;A+DSM - Fuel and % Riders'!$D$81</f>
        <v>1376095.4449472721</v>
      </c>
      <c r="I72" s="101">
        <f>'B&amp;A+DSM - Fuel and % Riders'!I72+FAC!I74+'B&amp;A kWh'!J72*'B&amp;A+DSM - Fuel and % Riders'!$D$81</f>
        <v>1118388.6350974082</v>
      </c>
      <c r="J72" s="101">
        <f>'B&amp;A+DSM - Fuel and % Riders'!J72+FAC!J74+'B&amp;A kWh'!K72*'B&amp;A+DSM - Fuel and % Riders'!$D$81</f>
        <v>2050926.9211737786</v>
      </c>
      <c r="K72" s="101">
        <f>'B&amp;A+DSM - Fuel and % Riders'!K72+FAC!K74+'B&amp;A kWh'!L72*'B&amp;A+DSM - Fuel and % Riders'!$D$81</f>
        <v>1679432.3370782419</v>
      </c>
      <c r="L72" s="101">
        <f>'B&amp;A+DSM - Fuel and % Riders'!L72+FAC!L74+'B&amp;A kWh'!M72*'B&amp;A+DSM - Fuel and % Riders'!$D$81</f>
        <v>1875846.4182969383</v>
      </c>
      <c r="M72" s="101">
        <f>'B&amp;A+DSM - Fuel and % Riders'!M72+FAC!M74+'B&amp;A kWh'!N72*'B&amp;A+DSM - Fuel and % Riders'!$D$81</f>
        <v>1241419.4426733425</v>
      </c>
      <c r="N72" s="101">
        <f>'B&amp;A+DSM - Fuel and % Riders'!N72+FAC!N74+'B&amp;A kWh'!O72*'B&amp;A+DSM - Fuel and % Riders'!$D$81</f>
        <v>1172192.0280524436</v>
      </c>
      <c r="O72" s="101">
        <f>'B&amp;A+DSM - Fuel and % Riders'!O72+FAC!O74+'B&amp;A kWh'!P72*'B&amp;A+DSM - Fuel and % Riders'!$D$81</f>
        <v>1372682.8154540085</v>
      </c>
      <c r="U72" s="51" t="s">
        <v>126</v>
      </c>
      <c r="V72" s="51">
        <v>72</v>
      </c>
      <c r="W72" s="51">
        <v>74</v>
      </c>
      <c r="X72" s="51">
        <v>72</v>
      </c>
    </row>
    <row r="73" spans="1:24" ht="15" x14ac:dyDescent="0.25">
      <c r="A73" s="24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V73" s="51">
        <v>73</v>
      </c>
      <c r="W73" s="51">
        <v>75</v>
      </c>
      <c r="X73" s="51">
        <v>73</v>
      </c>
    </row>
    <row r="74" spans="1:24" ht="15" x14ac:dyDescent="0.25">
      <c r="A74" s="24" t="s">
        <v>2</v>
      </c>
      <c r="B74" s="101"/>
      <c r="C74" s="101"/>
      <c r="D74" s="101">
        <f>'B&amp;A+DSM - Fuel and % Riders'!D74+FAC!D76+'B&amp;A kWh'!E74*'B&amp;A+DSM - Fuel and % Riders'!$D$81</f>
        <v>130261.47814955284</v>
      </c>
      <c r="E74" s="101">
        <f>'B&amp;A+DSM - Fuel and % Riders'!E74+FAC!E76+'B&amp;A kWh'!F74*'B&amp;A+DSM - Fuel and % Riders'!$D$81</f>
        <v>131678.93949037345</v>
      </c>
      <c r="F74" s="101">
        <f>'B&amp;A+DSM - Fuel and % Riders'!F74+FAC!F76+'B&amp;A kWh'!G74*'B&amp;A+DSM - Fuel and % Riders'!$D$81</f>
        <v>135954.50073742811</v>
      </c>
      <c r="G74" s="101">
        <f>'B&amp;A+DSM - Fuel and % Riders'!G74+FAC!G76+'B&amp;A kWh'!H74*'B&amp;A+DSM - Fuel and % Riders'!$D$81</f>
        <v>141097.23388979564</v>
      </c>
      <c r="H74" s="101">
        <f>'B&amp;A+DSM - Fuel and % Riders'!H74+FAC!H76+'B&amp;A kWh'!I74*'B&amp;A+DSM - Fuel and % Riders'!$D$81</f>
        <v>141604.15260860499</v>
      </c>
      <c r="I74" s="101">
        <f>'B&amp;A+DSM - Fuel and % Riders'!I74+FAC!I76+'B&amp;A kWh'!J74*'B&amp;A+DSM - Fuel and % Riders'!$D$81</f>
        <v>133217.50233522104</v>
      </c>
      <c r="J74" s="101">
        <f>'B&amp;A+DSM - Fuel and % Riders'!J74+FAC!J76+'B&amp;A kWh'!K74*'B&amp;A+DSM - Fuel and % Riders'!$D$81</f>
        <v>146449.26653221028</v>
      </c>
      <c r="K74" s="101">
        <f>'B&amp;A+DSM - Fuel and % Riders'!K74+FAC!K76+'B&amp;A kWh'!L74*'B&amp;A+DSM - Fuel and % Riders'!$D$81</f>
        <v>166385.78206201261</v>
      </c>
      <c r="L74" s="101">
        <f>'B&amp;A+DSM - Fuel and % Riders'!L74+FAC!L76+'B&amp;A kWh'!M74*'B&amp;A+DSM - Fuel and % Riders'!$D$81</f>
        <v>167242.00556915969</v>
      </c>
      <c r="M74" s="101">
        <f>'B&amp;A+DSM - Fuel and % Riders'!M74+FAC!M76+'B&amp;A kWh'!N74*'B&amp;A+DSM - Fuel and % Riders'!$D$81</f>
        <v>159352.47250795786</v>
      </c>
      <c r="N74" s="101">
        <f>'B&amp;A+DSM - Fuel and % Riders'!N74+FAC!N76+'B&amp;A kWh'!O74*'B&amp;A+DSM - Fuel and % Riders'!$D$81</f>
        <v>162509.80234218723</v>
      </c>
      <c r="O74" s="101">
        <f>'B&amp;A+DSM - Fuel and % Riders'!O74+FAC!O76+'B&amp;A kWh'!P74*'B&amp;A+DSM - Fuel and % Riders'!$D$81</f>
        <v>111362.87402316174</v>
      </c>
      <c r="U74" s="51" t="s">
        <v>2</v>
      </c>
      <c r="V74" s="51">
        <v>74</v>
      </c>
      <c r="W74" s="51">
        <v>76</v>
      </c>
      <c r="X74" s="51">
        <v>74</v>
      </c>
    </row>
    <row r="75" spans="1:24" ht="15" x14ac:dyDescent="0.25">
      <c r="A75" s="24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V75" s="51">
        <v>75</v>
      </c>
      <c r="W75" s="51">
        <v>77</v>
      </c>
      <c r="X75" s="51">
        <v>75</v>
      </c>
    </row>
    <row r="76" spans="1:24" ht="15" x14ac:dyDescent="0.25">
      <c r="A76" s="24" t="s">
        <v>1</v>
      </c>
      <c r="B76" s="101"/>
      <c r="C76" s="101"/>
      <c r="D76" s="101">
        <f>'B&amp;A+DSM - Fuel and % Riders'!D76+FAC!D78+'B&amp;A kWh'!E76*'B&amp;A+DSM - Fuel and % Riders'!$D$81</f>
        <v>15852.089593724655</v>
      </c>
      <c r="E76" s="101">
        <f>'B&amp;A+DSM - Fuel and % Riders'!E76+FAC!E78+'B&amp;A kWh'!F76*'B&amp;A+DSM - Fuel and % Riders'!$D$81</f>
        <v>20414.835588133905</v>
      </c>
      <c r="F76" s="101">
        <f>'B&amp;A+DSM - Fuel and % Riders'!F76+FAC!F78+'B&amp;A kWh'!G76*'B&amp;A+DSM - Fuel and % Riders'!$D$81</f>
        <v>23566.397466174334</v>
      </c>
      <c r="G76" s="101">
        <f>'B&amp;A+DSM - Fuel and % Riders'!G76+FAC!G78+'B&amp;A kWh'!H76*'B&amp;A+DSM - Fuel and % Riders'!$D$81</f>
        <v>19972.7330588115</v>
      </c>
      <c r="H76" s="101">
        <f>'B&amp;A+DSM - Fuel and % Riders'!H76+FAC!H78+'B&amp;A kWh'!I76*'B&amp;A+DSM - Fuel and % Riders'!$D$81</f>
        <v>18649.131889890185</v>
      </c>
      <c r="I76" s="101">
        <f>'B&amp;A+DSM - Fuel and % Riders'!I76+FAC!I78+'B&amp;A kWh'!J76*'B&amp;A+DSM - Fuel and % Riders'!$D$81</f>
        <v>17135.71406111143</v>
      </c>
      <c r="J76" s="101">
        <f>'B&amp;A+DSM - Fuel and % Riders'!J76+FAC!J78+'B&amp;A kWh'!K76*'B&amp;A+DSM - Fuel and % Riders'!$D$81</f>
        <v>24005.454243025666</v>
      </c>
      <c r="K76" s="101">
        <f>'B&amp;A+DSM - Fuel and % Riders'!K76+FAC!K78+'B&amp;A kWh'!L76*'B&amp;A+DSM - Fuel and % Riders'!$D$81</f>
        <v>21282.991890272977</v>
      </c>
      <c r="L76" s="101">
        <f>'B&amp;A+DSM - Fuel and % Riders'!L76+FAC!L78+'B&amp;A kWh'!M76*'B&amp;A+DSM - Fuel and % Riders'!$D$81</f>
        <v>21101.74658716621</v>
      </c>
      <c r="M76" s="101">
        <f>'B&amp;A+DSM - Fuel and % Riders'!M76+FAC!M78+'B&amp;A kWh'!N76*'B&amp;A+DSM - Fuel and % Riders'!$D$81</f>
        <v>17498.775610081866</v>
      </c>
      <c r="N76" s="101">
        <f>'B&amp;A+DSM - Fuel and % Riders'!N76+FAC!N78+'B&amp;A kWh'!O76*'B&amp;A+DSM - Fuel and % Riders'!$D$81</f>
        <v>14697.714492986775</v>
      </c>
      <c r="O76" s="101">
        <f>'B&amp;A+DSM - Fuel and % Riders'!O76+FAC!O78+'B&amp;A kWh'!P76*'B&amp;A+DSM - Fuel and % Riders'!$D$81</f>
        <v>15450.529499799621</v>
      </c>
      <c r="U76" s="51" t="s">
        <v>1</v>
      </c>
      <c r="V76" s="51">
        <v>76</v>
      </c>
      <c r="W76" s="51">
        <v>78</v>
      </c>
      <c r="X76" s="51">
        <v>76</v>
      </c>
    </row>
    <row r="77" spans="1:24" ht="15" x14ac:dyDescent="0.25">
      <c r="A77" s="103"/>
    </row>
    <row r="78" spans="1:24" ht="15" x14ac:dyDescent="0.25">
      <c r="A78" s="24" t="s">
        <v>0</v>
      </c>
      <c r="B78" s="104" t="e">
        <f>SUM(B10:B70)</f>
        <v>#REF!</v>
      </c>
      <c r="C78" s="104" t="e">
        <f t="shared" ref="C78" si="0">SUM(C10:C70)</f>
        <v>#REF!</v>
      </c>
      <c r="D78" s="104">
        <f>SUM(D10:D76)-D18</f>
        <v>44390999.49168995</v>
      </c>
      <c r="E78" s="104">
        <f t="shared" ref="E78:O78" si="1">SUM(E10:E70)-E18</f>
        <v>48402380.39050328</v>
      </c>
      <c r="F78" s="104">
        <f t="shared" si="1"/>
        <v>51804207.787336007</v>
      </c>
      <c r="G78" s="104">
        <f t="shared" si="1"/>
        <v>57986072.897352472</v>
      </c>
      <c r="H78" s="104">
        <f t="shared" si="1"/>
        <v>55441502.06820669</v>
      </c>
      <c r="I78" s="104">
        <f t="shared" si="1"/>
        <v>45427891.218024403</v>
      </c>
      <c r="J78" s="104">
        <f t="shared" si="1"/>
        <v>48840163.137712404</v>
      </c>
      <c r="K78" s="104">
        <f t="shared" si="1"/>
        <v>59501283.880632222</v>
      </c>
      <c r="L78" s="104">
        <f t="shared" si="1"/>
        <v>63856029.620169565</v>
      </c>
      <c r="M78" s="104">
        <f t="shared" si="1"/>
        <v>60215060.477387667</v>
      </c>
      <c r="N78" s="104">
        <f t="shared" si="1"/>
        <v>47854211.93660152</v>
      </c>
      <c r="O78" s="104">
        <f t="shared" si="1"/>
        <v>34302876.498388514</v>
      </c>
    </row>
    <row r="80" spans="1:24" x14ac:dyDescent="0.2">
      <c r="A80" s="63" t="s">
        <v>159</v>
      </c>
      <c r="B80" s="101" t="e">
        <f>B78-'B&amp;A+DSM - Fuel and % Riders'!B79</f>
        <v>#REF!</v>
      </c>
      <c r="C80" s="101" t="e">
        <f>C78-'B&amp;A+DSM - Fuel and % Riders'!C79</f>
        <v>#REF!</v>
      </c>
      <c r="D80" s="101">
        <f>D78-'B&amp;A+DSM - Fuel and % Riders'!D79</f>
        <v>30398885.758995287</v>
      </c>
      <c r="E80" s="101">
        <f>E78-'B&amp;A+DSM - Fuel and % Riders'!E79</f>
        <v>32288948.448999122</v>
      </c>
      <c r="F80" s="101">
        <f>F78-'B&amp;A+DSM - Fuel and % Riders'!F79</f>
        <v>36286794.106803097</v>
      </c>
      <c r="G80" s="101">
        <f>G78-'B&amp;A+DSM - Fuel and % Riders'!G79</f>
        <v>43292792.891487613</v>
      </c>
      <c r="H80" s="101">
        <f>H78-'B&amp;A+DSM - Fuel and % Riders'!H79</f>
        <v>41844796.66695492</v>
      </c>
      <c r="I80" s="101">
        <f>I78-'B&amp;A+DSM - Fuel and % Riders'!I79</f>
        <v>29113112.891860753</v>
      </c>
      <c r="J80" s="101">
        <f>J78-'B&amp;A+DSM - Fuel and % Riders'!J79</f>
        <v>35057025.289016552</v>
      </c>
      <c r="K80" s="101">
        <f>K78-'B&amp;A+DSM - Fuel and % Riders'!K79</f>
        <v>44312620.114389054</v>
      </c>
      <c r="L80" s="101">
        <f>L78-'B&amp;A+DSM - Fuel and % Riders'!L79</f>
        <v>48452066.520340651</v>
      </c>
      <c r="M80" s="101">
        <f>M78-'B&amp;A+DSM - Fuel and % Riders'!M79</f>
        <v>47015552.228912994</v>
      </c>
      <c r="N80" s="101">
        <f>N78-'B&amp;A+DSM - Fuel and % Riders'!N79</f>
        <v>38115820.317166448</v>
      </c>
      <c r="O80" s="101">
        <f>O78-'B&amp;A+DSM - Fuel and % Riders'!O79</f>
        <v>17534274.411023505</v>
      </c>
    </row>
    <row r="82" spans="1:15" s="46" customFormat="1" ht="15" x14ac:dyDescent="0.25">
      <c r="A82" s="105" t="s">
        <v>156</v>
      </c>
    </row>
    <row r="83" spans="1:15" s="46" customFormat="1" ht="15" x14ac:dyDescent="0.25">
      <c r="A83" s="102" t="s">
        <v>84</v>
      </c>
      <c r="B83" s="106">
        <f>Environmental!B9</f>
        <v>0</v>
      </c>
      <c r="C83" s="106">
        <f>Environmental!C9</f>
        <v>0</v>
      </c>
      <c r="D83" s="106">
        <f>Environmental!D9</f>
        <v>4.2641999999999999E-2</v>
      </c>
      <c r="E83" s="106">
        <f>Environmental!E9</f>
        <v>6.6160999999999998E-2</v>
      </c>
      <c r="F83" s="106">
        <f>Environmental!F9</f>
        <v>4.9723999999999997E-2</v>
      </c>
      <c r="G83" s="106">
        <f>Environmental!G9</f>
        <v>6.2431E-2</v>
      </c>
      <c r="H83" s="106">
        <f>Environmental!H9</f>
        <v>5.9358000000000001E-2</v>
      </c>
      <c r="I83" s="106">
        <f>Environmental!I9</f>
        <v>5.3728999999999999E-2</v>
      </c>
      <c r="J83" s="106">
        <f>Environmental!J9</f>
        <v>5.0094E-2</v>
      </c>
      <c r="K83" s="106">
        <f>Environmental!K9</f>
        <v>5.9121E-2</v>
      </c>
      <c r="L83" s="106">
        <f>Environmental!L9</f>
        <v>5.7579999999999999E-2</v>
      </c>
      <c r="M83" s="106">
        <f>Environmental!M9</f>
        <v>5.7446999999999998E-2</v>
      </c>
      <c r="N83" s="106">
        <f>Environmental!N9</f>
        <v>2.7417E-2</v>
      </c>
      <c r="O83" s="106">
        <f>Environmental!O9</f>
        <v>9.3179999999999999E-3</v>
      </c>
    </row>
    <row r="84" spans="1:15" s="46" customFormat="1" ht="15" x14ac:dyDescent="0.25">
      <c r="A84" s="102" t="s">
        <v>92</v>
      </c>
      <c r="B84" s="106">
        <f>Environmental!B10</f>
        <v>0</v>
      </c>
      <c r="C84" s="106">
        <f>Environmental!C10</f>
        <v>0</v>
      </c>
      <c r="D84" s="106">
        <f>Environmental!D10</f>
        <v>6.5272999999999998E-2</v>
      </c>
      <c r="E84" s="106">
        <f>Environmental!E10</f>
        <v>0.100643</v>
      </c>
      <c r="F84" s="106">
        <f>Environmental!F10</f>
        <v>7.5639999999999999E-2</v>
      </c>
      <c r="G84" s="106">
        <f>Environmental!G10</f>
        <v>9.6329999999999999E-2</v>
      </c>
      <c r="H84" s="106">
        <f>Environmental!H10</f>
        <v>9.3637999999999999E-2</v>
      </c>
      <c r="I84" s="106">
        <f>Environmental!I10</f>
        <v>8.6392999999999998E-2</v>
      </c>
      <c r="J84" s="106">
        <f>Environmental!J10</f>
        <v>8.0601999999999993E-2</v>
      </c>
      <c r="K84" s="106">
        <f>Environmental!K10</f>
        <v>9.5183000000000004E-2</v>
      </c>
      <c r="L84" s="106">
        <f>Environmental!L10</f>
        <v>9.3863000000000002E-2</v>
      </c>
      <c r="M84" s="106">
        <f>Environmental!M10</f>
        <v>9.5758999999999997E-2</v>
      </c>
      <c r="N84" s="106">
        <f>Environmental!N10</f>
        <v>4.5578E-2</v>
      </c>
      <c r="O84" s="106">
        <f>Environmental!O10</f>
        <v>1.7498E-2</v>
      </c>
    </row>
    <row r="85" spans="1:15" s="46" customFormat="1" ht="15" x14ac:dyDescent="0.25"/>
    <row r="86" spans="1:15" s="46" customFormat="1" ht="15" x14ac:dyDescent="0.25">
      <c r="A86" s="105" t="s">
        <v>273</v>
      </c>
    </row>
    <row r="87" spans="1:15" s="46" customFormat="1" ht="15" x14ac:dyDescent="0.25">
      <c r="A87" s="102" t="s">
        <v>84</v>
      </c>
      <c r="B87" s="106">
        <f>'Decommissioning rider'!B9</f>
        <v>0</v>
      </c>
      <c r="C87" s="106">
        <f>'Decommissioning rider'!C9</f>
        <v>0</v>
      </c>
      <c r="D87" s="106">
        <f>'Decommissioning rider'!D9</f>
        <v>5.6344999999999999E-2</v>
      </c>
      <c r="E87" s="106">
        <f>'Decommissioning rider'!E9</f>
        <v>5.6344999999999999E-2</v>
      </c>
      <c r="F87" s="106">
        <f>'Decommissioning rider'!F9</f>
        <v>5.6344999999999999E-2</v>
      </c>
      <c r="G87" s="106">
        <f>'Decommissioning rider'!G9</f>
        <v>5.6344999999999999E-2</v>
      </c>
      <c r="H87" s="106">
        <f>'Decommissioning rider'!H9</f>
        <v>5.6344999999999999E-2</v>
      </c>
      <c r="I87" s="106">
        <f>'Decommissioning rider'!I9</f>
        <v>5.6344999999999999E-2</v>
      </c>
      <c r="J87" s="106">
        <f>'Decommissioning rider'!J9</f>
        <v>4.6917E-2</v>
      </c>
      <c r="K87" s="106">
        <f>'Decommissioning rider'!K9</f>
        <v>4.6917E-2</v>
      </c>
      <c r="L87" s="106">
        <f>'Decommissioning rider'!L9</f>
        <v>4.6917E-2</v>
      </c>
      <c r="M87" s="106">
        <f>'Decommissioning rider'!M9</f>
        <v>4.6917E-2</v>
      </c>
      <c r="N87" s="106">
        <f>'Decommissioning rider'!N9</f>
        <v>4.6917E-2</v>
      </c>
      <c r="O87" s="106">
        <f>'Decommissioning rider'!O9</f>
        <v>4.6917E-2</v>
      </c>
    </row>
    <row r="88" spans="1:15" s="46" customFormat="1" ht="15" x14ac:dyDescent="0.25">
      <c r="A88" s="102" t="s">
        <v>92</v>
      </c>
      <c r="B88" s="106">
        <f>'Decommissioning rider'!B10</f>
        <v>0</v>
      </c>
      <c r="C88" s="106">
        <f>'Decommissioning rider'!C10</f>
        <v>0</v>
      </c>
      <c r="D88" s="106">
        <f>'Decommissioning rider'!D10</f>
        <v>8.3578E-2</v>
      </c>
      <c r="E88" s="106">
        <f>'Decommissioning rider'!E10</f>
        <v>8.3578E-2</v>
      </c>
      <c r="F88" s="106">
        <f>'Decommissioning rider'!F10</f>
        <v>8.3578E-2</v>
      </c>
      <c r="G88" s="106">
        <f>'Decommissioning rider'!G10</f>
        <v>8.3578E-2</v>
      </c>
      <c r="H88" s="106">
        <f>'Decommissioning rider'!H10</f>
        <v>8.3578E-2</v>
      </c>
      <c r="I88" s="106">
        <f>'Decommissioning rider'!I10</f>
        <v>8.3578E-2</v>
      </c>
      <c r="J88" s="106">
        <f>'Decommissioning rider'!J10</f>
        <v>7.9233999999999999E-2</v>
      </c>
      <c r="K88" s="106">
        <f>'Decommissioning rider'!K10</f>
        <v>7.9233999999999999E-2</v>
      </c>
      <c r="L88" s="106">
        <f>'Decommissioning rider'!L10</f>
        <v>7.9233999999999999E-2</v>
      </c>
      <c r="M88" s="106">
        <f>'Decommissioning rider'!M10</f>
        <v>7.9233999999999999E-2</v>
      </c>
      <c r="N88" s="106">
        <f>'Decommissioning rider'!N10</f>
        <v>7.9233999999999999E-2</v>
      </c>
      <c r="O88" s="106">
        <f>'Decommissioning rider'!O10</f>
        <v>7.9233999999999999E-2</v>
      </c>
    </row>
    <row r="89" spans="1:15" s="46" customFormat="1" ht="15" x14ac:dyDescent="0.25"/>
    <row r="90" spans="1:15" s="46" customFormat="1" ht="15" x14ac:dyDescent="0.25">
      <c r="A90" s="105"/>
    </row>
    <row r="91" spans="1:15" s="46" customFormat="1" ht="15" x14ac:dyDescent="0.25">
      <c r="A91" s="102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s="46" customFormat="1" ht="15" x14ac:dyDescent="0.25">
      <c r="A92" s="102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</sheetData>
  <pageMargins left="0.7" right="0.7" top="0.75" bottom="0.75" header="0.3" footer="0.3"/>
  <pageSetup scale="45" orientation="portrait" r:id="rId1"/>
  <headerFooter>
    <oddFooter>&amp;L&amp;F
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217"/>
  <sheetViews>
    <sheetView zoomScale="80" zoomScaleNormal="80" workbookViewId="0">
      <pane xSplit="4" ySplit="8" topLeftCell="E9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G3" sqref="G3"/>
    </sheetView>
  </sheetViews>
  <sheetFormatPr defaultColWidth="9.140625" defaultRowHeight="14.25" x14ac:dyDescent="0.2"/>
  <cols>
    <col min="1" max="1" width="7.42578125" style="32" customWidth="1"/>
    <col min="2" max="2" width="20.7109375" style="32" customWidth="1"/>
    <col min="3" max="3" width="27.7109375" style="32" hidden="1" customWidth="1"/>
    <col min="4" max="4" width="19.28515625" style="32" hidden="1" customWidth="1"/>
    <col min="5" max="5" width="17" style="32" bestFit="1" customWidth="1"/>
    <col min="6" max="16" width="16.85546875" style="32" bestFit="1" customWidth="1"/>
    <col min="17" max="17" width="18.7109375" style="32" bestFit="1" customWidth="1"/>
    <col min="18" max="16384" width="9.140625" style="32"/>
  </cols>
  <sheetData>
    <row r="1" spans="1:17" x14ac:dyDescent="0.2">
      <c r="B1" s="32" t="s">
        <v>70</v>
      </c>
      <c r="O1" s="78"/>
    </row>
    <row r="2" spans="1:17" x14ac:dyDescent="0.2">
      <c r="B2" s="32" t="s">
        <v>71</v>
      </c>
    </row>
    <row r="3" spans="1:17" ht="15" x14ac:dyDescent="0.25">
      <c r="B3" s="79" t="s">
        <v>291</v>
      </c>
      <c r="C3" s="79"/>
      <c r="D3" s="79"/>
      <c r="E3" s="79"/>
      <c r="F3" s="79"/>
    </row>
    <row r="4" spans="1:17" x14ac:dyDescent="0.2">
      <c r="B4" s="33"/>
    </row>
    <row r="5" spans="1:17" x14ac:dyDescent="0.2">
      <c r="B5" s="33" t="s">
        <v>266</v>
      </c>
    </row>
    <row r="6" spans="1:17" x14ac:dyDescent="0.2">
      <c r="B6" s="33"/>
    </row>
    <row r="7" spans="1:17" ht="15" x14ac:dyDescent="0.25">
      <c r="B7" s="79" t="s">
        <v>80</v>
      </c>
      <c r="E7" s="32">
        <v>2022</v>
      </c>
      <c r="P7" s="32">
        <v>2023</v>
      </c>
    </row>
    <row r="8" spans="1:17" x14ac:dyDescent="0.2">
      <c r="B8" s="33" t="s">
        <v>22</v>
      </c>
      <c r="C8" s="80"/>
      <c r="D8" s="80"/>
      <c r="E8" s="80" t="s">
        <v>109</v>
      </c>
      <c r="F8" s="80" t="s">
        <v>110</v>
      </c>
      <c r="G8" s="80" t="s">
        <v>111</v>
      </c>
      <c r="H8" s="80" t="s">
        <v>112</v>
      </c>
      <c r="I8" s="80" t="s">
        <v>113</v>
      </c>
      <c r="J8" s="80" t="s">
        <v>114</v>
      </c>
      <c r="K8" s="80" t="s">
        <v>115</v>
      </c>
      <c r="L8" s="80" t="s">
        <v>116</v>
      </c>
      <c r="M8" s="80" t="s">
        <v>117</v>
      </c>
      <c r="N8" s="80" t="s">
        <v>106</v>
      </c>
      <c r="O8" s="80" t="s">
        <v>107</v>
      </c>
      <c r="P8" s="80" t="s">
        <v>108</v>
      </c>
      <c r="Q8" s="32" t="s">
        <v>293</v>
      </c>
    </row>
    <row r="10" spans="1:17" ht="15" x14ac:dyDescent="0.25">
      <c r="A10" s="32">
        <v>10</v>
      </c>
      <c r="B10" s="24" t="s">
        <v>21</v>
      </c>
      <c r="C10" s="31"/>
      <c r="D10" s="31"/>
      <c r="E10" s="31">
        <f t="shared" ref="E10:P10" si="0">+E91</f>
        <v>133128</v>
      </c>
      <c r="F10" s="31">
        <f t="shared" si="0"/>
        <v>132866</v>
      </c>
      <c r="G10" s="31">
        <f t="shared" si="0"/>
        <v>132625</v>
      </c>
      <c r="H10" s="31">
        <f t="shared" si="0"/>
        <v>132514</v>
      </c>
      <c r="I10" s="31">
        <f t="shared" si="0"/>
        <v>132125</v>
      </c>
      <c r="J10" s="31">
        <f t="shared" si="0"/>
        <v>131585</v>
      </c>
      <c r="K10" s="31">
        <f t="shared" si="0"/>
        <v>131414</v>
      </c>
      <c r="L10" s="31">
        <f t="shared" si="0"/>
        <v>131479</v>
      </c>
      <c r="M10" s="31">
        <f t="shared" si="0"/>
        <v>131486</v>
      </c>
      <c r="N10" s="31">
        <f t="shared" si="0"/>
        <v>131404</v>
      </c>
      <c r="O10" s="31">
        <f t="shared" si="0"/>
        <v>130995</v>
      </c>
      <c r="P10" s="31">
        <f t="shared" si="0"/>
        <v>131610</v>
      </c>
      <c r="Q10" s="31">
        <f>SUM(E10:P10)</f>
        <v>1583231</v>
      </c>
    </row>
    <row r="11" spans="1:17" ht="15" x14ac:dyDescent="0.25">
      <c r="A11" s="32">
        <v>11</v>
      </c>
      <c r="B11" s="24"/>
      <c r="Q11" s="31">
        <f t="shared" ref="Q11:Q74" si="1">SUM(E11:P11)</f>
        <v>0</v>
      </c>
    </row>
    <row r="12" spans="1:17" ht="15" x14ac:dyDescent="0.25">
      <c r="A12" s="32">
        <v>12</v>
      </c>
      <c r="B12" s="24" t="s">
        <v>20</v>
      </c>
      <c r="C12" s="31"/>
      <c r="D12" s="31"/>
      <c r="E12" s="31">
        <f t="shared" ref="E12:P12" si="2">+E97</f>
        <v>149</v>
      </c>
      <c r="F12" s="31">
        <f t="shared" si="2"/>
        <v>149</v>
      </c>
      <c r="G12" s="31">
        <f t="shared" si="2"/>
        <v>149</v>
      </c>
      <c r="H12" s="31">
        <f t="shared" si="2"/>
        <v>149</v>
      </c>
      <c r="I12" s="31">
        <f t="shared" si="2"/>
        <v>149</v>
      </c>
      <c r="J12" s="31">
        <f t="shared" si="2"/>
        <v>149</v>
      </c>
      <c r="K12" s="31">
        <f t="shared" si="2"/>
        <v>149</v>
      </c>
      <c r="L12" s="31">
        <f t="shared" si="2"/>
        <v>148</v>
      </c>
      <c r="M12" s="31">
        <f t="shared" si="2"/>
        <v>148</v>
      </c>
      <c r="N12" s="31">
        <f t="shared" si="2"/>
        <v>146</v>
      </c>
      <c r="O12" s="31">
        <f t="shared" si="2"/>
        <v>145</v>
      </c>
      <c r="P12" s="31">
        <f t="shared" si="2"/>
        <v>144</v>
      </c>
      <c r="Q12" s="31">
        <f t="shared" si="1"/>
        <v>1774</v>
      </c>
    </row>
    <row r="13" spans="1:17" ht="15" x14ac:dyDescent="0.25">
      <c r="A13" s="32">
        <v>13</v>
      </c>
      <c r="B13" s="24"/>
      <c r="Q13" s="31">
        <f t="shared" si="1"/>
        <v>0</v>
      </c>
    </row>
    <row r="14" spans="1:17" ht="15" x14ac:dyDescent="0.25">
      <c r="A14" s="32">
        <v>14</v>
      </c>
      <c r="B14" s="24" t="s">
        <v>19</v>
      </c>
      <c r="C14" s="31"/>
      <c r="D14" s="31"/>
      <c r="E14" s="31">
        <f t="shared" ref="E14:K14" si="3">+E99</f>
        <v>4</v>
      </c>
      <c r="F14" s="31">
        <f t="shared" si="3"/>
        <v>4</v>
      </c>
      <c r="G14" s="31">
        <f t="shared" si="3"/>
        <v>4</v>
      </c>
      <c r="H14" s="31">
        <f t="shared" si="3"/>
        <v>4</v>
      </c>
      <c r="I14" s="31">
        <f t="shared" si="3"/>
        <v>4</v>
      </c>
      <c r="J14" s="31">
        <f t="shared" si="3"/>
        <v>5</v>
      </c>
      <c r="K14" s="31">
        <f t="shared" si="3"/>
        <v>5</v>
      </c>
      <c r="L14" s="31">
        <f t="shared" ref="L14:P14" si="4">+L99</f>
        <v>5</v>
      </c>
      <c r="M14" s="31">
        <f t="shared" si="4"/>
        <v>6</v>
      </c>
      <c r="N14" s="31">
        <f t="shared" si="4"/>
        <v>6</v>
      </c>
      <c r="O14" s="31">
        <f t="shared" si="4"/>
        <v>6</v>
      </c>
      <c r="P14" s="31">
        <f t="shared" si="4"/>
        <v>6</v>
      </c>
      <c r="Q14" s="31">
        <f t="shared" si="1"/>
        <v>59</v>
      </c>
    </row>
    <row r="15" spans="1:17" ht="15" x14ac:dyDescent="0.25">
      <c r="A15" s="32">
        <v>15</v>
      </c>
      <c r="B15" s="24"/>
      <c r="Q15" s="31">
        <f t="shared" si="1"/>
        <v>0</v>
      </c>
    </row>
    <row r="16" spans="1:17" ht="15" x14ac:dyDescent="0.25">
      <c r="A16" s="32">
        <v>16</v>
      </c>
      <c r="B16" s="43" t="s">
        <v>172</v>
      </c>
      <c r="E16" s="31">
        <f>E212</f>
        <v>0</v>
      </c>
      <c r="F16" s="31">
        <f>F212</f>
        <v>0</v>
      </c>
      <c r="G16" s="31">
        <f t="shared" ref="G16:P16" si="5">G212</f>
        <v>0</v>
      </c>
      <c r="H16" s="31">
        <f t="shared" si="5"/>
        <v>0</v>
      </c>
      <c r="I16" s="31">
        <f t="shared" si="5"/>
        <v>0</v>
      </c>
      <c r="J16" s="31">
        <f t="shared" si="5"/>
        <v>0</v>
      </c>
      <c r="K16" s="31">
        <f t="shared" si="5"/>
        <v>0</v>
      </c>
      <c r="L16" s="31">
        <f t="shared" si="5"/>
        <v>0</v>
      </c>
      <c r="M16" s="31">
        <f t="shared" si="5"/>
        <v>0</v>
      </c>
      <c r="N16" s="31">
        <f t="shared" si="5"/>
        <v>0</v>
      </c>
      <c r="O16" s="31">
        <f t="shared" si="5"/>
        <v>0</v>
      </c>
      <c r="P16" s="31">
        <f t="shared" si="5"/>
        <v>0</v>
      </c>
      <c r="Q16" s="31">
        <f t="shared" si="1"/>
        <v>0</v>
      </c>
    </row>
    <row r="17" spans="1:17" ht="15" x14ac:dyDescent="0.25">
      <c r="A17" s="32">
        <v>17</v>
      </c>
      <c r="B17" s="43" t="s">
        <v>174</v>
      </c>
      <c r="E17" s="31">
        <f>E18-E16</f>
        <v>46313</v>
      </c>
      <c r="F17" s="31">
        <f>F18-F16</f>
        <v>46055</v>
      </c>
      <c r="G17" s="31">
        <f t="shared" ref="G17:P17" si="6">G18-G16</f>
        <v>46124</v>
      </c>
      <c r="H17" s="31">
        <f t="shared" si="6"/>
        <v>46038</v>
      </c>
      <c r="I17" s="31">
        <f t="shared" si="6"/>
        <v>45877</v>
      </c>
      <c r="J17" s="31">
        <f t="shared" si="6"/>
        <v>46076</v>
      </c>
      <c r="K17" s="31">
        <f t="shared" si="6"/>
        <v>46186</v>
      </c>
      <c r="L17" s="31">
        <f t="shared" si="6"/>
        <v>45880</v>
      </c>
      <c r="M17" s="31">
        <f t="shared" si="6"/>
        <v>46356</v>
      </c>
      <c r="N17" s="31">
        <f t="shared" si="6"/>
        <v>46511</v>
      </c>
      <c r="O17" s="31">
        <f t="shared" si="6"/>
        <v>45970</v>
      </c>
      <c r="P17" s="31">
        <f t="shared" si="6"/>
        <v>46031</v>
      </c>
      <c r="Q17" s="31">
        <f t="shared" si="1"/>
        <v>553417</v>
      </c>
    </row>
    <row r="18" spans="1:17" ht="15" x14ac:dyDescent="0.25">
      <c r="A18" s="32">
        <v>18</v>
      </c>
      <c r="B18" s="24" t="s">
        <v>18</v>
      </c>
      <c r="C18" s="31"/>
      <c r="D18" s="31"/>
      <c r="E18" s="31">
        <f>+E202</f>
        <v>46313</v>
      </c>
      <c r="F18" s="31">
        <f>+F202</f>
        <v>46055</v>
      </c>
      <c r="G18" s="31">
        <f t="shared" ref="G18:P18" si="7">+G202</f>
        <v>46124</v>
      </c>
      <c r="H18" s="31">
        <f t="shared" si="7"/>
        <v>46038</v>
      </c>
      <c r="I18" s="31">
        <f t="shared" si="7"/>
        <v>45877</v>
      </c>
      <c r="J18" s="31">
        <f t="shared" si="7"/>
        <v>46076</v>
      </c>
      <c r="K18" s="31">
        <f t="shared" si="7"/>
        <v>46186</v>
      </c>
      <c r="L18" s="31">
        <f t="shared" si="7"/>
        <v>45880</v>
      </c>
      <c r="M18" s="31">
        <f t="shared" si="7"/>
        <v>46356</v>
      </c>
      <c r="N18" s="31">
        <f t="shared" si="7"/>
        <v>46511</v>
      </c>
      <c r="O18" s="31">
        <f t="shared" si="7"/>
        <v>45970</v>
      </c>
      <c r="P18" s="31">
        <f t="shared" si="7"/>
        <v>46031</v>
      </c>
      <c r="Q18" s="31">
        <f t="shared" si="1"/>
        <v>553417</v>
      </c>
    </row>
    <row r="19" spans="1:17" ht="15" x14ac:dyDescent="0.25">
      <c r="A19" s="32">
        <v>19</v>
      </c>
      <c r="B19" s="24"/>
      <c r="Q19" s="31">
        <f t="shared" si="1"/>
        <v>0</v>
      </c>
    </row>
    <row r="20" spans="1:17" ht="15" x14ac:dyDescent="0.25">
      <c r="A20" s="32">
        <v>20</v>
      </c>
      <c r="B20" s="24" t="s">
        <v>17</v>
      </c>
      <c r="C20" s="31"/>
      <c r="D20" s="31"/>
      <c r="E20" s="31">
        <f t="shared" ref="E20:K20" si="8">E101</f>
        <v>22574</v>
      </c>
      <c r="F20" s="31">
        <f t="shared" si="8"/>
        <v>22626</v>
      </c>
      <c r="G20" s="31">
        <f t="shared" si="8"/>
        <v>22614</v>
      </c>
      <c r="H20" s="31">
        <f t="shared" si="8"/>
        <v>22630</v>
      </c>
      <c r="I20" s="31">
        <f t="shared" si="8"/>
        <v>22669</v>
      </c>
      <c r="J20" s="31">
        <f t="shared" si="8"/>
        <v>22606</v>
      </c>
      <c r="K20" s="31">
        <f t="shared" si="8"/>
        <v>22652</v>
      </c>
      <c r="L20" s="31">
        <f t="shared" ref="L20:P20" si="9">L101</f>
        <v>22624</v>
      </c>
      <c r="M20" s="31">
        <f t="shared" si="9"/>
        <v>22683</v>
      </c>
      <c r="N20" s="31">
        <f t="shared" si="9"/>
        <v>22636</v>
      </c>
      <c r="O20" s="31">
        <f t="shared" si="9"/>
        <v>22602</v>
      </c>
      <c r="P20" s="31">
        <f t="shared" si="9"/>
        <v>22717</v>
      </c>
      <c r="Q20" s="31">
        <f t="shared" si="1"/>
        <v>271633</v>
      </c>
    </row>
    <row r="21" spans="1:17" ht="15" x14ac:dyDescent="0.25">
      <c r="A21" s="32">
        <v>21</v>
      </c>
      <c r="B21" s="24"/>
      <c r="Q21" s="31">
        <f t="shared" si="1"/>
        <v>0</v>
      </c>
    </row>
    <row r="22" spans="1:17" ht="15" x14ac:dyDescent="0.25">
      <c r="A22" s="32">
        <v>22</v>
      </c>
      <c r="B22" s="24" t="s">
        <v>16</v>
      </c>
      <c r="C22" s="31"/>
      <c r="D22" s="31"/>
      <c r="E22" s="31">
        <f t="shared" ref="E22:K22" si="10">E103</f>
        <v>31</v>
      </c>
      <c r="F22" s="31">
        <f t="shared" si="10"/>
        <v>31</v>
      </c>
      <c r="G22" s="31">
        <f t="shared" si="10"/>
        <v>31</v>
      </c>
      <c r="H22" s="31">
        <f t="shared" si="10"/>
        <v>31</v>
      </c>
      <c r="I22" s="31">
        <f t="shared" si="10"/>
        <v>31</v>
      </c>
      <c r="J22" s="31">
        <f t="shared" si="10"/>
        <v>31</v>
      </c>
      <c r="K22" s="31">
        <f t="shared" si="10"/>
        <v>31</v>
      </c>
      <c r="L22" s="31">
        <f t="shared" ref="L22:P22" si="11">L103</f>
        <v>32</v>
      </c>
      <c r="M22" s="31">
        <f t="shared" si="11"/>
        <v>30</v>
      </c>
      <c r="N22" s="31">
        <f t="shared" si="11"/>
        <v>27</v>
      </c>
      <c r="O22" s="31">
        <f t="shared" si="11"/>
        <v>25</v>
      </c>
      <c r="P22" s="31">
        <f t="shared" si="11"/>
        <v>29</v>
      </c>
      <c r="Q22" s="31">
        <f t="shared" si="1"/>
        <v>360</v>
      </c>
    </row>
    <row r="23" spans="1:17" ht="15" x14ac:dyDescent="0.25">
      <c r="A23" s="32">
        <v>23</v>
      </c>
      <c r="B23" s="24"/>
      <c r="Q23" s="31">
        <f t="shared" si="1"/>
        <v>0</v>
      </c>
    </row>
    <row r="24" spans="1:17" ht="15" x14ac:dyDescent="0.25">
      <c r="A24" s="32">
        <v>24</v>
      </c>
      <c r="B24" s="24" t="s">
        <v>15</v>
      </c>
      <c r="C24" s="31"/>
      <c r="D24" s="31"/>
      <c r="E24" s="31">
        <f>+E105</f>
        <v>498</v>
      </c>
      <c r="F24" s="31">
        <f>+F105</f>
        <v>498</v>
      </c>
      <c r="G24" s="31">
        <f t="shared" ref="G24:P24" si="12">+G105</f>
        <v>501</v>
      </c>
      <c r="H24" s="31">
        <f t="shared" si="12"/>
        <v>496</v>
      </c>
      <c r="I24" s="31">
        <f t="shared" si="12"/>
        <v>502</v>
      </c>
      <c r="J24" s="31">
        <f t="shared" si="12"/>
        <v>498</v>
      </c>
      <c r="K24" s="31">
        <f t="shared" si="12"/>
        <v>497</v>
      </c>
      <c r="L24" s="31">
        <f t="shared" si="12"/>
        <v>497</v>
      </c>
      <c r="M24" s="31">
        <f t="shared" si="12"/>
        <v>497</v>
      </c>
      <c r="N24" s="31">
        <f t="shared" si="12"/>
        <v>495</v>
      </c>
      <c r="O24" s="31">
        <f t="shared" si="12"/>
        <v>496</v>
      </c>
      <c r="P24" s="31">
        <f t="shared" si="12"/>
        <v>500</v>
      </c>
      <c r="Q24" s="31">
        <f t="shared" si="1"/>
        <v>5975</v>
      </c>
    </row>
    <row r="25" spans="1:17" ht="15" x14ac:dyDescent="0.25">
      <c r="A25" s="32">
        <v>25</v>
      </c>
      <c r="B25" s="24"/>
      <c r="Q25" s="31">
        <f t="shared" si="1"/>
        <v>0</v>
      </c>
    </row>
    <row r="26" spans="1:17" ht="15" x14ac:dyDescent="0.25">
      <c r="A26" s="32">
        <v>26</v>
      </c>
      <c r="B26" s="24" t="s">
        <v>14</v>
      </c>
      <c r="C26" s="31"/>
      <c r="D26" s="31"/>
      <c r="E26" s="31">
        <f t="shared" ref="E26:P26" si="13">+E109</f>
        <v>970</v>
      </c>
      <c r="F26" s="31">
        <f t="shared" si="13"/>
        <v>964</v>
      </c>
      <c r="G26" s="31">
        <f t="shared" si="13"/>
        <v>947</v>
      </c>
      <c r="H26" s="31">
        <f t="shared" si="13"/>
        <v>945</v>
      </c>
      <c r="I26" s="31">
        <f t="shared" si="13"/>
        <v>945</v>
      </c>
      <c r="J26" s="31">
        <f t="shared" si="13"/>
        <v>971</v>
      </c>
      <c r="K26" s="31">
        <f t="shared" si="13"/>
        <v>937</v>
      </c>
      <c r="L26" s="31">
        <f t="shared" si="13"/>
        <v>937</v>
      </c>
      <c r="M26" s="31">
        <f t="shared" si="13"/>
        <v>941</v>
      </c>
      <c r="N26" s="31">
        <f t="shared" si="13"/>
        <v>946</v>
      </c>
      <c r="O26" s="31">
        <f t="shared" si="13"/>
        <v>937</v>
      </c>
      <c r="P26" s="31">
        <f t="shared" si="13"/>
        <v>936</v>
      </c>
      <c r="Q26" s="31">
        <f t="shared" si="1"/>
        <v>11376</v>
      </c>
    </row>
    <row r="27" spans="1:17" ht="15" x14ac:dyDescent="0.25">
      <c r="A27" s="32">
        <v>27</v>
      </c>
      <c r="B27" s="24"/>
      <c r="Q27" s="31">
        <f t="shared" si="1"/>
        <v>0</v>
      </c>
    </row>
    <row r="28" spans="1:17" ht="15" x14ac:dyDescent="0.25">
      <c r="A28" s="32">
        <v>28</v>
      </c>
      <c r="B28" s="24" t="s">
        <v>13</v>
      </c>
      <c r="C28" s="31"/>
      <c r="D28" s="31"/>
      <c r="E28" s="31">
        <f>+E113</f>
        <v>85</v>
      </c>
      <c r="F28" s="31">
        <f>+F113</f>
        <v>85</v>
      </c>
      <c r="G28" s="31">
        <f t="shared" ref="G28:P28" si="14">+G113</f>
        <v>85</v>
      </c>
      <c r="H28" s="31">
        <f t="shared" si="14"/>
        <v>85</v>
      </c>
      <c r="I28" s="31">
        <f t="shared" si="14"/>
        <v>85</v>
      </c>
      <c r="J28" s="31">
        <f t="shared" si="14"/>
        <v>83</v>
      </c>
      <c r="K28" s="31">
        <f t="shared" si="14"/>
        <v>83</v>
      </c>
      <c r="L28" s="31">
        <f t="shared" si="14"/>
        <v>84</v>
      </c>
      <c r="M28" s="31">
        <f t="shared" si="14"/>
        <v>83</v>
      </c>
      <c r="N28" s="31">
        <f t="shared" si="14"/>
        <v>85</v>
      </c>
      <c r="O28" s="31">
        <f t="shared" si="14"/>
        <v>86</v>
      </c>
      <c r="P28" s="31">
        <f t="shared" si="14"/>
        <v>86</v>
      </c>
      <c r="Q28" s="31">
        <f t="shared" si="1"/>
        <v>1015</v>
      </c>
    </row>
    <row r="29" spans="1:17" ht="15" x14ac:dyDescent="0.25">
      <c r="A29" s="32">
        <v>29</v>
      </c>
      <c r="B29" s="24"/>
      <c r="Q29" s="31">
        <f t="shared" si="1"/>
        <v>0</v>
      </c>
    </row>
    <row r="30" spans="1:17" ht="15" x14ac:dyDescent="0.25">
      <c r="A30" s="32">
        <v>30</v>
      </c>
      <c r="B30" s="24" t="s">
        <v>12</v>
      </c>
      <c r="C30" s="31"/>
      <c r="D30" s="31"/>
      <c r="E30" s="31">
        <f t="shared" ref="E30:P30" si="15">+E117</f>
        <v>6436</v>
      </c>
      <c r="F30" s="31">
        <f t="shared" si="15"/>
        <v>6428</v>
      </c>
      <c r="G30" s="31">
        <f t="shared" si="15"/>
        <v>6433</v>
      </c>
      <c r="H30" s="31">
        <f t="shared" si="15"/>
        <v>6413</v>
      </c>
      <c r="I30" s="31">
        <f t="shared" si="15"/>
        <v>6424</v>
      </c>
      <c r="J30" s="31">
        <f t="shared" si="15"/>
        <v>6408</v>
      </c>
      <c r="K30" s="31">
        <f t="shared" si="15"/>
        <v>6400</v>
      </c>
      <c r="L30" s="31">
        <f t="shared" si="15"/>
        <v>6394</v>
      </c>
      <c r="M30" s="31">
        <f t="shared" si="15"/>
        <v>6391</v>
      </c>
      <c r="N30" s="31">
        <f t="shared" si="15"/>
        <v>6388</v>
      </c>
      <c r="O30" s="31">
        <f t="shared" si="15"/>
        <v>6364</v>
      </c>
      <c r="P30" s="31">
        <f t="shared" si="15"/>
        <v>6410</v>
      </c>
      <c r="Q30" s="31">
        <f t="shared" si="1"/>
        <v>76889</v>
      </c>
    </row>
    <row r="31" spans="1:17" ht="15" x14ac:dyDescent="0.25">
      <c r="A31" s="32">
        <v>31</v>
      </c>
      <c r="B31" s="24"/>
      <c r="Q31" s="31">
        <f t="shared" si="1"/>
        <v>0</v>
      </c>
    </row>
    <row r="32" spans="1:17" ht="15" x14ac:dyDescent="0.25">
      <c r="A32" s="32">
        <v>32</v>
      </c>
      <c r="B32" s="24" t="s">
        <v>11</v>
      </c>
      <c r="C32" s="31"/>
      <c r="D32" s="31"/>
      <c r="E32" s="31">
        <f>+E119</f>
        <v>39</v>
      </c>
      <c r="F32" s="31">
        <f>+F119</f>
        <v>39</v>
      </c>
      <c r="G32" s="31">
        <f t="shared" ref="G32:P32" si="16">+G119</f>
        <v>39</v>
      </c>
      <c r="H32" s="31">
        <f t="shared" si="16"/>
        <v>38</v>
      </c>
      <c r="I32" s="31">
        <f t="shared" si="16"/>
        <v>38</v>
      </c>
      <c r="J32" s="31">
        <f t="shared" si="16"/>
        <v>37</v>
      </c>
      <c r="K32" s="31">
        <f t="shared" si="16"/>
        <v>36</v>
      </c>
      <c r="L32" s="31">
        <f t="shared" si="16"/>
        <v>36</v>
      </c>
      <c r="M32" s="31">
        <f t="shared" si="16"/>
        <v>36</v>
      </c>
      <c r="N32" s="31">
        <f t="shared" si="16"/>
        <v>36</v>
      </c>
      <c r="O32" s="31">
        <f t="shared" si="16"/>
        <v>36</v>
      </c>
      <c r="P32" s="31">
        <f t="shared" si="16"/>
        <v>36</v>
      </c>
      <c r="Q32" s="31">
        <f t="shared" si="1"/>
        <v>446</v>
      </c>
    </row>
    <row r="33" spans="1:17" ht="15" x14ac:dyDescent="0.25">
      <c r="A33" s="32">
        <v>33</v>
      </c>
      <c r="B33" s="24"/>
      <c r="Q33" s="31">
        <f t="shared" si="1"/>
        <v>0</v>
      </c>
    </row>
    <row r="34" spans="1:17" ht="15" x14ac:dyDescent="0.25">
      <c r="A34" s="32">
        <v>34</v>
      </c>
      <c r="B34" s="24" t="s">
        <v>10</v>
      </c>
      <c r="C34" s="31"/>
      <c r="D34" s="31"/>
      <c r="E34" s="31">
        <f>+E121</f>
        <v>138</v>
      </c>
      <c r="F34" s="31">
        <f>+F121</f>
        <v>138</v>
      </c>
      <c r="G34" s="31">
        <f t="shared" ref="G34:P34" si="17">+G121</f>
        <v>138</v>
      </c>
      <c r="H34" s="31">
        <f t="shared" si="17"/>
        <v>138</v>
      </c>
      <c r="I34" s="31">
        <f t="shared" si="17"/>
        <v>138</v>
      </c>
      <c r="J34" s="31">
        <f t="shared" si="17"/>
        <v>138</v>
      </c>
      <c r="K34" s="31">
        <f t="shared" si="17"/>
        <v>138</v>
      </c>
      <c r="L34" s="31">
        <f t="shared" si="17"/>
        <v>139</v>
      </c>
      <c r="M34" s="31">
        <f t="shared" si="17"/>
        <v>142</v>
      </c>
      <c r="N34" s="31">
        <f t="shared" si="17"/>
        <v>142</v>
      </c>
      <c r="O34" s="31">
        <f t="shared" si="17"/>
        <v>141</v>
      </c>
      <c r="P34" s="31">
        <f t="shared" si="17"/>
        <v>142</v>
      </c>
      <c r="Q34" s="31">
        <f t="shared" si="1"/>
        <v>1672</v>
      </c>
    </row>
    <row r="35" spans="1:17" ht="15" x14ac:dyDescent="0.25">
      <c r="A35" s="32">
        <v>35</v>
      </c>
      <c r="B35" s="24"/>
      <c r="Q35" s="31">
        <f t="shared" si="1"/>
        <v>0</v>
      </c>
    </row>
    <row r="36" spans="1:17" ht="15" x14ac:dyDescent="0.25">
      <c r="A36" s="32">
        <v>36</v>
      </c>
      <c r="B36" s="24" t="s">
        <v>9</v>
      </c>
      <c r="C36" s="31"/>
      <c r="D36" s="31"/>
      <c r="E36" s="31">
        <f>+E125</f>
        <v>72</v>
      </c>
      <c r="F36" s="31">
        <f>+F125</f>
        <v>74</v>
      </c>
      <c r="G36" s="31">
        <f t="shared" ref="G36:P36" si="18">+G125</f>
        <v>75</v>
      </c>
      <c r="H36" s="31">
        <f t="shared" si="18"/>
        <v>74</v>
      </c>
      <c r="I36" s="31">
        <f t="shared" si="18"/>
        <v>82</v>
      </c>
      <c r="J36" s="31">
        <f t="shared" si="18"/>
        <v>73</v>
      </c>
      <c r="K36" s="31">
        <f t="shared" si="18"/>
        <v>74</v>
      </c>
      <c r="L36" s="31">
        <f t="shared" si="18"/>
        <v>76</v>
      </c>
      <c r="M36" s="31">
        <f t="shared" si="18"/>
        <v>74</v>
      </c>
      <c r="N36" s="31">
        <f t="shared" si="18"/>
        <v>71</v>
      </c>
      <c r="O36" s="31">
        <f t="shared" si="18"/>
        <v>73</v>
      </c>
      <c r="P36" s="31">
        <f t="shared" si="18"/>
        <v>72</v>
      </c>
      <c r="Q36" s="31">
        <f t="shared" si="1"/>
        <v>890</v>
      </c>
    </row>
    <row r="37" spans="1:17" ht="15" x14ac:dyDescent="0.25">
      <c r="A37" s="32">
        <v>37</v>
      </c>
      <c r="B37" s="24"/>
      <c r="Q37" s="31">
        <f t="shared" si="1"/>
        <v>0</v>
      </c>
    </row>
    <row r="38" spans="1:17" ht="15" x14ac:dyDescent="0.25">
      <c r="A38" s="32">
        <v>38</v>
      </c>
      <c r="B38" s="24" t="s">
        <v>8</v>
      </c>
      <c r="C38" s="31"/>
      <c r="D38" s="31"/>
      <c r="E38" s="31">
        <f t="shared" ref="E38:P38" si="19">+E127</f>
        <v>3</v>
      </c>
      <c r="F38" s="31">
        <f t="shared" si="19"/>
        <v>4</v>
      </c>
      <c r="G38" s="31">
        <f t="shared" si="19"/>
        <v>4</v>
      </c>
      <c r="H38" s="31">
        <f t="shared" si="19"/>
        <v>2</v>
      </c>
      <c r="I38" s="31">
        <f t="shared" si="19"/>
        <v>3</v>
      </c>
      <c r="J38" s="31">
        <f t="shared" si="19"/>
        <v>4</v>
      </c>
      <c r="K38" s="31">
        <f t="shared" si="19"/>
        <v>2</v>
      </c>
      <c r="L38" s="31">
        <f t="shared" si="19"/>
        <v>3</v>
      </c>
      <c r="M38" s="31">
        <f t="shared" si="19"/>
        <v>4</v>
      </c>
      <c r="N38" s="31">
        <f t="shared" si="19"/>
        <v>3</v>
      </c>
      <c r="O38" s="31">
        <f t="shared" si="19"/>
        <v>2</v>
      </c>
      <c r="P38" s="31">
        <f t="shared" si="19"/>
        <v>3</v>
      </c>
      <c r="Q38" s="31">
        <f t="shared" si="1"/>
        <v>37</v>
      </c>
    </row>
    <row r="39" spans="1:17" ht="15" x14ac:dyDescent="0.25">
      <c r="A39" s="32">
        <v>39</v>
      </c>
      <c r="B39" s="24"/>
      <c r="Q39" s="31">
        <f t="shared" si="1"/>
        <v>0</v>
      </c>
    </row>
    <row r="40" spans="1:17" ht="15" x14ac:dyDescent="0.25">
      <c r="A40" s="32">
        <v>40</v>
      </c>
      <c r="B40" s="24" t="s">
        <v>7</v>
      </c>
      <c r="C40" s="31"/>
      <c r="D40" s="31"/>
      <c r="E40" s="31">
        <f t="shared" ref="E40:P40" si="20">+E131</f>
        <v>359</v>
      </c>
      <c r="F40" s="31">
        <f t="shared" si="20"/>
        <v>359</v>
      </c>
      <c r="G40" s="31">
        <f t="shared" si="20"/>
        <v>355</v>
      </c>
      <c r="H40" s="31">
        <f t="shared" si="20"/>
        <v>357</v>
      </c>
      <c r="I40" s="31">
        <f t="shared" si="20"/>
        <v>354</v>
      </c>
      <c r="J40" s="31">
        <f t="shared" si="20"/>
        <v>358</v>
      </c>
      <c r="K40" s="31">
        <f t="shared" si="20"/>
        <v>359</v>
      </c>
      <c r="L40" s="31">
        <f t="shared" si="20"/>
        <v>361</v>
      </c>
      <c r="M40" s="31">
        <f t="shared" si="20"/>
        <v>366</v>
      </c>
      <c r="N40" s="31">
        <f t="shared" si="20"/>
        <v>364</v>
      </c>
      <c r="O40" s="31">
        <f t="shared" si="20"/>
        <v>364</v>
      </c>
      <c r="P40" s="31">
        <f t="shared" si="20"/>
        <v>364</v>
      </c>
      <c r="Q40" s="31">
        <f t="shared" si="1"/>
        <v>4320</v>
      </c>
    </row>
    <row r="41" spans="1:17" ht="15" x14ac:dyDescent="0.25">
      <c r="A41" s="32">
        <v>41</v>
      </c>
      <c r="B41" s="24"/>
      <c r="Q41" s="31">
        <f t="shared" si="1"/>
        <v>0</v>
      </c>
    </row>
    <row r="42" spans="1:17" ht="15" x14ac:dyDescent="0.25">
      <c r="A42" s="32">
        <v>42</v>
      </c>
      <c r="B42" s="24" t="s">
        <v>6</v>
      </c>
      <c r="C42" s="31"/>
      <c r="D42" s="31"/>
      <c r="E42" s="31">
        <f t="shared" ref="E42:P42" si="21">+E133</f>
        <v>7</v>
      </c>
      <c r="F42" s="31">
        <f t="shared" si="21"/>
        <v>7</v>
      </c>
      <c r="G42" s="31">
        <f t="shared" si="21"/>
        <v>7</v>
      </c>
      <c r="H42" s="31">
        <f t="shared" si="21"/>
        <v>7</v>
      </c>
      <c r="I42" s="31">
        <f t="shared" si="21"/>
        <v>7</v>
      </c>
      <c r="J42" s="31">
        <f t="shared" si="21"/>
        <v>7</v>
      </c>
      <c r="K42" s="31">
        <f t="shared" si="21"/>
        <v>7</v>
      </c>
      <c r="L42" s="31">
        <f t="shared" si="21"/>
        <v>7</v>
      </c>
      <c r="M42" s="31">
        <f t="shared" si="21"/>
        <v>7</v>
      </c>
      <c r="N42" s="31">
        <f t="shared" si="21"/>
        <v>7</v>
      </c>
      <c r="O42" s="31">
        <f t="shared" si="21"/>
        <v>7</v>
      </c>
      <c r="P42" s="31">
        <f t="shared" si="21"/>
        <v>7</v>
      </c>
      <c r="Q42" s="31">
        <f t="shared" si="1"/>
        <v>84</v>
      </c>
    </row>
    <row r="43" spans="1:17" ht="15" x14ac:dyDescent="0.25">
      <c r="A43" s="32">
        <v>43</v>
      </c>
      <c r="B43" s="24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>
        <f t="shared" si="1"/>
        <v>0</v>
      </c>
    </row>
    <row r="44" spans="1:17" ht="15" x14ac:dyDescent="0.25">
      <c r="A44" s="32">
        <v>44</v>
      </c>
      <c r="B44" s="24" t="s">
        <v>118</v>
      </c>
      <c r="C44" s="31"/>
      <c r="D44" s="31"/>
      <c r="E44" s="31">
        <f>E135</f>
        <v>3</v>
      </c>
      <c r="F44" s="31">
        <f>F135</f>
        <v>5</v>
      </c>
      <c r="G44" s="31">
        <f t="shared" ref="G44:P44" si="22">G135</f>
        <v>4</v>
      </c>
      <c r="H44" s="31">
        <f t="shared" si="22"/>
        <v>4</v>
      </c>
      <c r="I44" s="31">
        <f t="shared" si="22"/>
        <v>4</v>
      </c>
      <c r="J44" s="31">
        <f t="shared" si="22"/>
        <v>4</v>
      </c>
      <c r="K44" s="31">
        <f t="shared" si="22"/>
        <v>4</v>
      </c>
      <c r="L44" s="31">
        <f t="shared" si="22"/>
        <v>4</v>
      </c>
      <c r="M44" s="31">
        <f t="shared" si="22"/>
        <v>4</v>
      </c>
      <c r="N44" s="31">
        <f t="shared" si="22"/>
        <v>4</v>
      </c>
      <c r="O44" s="31">
        <f t="shared" si="22"/>
        <v>5</v>
      </c>
      <c r="P44" s="31">
        <f t="shared" si="22"/>
        <v>5</v>
      </c>
      <c r="Q44" s="31">
        <f t="shared" si="1"/>
        <v>50</v>
      </c>
    </row>
    <row r="45" spans="1:17" x14ac:dyDescent="0.2">
      <c r="A45" s="32">
        <v>45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>
        <f t="shared" si="1"/>
        <v>0</v>
      </c>
    </row>
    <row r="46" spans="1:17" ht="15" x14ac:dyDescent="0.25">
      <c r="A46" s="32">
        <v>46</v>
      </c>
      <c r="B46" s="32" t="s">
        <v>241</v>
      </c>
      <c r="C46" s="24"/>
      <c r="D46" s="31"/>
      <c r="E46" s="31">
        <f>E136</f>
        <v>2</v>
      </c>
      <c r="F46" s="31">
        <f>F136</f>
        <v>2</v>
      </c>
      <c r="G46" s="31">
        <f t="shared" ref="G46:P46" si="23">G136</f>
        <v>2</v>
      </c>
      <c r="H46" s="31">
        <f t="shared" si="23"/>
        <v>2</v>
      </c>
      <c r="I46" s="31">
        <f t="shared" si="23"/>
        <v>2</v>
      </c>
      <c r="J46" s="31">
        <f t="shared" si="23"/>
        <v>2</v>
      </c>
      <c r="K46" s="31">
        <f t="shared" si="23"/>
        <v>2</v>
      </c>
      <c r="L46" s="31">
        <f t="shared" si="23"/>
        <v>1</v>
      </c>
      <c r="M46" s="31">
        <f t="shared" si="23"/>
        <v>2</v>
      </c>
      <c r="N46" s="31">
        <f t="shared" si="23"/>
        <v>3</v>
      </c>
      <c r="O46" s="31">
        <f t="shared" si="23"/>
        <v>2</v>
      </c>
      <c r="P46" s="31">
        <f t="shared" si="23"/>
        <v>2</v>
      </c>
      <c r="Q46" s="31">
        <f t="shared" si="1"/>
        <v>24</v>
      </c>
    </row>
    <row r="47" spans="1:17" ht="15" x14ac:dyDescent="0.25">
      <c r="A47" s="32">
        <v>47</v>
      </c>
      <c r="B47" s="24"/>
      <c r="Q47" s="31">
        <f t="shared" si="1"/>
        <v>0</v>
      </c>
    </row>
    <row r="48" spans="1:17" ht="15" x14ac:dyDescent="0.25">
      <c r="A48" s="32">
        <v>48</v>
      </c>
      <c r="B48" s="24" t="s">
        <v>5</v>
      </c>
      <c r="C48" s="31"/>
      <c r="D48" s="31"/>
      <c r="E48" s="31">
        <f>+E140</f>
        <v>65</v>
      </c>
      <c r="F48" s="31">
        <f>+F140</f>
        <v>65</v>
      </c>
      <c r="G48" s="31">
        <f t="shared" ref="G48:P48" si="24">+G140</f>
        <v>64</v>
      </c>
      <c r="H48" s="31">
        <f t="shared" si="24"/>
        <v>65</v>
      </c>
      <c r="I48" s="31">
        <f t="shared" si="24"/>
        <v>63</v>
      </c>
      <c r="J48" s="31">
        <f t="shared" si="24"/>
        <v>67</v>
      </c>
      <c r="K48" s="31">
        <f t="shared" si="24"/>
        <v>67</v>
      </c>
      <c r="L48" s="31">
        <f t="shared" si="24"/>
        <v>66</v>
      </c>
      <c r="M48" s="31">
        <f t="shared" si="24"/>
        <v>70</v>
      </c>
      <c r="N48" s="31">
        <f t="shared" si="24"/>
        <v>71</v>
      </c>
      <c r="O48" s="31">
        <f t="shared" si="24"/>
        <v>69</v>
      </c>
      <c r="P48" s="31">
        <f t="shared" si="24"/>
        <v>69</v>
      </c>
      <c r="Q48" s="31">
        <f t="shared" si="1"/>
        <v>801</v>
      </c>
    </row>
    <row r="49" spans="1:17" ht="15" x14ac:dyDescent="0.25">
      <c r="A49" s="32">
        <v>49</v>
      </c>
      <c r="B49" s="24"/>
      <c r="Q49" s="31">
        <f t="shared" si="1"/>
        <v>0</v>
      </c>
    </row>
    <row r="50" spans="1:17" ht="15" x14ac:dyDescent="0.25">
      <c r="A50" s="32">
        <v>50</v>
      </c>
      <c r="B50" s="24" t="s">
        <v>4</v>
      </c>
      <c r="C50" s="31"/>
      <c r="D50" s="31"/>
      <c r="E50" s="31">
        <f>+E142</f>
        <v>7</v>
      </c>
      <c r="F50" s="31">
        <f>+F142</f>
        <v>7</v>
      </c>
      <c r="G50" s="31">
        <f t="shared" ref="G50:P50" si="25">+G142</f>
        <v>7</v>
      </c>
      <c r="H50" s="31">
        <f t="shared" si="25"/>
        <v>6</v>
      </c>
      <c r="I50" s="31">
        <f t="shared" si="25"/>
        <v>6</v>
      </c>
      <c r="J50" s="31">
        <f t="shared" si="25"/>
        <v>6</v>
      </c>
      <c r="K50" s="31">
        <f t="shared" si="25"/>
        <v>6</v>
      </c>
      <c r="L50" s="31">
        <f t="shared" si="25"/>
        <v>6</v>
      </c>
      <c r="M50" s="31">
        <f t="shared" si="25"/>
        <v>6</v>
      </c>
      <c r="N50" s="31">
        <f t="shared" si="25"/>
        <v>7</v>
      </c>
      <c r="O50" s="31">
        <f t="shared" si="25"/>
        <v>7</v>
      </c>
      <c r="P50" s="31">
        <f t="shared" si="25"/>
        <v>7</v>
      </c>
      <c r="Q50" s="31">
        <f t="shared" si="1"/>
        <v>78</v>
      </c>
    </row>
    <row r="51" spans="1:17" ht="15" x14ac:dyDescent="0.25">
      <c r="A51" s="32">
        <v>51</v>
      </c>
      <c r="B51" s="24"/>
      <c r="Q51" s="31">
        <f t="shared" si="1"/>
        <v>0</v>
      </c>
    </row>
    <row r="52" spans="1:17" ht="15" x14ac:dyDescent="0.25">
      <c r="A52" s="32">
        <v>52</v>
      </c>
      <c r="B52" s="24" t="s">
        <v>3</v>
      </c>
      <c r="C52" s="31"/>
      <c r="D52" s="31"/>
      <c r="E52" s="31">
        <f>+E144</f>
        <v>0</v>
      </c>
      <c r="F52" s="31">
        <f>+F144</f>
        <v>0</v>
      </c>
      <c r="G52" s="31">
        <f t="shared" ref="G52:P52" si="26">+G144</f>
        <v>0</v>
      </c>
      <c r="H52" s="31">
        <f t="shared" si="26"/>
        <v>0</v>
      </c>
      <c r="I52" s="31">
        <f t="shared" si="26"/>
        <v>0</v>
      </c>
      <c r="J52" s="31">
        <f t="shared" si="26"/>
        <v>0</v>
      </c>
      <c r="K52" s="31">
        <f t="shared" si="26"/>
        <v>0</v>
      </c>
      <c r="L52" s="31">
        <f t="shared" si="26"/>
        <v>0</v>
      </c>
      <c r="M52" s="31">
        <f t="shared" si="26"/>
        <v>0</v>
      </c>
      <c r="N52" s="31">
        <f t="shared" si="26"/>
        <v>0</v>
      </c>
      <c r="O52" s="31">
        <f t="shared" si="26"/>
        <v>0</v>
      </c>
      <c r="P52" s="31">
        <f t="shared" si="26"/>
        <v>0</v>
      </c>
      <c r="Q52" s="31">
        <f t="shared" si="1"/>
        <v>0</v>
      </c>
    </row>
    <row r="53" spans="1:17" ht="15" x14ac:dyDescent="0.25">
      <c r="A53" s="32">
        <v>53</v>
      </c>
      <c r="B53" s="24"/>
      <c r="Q53" s="31">
        <f t="shared" si="1"/>
        <v>0</v>
      </c>
    </row>
    <row r="54" spans="1:17" ht="15" x14ac:dyDescent="0.25">
      <c r="A54" s="32">
        <v>54</v>
      </c>
      <c r="B54" s="24" t="s">
        <v>119</v>
      </c>
      <c r="C54" s="31"/>
      <c r="D54" s="31"/>
      <c r="E54" s="31">
        <f>E146</f>
        <v>138</v>
      </c>
      <c r="F54" s="31">
        <f>F146</f>
        <v>139</v>
      </c>
      <c r="G54" s="31">
        <f t="shared" ref="G54:P54" si="27">G146</f>
        <v>138</v>
      </c>
      <c r="H54" s="31">
        <f t="shared" si="27"/>
        <v>138</v>
      </c>
      <c r="I54" s="31">
        <f t="shared" si="27"/>
        <v>138</v>
      </c>
      <c r="J54" s="31">
        <f t="shared" si="27"/>
        <v>138</v>
      </c>
      <c r="K54" s="31">
        <f t="shared" si="27"/>
        <v>137</v>
      </c>
      <c r="L54" s="31">
        <f t="shared" si="27"/>
        <v>135</v>
      </c>
      <c r="M54" s="31">
        <f t="shared" si="27"/>
        <v>135</v>
      </c>
      <c r="N54" s="31">
        <f t="shared" si="27"/>
        <v>134</v>
      </c>
      <c r="O54" s="31">
        <f t="shared" si="27"/>
        <v>133</v>
      </c>
      <c r="P54" s="31">
        <f t="shared" si="27"/>
        <v>138</v>
      </c>
      <c r="Q54" s="31">
        <f t="shared" si="1"/>
        <v>1641</v>
      </c>
    </row>
    <row r="55" spans="1:17" ht="15" x14ac:dyDescent="0.25">
      <c r="A55" s="32">
        <v>55</v>
      </c>
      <c r="B55" s="24"/>
      <c r="Q55" s="31">
        <f t="shared" si="1"/>
        <v>0</v>
      </c>
    </row>
    <row r="56" spans="1:17" ht="15" x14ac:dyDescent="0.25">
      <c r="A56" s="32">
        <v>56</v>
      </c>
      <c r="B56" s="24" t="s">
        <v>120</v>
      </c>
      <c r="C56" s="31"/>
      <c r="D56" s="31"/>
      <c r="E56" s="31">
        <f>E148</f>
        <v>1</v>
      </c>
      <c r="F56" s="31">
        <f>F148</f>
        <v>1</v>
      </c>
      <c r="G56" s="31">
        <f t="shared" ref="G56:P56" si="28">G148</f>
        <v>1</v>
      </c>
      <c r="H56" s="31">
        <f t="shared" si="28"/>
        <v>1</v>
      </c>
      <c r="I56" s="31">
        <f t="shared" si="28"/>
        <v>1</v>
      </c>
      <c r="J56" s="31">
        <f t="shared" si="28"/>
        <v>1</v>
      </c>
      <c r="K56" s="31">
        <f t="shared" si="28"/>
        <v>1</v>
      </c>
      <c r="L56" s="31">
        <f t="shared" si="28"/>
        <v>1</v>
      </c>
      <c r="M56" s="31">
        <f t="shared" si="28"/>
        <v>1</v>
      </c>
      <c r="N56" s="31">
        <f t="shared" si="28"/>
        <v>1</v>
      </c>
      <c r="O56" s="31">
        <f t="shared" si="28"/>
        <v>1</v>
      </c>
      <c r="P56" s="31">
        <f t="shared" si="28"/>
        <v>1</v>
      </c>
      <c r="Q56" s="31">
        <f t="shared" si="1"/>
        <v>12</v>
      </c>
    </row>
    <row r="57" spans="1:17" ht="15" x14ac:dyDescent="0.25">
      <c r="A57" s="32">
        <v>57</v>
      </c>
      <c r="B57" s="24"/>
      <c r="Q57" s="31">
        <f t="shared" si="1"/>
        <v>0</v>
      </c>
    </row>
    <row r="58" spans="1:17" ht="15" x14ac:dyDescent="0.25">
      <c r="A58" s="32">
        <v>58</v>
      </c>
      <c r="B58" s="24" t="s">
        <v>242</v>
      </c>
      <c r="C58" s="31"/>
      <c r="D58" s="31"/>
      <c r="E58" s="31">
        <f>E151</f>
        <v>5</v>
      </c>
      <c r="F58" s="31">
        <f>F151</f>
        <v>5</v>
      </c>
      <c r="G58" s="31">
        <f t="shared" ref="G58:P58" si="29">G151</f>
        <v>5</v>
      </c>
      <c r="H58" s="31">
        <f t="shared" si="29"/>
        <v>5</v>
      </c>
      <c r="I58" s="31">
        <f t="shared" si="29"/>
        <v>5</v>
      </c>
      <c r="J58" s="31">
        <f t="shared" si="29"/>
        <v>5</v>
      </c>
      <c r="K58" s="31">
        <f t="shared" si="29"/>
        <v>5</v>
      </c>
      <c r="L58" s="31">
        <f t="shared" si="29"/>
        <v>5</v>
      </c>
      <c r="M58" s="31">
        <f t="shared" si="29"/>
        <v>5</v>
      </c>
      <c r="N58" s="31">
        <f t="shared" si="29"/>
        <v>3</v>
      </c>
      <c r="O58" s="31">
        <f t="shared" si="29"/>
        <v>3</v>
      </c>
      <c r="P58" s="31">
        <f t="shared" si="29"/>
        <v>3</v>
      </c>
      <c r="Q58" s="31">
        <f t="shared" si="1"/>
        <v>54</v>
      </c>
    </row>
    <row r="59" spans="1:17" ht="15" x14ac:dyDescent="0.25">
      <c r="A59" s="32">
        <v>59</v>
      </c>
      <c r="B59" s="24"/>
      <c r="Q59" s="31">
        <f t="shared" si="1"/>
        <v>0</v>
      </c>
    </row>
    <row r="60" spans="1:17" ht="15" x14ac:dyDescent="0.25">
      <c r="A60" s="32">
        <v>60</v>
      </c>
      <c r="B60" s="24" t="s">
        <v>122</v>
      </c>
      <c r="C60" s="31"/>
      <c r="D60" s="31"/>
      <c r="E60" s="31">
        <f>E152</f>
        <v>1</v>
      </c>
      <c r="F60" s="31">
        <f>F152</f>
        <v>1</v>
      </c>
      <c r="G60" s="31">
        <f t="shared" ref="G60:P60" si="30">G152</f>
        <v>1</v>
      </c>
      <c r="H60" s="31">
        <f t="shared" si="30"/>
        <v>1</v>
      </c>
      <c r="I60" s="31">
        <f t="shared" si="30"/>
        <v>1</v>
      </c>
      <c r="J60" s="31">
        <f t="shared" si="30"/>
        <v>1</v>
      </c>
      <c r="K60" s="31">
        <f t="shared" si="30"/>
        <v>1</v>
      </c>
      <c r="L60" s="31">
        <f t="shared" si="30"/>
        <v>1</v>
      </c>
      <c r="M60" s="31">
        <f t="shared" si="30"/>
        <v>1</v>
      </c>
      <c r="N60" s="31">
        <f t="shared" si="30"/>
        <v>1</v>
      </c>
      <c r="O60" s="31">
        <f t="shared" si="30"/>
        <v>1</v>
      </c>
      <c r="P60" s="31">
        <f t="shared" si="30"/>
        <v>1</v>
      </c>
      <c r="Q60" s="31">
        <f t="shared" si="1"/>
        <v>12</v>
      </c>
    </row>
    <row r="61" spans="1:17" ht="15" x14ac:dyDescent="0.25">
      <c r="A61" s="32">
        <v>61</v>
      </c>
      <c r="B61" s="24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>
        <f t="shared" si="1"/>
        <v>0</v>
      </c>
    </row>
    <row r="62" spans="1:17" ht="15" x14ac:dyDescent="0.25">
      <c r="A62" s="32">
        <v>62</v>
      </c>
      <c r="B62" s="24" t="s">
        <v>243</v>
      </c>
      <c r="C62" s="31"/>
      <c r="D62" s="31"/>
      <c r="E62" s="31">
        <f>E153</f>
        <v>1</v>
      </c>
      <c r="F62" s="31">
        <f>F153</f>
        <v>1</v>
      </c>
      <c r="G62" s="31">
        <f t="shared" ref="G62:P62" si="31">G153</f>
        <v>1</v>
      </c>
      <c r="H62" s="31">
        <f t="shared" si="31"/>
        <v>1</v>
      </c>
      <c r="I62" s="31">
        <f t="shared" si="31"/>
        <v>1</v>
      </c>
      <c r="J62" s="31">
        <f t="shared" si="31"/>
        <v>1</v>
      </c>
      <c r="K62" s="31">
        <f t="shared" si="31"/>
        <v>1</v>
      </c>
      <c r="L62" s="31">
        <f t="shared" si="31"/>
        <v>1</v>
      </c>
      <c r="M62" s="31">
        <f t="shared" si="31"/>
        <v>1</v>
      </c>
      <c r="N62" s="31">
        <f t="shared" si="31"/>
        <v>1</v>
      </c>
      <c r="O62" s="31">
        <f t="shared" si="31"/>
        <v>1</v>
      </c>
      <c r="P62" s="31">
        <f t="shared" si="31"/>
        <v>1</v>
      </c>
      <c r="Q62" s="31">
        <f t="shared" si="1"/>
        <v>12</v>
      </c>
    </row>
    <row r="63" spans="1:17" ht="15" x14ac:dyDescent="0.25">
      <c r="A63" s="32">
        <v>63</v>
      </c>
      <c r="B63" s="24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>
        <f t="shared" si="1"/>
        <v>0</v>
      </c>
    </row>
    <row r="64" spans="1:17" ht="15" x14ac:dyDescent="0.25">
      <c r="A64" s="32">
        <v>64</v>
      </c>
      <c r="B64" s="24" t="s">
        <v>244</v>
      </c>
      <c r="C64" s="31"/>
      <c r="D64" s="31"/>
      <c r="E64" s="31">
        <f>E154</f>
        <v>1</v>
      </c>
      <c r="F64" s="31">
        <f>F154</f>
        <v>1</v>
      </c>
      <c r="G64" s="31">
        <f t="shared" ref="G64:P64" si="32">G154</f>
        <v>1</v>
      </c>
      <c r="H64" s="31">
        <f t="shared" si="32"/>
        <v>1</v>
      </c>
      <c r="I64" s="31">
        <f t="shared" si="32"/>
        <v>1</v>
      </c>
      <c r="J64" s="31">
        <f t="shared" si="32"/>
        <v>1</v>
      </c>
      <c r="K64" s="31">
        <f t="shared" si="32"/>
        <v>1</v>
      </c>
      <c r="L64" s="31">
        <f t="shared" si="32"/>
        <v>1</v>
      </c>
      <c r="M64" s="31">
        <f t="shared" si="32"/>
        <v>1</v>
      </c>
      <c r="N64" s="31">
        <f t="shared" si="32"/>
        <v>1</v>
      </c>
      <c r="O64" s="31">
        <f t="shared" si="32"/>
        <v>1</v>
      </c>
      <c r="P64" s="31">
        <f t="shared" si="32"/>
        <v>1</v>
      </c>
      <c r="Q64" s="31">
        <f t="shared" si="1"/>
        <v>12</v>
      </c>
    </row>
    <row r="65" spans="1:17" ht="15" x14ac:dyDescent="0.25">
      <c r="A65" s="32">
        <v>65</v>
      </c>
      <c r="B65" s="24"/>
      <c r="Q65" s="31">
        <f t="shared" si="1"/>
        <v>0</v>
      </c>
    </row>
    <row r="66" spans="1:17" ht="15" x14ac:dyDescent="0.25">
      <c r="A66" s="32">
        <v>66</v>
      </c>
      <c r="B66" s="24" t="s">
        <v>123</v>
      </c>
      <c r="C66" s="31"/>
      <c r="D66" s="31"/>
      <c r="E66" s="31">
        <f>E156</f>
        <v>4</v>
      </c>
      <c r="F66" s="31">
        <f>F156</f>
        <v>4</v>
      </c>
      <c r="G66" s="31">
        <f t="shared" ref="G66:P66" si="33">G156</f>
        <v>4</v>
      </c>
      <c r="H66" s="31">
        <f t="shared" si="33"/>
        <v>4</v>
      </c>
      <c r="I66" s="31">
        <f t="shared" si="33"/>
        <v>4</v>
      </c>
      <c r="J66" s="31">
        <f t="shared" si="33"/>
        <v>4</v>
      </c>
      <c r="K66" s="31">
        <f t="shared" si="33"/>
        <v>4</v>
      </c>
      <c r="L66" s="31">
        <f t="shared" si="33"/>
        <v>4</v>
      </c>
      <c r="M66" s="31">
        <f t="shared" si="33"/>
        <v>4</v>
      </c>
      <c r="N66" s="31">
        <f t="shared" si="33"/>
        <v>4</v>
      </c>
      <c r="O66" s="31">
        <f t="shared" si="33"/>
        <v>4</v>
      </c>
      <c r="P66" s="31">
        <f t="shared" si="33"/>
        <v>4</v>
      </c>
      <c r="Q66" s="31">
        <f t="shared" si="1"/>
        <v>48</v>
      </c>
    </row>
    <row r="67" spans="1:17" ht="15" x14ac:dyDescent="0.25">
      <c r="A67" s="32">
        <v>67</v>
      </c>
      <c r="B67" s="24"/>
      <c r="Q67" s="31">
        <f t="shared" si="1"/>
        <v>0</v>
      </c>
    </row>
    <row r="68" spans="1:17" ht="15" x14ac:dyDescent="0.25">
      <c r="A68" s="32">
        <v>68</v>
      </c>
      <c r="B68" s="24" t="s">
        <v>124</v>
      </c>
      <c r="C68" s="31"/>
      <c r="D68" s="31"/>
      <c r="E68" s="31">
        <f>E160</f>
        <v>34</v>
      </c>
      <c r="F68" s="31">
        <f>F160</f>
        <v>34</v>
      </c>
      <c r="G68" s="31">
        <f t="shared" ref="G68:P68" si="34">G160</f>
        <v>34</v>
      </c>
      <c r="H68" s="31">
        <f t="shared" si="34"/>
        <v>34</v>
      </c>
      <c r="I68" s="31">
        <f t="shared" si="34"/>
        <v>34</v>
      </c>
      <c r="J68" s="31">
        <f t="shared" si="34"/>
        <v>34</v>
      </c>
      <c r="K68" s="31">
        <f t="shared" si="34"/>
        <v>34</v>
      </c>
      <c r="L68" s="31">
        <f t="shared" si="34"/>
        <v>34</v>
      </c>
      <c r="M68" s="31">
        <f t="shared" si="34"/>
        <v>35</v>
      </c>
      <c r="N68" s="31">
        <f t="shared" si="34"/>
        <v>36</v>
      </c>
      <c r="O68" s="31">
        <f t="shared" si="34"/>
        <v>36</v>
      </c>
      <c r="P68" s="31">
        <f t="shared" si="34"/>
        <v>39</v>
      </c>
      <c r="Q68" s="31">
        <f t="shared" si="1"/>
        <v>418</v>
      </c>
    </row>
    <row r="69" spans="1:17" ht="15" x14ac:dyDescent="0.25">
      <c r="A69" s="32">
        <v>69</v>
      </c>
      <c r="B69" s="24"/>
      <c r="Q69" s="31">
        <f t="shared" si="1"/>
        <v>0</v>
      </c>
    </row>
    <row r="70" spans="1:17" ht="15" x14ac:dyDescent="0.25">
      <c r="A70" s="32">
        <v>70</v>
      </c>
      <c r="B70" s="24" t="s">
        <v>125</v>
      </c>
      <c r="C70" s="31"/>
      <c r="D70" s="31"/>
      <c r="E70" s="31">
        <f>E164</f>
        <v>18</v>
      </c>
      <c r="F70" s="31">
        <f>F164</f>
        <v>19</v>
      </c>
      <c r="G70" s="31">
        <f t="shared" ref="G70:P70" si="35">G164</f>
        <v>19</v>
      </c>
      <c r="H70" s="31">
        <f t="shared" si="35"/>
        <v>21</v>
      </c>
      <c r="I70" s="31">
        <f t="shared" si="35"/>
        <v>22</v>
      </c>
      <c r="J70" s="31">
        <f t="shared" si="35"/>
        <v>21</v>
      </c>
      <c r="K70" s="31">
        <f t="shared" si="35"/>
        <v>20</v>
      </c>
      <c r="L70" s="31">
        <f t="shared" si="35"/>
        <v>20</v>
      </c>
      <c r="M70" s="31">
        <f t="shared" si="35"/>
        <v>20</v>
      </c>
      <c r="N70" s="31">
        <f t="shared" si="35"/>
        <v>21</v>
      </c>
      <c r="O70" s="31">
        <f t="shared" si="35"/>
        <v>20</v>
      </c>
      <c r="P70" s="31">
        <f t="shared" si="35"/>
        <v>20</v>
      </c>
      <c r="Q70" s="31">
        <f t="shared" si="1"/>
        <v>241</v>
      </c>
    </row>
    <row r="71" spans="1:17" ht="15" x14ac:dyDescent="0.25">
      <c r="A71" s="32">
        <v>71</v>
      </c>
      <c r="B71" s="24"/>
      <c r="Q71" s="31">
        <f t="shared" si="1"/>
        <v>0</v>
      </c>
    </row>
    <row r="72" spans="1:17" ht="15" x14ac:dyDescent="0.25">
      <c r="A72" s="32">
        <v>72</v>
      </c>
      <c r="B72" s="24" t="s">
        <v>126</v>
      </c>
      <c r="C72" s="31"/>
      <c r="D72" s="31"/>
      <c r="E72" s="31">
        <f t="shared" ref="E72:P72" si="36">E168</f>
        <v>2</v>
      </c>
      <c r="F72" s="31">
        <f t="shared" si="36"/>
        <v>2</v>
      </c>
      <c r="G72" s="31">
        <f t="shared" si="36"/>
        <v>2</v>
      </c>
      <c r="H72" s="31">
        <f t="shared" si="36"/>
        <v>2</v>
      </c>
      <c r="I72" s="31">
        <f t="shared" si="36"/>
        <v>2</v>
      </c>
      <c r="J72" s="31">
        <f t="shared" si="36"/>
        <v>2</v>
      </c>
      <c r="K72" s="31">
        <f t="shared" si="36"/>
        <v>2</v>
      </c>
      <c r="L72" s="31">
        <f t="shared" si="36"/>
        <v>2</v>
      </c>
      <c r="M72" s="31">
        <f t="shared" si="36"/>
        <v>2</v>
      </c>
      <c r="N72" s="31">
        <f t="shared" si="36"/>
        <v>2</v>
      </c>
      <c r="O72" s="31">
        <f t="shared" si="36"/>
        <v>2</v>
      </c>
      <c r="P72" s="31">
        <f t="shared" si="36"/>
        <v>2</v>
      </c>
      <c r="Q72" s="31">
        <f t="shared" si="1"/>
        <v>24</v>
      </c>
    </row>
    <row r="73" spans="1:17" ht="15" x14ac:dyDescent="0.25">
      <c r="A73" s="32">
        <v>73</v>
      </c>
      <c r="B73" s="24"/>
      <c r="Q73" s="31">
        <f t="shared" si="1"/>
        <v>0</v>
      </c>
    </row>
    <row r="74" spans="1:17" ht="15" x14ac:dyDescent="0.25">
      <c r="A74" s="32">
        <v>74</v>
      </c>
      <c r="B74" s="24" t="s">
        <v>2</v>
      </c>
      <c r="C74" s="31"/>
      <c r="D74" s="31"/>
      <c r="E74" s="31">
        <f>E204</f>
        <v>54</v>
      </c>
      <c r="F74" s="31">
        <f>F204</f>
        <v>54</v>
      </c>
      <c r="G74" s="31">
        <f t="shared" ref="G74:P74" si="37">G204</f>
        <v>54</v>
      </c>
      <c r="H74" s="31">
        <f t="shared" si="37"/>
        <v>54</v>
      </c>
      <c r="I74" s="31">
        <f t="shared" si="37"/>
        <v>54</v>
      </c>
      <c r="J74" s="31">
        <f t="shared" si="37"/>
        <v>53</v>
      </c>
      <c r="K74" s="31">
        <f t="shared" si="37"/>
        <v>53</v>
      </c>
      <c r="L74" s="31">
        <f t="shared" si="37"/>
        <v>55</v>
      </c>
      <c r="M74" s="31">
        <f t="shared" si="37"/>
        <v>53</v>
      </c>
      <c r="N74" s="31">
        <f t="shared" si="37"/>
        <v>53</v>
      </c>
      <c r="O74" s="31">
        <f t="shared" si="37"/>
        <v>53</v>
      </c>
      <c r="P74" s="31">
        <f t="shared" si="37"/>
        <v>53</v>
      </c>
      <c r="Q74" s="31">
        <f t="shared" si="1"/>
        <v>643</v>
      </c>
    </row>
    <row r="75" spans="1:17" ht="15" x14ac:dyDescent="0.25">
      <c r="A75" s="32">
        <v>75</v>
      </c>
      <c r="B75" s="24"/>
      <c r="Q75" s="31">
        <f t="shared" ref="Q75:Q77" si="38">SUM(E75:P75)</f>
        <v>0</v>
      </c>
    </row>
    <row r="76" spans="1:17" ht="15" x14ac:dyDescent="0.25">
      <c r="A76" s="32">
        <v>76</v>
      </c>
      <c r="B76" s="24" t="s">
        <v>1</v>
      </c>
      <c r="C76" s="31"/>
      <c r="D76" s="31"/>
      <c r="E76" s="31">
        <f>E170</f>
        <v>9</v>
      </c>
      <c r="F76" s="31">
        <f>F170</f>
        <v>9</v>
      </c>
      <c r="G76" s="31">
        <f t="shared" ref="G76:P76" si="39">G170</f>
        <v>9</v>
      </c>
      <c r="H76" s="31">
        <f t="shared" si="39"/>
        <v>9</v>
      </c>
      <c r="I76" s="31">
        <f t="shared" si="39"/>
        <v>9</v>
      </c>
      <c r="J76" s="31">
        <f t="shared" si="39"/>
        <v>9</v>
      </c>
      <c r="K76" s="31">
        <f t="shared" si="39"/>
        <v>9</v>
      </c>
      <c r="L76" s="31">
        <f t="shared" si="39"/>
        <v>8</v>
      </c>
      <c r="M76" s="31">
        <f t="shared" si="39"/>
        <v>8</v>
      </c>
      <c r="N76" s="31">
        <f t="shared" si="39"/>
        <v>8</v>
      </c>
      <c r="O76" s="31">
        <f t="shared" si="39"/>
        <v>8</v>
      </c>
      <c r="P76" s="31">
        <f t="shared" si="39"/>
        <v>8</v>
      </c>
      <c r="Q76" s="31">
        <f t="shared" si="38"/>
        <v>103</v>
      </c>
    </row>
    <row r="77" spans="1:17" ht="15" x14ac:dyDescent="0.25">
      <c r="B77" s="81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3"/>
      <c r="Q77" s="31">
        <f t="shared" si="38"/>
        <v>0</v>
      </c>
    </row>
    <row r="78" spans="1:17" ht="15" x14ac:dyDescent="0.25">
      <c r="B78" s="84" t="s">
        <v>0</v>
      </c>
      <c r="C78" s="31">
        <f>SUM(C10:C76)</f>
        <v>0</v>
      </c>
      <c r="D78" s="31">
        <f t="shared" ref="D78" si="40">SUM(D10:D76)</f>
        <v>0</v>
      </c>
      <c r="E78" s="31">
        <f>SUM(E18:E76)+E14+E12+E10</f>
        <v>211151</v>
      </c>
      <c r="F78" s="31">
        <f>SUM(F18:F76)+F14+F12+F10</f>
        <v>210676</v>
      </c>
      <c r="G78" s="31">
        <f t="shared" ref="G78:P78" si="41">SUM(G18:G76)+G14+G12+G10</f>
        <v>210477</v>
      </c>
      <c r="H78" s="31">
        <f t="shared" si="41"/>
        <v>210269</v>
      </c>
      <c r="I78" s="31">
        <f t="shared" si="41"/>
        <v>209780</v>
      </c>
      <c r="J78" s="31">
        <f t="shared" si="41"/>
        <v>209378</v>
      </c>
      <c r="K78" s="31">
        <f t="shared" si="41"/>
        <v>209317</v>
      </c>
      <c r="L78" s="31">
        <f t="shared" si="41"/>
        <v>209046</v>
      </c>
      <c r="M78" s="31">
        <f t="shared" si="41"/>
        <v>209598</v>
      </c>
      <c r="N78" s="31">
        <f t="shared" si="41"/>
        <v>209617</v>
      </c>
      <c r="O78" s="31">
        <f t="shared" si="41"/>
        <v>208595</v>
      </c>
      <c r="P78" s="85">
        <f t="shared" si="41"/>
        <v>209447</v>
      </c>
      <c r="Q78" s="85">
        <f>SUM(E78:P78)</f>
        <v>2517351</v>
      </c>
    </row>
    <row r="79" spans="1:17" x14ac:dyDescent="0.2">
      <c r="C79" s="31">
        <f t="shared" ref="C79:P79" si="42">+C78-C206</f>
        <v>0</v>
      </c>
      <c r="D79" s="31">
        <f t="shared" si="42"/>
        <v>0</v>
      </c>
      <c r="E79" s="31">
        <f>+E78-E206</f>
        <v>0</v>
      </c>
      <c r="F79" s="31">
        <f t="shared" si="42"/>
        <v>0</v>
      </c>
      <c r="G79" s="31">
        <f t="shared" si="42"/>
        <v>0</v>
      </c>
      <c r="H79" s="31">
        <f t="shared" si="42"/>
        <v>0</v>
      </c>
      <c r="I79" s="31">
        <f t="shared" si="42"/>
        <v>0</v>
      </c>
      <c r="J79" s="31">
        <f t="shared" si="42"/>
        <v>0</v>
      </c>
      <c r="K79" s="31">
        <f t="shared" si="42"/>
        <v>0</v>
      </c>
      <c r="L79" s="31">
        <f t="shared" si="42"/>
        <v>0</v>
      </c>
      <c r="M79" s="31">
        <f t="shared" si="42"/>
        <v>0</v>
      </c>
      <c r="N79" s="31">
        <f t="shared" si="42"/>
        <v>0</v>
      </c>
      <c r="O79" s="31">
        <f t="shared" si="42"/>
        <v>0</v>
      </c>
      <c r="P79" s="31">
        <f t="shared" si="42"/>
        <v>0</v>
      </c>
    </row>
    <row r="80" spans="1:17" x14ac:dyDescent="0.2">
      <c r="B80" s="33"/>
    </row>
    <row r="81" spans="1:17" x14ac:dyDescent="0.2">
      <c r="B81" s="33"/>
    </row>
    <row r="82" spans="1:17" x14ac:dyDescent="0.2">
      <c r="B82" s="33" t="s">
        <v>22</v>
      </c>
      <c r="C82" s="80"/>
      <c r="D82" s="80"/>
      <c r="E82" s="80" t="str">
        <f t="shared" ref="E82:P82" si="43">E8</f>
        <v>Apr</v>
      </c>
      <c r="F82" s="80" t="str">
        <f t="shared" si="43"/>
        <v>May</v>
      </c>
      <c r="G82" s="80" t="str">
        <f t="shared" si="43"/>
        <v>Jun</v>
      </c>
      <c r="H82" s="80" t="str">
        <f t="shared" si="43"/>
        <v>Jul</v>
      </c>
      <c r="I82" s="80" t="str">
        <f t="shared" si="43"/>
        <v>Aug</v>
      </c>
      <c r="J82" s="80" t="str">
        <f t="shared" si="43"/>
        <v>Sep</v>
      </c>
      <c r="K82" s="80" t="str">
        <f t="shared" si="43"/>
        <v>Oct</v>
      </c>
      <c r="L82" s="80" t="str">
        <f t="shared" si="43"/>
        <v>Nov</v>
      </c>
      <c r="M82" s="80" t="str">
        <f t="shared" si="43"/>
        <v>Dec</v>
      </c>
      <c r="N82" s="80" t="str">
        <f t="shared" si="43"/>
        <v>Jan</v>
      </c>
      <c r="O82" s="80" t="str">
        <f t="shared" si="43"/>
        <v>Feb</v>
      </c>
      <c r="P82" s="80" t="str">
        <f t="shared" si="43"/>
        <v>Mar</v>
      </c>
      <c r="Q82" s="86" t="s">
        <v>308</v>
      </c>
    </row>
    <row r="83" spans="1:17" x14ac:dyDescent="0.2">
      <c r="B83" s="86"/>
    </row>
    <row r="84" spans="1:17" x14ac:dyDescent="0.2">
      <c r="A84" s="32">
        <v>11</v>
      </c>
      <c r="B84" s="33" t="s">
        <v>197</v>
      </c>
      <c r="C84" s="31"/>
      <c r="D84" s="31"/>
      <c r="E84" s="31">
        <v>128</v>
      </c>
      <c r="F84" s="31">
        <v>127</v>
      </c>
      <c r="G84" s="31">
        <v>127</v>
      </c>
      <c r="H84" s="31">
        <v>127</v>
      </c>
      <c r="I84" s="31">
        <v>126</v>
      </c>
      <c r="J84" s="31">
        <v>126</v>
      </c>
      <c r="K84" s="31">
        <v>124</v>
      </c>
      <c r="L84" s="31">
        <v>127</v>
      </c>
      <c r="M84" s="31">
        <v>128</v>
      </c>
      <c r="N84" s="31">
        <v>126</v>
      </c>
      <c r="O84" s="31">
        <v>127</v>
      </c>
      <c r="P84" s="31">
        <v>127</v>
      </c>
      <c r="Q84" s="87">
        <v>126.66666666666667</v>
      </c>
    </row>
    <row r="85" spans="1:17" x14ac:dyDescent="0.2">
      <c r="A85" s="32">
        <v>12</v>
      </c>
      <c r="B85" s="33" t="s">
        <v>198</v>
      </c>
      <c r="C85" s="31"/>
      <c r="D85" s="31"/>
      <c r="E85" s="31">
        <v>11</v>
      </c>
      <c r="F85" s="31">
        <v>10</v>
      </c>
      <c r="G85" s="31">
        <v>10</v>
      </c>
      <c r="H85" s="31">
        <v>10</v>
      </c>
      <c r="I85" s="31">
        <v>10</v>
      </c>
      <c r="J85" s="31">
        <v>10</v>
      </c>
      <c r="K85" s="31">
        <v>10</v>
      </c>
      <c r="L85" s="31">
        <v>10</v>
      </c>
      <c r="M85" s="31">
        <v>10</v>
      </c>
      <c r="N85" s="31">
        <v>10</v>
      </c>
      <c r="O85" s="31">
        <v>10</v>
      </c>
      <c r="P85" s="31">
        <v>10</v>
      </c>
      <c r="Q85" s="87">
        <v>10.083333333333334</v>
      </c>
    </row>
    <row r="86" spans="1:17" x14ac:dyDescent="0.2">
      <c r="A86" s="32">
        <v>13</v>
      </c>
      <c r="B86" s="33" t="s">
        <v>199</v>
      </c>
      <c r="C86" s="31"/>
      <c r="D86" s="31"/>
      <c r="E86" s="31">
        <v>1</v>
      </c>
      <c r="F86" s="31">
        <v>1</v>
      </c>
      <c r="G86" s="31">
        <v>1</v>
      </c>
      <c r="H86" s="31">
        <v>1</v>
      </c>
      <c r="I86" s="31">
        <v>1</v>
      </c>
      <c r="J86" s="31">
        <v>1</v>
      </c>
      <c r="K86" s="31">
        <v>1</v>
      </c>
      <c r="L86" s="31">
        <v>1</v>
      </c>
      <c r="M86" s="31">
        <v>1</v>
      </c>
      <c r="N86" s="31">
        <v>1</v>
      </c>
      <c r="O86" s="31">
        <v>1</v>
      </c>
      <c r="P86" s="31">
        <v>1</v>
      </c>
      <c r="Q86" s="87">
        <v>1</v>
      </c>
    </row>
    <row r="87" spans="1:17" x14ac:dyDescent="0.2">
      <c r="A87" s="32">
        <v>14</v>
      </c>
      <c r="B87" s="33" t="s">
        <v>200</v>
      </c>
      <c r="C87" s="31"/>
      <c r="D87" s="31"/>
      <c r="E87" s="31">
        <v>16</v>
      </c>
      <c r="F87" s="31">
        <v>16</v>
      </c>
      <c r="G87" s="31">
        <v>15</v>
      </c>
      <c r="H87" s="31">
        <v>14</v>
      </c>
      <c r="I87" s="31">
        <v>14</v>
      </c>
      <c r="J87" s="31">
        <v>14</v>
      </c>
      <c r="K87" s="31">
        <v>14</v>
      </c>
      <c r="L87" s="31">
        <v>14</v>
      </c>
      <c r="M87" s="31">
        <v>14</v>
      </c>
      <c r="N87" s="31">
        <v>14</v>
      </c>
      <c r="O87" s="31">
        <v>14</v>
      </c>
      <c r="P87" s="31">
        <v>14</v>
      </c>
      <c r="Q87" s="87">
        <v>14.416666666666666</v>
      </c>
    </row>
    <row r="88" spans="1:17" x14ac:dyDescent="0.2">
      <c r="A88" s="32">
        <v>15</v>
      </c>
      <c r="B88" s="33" t="s">
        <v>176</v>
      </c>
      <c r="C88" s="31"/>
      <c r="D88" s="31"/>
      <c r="E88" s="31">
        <v>65520</v>
      </c>
      <c r="F88" s="31">
        <v>65426</v>
      </c>
      <c r="G88" s="31">
        <v>65356</v>
      </c>
      <c r="H88" s="31">
        <v>65354</v>
      </c>
      <c r="I88" s="31">
        <v>65182</v>
      </c>
      <c r="J88" s="31">
        <v>64933</v>
      </c>
      <c r="K88" s="31">
        <v>64923</v>
      </c>
      <c r="L88" s="31">
        <v>65073</v>
      </c>
      <c r="M88" s="31">
        <v>65076</v>
      </c>
      <c r="N88" s="31">
        <v>65145</v>
      </c>
      <c r="O88" s="31">
        <v>65031</v>
      </c>
      <c r="P88" s="31">
        <v>65271</v>
      </c>
      <c r="Q88" s="87">
        <v>65190.833333333336</v>
      </c>
    </row>
    <row r="89" spans="1:17" x14ac:dyDescent="0.2">
      <c r="A89" s="32">
        <v>17</v>
      </c>
      <c r="B89" s="33" t="s">
        <v>201</v>
      </c>
      <c r="C89" s="31"/>
      <c r="D89" s="31"/>
      <c r="E89" s="31">
        <v>300</v>
      </c>
      <c r="F89" s="31">
        <v>295</v>
      </c>
      <c r="G89" s="31">
        <v>292</v>
      </c>
      <c r="H89" s="31">
        <v>292</v>
      </c>
      <c r="I89" s="31">
        <v>291</v>
      </c>
      <c r="J89" s="31">
        <v>287</v>
      </c>
      <c r="K89" s="31">
        <v>284</v>
      </c>
      <c r="L89" s="31">
        <v>284</v>
      </c>
      <c r="M89" s="31">
        <v>280</v>
      </c>
      <c r="N89" s="31">
        <v>278</v>
      </c>
      <c r="O89" s="31">
        <v>275</v>
      </c>
      <c r="P89" s="31">
        <v>275</v>
      </c>
      <c r="Q89" s="87">
        <v>286.08333333333331</v>
      </c>
    </row>
    <row r="90" spans="1:17" x14ac:dyDescent="0.2">
      <c r="A90" s="32">
        <v>22</v>
      </c>
      <c r="B90" s="58" t="s">
        <v>202</v>
      </c>
      <c r="C90" s="88"/>
      <c r="D90" s="88"/>
      <c r="E90" s="88">
        <v>67152</v>
      </c>
      <c r="F90" s="88">
        <v>66991</v>
      </c>
      <c r="G90" s="88">
        <v>66824</v>
      </c>
      <c r="H90" s="88">
        <v>66716</v>
      </c>
      <c r="I90" s="88">
        <v>66501</v>
      </c>
      <c r="J90" s="88">
        <v>66214</v>
      </c>
      <c r="K90" s="88">
        <v>66058</v>
      </c>
      <c r="L90" s="88">
        <v>65970</v>
      </c>
      <c r="M90" s="88">
        <v>65977</v>
      </c>
      <c r="N90" s="88">
        <v>65830</v>
      </c>
      <c r="O90" s="88">
        <v>65537</v>
      </c>
      <c r="P90" s="88">
        <v>65912</v>
      </c>
      <c r="Q90" s="87">
        <v>66306.833333333328</v>
      </c>
    </row>
    <row r="91" spans="1:17" x14ac:dyDescent="0.2">
      <c r="B91" s="33" t="s">
        <v>21</v>
      </c>
      <c r="C91" s="31">
        <f t="shared" ref="C91:D91" si="44">SUM(C84:C90)</f>
        <v>0</v>
      </c>
      <c r="D91" s="31">
        <f t="shared" si="44"/>
        <v>0</v>
      </c>
      <c r="E91" s="31">
        <v>133128</v>
      </c>
      <c r="F91" s="31">
        <v>132866</v>
      </c>
      <c r="G91" s="31">
        <v>132625</v>
      </c>
      <c r="H91" s="31">
        <v>132514</v>
      </c>
      <c r="I91" s="31">
        <v>132125</v>
      </c>
      <c r="J91" s="31">
        <v>131585</v>
      </c>
      <c r="K91" s="31">
        <v>131414</v>
      </c>
      <c r="L91" s="31">
        <v>131479</v>
      </c>
      <c r="M91" s="31">
        <v>131486</v>
      </c>
      <c r="N91" s="31">
        <v>131404</v>
      </c>
      <c r="O91" s="31">
        <v>130995</v>
      </c>
      <c r="P91" s="31">
        <v>131610</v>
      </c>
      <c r="Q91" s="87">
        <v>131935.91666666666</v>
      </c>
    </row>
    <row r="92" spans="1:17" x14ac:dyDescent="0.2">
      <c r="B92" s="33"/>
    </row>
    <row r="93" spans="1:17" x14ac:dyDescent="0.2">
      <c r="A93" s="32">
        <v>28</v>
      </c>
      <c r="B93" s="33" t="s">
        <v>203</v>
      </c>
      <c r="C93" s="31"/>
      <c r="D93" s="31"/>
      <c r="E93" s="31">
        <v>6</v>
      </c>
      <c r="F93" s="31">
        <v>6</v>
      </c>
      <c r="G93" s="31">
        <v>6</v>
      </c>
      <c r="H93" s="31">
        <v>6</v>
      </c>
      <c r="I93" s="31">
        <v>6</v>
      </c>
      <c r="J93" s="31">
        <v>6</v>
      </c>
      <c r="K93" s="31">
        <v>6</v>
      </c>
      <c r="L93" s="31">
        <v>6</v>
      </c>
      <c r="M93" s="31">
        <v>6</v>
      </c>
      <c r="N93" s="31">
        <v>6</v>
      </c>
      <c r="O93" s="31">
        <v>6</v>
      </c>
      <c r="P93" s="31">
        <v>6</v>
      </c>
      <c r="Q93" s="32">
        <v>6</v>
      </c>
    </row>
    <row r="94" spans="1:17" x14ac:dyDescent="0.2">
      <c r="A94" s="32">
        <v>30</v>
      </c>
      <c r="B94" s="33" t="s">
        <v>204</v>
      </c>
      <c r="C94" s="31"/>
      <c r="D94" s="31"/>
      <c r="E94" s="31">
        <v>65</v>
      </c>
      <c r="F94" s="31">
        <v>65</v>
      </c>
      <c r="G94" s="31">
        <v>65</v>
      </c>
      <c r="H94" s="31">
        <v>65</v>
      </c>
      <c r="I94" s="31">
        <v>65</v>
      </c>
      <c r="J94" s="31">
        <v>65</v>
      </c>
      <c r="K94" s="31">
        <v>65</v>
      </c>
      <c r="L94" s="31">
        <v>64</v>
      </c>
      <c r="M94" s="31">
        <v>64</v>
      </c>
      <c r="N94" s="31">
        <v>64</v>
      </c>
      <c r="O94" s="31">
        <v>63</v>
      </c>
      <c r="P94" s="31">
        <v>63</v>
      </c>
      <c r="Q94" s="32">
        <v>64.416666666666671</v>
      </c>
    </row>
    <row r="95" spans="1:17" x14ac:dyDescent="0.2">
      <c r="A95" s="32">
        <v>32</v>
      </c>
      <c r="B95" s="33" t="s">
        <v>205</v>
      </c>
      <c r="C95" s="31"/>
      <c r="D95" s="31"/>
      <c r="E95" s="31">
        <v>76</v>
      </c>
      <c r="F95" s="31">
        <v>76</v>
      </c>
      <c r="G95" s="31">
        <v>76</v>
      </c>
      <c r="H95" s="31">
        <v>76</v>
      </c>
      <c r="I95" s="31">
        <v>76</v>
      </c>
      <c r="J95" s="31">
        <v>76</v>
      </c>
      <c r="K95" s="31">
        <v>76</v>
      </c>
      <c r="L95" s="31">
        <v>76</v>
      </c>
      <c r="M95" s="31">
        <v>76</v>
      </c>
      <c r="N95" s="31">
        <v>74</v>
      </c>
      <c r="O95" s="31">
        <v>74</v>
      </c>
      <c r="P95" s="31">
        <v>73</v>
      </c>
      <c r="Q95" s="32">
        <v>75.416666666666671</v>
      </c>
    </row>
    <row r="96" spans="1:17" x14ac:dyDescent="0.2">
      <c r="A96" s="32">
        <v>34</v>
      </c>
      <c r="B96" s="25" t="s">
        <v>206</v>
      </c>
      <c r="C96" s="25"/>
      <c r="D96" s="25"/>
      <c r="E96" s="25">
        <v>2</v>
      </c>
      <c r="F96" s="25">
        <v>2</v>
      </c>
      <c r="G96" s="25">
        <v>2</v>
      </c>
      <c r="H96" s="25">
        <v>2</v>
      </c>
      <c r="I96" s="25">
        <v>2</v>
      </c>
      <c r="J96" s="25">
        <v>2</v>
      </c>
      <c r="K96" s="25">
        <v>2</v>
      </c>
      <c r="L96" s="25">
        <v>2</v>
      </c>
      <c r="M96" s="25">
        <v>2</v>
      </c>
      <c r="N96" s="25">
        <v>2</v>
      </c>
      <c r="O96" s="89">
        <v>2</v>
      </c>
      <c r="P96" s="88">
        <v>2</v>
      </c>
      <c r="Q96" s="32">
        <v>2</v>
      </c>
    </row>
    <row r="97" spans="1:17" x14ac:dyDescent="0.2">
      <c r="B97" s="33" t="s">
        <v>20</v>
      </c>
      <c r="C97" s="31">
        <f>SUM(C93:C96)</f>
        <v>0</v>
      </c>
      <c r="D97" s="31">
        <f t="shared" ref="D97" si="45">SUM(D93:D96)</f>
        <v>0</v>
      </c>
      <c r="E97" s="90">
        <v>149</v>
      </c>
      <c r="F97" s="90">
        <v>149</v>
      </c>
      <c r="G97" s="90">
        <v>149</v>
      </c>
      <c r="H97" s="90">
        <v>149</v>
      </c>
      <c r="I97" s="90">
        <v>149</v>
      </c>
      <c r="J97" s="90">
        <v>149</v>
      </c>
      <c r="K97" s="90">
        <v>149</v>
      </c>
      <c r="L97" s="90">
        <v>148</v>
      </c>
      <c r="M97" s="90">
        <v>148</v>
      </c>
      <c r="N97" s="90">
        <v>146</v>
      </c>
      <c r="O97" s="90">
        <v>145</v>
      </c>
      <c r="P97" s="90">
        <v>144</v>
      </c>
      <c r="Q97" s="31">
        <v>147.83333333333334</v>
      </c>
    </row>
    <row r="98" spans="1:17" x14ac:dyDescent="0.2">
      <c r="B98" s="33"/>
      <c r="E98" s="90"/>
    </row>
    <row r="99" spans="1:17" x14ac:dyDescent="0.2">
      <c r="A99" s="32">
        <v>36</v>
      </c>
      <c r="B99" s="42" t="s">
        <v>196</v>
      </c>
      <c r="C99" s="31"/>
      <c r="D99" s="31"/>
      <c r="E99" s="90">
        <v>4</v>
      </c>
      <c r="F99" s="31">
        <v>4</v>
      </c>
      <c r="G99" s="31">
        <v>4</v>
      </c>
      <c r="H99" s="31">
        <v>4</v>
      </c>
      <c r="I99" s="31">
        <v>4</v>
      </c>
      <c r="J99" s="31">
        <v>5</v>
      </c>
      <c r="K99" s="31">
        <v>5</v>
      </c>
      <c r="L99" s="31">
        <v>5</v>
      </c>
      <c r="M99" s="31">
        <v>6</v>
      </c>
      <c r="N99" s="31">
        <v>6</v>
      </c>
      <c r="O99" s="31">
        <v>6</v>
      </c>
      <c r="P99" s="31">
        <v>6</v>
      </c>
      <c r="Q99" s="31">
        <v>4.916666666666667</v>
      </c>
    </row>
    <row r="100" spans="1:17" x14ac:dyDescent="0.2">
      <c r="B100" s="42"/>
      <c r="C100" s="31"/>
      <c r="D100" s="31"/>
      <c r="E100" s="90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</row>
    <row r="101" spans="1:17" x14ac:dyDescent="0.2">
      <c r="A101" s="32">
        <v>211</v>
      </c>
      <c r="B101" s="33" t="s">
        <v>227</v>
      </c>
      <c r="C101" s="31"/>
      <c r="D101" s="31"/>
      <c r="E101" s="90">
        <v>22574</v>
      </c>
      <c r="F101" s="31">
        <v>22626</v>
      </c>
      <c r="G101" s="31">
        <v>22614</v>
      </c>
      <c r="H101" s="31">
        <v>22630</v>
      </c>
      <c r="I101" s="31">
        <v>22669</v>
      </c>
      <c r="J101" s="31">
        <v>22606</v>
      </c>
      <c r="K101" s="31">
        <v>22652</v>
      </c>
      <c r="L101" s="31">
        <v>22624</v>
      </c>
      <c r="M101" s="31">
        <v>22683</v>
      </c>
      <c r="N101" s="31">
        <v>22636</v>
      </c>
      <c r="O101" s="31">
        <v>22602</v>
      </c>
      <c r="P101" s="31">
        <v>22717</v>
      </c>
      <c r="Q101" s="32">
        <v>22636.083333333332</v>
      </c>
    </row>
    <row r="102" spans="1:17" x14ac:dyDescent="0.2">
      <c r="B102" s="33"/>
      <c r="C102" s="31"/>
      <c r="D102" s="31"/>
      <c r="E102" s="90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</row>
    <row r="103" spans="1:17" x14ac:dyDescent="0.2">
      <c r="A103" s="32">
        <v>225</v>
      </c>
      <c r="B103" s="33" t="s">
        <v>226</v>
      </c>
      <c r="C103" s="31"/>
      <c r="D103" s="31"/>
      <c r="E103" s="90">
        <v>31</v>
      </c>
      <c r="F103" s="31">
        <v>31</v>
      </c>
      <c r="G103" s="31">
        <v>31</v>
      </c>
      <c r="H103" s="31">
        <v>31</v>
      </c>
      <c r="I103" s="31">
        <v>31</v>
      </c>
      <c r="J103" s="31">
        <v>31</v>
      </c>
      <c r="K103" s="31">
        <v>31</v>
      </c>
      <c r="L103" s="31">
        <v>32</v>
      </c>
      <c r="M103" s="31">
        <v>30</v>
      </c>
      <c r="N103" s="31">
        <v>27</v>
      </c>
      <c r="O103" s="31">
        <v>25</v>
      </c>
      <c r="P103" s="31">
        <v>29</v>
      </c>
      <c r="Q103" s="32">
        <v>30</v>
      </c>
    </row>
    <row r="104" spans="1:17" x14ac:dyDescent="0.2">
      <c r="B104" s="33"/>
      <c r="E104" s="90"/>
    </row>
    <row r="105" spans="1:17" x14ac:dyDescent="0.2">
      <c r="A105" s="32">
        <v>227</v>
      </c>
      <c r="B105" s="32" t="s">
        <v>228</v>
      </c>
      <c r="E105" s="90">
        <v>498</v>
      </c>
      <c r="F105" s="32">
        <v>498</v>
      </c>
      <c r="G105" s="32">
        <v>501</v>
      </c>
      <c r="H105" s="32">
        <v>496</v>
      </c>
      <c r="I105" s="32">
        <v>502</v>
      </c>
      <c r="J105" s="32">
        <v>498</v>
      </c>
      <c r="K105" s="32">
        <v>497</v>
      </c>
      <c r="L105" s="32">
        <v>497</v>
      </c>
      <c r="M105" s="32">
        <v>497</v>
      </c>
      <c r="N105" s="32">
        <v>495</v>
      </c>
      <c r="O105" s="32">
        <v>496</v>
      </c>
      <c r="P105" s="32">
        <v>500</v>
      </c>
      <c r="Q105" s="31">
        <v>497.91666666666669</v>
      </c>
    </row>
    <row r="106" spans="1:17" x14ac:dyDescent="0.2">
      <c r="B106" s="35"/>
      <c r="C106" s="35"/>
      <c r="D106" s="35"/>
      <c r="E106" s="91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1"/>
    </row>
    <row r="107" spans="1:17" x14ac:dyDescent="0.2">
      <c r="A107" s="32">
        <v>204</v>
      </c>
      <c r="B107" s="32" t="s">
        <v>229</v>
      </c>
      <c r="E107" s="90">
        <v>388</v>
      </c>
      <c r="F107" s="32">
        <v>382</v>
      </c>
      <c r="G107" s="32">
        <v>365</v>
      </c>
      <c r="H107" s="32">
        <v>364</v>
      </c>
      <c r="I107" s="32">
        <v>364</v>
      </c>
      <c r="J107" s="32">
        <v>390</v>
      </c>
      <c r="K107" s="32">
        <v>356</v>
      </c>
      <c r="L107" s="32">
        <v>356</v>
      </c>
      <c r="M107" s="32">
        <v>356</v>
      </c>
      <c r="N107" s="32">
        <v>356</v>
      </c>
      <c r="O107" s="32">
        <v>356</v>
      </c>
      <c r="P107" s="32">
        <v>356</v>
      </c>
      <c r="Q107" s="35">
        <v>365.75</v>
      </c>
    </row>
    <row r="108" spans="1:17" x14ac:dyDescent="0.2">
      <c r="A108" s="32">
        <v>213</v>
      </c>
      <c r="B108" s="35" t="s">
        <v>230</v>
      </c>
      <c r="C108" s="35"/>
      <c r="D108" s="35"/>
      <c r="E108" s="91">
        <v>582</v>
      </c>
      <c r="F108" s="35">
        <v>582</v>
      </c>
      <c r="G108" s="35">
        <v>582</v>
      </c>
      <c r="H108" s="35">
        <v>581</v>
      </c>
      <c r="I108" s="35">
        <v>581</v>
      </c>
      <c r="J108" s="35">
        <v>581</v>
      </c>
      <c r="K108" s="35">
        <v>581</v>
      </c>
      <c r="L108" s="35">
        <v>581</v>
      </c>
      <c r="M108" s="35">
        <v>585</v>
      </c>
      <c r="N108" s="35">
        <v>590</v>
      </c>
      <c r="O108" s="35">
        <v>581</v>
      </c>
      <c r="P108" s="35">
        <v>580</v>
      </c>
      <c r="Q108" s="35">
        <v>582.25</v>
      </c>
    </row>
    <row r="109" spans="1:17" x14ac:dyDescent="0.2">
      <c r="B109" s="39" t="s">
        <v>231</v>
      </c>
      <c r="C109" s="85"/>
      <c r="D109" s="85"/>
      <c r="E109" s="85">
        <v>970</v>
      </c>
      <c r="F109" s="85">
        <v>964</v>
      </c>
      <c r="G109" s="85">
        <v>947</v>
      </c>
      <c r="H109" s="85">
        <v>945</v>
      </c>
      <c r="I109" s="85">
        <v>945</v>
      </c>
      <c r="J109" s="85">
        <v>971</v>
      </c>
      <c r="K109" s="85">
        <v>937</v>
      </c>
      <c r="L109" s="85">
        <v>937</v>
      </c>
      <c r="M109" s="85">
        <v>941</v>
      </c>
      <c r="N109" s="85">
        <v>946</v>
      </c>
      <c r="O109" s="85">
        <v>937</v>
      </c>
      <c r="P109" s="85">
        <v>936</v>
      </c>
      <c r="Q109" s="31">
        <v>948</v>
      </c>
    </row>
    <row r="110" spans="1:17" x14ac:dyDescent="0.2">
      <c r="B110" s="33"/>
    </row>
    <row r="111" spans="1:17" x14ac:dyDescent="0.2">
      <c r="B111" s="33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</row>
    <row r="113" spans="1:17" x14ac:dyDescent="0.2">
      <c r="A113" s="32">
        <v>214</v>
      </c>
      <c r="B113" s="33" t="s">
        <v>42</v>
      </c>
      <c r="C113" s="31"/>
      <c r="D113" s="31"/>
      <c r="E113" s="31">
        <v>85</v>
      </c>
      <c r="F113" s="31">
        <v>85</v>
      </c>
      <c r="G113" s="31">
        <v>85</v>
      </c>
      <c r="H113" s="31">
        <v>85</v>
      </c>
      <c r="I113" s="31">
        <v>85</v>
      </c>
      <c r="J113" s="31">
        <v>83</v>
      </c>
      <c r="K113" s="31">
        <v>83</v>
      </c>
      <c r="L113" s="31">
        <v>84</v>
      </c>
      <c r="M113" s="31">
        <v>83</v>
      </c>
      <c r="N113" s="31">
        <v>85</v>
      </c>
      <c r="O113" s="31">
        <v>86</v>
      </c>
      <c r="P113" s="31">
        <v>86</v>
      </c>
      <c r="Q113" s="31">
        <v>84.583333333333329</v>
      </c>
    </row>
    <row r="114" spans="1:17" x14ac:dyDescent="0.2">
      <c r="A114" s="32">
        <v>212</v>
      </c>
      <c r="B114" s="33" t="s">
        <v>303</v>
      </c>
      <c r="E114" s="32">
        <v>1</v>
      </c>
      <c r="F114" s="32">
        <v>1</v>
      </c>
      <c r="G114" s="32">
        <v>1</v>
      </c>
      <c r="H114" s="32">
        <v>1</v>
      </c>
      <c r="I114" s="32">
        <v>1</v>
      </c>
      <c r="J114" s="32">
        <v>1</v>
      </c>
      <c r="K114" s="32">
        <v>1</v>
      </c>
      <c r="L114" s="32">
        <v>1</v>
      </c>
      <c r="M114" s="32">
        <v>1</v>
      </c>
      <c r="N114" s="32">
        <v>1</v>
      </c>
      <c r="O114" s="32">
        <v>1</v>
      </c>
      <c r="P114" s="32">
        <v>1</v>
      </c>
      <c r="Q114" s="32">
        <v>1</v>
      </c>
    </row>
    <row r="115" spans="1:17" x14ac:dyDescent="0.2">
      <c r="A115" s="32">
        <v>215</v>
      </c>
      <c r="B115" s="33" t="s">
        <v>43</v>
      </c>
      <c r="C115" s="31"/>
      <c r="D115" s="31"/>
      <c r="E115" s="31">
        <v>6434</v>
      </c>
      <c r="F115" s="31">
        <v>6426</v>
      </c>
      <c r="G115" s="31">
        <v>6431</v>
      </c>
      <c r="H115" s="31">
        <v>6411</v>
      </c>
      <c r="I115" s="31">
        <v>6422</v>
      </c>
      <c r="J115" s="31">
        <v>6406</v>
      </c>
      <c r="K115" s="31">
        <v>6398</v>
      </c>
      <c r="L115" s="31">
        <v>6392</v>
      </c>
      <c r="M115" s="31">
        <v>6389</v>
      </c>
      <c r="N115" s="31">
        <v>6386</v>
      </c>
      <c r="O115" s="31">
        <v>6362</v>
      </c>
      <c r="P115" s="31">
        <v>6408</v>
      </c>
      <c r="Q115" s="32">
        <v>6405.416666666667</v>
      </c>
    </row>
    <row r="116" spans="1:17" x14ac:dyDescent="0.2">
      <c r="A116" s="32">
        <v>218</v>
      </c>
      <c r="B116" s="25" t="s">
        <v>45</v>
      </c>
      <c r="C116" s="25"/>
      <c r="D116" s="25"/>
      <c r="E116" s="25">
        <v>1</v>
      </c>
      <c r="F116" s="25">
        <v>1</v>
      </c>
      <c r="G116" s="25">
        <v>1</v>
      </c>
      <c r="H116" s="25">
        <v>1</v>
      </c>
      <c r="I116" s="25">
        <v>1</v>
      </c>
      <c r="J116" s="25">
        <v>1</v>
      </c>
      <c r="K116" s="25">
        <v>1</v>
      </c>
      <c r="L116" s="25">
        <v>1</v>
      </c>
      <c r="M116" s="25">
        <v>1</v>
      </c>
      <c r="N116" s="25">
        <v>1</v>
      </c>
      <c r="O116" s="89">
        <v>1</v>
      </c>
      <c r="P116" s="88">
        <v>1</v>
      </c>
      <c r="Q116" s="32">
        <v>1</v>
      </c>
    </row>
    <row r="117" spans="1:17" x14ac:dyDescent="0.2">
      <c r="B117" s="33" t="s">
        <v>12</v>
      </c>
      <c r="C117" s="31">
        <f>SUM(C115:C116)</f>
        <v>0</v>
      </c>
      <c r="D117" s="31">
        <f>SUM(D115:D116)</f>
        <v>0</v>
      </c>
      <c r="E117" s="31">
        <v>6436</v>
      </c>
      <c r="F117" s="31">
        <v>6428</v>
      </c>
      <c r="G117" s="31">
        <v>6433</v>
      </c>
      <c r="H117" s="31">
        <v>6413</v>
      </c>
      <c r="I117" s="31">
        <v>6424</v>
      </c>
      <c r="J117" s="31">
        <v>6408</v>
      </c>
      <c r="K117" s="31">
        <v>6400</v>
      </c>
      <c r="L117" s="31">
        <v>6394</v>
      </c>
      <c r="M117" s="31">
        <v>6391</v>
      </c>
      <c r="N117" s="31">
        <v>6388</v>
      </c>
      <c r="O117" s="31">
        <v>6364</v>
      </c>
      <c r="P117" s="31">
        <v>6410</v>
      </c>
      <c r="Q117" s="31">
        <v>6407.416666666667</v>
      </c>
    </row>
    <row r="118" spans="1:17" x14ac:dyDescent="0.2">
      <c r="B118" s="33"/>
    </row>
    <row r="119" spans="1:17" x14ac:dyDescent="0.2">
      <c r="A119" s="32">
        <v>223</v>
      </c>
      <c r="B119" s="33" t="s">
        <v>46</v>
      </c>
      <c r="C119" s="31"/>
      <c r="D119" s="31"/>
      <c r="E119" s="31">
        <v>39</v>
      </c>
      <c r="F119" s="31">
        <v>39</v>
      </c>
      <c r="G119" s="31">
        <v>39</v>
      </c>
      <c r="H119" s="31">
        <v>38</v>
      </c>
      <c r="I119" s="31">
        <v>38</v>
      </c>
      <c r="J119" s="31">
        <v>37</v>
      </c>
      <c r="K119" s="31">
        <v>36</v>
      </c>
      <c r="L119" s="31">
        <v>36</v>
      </c>
      <c r="M119" s="31">
        <v>36</v>
      </c>
      <c r="N119" s="31">
        <v>36</v>
      </c>
      <c r="O119" s="31">
        <v>36</v>
      </c>
      <c r="P119" s="31">
        <v>36</v>
      </c>
      <c r="Q119" s="31">
        <v>37.166666666666664</v>
      </c>
    </row>
    <row r="121" spans="1:17" x14ac:dyDescent="0.2">
      <c r="A121" s="32">
        <v>229</v>
      </c>
      <c r="B121" s="33" t="s">
        <v>47</v>
      </c>
      <c r="C121" s="31"/>
      <c r="D121" s="31"/>
      <c r="E121" s="31">
        <v>138</v>
      </c>
      <c r="F121" s="31">
        <v>138</v>
      </c>
      <c r="G121" s="31">
        <v>138</v>
      </c>
      <c r="H121" s="31">
        <v>138</v>
      </c>
      <c r="I121" s="31">
        <v>138</v>
      </c>
      <c r="J121" s="31">
        <v>138</v>
      </c>
      <c r="K121" s="31">
        <v>138</v>
      </c>
      <c r="L121" s="31">
        <v>139</v>
      </c>
      <c r="M121" s="31">
        <v>142</v>
      </c>
      <c r="N121" s="31">
        <v>142</v>
      </c>
      <c r="O121" s="31">
        <v>141</v>
      </c>
      <c r="P121" s="31">
        <v>142</v>
      </c>
      <c r="Q121" s="31">
        <v>139.33333333333334</v>
      </c>
    </row>
    <row r="122" spans="1:17" x14ac:dyDescent="0.2">
      <c r="B122" s="33"/>
    </row>
    <row r="123" spans="1:17" x14ac:dyDescent="0.2">
      <c r="A123" s="32">
        <v>217</v>
      </c>
      <c r="B123" s="33" t="s">
        <v>48</v>
      </c>
      <c r="C123" s="31"/>
      <c r="D123" s="31"/>
      <c r="E123" s="31">
        <v>32</v>
      </c>
      <c r="F123" s="31">
        <v>34</v>
      </c>
      <c r="G123" s="31">
        <v>34</v>
      </c>
      <c r="H123" s="31">
        <v>34</v>
      </c>
      <c r="I123" s="31">
        <v>34</v>
      </c>
      <c r="J123" s="31">
        <v>34</v>
      </c>
      <c r="K123" s="31">
        <v>34</v>
      </c>
      <c r="L123" s="31">
        <v>33</v>
      </c>
      <c r="M123" s="31">
        <v>33</v>
      </c>
      <c r="N123" s="31">
        <v>31</v>
      </c>
      <c r="O123" s="31">
        <v>32</v>
      </c>
      <c r="P123" s="31">
        <v>32</v>
      </c>
      <c r="Q123" s="32">
        <v>33.083333333333336</v>
      </c>
    </row>
    <row r="124" spans="1:17" x14ac:dyDescent="0.2">
      <c r="A124" s="32">
        <v>220</v>
      </c>
      <c r="B124" s="25" t="s">
        <v>49</v>
      </c>
      <c r="C124" s="25"/>
      <c r="D124" s="25"/>
      <c r="E124" s="25">
        <v>40</v>
      </c>
      <c r="F124" s="25">
        <v>40</v>
      </c>
      <c r="G124" s="25">
        <v>41</v>
      </c>
      <c r="H124" s="25">
        <v>40</v>
      </c>
      <c r="I124" s="25">
        <v>48</v>
      </c>
      <c r="J124" s="25">
        <v>39</v>
      </c>
      <c r="K124" s="25">
        <v>40</v>
      </c>
      <c r="L124" s="25">
        <v>43</v>
      </c>
      <c r="M124" s="25">
        <v>41</v>
      </c>
      <c r="N124" s="25">
        <v>40</v>
      </c>
      <c r="O124" s="89">
        <v>41</v>
      </c>
      <c r="P124" s="88">
        <v>40</v>
      </c>
      <c r="Q124" s="32">
        <v>41.083333333333336</v>
      </c>
    </row>
    <row r="125" spans="1:17" x14ac:dyDescent="0.2">
      <c r="B125" s="33" t="s">
        <v>9</v>
      </c>
      <c r="C125" s="31">
        <f>SUM(C123:C124)</f>
        <v>0</v>
      </c>
      <c r="D125" s="31">
        <f t="shared" ref="D125" si="46">SUM(D123:D124)</f>
        <v>0</v>
      </c>
      <c r="E125" s="31">
        <v>72</v>
      </c>
      <c r="F125" s="31">
        <v>74</v>
      </c>
      <c r="G125" s="31">
        <v>75</v>
      </c>
      <c r="H125" s="31">
        <v>74</v>
      </c>
      <c r="I125" s="31">
        <v>82</v>
      </c>
      <c r="J125" s="31">
        <v>73</v>
      </c>
      <c r="K125" s="31">
        <v>74</v>
      </c>
      <c r="L125" s="31">
        <v>76</v>
      </c>
      <c r="M125" s="31">
        <v>74</v>
      </c>
      <c r="N125" s="31">
        <v>71</v>
      </c>
      <c r="O125" s="31">
        <v>73</v>
      </c>
      <c r="P125" s="31">
        <v>72</v>
      </c>
      <c r="Q125" s="31">
        <v>74.166666666666671</v>
      </c>
    </row>
    <row r="126" spans="1:17" x14ac:dyDescent="0.2">
      <c r="B126" s="33"/>
    </row>
    <row r="127" spans="1:17" x14ac:dyDescent="0.2">
      <c r="A127" s="32">
        <v>236</v>
      </c>
      <c r="B127" s="33" t="s">
        <v>72</v>
      </c>
      <c r="C127" s="31"/>
      <c r="D127" s="31"/>
      <c r="E127" s="31">
        <v>3</v>
      </c>
      <c r="F127" s="31">
        <v>4</v>
      </c>
      <c r="G127" s="31">
        <v>4</v>
      </c>
      <c r="H127" s="31">
        <v>2</v>
      </c>
      <c r="I127" s="31">
        <v>3</v>
      </c>
      <c r="J127" s="31">
        <v>4</v>
      </c>
      <c r="K127" s="31">
        <v>2</v>
      </c>
      <c r="L127" s="31">
        <v>3</v>
      </c>
      <c r="M127" s="31">
        <v>4</v>
      </c>
      <c r="N127" s="31">
        <v>3</v>
      </c>
      <c r="O127" s="31">
        <v>2</v>
      </c>
      <c r="P127" s="31">
        <v>3</v>
      </c>
      <c r="Q127" s="92">
        <v>3.0833333333333335</v>
      </c>
    </row>
    <row r="128" spans="1:17" x14ac:dyDescent="0.2">
      <c r="B128" s="33"/>
    </row>
    <row r="129" spans="1:17" x14ac:dyDescent="0.2">
      <c r="A129" s="32">
        <v>240</v>
      </c>
      <c r="B129" s="33" t="s">
        <v>50</v>
      </c>
      <c r="C129" s="31"/>
      <c r="D129" s="31"/>
      <c r="E129" s="31">
        <v>352</v>
      </c>
      <c r="F129" s="31">
        <v>352</v>
      </c>
      <c r="G129" s="31">
        <v>348</v>
      </c>
      <c r="H129" s="31">
        <v>350</v>
      </c>
      <c r="I129" s="31">
        <v>347</v>
      </c>
      <c r="J129" s="31">
        <v>351</v>
      </c>
      <c r="K129" s="31">
        <v>352</v>
      </c>
      <c r="L129" s="31">
        <v>354</v>
      </c>
      <c r="M129" s="31">
        <v>359</v>
      </c>
      <c r="N129" s="31">
        <v>357</v>
      </c>
      <c r="O129" s="31">
        <v>357</v>
      </c>
      <c r="P129" s="31">
        <v>357</v>
      </c>
      <c r="Q129" s="32">
        <v>353</v>
      </c>
    </row>
    <row r="130" spans="1:17" x14ac:dyDescent="0.2">
      <c r="A130" s="32">
        <v>242</v>
      </c>
      <c r="B130" s="25" t="s">
        <v>51</v>
      </c>
      <c r="C130" s="25"/>
      <c r="D130" s="25"/>
      <c r="E130" s="25">
        <v>7</v>
      </c>
      <c r="F130" s="25">
        <v>7</v>
      </c>
      <c r="G130" s="25">
        <v>7</v>
      </c>
      <c r="H130" s="25">
        <v>7</v>
      </c>
      <c r="I130" s="25">
        <v>7</v>
      </c>
      <c r="J130" s="25">
        <v>7</v>
      </c>
      <c r="K130" s="25">
        <v>7</v>
      </c>
      <c r="L130" s="25">
        <v>7</v>
      </c>
      <c r="M130" s="25">
        <v>7</v>
      </c>
      <c r="N130" s="25">
        <v>7</v>
      </c>
      <c r="O130" s="89">
        <v>7</v>
      </c>
      <c r="P130" s="88">
        <v>7</v>
      </c>
      <c r="Q130" s="32">
        <v>7</v>
      </c>
    </row>
    <row r="131" spans="1:17" x14ac:dyDescent="0.2">
      <c r="B131" s="33" t="s">
        <v>7</v>
      </c>
      <c r="C131" s="31">
        <f>SUM(C129:C130)</f>
        <v>0</v>
      </c>
      <c r="D131" s="31">
        <f t="shared" ref="D131" si="47">SUM(D129:D130)</f>
        <v>0</v>
      </c>
      <c r="E131" s="31">
        <v>359</v>
      </c>
      <c r="F131" s="31">
        <v>359</v>
      </c>
      <c r="G131" s="31">
        <v>355</v>
      </c>
      <c r="H131" s="31">
        <v>357</v>
      </c>
      <c r="I131" s="31">
        <v>354</v>
      </c>
      <c r="J131" s="31">
        <v>358</v>
      </c>
      <c r="K131" s="31">
        <v>359</v>
      </c>
      <c r="L131" s="31">
        <v>361</v>
      </c>
      <c r="M131" s="31">
        <v>366</v>
      </c>
      <c r="N131" s="31">
        <v>364</v>
      </c>
      <c r="O131" s="31">
        <v>364</v>
      </c>
      <c r="P131" s="31">
        <v>364</v>
      </c>
      <c r="Q131" s="31">
        <v>360</v>
      </c>
    </row>
    <row r="132" spans="1:17" x14ac:dyDescent="0.2">
      <c r="B132" s="33"/>
    </row>
    <row r="133" spans="1:17" x14ac:dyDescent="0.2">
      <c r="A133" s="32">
        <v>251</v>
      </c>
      <c r="B133" s="33" t="s">
        <v>52</v>
      </c>
      <c r="C133" s="31"/>
      <c r="D133" s="31"/>
      <c r="E133" s="31">
        <v>7</v>
      </c>
      <c r="F133" s="31">
        <v>7</v>
      </c>
      <c r="G133" s="31">
        <v>7</v>
      </c>
      <c r="H133" s="31">
        <v>7</v>
      </c>
      <c r="I133" s="31">
        <v>7</v>
      </c>
      <c r="J133" s="31">
        <v>7</v>
      </c>
      <c r="K133" s="31">
        <v>7</v>
      </c>
      <c r="L133" s="31">
        <v>7</v>
      </c>
      <c r="M133" s="31">
        <v>7</v>
      </c>
      <c r="N133" s="31">
        <v>7</v>
      </c>
      <c r="O133" s="31">
        <v>7</v>
      </c>
      <c r="P133" s="31">
        <v>7</v>
      </c>
      <c r="Q133" s="31">
        <v>7</v>
      </c>
    </row>
    <row r="134" spans="1:17" x14ac:dyDescent="0.2">
      <c r="B134" s="33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</row>
    <row r="135" spans="1:17" x14ac:dyDescent="0.2">
      <c r="A135" s="32">
        <v>256</v>
      </c>
      <c r="B135" s="33" t="s">
        <v>93</v>
      </c>
      <c r="C135" s="31">
        <v>0</v>
      </c>
      <c r="D135" s="31">
        <v>0</v>
      </c>
      <c r="E135" s="31">
        <v>3</v>
      </c>
      <c r="F135" s="31">
        <v>5</v>
      </c>
      <c r="G135" s="31">
        <v>4</v>
      </c>
      <c r="H135" s="31">
        <v>4</v>
      </c>
      <c r="I135" s="31">
        <v>4</v>
      </c>
      <c r="J135" s="31">
        <v>4</v>
      </c>
      <c r="K135" s="31">
        <v>4</v>
      </c>
      <c r="L135" s="31">
        <v>4</v>
      </c>
      <c r="M135" s="31">
        <v>4</v>
      </c>
      <c r="N135" s="31">
        <v>4</v>
      </c>
      <c r="O135" s="31">
        <v>5</v>
      </c>
      <c r="P135" s="31">
        <v>5</v>
      </c>
      <c r="Q135" s="31">
        <v>4.166666666666667</v>
      </c>
    </row>
    <row r="136" spans="1:17" x14ac:dyDescent="0.2">
      <c r="A136" s="32">
        <v>257</v>
      </c>
      <c r="B136" s="33" t="s">
        <v>232</v>
      </c>
      <c r="E136" s="92">
        <v>2</v>
      </c>
      <c r="F136" s="92">
        <v>2</v>
      </c>
      <c r="G136" s="92">
        <v>2</v>
      </c>
      <c r="H136" s="92">
        <v>2</v>
      </c>
      <c r="I136" s="92">
        <v>2</v>
      </c>
      <c r="J136" s="92">
        <v>2</v>
      </c>
      <c r="K136" s="92">
        <v>2</v>
      </c>
      <c r="L136" s="92">
        <v>1</v>
      </c>
      <c r="M136" s="92">
        <v>2</v>
      </c>
      <c r="N136" s="92">
        <v>3</v>
      </c>
      <c r="O136" s="92">
        <v>2</v>
      </c>
      <c r="P136" s="92">
        <v>2</v>
      </c>
      <c r="Q136" s="31">
        <v>2</v>
      </c>
    </row>
    <row r="137" spans="1:17" x14ac:dyDescent="0.2">
      <c r="B137" s="33"/>
    </row>
    <row r="138" spans="1:17" x14ac:dyDescent="0.2">
      <c r="A138" s="32">
        <v>244</v>
      </c>
      <c r="B138" s="33" t="s">
        <v>53</v>
      </c>
      <c r="C138" s="31"/>
      <c r="D138" s="31"/>
      <c r="E138" s="31">
        <v>64</v>
      </c>
      <c r="F138" s="31">
        <v>64</v>
      </c>
      <c r="G138" s="31">
        <v>63</v>
      </c>
      <c r="H138" s="31">
        <v>64</v>
      </c>
      <c r="I138" s="31">
        <v>62</v>
      </c>
      <c r="J138" s="31">
        <v>66</v>
      </c>
      <c r="K138" s="31">
        <v>66</v>
      </c>
      <c r="L138" s="31">
        <v>65</v>
      </c>
      <c r="M138" s="31">
        <v>69</v>
      </c>
      <c r="N138" s="31">
        <v>70</v>
      </c>
      <c r="O138" s="31">
        <v>68</v>
      </c>
      <c r="P138" s="31">
        <v>68</v>
      </c>
      <c r="Q138" s="31">
        <v>65.75</v>
      </c>
    </row>
    <row r="139" spans="1:17" x14ac:dyDescent="0.2">
      <c r="A139" s="32">
        <v>246</v>
      </c>
      <c r="B139" s="25" t="s">
        <v>54</v>
      </c>
      <c r="C139" s="25"/>
      <c r="D139" s="25"/>
      <c r="E139" s="25">
        <v>1</v>
      </c>
      <c r="F139" s="25">
        <v>1</v>
      </c>
      <c r="G139" s="25">
        <v>1</v>
      </c>
      <c r="H139" s="25">
        <v>1</v>
      </c>
      <c r="I139" s="25">
        <v>1</v>
      </c>
      <c r="J139" s="25">
        <v>1</v>
      </c>
      <c r="K139" s="25">
        <v>1</v>
      </c>
      <c r="L139" s="25">
        <v>1</v>
      </c>
      <c r="M139" s="25">
        <v>1</v>
      </c>
      <c r="N139" s="25">
        <v>1</v>
      </c>
      <c r="O139" s="89">
        <v>1</v>
      </c>
      <c r="P139" s="88">
        <v>1</v>
      </c>
      <c r="Q139" s="31">
        <v>1</v>
      </c>
    </row>
    <row r="140" spans="1:17" x14ac:dyDescent="0.2">
      <c r="B140" s="33" t="s">
        <v>5</v>
      </c>
      <c r="C140" s="31">
        <f>SUM(C138:C139)</f>
        <v>0</v>
      </c>
      <c r="D140" s="31">
        <f t="shared" ref="D140" si="48">SUM(D138:D139)</f>
        <v>0</v>
      </c>
      <c r="E140" s="31">
        <v>65</v>
      </c>
      <c r="F140" s="31">
        <v>65</v>
      </c>
      <c r="G140" s="31">
        <v>64</v>
      </c>
      <c r="H140" s="31">
        <v>65</v>
      </c>
      <c r="I140" s="31">
        <v>63</v>
      </c>
      <c r="J140" s="31">
        <v>67</v>
      </c>
      <c r="K140" s="31">
        <v>67</v>
      </c>
      <c r="L140" s="31">
        <v>66</v>
      </c>
      <c r="M140" s="31">
        <v>70</v>
      </c>
      <c r="N140" s="31">
        <v>71</v>
      </c>
      <c r="O140" s="31">
        <v>69</v>
      </c>
      <c r="P140" s="31">
        <v>69</v>
      </c>
      <c r="Q140" s="31">
        <v>66.75</v>
      </c>
    </row>
    <row r="141" spans="1:17" x14ac:dyDescent="0.2">
      <c r="B141" s="33"/>
    </row>
    <row r="142" spans="1:17" x14ac:dyDescent="0.2">
      <c r="A142" s="32">
        <v>248</v>
      </c>
      <c r="B142" s="34" t="s">
        <v>73</v>
      </c>
      <c r="C142" s="31"/>
      <c r="D142" s="31"/>
      <c r="E142" s="31">
        <v>7</v>
      </c>
      <c r="F142" s="31">
        <v>7</v>
      </c>
      <c r="G142" s="31">
        <v>7</v>
      </c>
      <c r="H142" s="31">
        <v>6</v>
      </c>
      <c r="I142" s="31">
        <v>6</v>
      </c>
      <c r="J142" s="31">
        <v>6</v>
      </c>
      <c r="K142" s="31">
        <v>6</v>
      </c>
      <c r="L142" s="31">
        <v>6</v>
      </c>
      <c r="M142" s="31">
        <v>6</v>
      </c>
      <c r="N142" s="31">
        <v>7</v>
      </c>
      <c r="O142" s="31">
        <v>7</v>
      </c>
      <c r="P142" s="31">
        <v>7</v>
      </c>
      <c r="Q142" s="31">
        <v>6.5</v>
      </c>
    </row>
    <row r="143" spans="1:17" x14ac:dyDescent="0.2">
      <c r="B143" s="34"/>
    </row>
    <row r="144" spans="1:17" x14ac:dyDescent="0.2">
      <c r="A144" s="32">
        <v>250</v>
      </c>
      <c r="B144" s="34" t="s">
        <v>74</v>
      </c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</row>
    <row r="145" spans="1:17" x14ac:dyDescent="0.2">
      <c r="B145" s="34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</row>
    <row r="146" spans="1:17" x14ac:dyDescent="0.2">
      <c r="A146" s="32">
        <v>260</v>
      </c>
      <c r="B146" s="34" t="s">
        <v>94</v>
      </c>
      <c r="C146" s="31"/>
      <c r="D146" s="31"/>
      <c r="E146" s="31">
        <v>138</v>
      </c>
      <c r="F146" s="31">
        <v>139</v>
      </c>
      <c r="G146" s="31">
        <v>138</v>
      </c>
      <c r="H146" s="31">
        <v>138</v>
      </c>
      <c r="I146" s="31">
        <v>138</v>
      </c>
      <c r="J146" s="31">
        <v>138</v>
      </c>
      <c r="K146" s="31">
        <v>137</v>
      </c>
      <c r="L146" s="31">
        <v>135</v>
      </c>
      <c r="M146" s="31">
        <v>135</v>
      </c>
      <c r="N146" s="31">
        <v>134</v>
      </c>
      <c r="O146" s="31">
        <v>133</v>
      </c>
      <c r="P146" s="31">
        <v>138</v>
      </c>
      <c r="Q146" s="31">
        <v>136.75</v>
      </c>
    </row>
    <row r="147" spans="1:17" x14ac:dyDescent="0.2">
      <c r="B147" s="34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</row>
    <row r="148" spans="1:17" x14ac:dyDescent="0.2">
      <c r="A148" s="32">
        <v>264</v>
      </c>
      <c r="B148" s="34" t="s">
        <v>95</v>
      </c>
      <c r="C148" s="31"/>
      <c r="D148" s="31"/>
      <c r="E148" s="31">
        <v>1</v>
      </c>
      <c r="F148" s="31">
        <v>1</v>
      </c>
      <c r="G148" s="31">
        <v>1</v>
      </c>
      <c r="H148" s="31">
        <v>1</v>
      </c>
      <c r="I148" s="31">
        <v>1</v>
      </c>
      <c r="J148" s="31">
        <v>1</v>
      </c>
      <c r="K148" s="31">
        <v>1</v>
      </c>
      <c r="L148" s="31">
        <v>1</v>
      </c>
      <c r="M148" s="31">
        <v>1</v>
      </c>
      <c r="N148" s="31">
        <v>1</v>
      </c>
      <c r="O148" s="31">
        <v>1</v>
      </c>
      <c r="P148" s="31">
        <v>1</v>
      </c>
      <c r="Q148" s="31">
        <v>1</v>
      </c>
    </row>
    <row r="149" spans="1:17" x14ac:dyDescent="0.2">
      <c r="B149" s="34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</row>
    <row r="150" spans="1:17" x14ac:dyDescent="0.2"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</row>
    <row r="151" spans="1:17" x14ac:dyDescent="0.2">
      <c r="A151" s="32">
        <v>330</v>
      </c>
      <c r="B151" s="32" t="s">
        <v>233</v>
      </c>
      <c r="C151" s="31"/>
      <c r="D151" s="31"/>
      <c r="E151" s="31">
        <v>5</v>
      </c>
      <c r="F151" s="31">
        <v>5</v>
      </c>
      <c r="G151" s="31">
        <v>5</v>
      </c>
      <c r="H151" s="31">
        <v>5</v>
      </c>
      <c r="I151" s="31">
        <v>5</v>
      </c>
      <c r="J151" s="31">
        <v>5</v>
      </c>
      <c r="K151" s="31">
        <v>5</v>
      </c>
      <c r="L151" s="31">
        <v>5</v>
      </c>
      <c r="M151" s="31">
        <v>5</v>
      </c>
      <c r="N151" s="31">
        <v>3</v>
      </c>
      <c r="O151" s="31">
        <v>3</v>
      </c>
      <c r="P151" s="31">
        <v>3</v>
      </c>
      <c r="Q151" s="32">
        <v>4.5</v>
      </c>
    </row>
    <row r="152" spans="1:17" x14ac:dyDescent="0.2">
      <c r="A152" s="32">
        <v>331</v>
      </c>
      <c r="B152" s="32" t="s">
        <v>97</v>
      </c>
      <c r="C152" s="31"/>
      <c r="D152" s="31"/>
      <c r="E152" s="31">
        <v>1</v>
      </c>
      <c r="F152" s="31">
        <v>1</v>
      </c>
      <c r="G152" s="31">
        <v>1</v>
      </c>
      <c r="H152" s="31">
        <v>1</v>
      </c>
      <c r="I152" s="31">
        <v>1</v>
      </c>
      <c r="J152" s="31">
        <v>1</v>
      </c>
      <c r="K152" s="31">
        <v>1</v>
      </c>
      <c r="L152" s="31">
        <v>1</v>
      </c>
      <c r="M152" s="31">
        <v>1</v>
      </c>
      <c r="N152" s="31">
        <v>1</v>
      </c>
      <c r="O152" s="31">
        <v>1</v>
      </c>
      <c r="P152" s="31">
        <v>1</v>
      </c>
      <c r="Q152" s="32">
        <v>1</v>
      </c>
    </row>
    <row r="153" spans="1:17" x14ac:dyDescent="0.2">
      <c r="A153" s="32">
        <v>332</v>
      </c>
      <c r="B153" s="34" t="s">
        <v>234</v>
      </c>
      <c r="C153" s="31"/>
      <c r="D153" s="31"/>
      <c r="E153" s="31">
        <v>1</v>
      </c>
      <c r="F153" s="31">
        <v>1</v>
      </c>
      <c r="G153" s="31">
        <v>1</v>
      </c>
      <c r="H153" s="31">
        <v>1</v>
      </c>
      <c r="I153" s="31">
        <v>1</v>
      </c>
      <c r="J153" s="31">
        <v>1</v>
      </c>
      <c r="K153" s="31">
        <v>1</v>
      </c>
      <c r="L153" s="31">
        <v>1</v>
      </c>
      <c r="M153" s="31">
        <v>1</v>
      </c>
      <c r="N153" s="31">
        <v>1</v>
      </c>
      <c r="O153" s="31">
        <v>1</v>
      </c>
      <c r="P153" s="31">
        <v>1</v>
      </c>
      <c r="Q153" s="31">
        <v>1</v>
      </c>
    </row>
    <row r="154" spans="1:17" x14ac:dyDescent="0.2">
      <c r="A154" s="32">
        <v>333</v>
      </c>
      <c r="B154" s="32" t="s">
        <v>97</v>
      </c>
      <c r="C154" s="31"/>
      <c r="D154" s="31"/>
      <c r="E154" s="31">
        <v>1</v>
      </c>
      <c r="F154" s="31">
        <v>1</v>
      </c>
      <c r="G154" s="31">
        <v>1</v>
      </c>
      <c r="H154" s="31">
        <v>1</v>
      </c>
      <c r="I154" s="31">
        <v>1</v>
      </c>
      <c r="J154" s="31">
        <v>1</v>
      </c>
      <c r="K154" s="31">
        <v>1</v>
      </c>
      <c r="L154" s="31">
        <v>1</v>
      </c>
      <c r="M154" s="31">
        <v>1</v>
      </c>
      <c r="N154" s="31">
        <v>1</v>
      </c>
      <c r="O154" s="31">
        <v>1</v>
      </c>
      <c r="P154" s="31">
        <v>1</v>
      </c>
      <c r="Q154" s="32">
        <v>1</v>
      </c>
    </row>
    <row r="155" spans="1:17" x14ac:dyDescent="0.2">
      <c r="B155" s="34"/>
    </row>
    <row r="156" spans="1:17" x14ac:dyDescent="0.2">
      <c r="A156" s="32">
        <v>356</v>
      </c>
      <c r="B156" s="34" t="s">
        <v>98</v>
      </c>
      <c r="C156" s="31"/>
      <c r="D156" s="31"/>
      <c r="E156" s="31">
        <v>4</v>
      </c>
      <c r="F156" s="31">
        <v>4</v>
      </c>
      <c r="G156" s="31">
        <v>4</v>
      </c>
      <c r="H156" s="31">
        <v>4</v>
      </c>
      <c r="I156" s="31">
        <v>4</v>
      </c>
      <c r="J156" s="31">
        <v>4</v>
      </c>
      <c r="K156" s="31">
        <v>4</v>
      </c>
      <c r="L156" s="31">
        <v>4</v>
      </c>
      <c r="M156" s="31">
        <v>4</v>
      </c>
      <c r="N156" s="31">
        <v>4</v>
      </c>
      <c r="O156" s="31">
        <v>4</v>
      </c>
      <c r="P156" s="31">
        <v>4</v>
      </c>
      <c r="Q156" s="31">
        <v>4</v>
      </c>
    </row>
    <row r="157" spans="1:17" x14ac:dyDescent="0.2">
      <c r="B157" s="33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</row>
    <row r="158" spans="1:17" x14ac:dyDescent="0.2">
      <c r="A158" s="32">
        <v>358</v>
      </c>
      <c r="B158" s="35" t="s">
        <v>99</v>
      </c>
      <c r="C158" s="35"/>
      <c r="D158" s="35"/>
      <c r="E158" s="35">
        <v>33</v>
      </c>
      <c r="F158" s="35">
        <v>33</v>
      </c>
      <c r="G158" s="35">
        <v>33</v>
      </c>
      <c r="H158" s="35">
        <v>33</v>
      </c>
      <c r="I158" s="35">
        <v>33</v>
      </c>
      <c r="J158" s="35">
        <v>33</v>
      </c>
      <c r="K158" s="35">
        <v>33</v>
      </c>
      <c r="L158" s="35">
        <v>33</v>
      </c>
      <c r="M158" s="35">
        <v>34</v>
      </c>
      <c r="N158" s="35">
        <v>35</v>
      </c>
      <c r="O158" s="35">
        <v>35</v>
      </c>
      <c r="P158" s="35">
        <v>38</v>
      </c>
      <c r="Q158" s="31">
        <v>33.833333333333336</v>
      </c>
    </row>
    <row r="159" spans="1:17" x14ac:dyDescent="0.2">
      <c r="A159" s="93">
        <v>370</v>
      </c>
      <c r="B159" s="93" t="s">
        <v>235</v>
      </c>
      <c r="C159" s="35"/>
      <c r="D159" s="35"/>
      <c r="E159" s="35">
        <v>1</v>
      </c>
      <c r="F159" s="35">
        <v>1</v>
      </c>
      <c r="G159" s="35">
        <v>1</v>
      </c>
      <c r="H159" s="35">
        <v>1</v>
      </c>
      <c r="I159" s="35">
        <v>1</v>
      </c>
      <c r="J159" s="35">
        <v>1</v>
      </c>
      <c r="K159" s="35">
        <v>1</v>
      </c>
      <c r="L159" s="35">
        <v>1</v>
      </c>
      <c r="M159" s="35">
        <v>1</v>
      </c>
      <c r="N159" s="35">
        <v>1</v>
      </c>
      <c r="O159" s="35">
        <v>1</v>
      </c>
      <c r="P159" s="35">
        <v>1</v>
      </c>
      <c r="Q159" s="31">
        <v>1</v>
      </c>
    </row>
    <row r="160" spans="1:17" x14ac:dyDescent="0.2">
      <c r="A160" s="38"/>
      <c r="B160" s="39" t="s">
        <v>102</v>
      </c>
      <c r="C160" s="85"/>
      <c r="D160" s="85"/>
      <c r="E160" s="85">
        <v>34</v>
      </c>
      <c r="F160" s="85">
        <v>34</v>
      </c>
      <c r="G160" s="85">
        <v>34</v>
      </c>
      <c r="H160" s="85">
        <v>34</v>
      </c>
      <c r="I160" s="85">
        <v>34</v>
      </c>
      <c r="J160" s="85">
        <v>34</v>
      </c>
      <c r="K160" s="85">
        <v>34</v>
      </c>
      <c r="L160" s="85">
        <v>34</v>
      </c>
      <c r="M160" s="85">
        <v>35</v>
      </c>
      <c r="N160" s="85">
        <v>36</v>
      </c>
      <c r="O160" s="85">
        <v>36</v>
      </c>
      <c r="P160" s="85">
        <v>39</v>
      </c>
      <c r="Q160" s="85">
        <v>34.833333333333336</v>
      </c>
    </row>
    <row r="161" spans="1:17" x14ac:dyDescent="0.2">
      <c r="A161" s="40"/>
      <c r="B161" s="41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</row>
    <row r="162" spans="1:17" x14ac:dyDescent="0.2">
      <c r="A162" s="40">
        <v>359</v>
      </c>
      <c r="B162" s="41" t="s">
        <v>236</v>
      </c>
      <c r="E162" s="35">
        <v>14</v>
      </c>
      <c r="F162" s="35">
        <v>15</v>
      </c>
      <c r="G162" s="35">
        <v>15</v>
      </c>
      <c r="H162" s="35">
        <v>17</v>
      </c>
      <c r="I162" s="35">
        <v>18</v>
      </c>
      <c r="J162" s="35">
        <v>17</v>
      </c>
      <c r="K162" s="35">
        <v>17</v>
      </c>
      <c r="L162" s="35">
        <v>17</v>
      </c>
      <c r="M162" s="35">
        <v>17</v>
      </c>
      <c r="N162" s="35">
        <v>18</v>
      </c>
      <c r="O162" s="35">
        <v>17</v>
      </c>
      <c r="P162" s="35">
        <v>17</v>
      </c>
      <c r="Q162" s="35">
        <v>16.583333333333332</v>
      </c>
    </row>
    <row r="163" spans="1:17" x14ac:dyDescent="0.2">
      <c r="A163" s="40">
        <v>371</v>
      </c>
      <c r="B163" s="41" t="s">
        <v>236</v>
      </c>
      <c r="E163" s="35">
        <v>4</v>
      </c>
      <c r="F163" s="35">
        <v>4</v>
      </c>
      <c r="G163" s="35">
        <v>4</v>
      </c>
      <c r="H163" s="35">
        <v>4</v>
      </c>
      <c r="I163" s="35">
        <v>4</v>
      </c>
      <c r="J163" s="35">
        <v>4</v>
      </c>
      <c r="K163" s="35">
        <v>3</v>
      </c>
      <c r="L163" s="35">
        <v>3</v>
      </c>
      <c r="M163" s="35">
        <v>3</v>
      </c>
      <c r="N163" s="35">
        <v>3</v>
      </c>
      <c r="O163" s="35">
        <v>3</v>
      </c>
      <c r="P163" s="35">
        <v>3</v>
      </c>
      <c r="Q163" s="35">
        <v>3.5</v>
      </c>
    </row>
    <row r="164" spans="1:17" x14ac:dyDescent="0.2">
      <c r="A164" s="38" t="s">
        <v>237</v>
      </c>
      <c r="B164" s="39"/>
      <c r="C164" s="85"/>
      <c r="D164" s="85"/>
      <c r="E164" s="85">
        <v>18</v>
      </c>
      <c r="F164" s="85">
        <v>19</v>
      </c>
      <c r="G164" s="85">
        <v>19</v>
      </c>
      <c r="H164" s="85">
        <v>21</v>
      </c>
      <c r="I164" s="85">
        <v>22</v>
      </c>
      <c r="J164" s="85">
        <v>21</v>
      </c>
      <c r="K164" s="85">
        <v>20</v>
      </c>
      <c r="L164" s="85">
        <v>20</v>
      </c>
      <c r="M164" s="85">
        <v>20</v>
      </c>
      <c r="N164" s="85">
        <v>21</v>
      </c>
      <c r="O164" s="85">
        <v>20</v>
      </c>
      <c r="P164" s="85">
        <v>20</v>
      </c>
      <c r="Q164" s="35">
        <v>20.083333333333332</v>
      </c>
    </row>
    <row r="165" spans="1:17" x14ac:dyDescent="0.2">
      <c r="A165" s="40"/>
      <c r="B165" s="41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</row>
    <row r="166" spans="1:17" x14ac:dyDescent="0.2">
      <c r="A166" s="32">
        <v>360</v>
      </c>
      <c r="B166" s="33" t="s">
        <v>103</v>
      </c>
      <c r="C166" s="31"/>
      <c r="D166" s="31"/>
      <c r="E166" s="31">
        <v>1</v>
      </c>
      <c r="F166" s="31">
        <v>1</v>
      </c>
      <c r="G166" s="31">
        <v>1</v>
      </c>
      <c r="H166" s="31">
        <v>1</v>
      </c>
      <c r="I166" s="31">
        <v>1</v>
      </c>
      <c r="J166" s="31">
        <v>1</v>
      </c>
      <c r="K166" s="31">
        <v>1</v>
      </c>
      <c r="L166" s="31">
        <v>1</v>
      </c>
      <c r="M166" s="31">
        <v>1</v>
      </c>
      <c r="N166" s="31">
        <v>1</v>
      </c>
      <c r="O166" s="31">
        <v>1</v>
      </c>
      <c r="P166" s="31">
        <v>1</v>
      </c>
      <c r="Q166" s="32">
        <v>1</v>
      </c>
    </row>
    <row r="167" spans="1:17" x14ac:dyDescent="0.2">
      <c r="A167" s="32">
        <v>372</v>
      </c>
      <c r="B167" s="58" t="s">
        <v>104</v>
      </c>
      <c r="C167" s="88"/>
      <c r="D167" s="88"/>
      <c r="E167" s="88">
        <v>1</v>
      </c>
      <c r="F167" s="88">
        <v>1</v>
      </c>
      <c r="G167" s="88">
        <v>1</v>
      </c>
      <c r="H167" s="88">
        <v>1</v>
      </c>
      <c r="I167" s="88">
        <v>1</v>
      </c>
      <c r="J167" s="88">
        <v>1</v>
      </c>
      <c r="K167" s="88">
        <v>1</v>
      </c>
      <c r="L167" s="88">
        <v>1</v>
      </c>
      <c r="M167" s="88">
        <v>1</v>
      </c>
      <c r="N167" s="88">
        <v>1</v>
      </c>
      <c r="O167" s="88">
        <v>1</v>
      </c>
      <c r="P167" s="88">
        <v>1</v>
      </c>
      <c r="Q167" s="32">
        <v>1</v>
      </c>
    </row>
    <row r="168" spans="1:17" x14ac:dyDescent="0.2">
      <c r="B168" s="33" t="s">
        <v>105</v>
      </c>
      <c r="C168" s="31">
        <f>SUM(C166:C167)</f>
        <v>0</v>
      </c>
      <c r="D168" s="31">
        <f t="shared" ref="D168" si="49">SUM(D166:D167)</f>
        <v>0</v>
      </c>
      <c r="E168" s="31">
        <v>2</v>
      </c>
      <c r="F168" s="31">
        <v>2</v>
      </c>
      <c r="G168" s="31">
        <v>2</v>
      </c>
      <c r="H168" s="31">
        <v>2</v>
      </c>
      <c r="I168" s="31">
        <v>2</v>
      </c>
      <c r="J168" s="31">
        <v>2</v>
      </c>
      <c r="K168" s="31">
        <v>2</v>
      </c>
      <c r="L168" s="31">
        <v>2</v>
      </c>
      <c r="M168" s="31">
        <v>2</v>
      </c>
      <c r="N168" s="31">
        <v>2</v>
      </c>
      <c r="O168" s="31">
        <v>2</v>
      </c>
      <c r="P168" s="31">
        <v>2</v>
      </c>
      <c r="Q168" s="31">
        <v>2</v>
      </c>
    </row>
    <row r="169" spans="1:17" x14ac:dyDescent="0.2">
      <c r="B169" s="33"/>
    </row>
    <row r="170" spans="1:17" x14ac:dyDescent="0.2">
      <c r="A170" s="32">
        <v>540</v>
      </c>
      <c r="B170" s="33" t="s">
        <v>76</v>
      </c>
      <c r="C170" s="31"/>
      <c r="D170" s="31"/>
      <c r="E170" s="31">
        <v>9</v>
      </c>
      <c r="F170" s="31">
        <v>9</v>
      </c>
      <c r="G170" s="31">
        <v>9</v>
      </c>
      <c r="H170" s="31">
        <v>9</v>
      </c>
      <c r="I170" s="31">
        <v>9</v>
      </c>
      <c r="J170" s="31">
        <v>9</v>
      </c>
      <c r="K170" s="31">
        <v>9</v>
      </c>
      <c r="L170" s="31">
        <v>8</v>
      </c>
      <c r="M170" s="31">
        <v>8</v>
      </c>
      <c r="N170" s="31">
        <v>8</v>
      </c>
      <c r="O170" s="31">
        <v>8</v>
      </c>
      <c r="P170" s="31">
        <v>8</v>
      </c>
      <c r="Q170" s="31">
        <v>8.5833333333333339</v>
      </c>
    </row>
    <row r="171" spans="1:17" x14ac:dyDescent="0.2">
      <c r="B171" s="33"/>
    </row>
    <row r="172" spans="1:17" x14ac:dyDescent="0.2">
      <c r="B172" s="33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</row>
    <row r="173" spans="1:17" x14ac:dyDescent="0.2">
      <c r="B173" s="33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</row>
    <row r="174" spans="1:17" x14ac:dyDescent="0.2">
      <c r="A174" s="32">
        <v>93</v>
      </c>
      <c r="B174" s="33" t="s">
        <v>207</v>
      </c>
      <c r="C174" s="31"/>
      <c r="D174" s="31"/>
      <c r="E174" s="31">
        <v>536</v>
      </c>
      <c r="F174" s="31">
        <v>526</v>
      </c>
      <c r="G174" s="31">
        <v>519</v>
      </c>
      <c r="H174" s="31">
        <v>516</v>
      </c>
      <c r="I174" s="31">
        <v>507</v>
      </c>
      <c r="J174" s="31">
        <v>508</v>
      </c>
      <c r="K174" s="31">
        <v>506</v>
      </c>
      <c r="L174" s="31">
        <v>496</v>
      </c>
      <c r="M174" s="31">
        <v>492</v>
      </c>
      <c r="N174" s="31">
        <v>487</v>
      </c>
      <c r="O174" s="31">
        <v>469</v>
      </c>
      <c r="P174" s="31">
        <v>459</v>
      </c>
      <c r="Q174" s="31">
        <v>501.75</v>
      </c>
    </row>
    <row r="175" spans="1:17" x14ac:dyDescent="0.2">
      <c r="A175" s="32">
        <v>94</v>
      </c>
      <c r="B175" s="33" t="s">
        <v>208</v>
      </c>
      <c r="C175" s="31"/>
      <c r="D175" s="31"/>
      <c r="E175" s="31">
        <v>17618</v>
      </c>
      <c r="F175" s="31">
        <v>17320</v>
      </c>
      <c r="G175" s="31">
        <v>17177</v>
      </c>
      <c r="H175" s="31">
        <v>16990</v>
      </c>
      <c r="I175" s="31">
        <v>16773</v>
      </c>
      <c r="J175" s="31">
        <v>16637</v>
      </c>
      <c r="K175" s="31">
        <v>16456</v>
      </c>
      <c r="L175" s="31">
        <v>16172</v>
      </c>
      <c r="M175" s="31">
        <v>16084</v>
      </c>
      <c r="N175" s="31">
        <v>15832</v>
      </c>
      <c r="O175" s="31">
        <v>15395</v>
      </c>
      <c r="P175" s="31">
        <v>15226</v>
      </c>
      <c r="Q175" s="31">
        <v>16473.333333333332</v>
      </c>
    </row>
    <row r="176" spans="1:17" x14ac:dyDescent="0.2">
      <c r="A176" s="32">
        <v>95</v>
      </c>
      <c r="B176" s="33" t="s">
        <v>209</v>
      </c>
      <c r="C176" s="31"/>
      <c r="D176" s="31"/>
      <c r="E176" s="31">
        <v>53</v>
      </c>
      <c r="F176" s="31">
        <v>53</v>
      </c>
      <c r="G176" s="31">
        <v>53</v>
      </c>
      <c r="H176" s="31">
        <v>53</v>
      </c>
      <c r="I176" s="31">
        <v>53</v>
      </c>
      <c r="J176" s="31">
        <v>53</v>
      </c>
      <c r="K176" s="31">
        <v>54</v>
      </c>
      <c r="L176" s="31">
        <v>52</v>
      </c>
      <c r="M176" s="31">
        <v>52</v>
      </c>
      <c r="N176" s="31">
        <v>52</v>
      </c>
      <c r="O176" s="31">
        <v>53</v>
      </c>
      <c r="P176" s="31">
        <v>51</v>
      </c>
      <c r="Q176" s="31">
        <v>52.666666666666664</v>
      </c>
    </row>
    <row r="177" spans="1:17" x14ac:dyDescent="0.2">
      <c r="A177" s="32">
        <v>97</v>
      </c>
      <c r="B177" s="33" t="s">
        <v>210</v>
      </c>
      <c r="C177" s="31"/>
      <c r="D177" s="31"/>
      <c r="E177" s="31">
        <v>1246</v>
      </c>
      <c r="F177" s="31">
        <v>1240</v>
      </c>
      <c r="G177" s="31">
        <v>1235</v>
      </c>
      <c r="H177" s="31">
        <v>1222</v>
      </c>
      <c r="I177" s="31">
        <v>1208</v>
      </c>
      <c r="J177" s="31">
        <v>1204</v>
      </c>
      <c r="K177" s="31">
        <v>1199</v>
      </c>
      <c r="L177" s="31">
        <v>1192</v>
      </c>
      <c r="M177" s="31">
        <v>1188</v>
      </c>
      <c r="N177" s="31">
        <v>1179</v>
      </c>
      <c r="O177" s="31">
        <v>1174</v>
      </c>
      <c r="P177" s="31">
        <v>1163</v>
      </c>
      <c r="Q177" s="31">
        <v>1204.1666666666667</v>
      </c>
    </row>
    <row r="178" spans="1:17" x14ac:dyDescent="0.2">
      <c r="A178" s="32">
        <v>98</v>
      </c>
      <c r="B178" s="33" t="s">
        <v>211</v>
      </c>
      <c r="C178" s="31"/>
      <c r="D178" s="31"/>
      <c r="E178" s="31">
        <v>112</v>
      </c>
      <c r="F178" s="31">
        <v>110</v>
      </c>
      <c r="G178" s="31">
        <v>110</v>
      </c>
      <c r="H178" s="31">
        <v>110</v>
      </c>
      <c r="I178" s="31">
        <v>110</v>
      </c>
      <c r="J178" s="31">
        <v>109</v>
      </c>
      <c r="K178" s="31">
        <v>108</v>
      </c>
      <c r="L178" s="31">
        <v>106</v>
      </c>
      <c r="M178" s="31">
        <v>108</v>
      </c>
      <c r="N178" s="31">
        <v>106</v>
      </c>
      <c r="O178" s="31">
        <v>105</v>
      </c>
      <c r="P178" s="31">
        <v>104</v>
      </c>
      <c r="Q178" s="31">
        <v>108.16666666666667</v>
      </c>
    </row>
    <row r="179" spans="1:17" x14ac:dyDescent="0.2">
      <c r="A179" s="32">
        <v>99</v>
      </c>
      <c r="B179" s="33" t="s">
        <v>212</v>
      </c>
      <c r="C179" s="31"/>
      <c r="D179" s="31"/>
      <c r="E179" s="31">
        <v>3</v>
      </c>
      <c r="F179" s="31">
        <v>3</v>
      </c>
      <c r="G179" s="31">
        <v>3</v>
      </c>
      <c r="H179" s="31">
        <v>3</v>
      </c>
      <c r="I179" s="31">
        <v>3</v>
      </c>
      <c r="J179" s="31">
        <v>3</v>
      </c>
      <c r="K179" s="31">
        <v>3</v>
      </c>
      <c r="L179" s="31">
        <v>3</v>
      </c>
      <c r="M179" s="31">
        <v>3</v>
      </c>
      <c r="N179" s="31">
        <v>3</v>
      </c>
      <c r="O179" s="31">
        <v>3</v>
      </c>
      <c r="P179" s="31">
        <v>3</v>
      </c>
      <c r="Q179" s="31">
        <v>3</v>
      </c>
    </row>
    <row r="180" spans="1:17" x14ac:dyDescent="0.2">
      <c r="A180" s="32">
        <v>103</v>
      </c>
      <c r="B180" s="33" t="s">
        <v>213</v>
      </c>
      <c r="C180" s="31"/>
      <c r="D180" s="31"/>
      <c r="E180" s="31">
        <v>2</v>
      </c>
      <c r="F180" s="31">
        <v>2</v>
      </c>
      <c r="G180" s="31">
        <v>2</v>
      </c>
      <c r="H180" s="31">
        <v>2</v>
      </c>
      <c r="I180" s="31">
        <v>2</v>
      </c>
      <c r="J180" s="31">
        <v>2</v>
      </c>
      <c r="K180" s="31">
        <v>2</v>
      </c>
      <c r="L180" s="31">
        <v>2</v>
      </c>
      <c r="M180" s="31">
        <v>2</v>
      </c>
      <c r="N180" s="31">
        <v>2</v>
      </c>
      <c r="O180" s="31">
        <v>2</v>
      </c>
      <c r="P180" s="31">
        <v>2</v>
      </c>
      <c r="Q180" s="31">
        <v>2</v>
      </c>
    </row>
    <row r="181" spans="1:17" x14ac:dyDescent="0.2">
      <c r="A181" s="32">
        <v>107</v>
      </c>
      <c r="B181" s="33" t="s">
        <v>214</v>
      </c>
      <c r="C181" s="31"/>
      <c r="D181" s="31"/>
      <c r="E181" s="31">
        <v>1195</v>
      </c>
      <c r="F181" s="31">
        <v>1188</v>
      </c>
      <c r="G181" s="31">
        <v>1190</v>
      </c>
      <c r="H181" s="31">
        <v>1190</v>
      </c>
      <c r="I181" s="31">
        <v>1184</v>
      </c>
      <c r="J181" s="31">
        <v>1183</v>
      </c>
      <c r="K181" s="31">
        <v>1176</v>
      </c>
      <c r="L181" s="31">
        <v>1175</v>
      </c>
      <c r="M181" s="31">
        <v>1162</v>
      </c>
      <c r="N181" s="31">
        <v>1155</v>
      </c>
      <c r="O181" s="31">
        <v>1142</v>
      </c>
      <c r="P181" s="31">
        <v>1139</v>
      </c>
      <c r="Q181" s="31">
        <v>1173.25</v>
      </c>
    </row>
    <row r="182" spans="1:17" x14ac:dyDescent="0.2">
      <c r="A182" s="32">
        <v>109</v>
      </c>
      <c r="B182" s="33" t="s">
        <v>215</v>
      </c>
      <c r="C182" s="31"/>
      <c r="D182" s="31"/>
      <c r="E182" s="31">
        <v>1693</v>
      </c>
      <c r="F182" s="31">
        <v>1688</v>
      </c>
      <c r="G182" s="31">
        <v>1680</v>
      </c>
      <c r="H182" s="31">
        <v>1679</v>
      </c>
      <c r="I182" s="31">
        <v>1677</v>
      </c>
      <c r="J182" s="31">
        <v>1673</v>
      </c>
      <c r="K182" s="31">
        <v>1662</v>
      </c>
      <c r="L182" s="31">
        <v>1669</v>
      </c>
      <c r="M182" s="31">
        <v>1653</v>
      </c>
      <c r="N182" s="31">
        <v>1632</v>
      </c>
      <c r="O182" s="31">
        <v>1617</v>
      </c>
      <c r="P182" s="31">
        <v>1617</v>
      </c>
      <c r="Q182" s="31">
        <v>1661.6666666666667</v>
      </c>
    </row>
    <row r="183" spans="1:17" x14ac:dyDescent="0.2">
      <c r="A183" s="32">
        <v>110</v>
      </c>
      <c r="B183" s="33" t="s">
        <v>216</v>
      </c>
      <c r="C183" s="31"/>
      <c r="D183" s="31"/>
      <c r="E183" s="31">
        <v>92</v>
      </c>
      <c r="F183" s="31">
        <v>94</v>
      </c>
      <c r="G183" s="31">
        <v>94</v>
      </c>
      <c r="H183" s="31">
        <v>95</v>
      </c>
      <c r="I183" s="31">
        <v>95</v>
      </c>
      <c r="J183" s="31">
        <v>95</v>
      </c>
      <c r="K183" s="31">
        <v>96</v>
      </c>
      <c r="L183" s="31">
        <v>94</v>
      </c>
      <c r="M183" s="31">
        <v>94</v>
      </c>
      <c r="N183" s="31">
        <v>93</v>
      </c>
      <c r="O183" s="31">
        <v>98</v>
      </c>
      <c r="P183" s="31">
        <v>88</v>
      </c>
      <c r="Q183" s="31">
        <v>94</v>
      </c>
    </row>
    <row r="184" spans="1:17" x14ac:dyDescent="0.2">
      <c r="A184" s="32">
        <v>111</v>
      </c>
      <c r="B184" s="33" t="s">
        <v>217</v>
      </c>
      <c r="C184" s="31"/>
      <c r="D184" s="31"/>
      <c r="E184" s="31">
        <v>214</v>
      </c>
      <c r="F184" s="31">
        <v>207</v>
      </c>
      <c r="G184" s="31">
        <v>206</v>
      </c>
      <c r="H184" s="31">
        <v>207</v>
      </c>
      <c r="I184" s="31">
        <v>208</v>
      </c>
      <c r="J184" s="31">
        <v>209</v>
      </c>
      <c r="K184" s="31">
        <v>208</v>
      </c>
      <c r="L184" s="31">
        <v>207</v>
      </c>
      <c r="M184" s="31">
        <v>207</v>
      </c>
      <c r="N184" s="31">
        <v>208</v>
      </c>
      <c r="O184" s="31">
        <v>205</v>
      </c>
      <c r="P184" s="31">
        <v>205</v>
      </c>
      <c r="Q184" s="31">
        <v>207.58333333333334</v>
      </c>
    </row>
    <row r="185" spans="1:17" x14ac:dyDescent="0.2">
      <c r="A185" s="32">
        <v>113</v>
      </c>
      <c r="B185" s="33" t="s">
        <v>218</v>
      </c>
      <c r="C185" s="31"/>
      <c r="D185" s="31"/>
      <c r="E185" s="31">
        <v>17183</v>
      </c>
      <c r="F185" s="31">
        <v>16873</v>
      </c>
      <c r="G185" s="31">
        <v>16669</v>
      </c>
      <c r="H185" s="31">
        <v>16384</v>
      </c>
      <c r="I185" s="31">
        <v>16138</v>
      </c>
      <c r="J185" s="31">
        <v>15877</v>
      </c>
      <c r="K185" s="31">
        <v>15607</v>
      </c>
      <c r="L185" s="31">
        <v>15164</v>
      </c>
      <c r="M185" s="31">
        <v>15028</v>
      </c>
      <c r="N185" s="31">
        <v>14731</v>
      </c>
      <c r="O185" s="31">
        <v>14205</v>
      </c>
      <c r="P185" s="31">
        <v>13918</v>
      </c>
      <c r="Q185" s="31">
        <v>15648.083333333334</v>
      </c>
    </row>
    <row r="186" spans="1:17" x14ac:dyDescent="0.2">
      <c r="A186" s="32">
        <v>116</v>
      </c>
      <c r="B186" s="33" t="s">
        <v>219</v>
      </c>
      <c r="C186" s="31"/>
      <c r="D186" s="31"/>
      <c r="E186" s="31">
        <v>293</v>
      </c>
      <c r="F186" s="31">
        <v>291</v>
      </c>
      <c r="G186" s="31">
        <v>292</v>
      </c>
      <c r="H186" s="31">
        <v>292</v>
      </c>
      <c r="I186" s="31">
        <v>290</v>
      </c>
      <c r="J186" s="31">
        <v>288</v>
      </c>
      <c r="K186" s="31">
        <v>291</v>
      </c>
      <c r="L186" s="31">
        <v>287</v>
      </c>
      <c r="M186" s="31">
        <v>290</v>
      </c>
      <c r="N186" s="31">
        <v>284</v>
      </c>
      <c r="O186" s="31">
        <v>284</v>
      </c>
      <c r="P186" s="31">
        <v>281</v>
      </c>
      <c r="Q186" s="31">
        <v>288.58333333333331</v>
      </c>
    </row>
    <row r="187" spans="1:17" x14ac:dyDescent="0.2">
      <c r="A187" s="32">
        <v>120</v>
      </c>
      <c r="B187" s="33" t="s">
        <v>220</v>
      </c>
      <c r="C187" s="31"/>
      <c r="D187" s="31"/>
      <c r="E187" s="31">
        <v>2</v>
      </c>
      <c r="F187" s="31">
        <v>2</v>
      </c>
      <c r="G187" s="31">
        <v>2</v>
      </c>
      <c r="H187" s="31">
        <v>2</v>
      </c>
      <c r="I187" s="31">
        <v>2</v>
      </c>
      <c r="J187" s="31">
        <v>2</v>
      </c>
      <c r="K187" s="31">
        <v>2</v>
      </c>
      <c r="L187" s="31">
        <v>2</v>
      </c>
      <c r="M187" s="31">
        <v>2</v>
      </c>
      <c r="N187" s="31">
        <v>2</v>
      </c>
      <c r="O187" s="31">
        <v>2</v>
      </c>
      <c r="P187" s="31">
        <v>2</v>
      </c>
      <c r="Q187" s="31">
        <v>2</v>
      </c>
    </row>
    <row r="188" spans="1:17" x14ac:dyDescent="0.2">
      <c r="A188" s="32">
        <v>122</v>
      </c>
      <c r="B188" s="33" t="s">
        <v>221</v>
      </c>
      <c r="C188" s="31"/>
      <c r="D188" s="31"/>
      <c r="E188" s="31">
        <v>16</v>
      </c>
      <c r="F188" s="31">
        <v>16</v>
      </c>
      <c r="G188" s="31">
        <v>16</v>
      </c>
      <c r="H188" s="31">
        <v>16</v>
      </c>
      <c r="I188" s="31">
        <v>16</v>
      </c>
      <c r="J188" s="31">
        <v>16</v>
      </c>
      <c r="K188" s="31">
        <v>16</v>
      </c>
      <c r="L188" s="31">
        <v>16</v>
      </c>
      <c r="M188" s="31">
        <v>16</v>
      </c>
      <c r="N188" s="31">
        <v>16</v>
      </c>
      <c r="O188" s="31">
        <v>16</v>
      </c>
      <c r="P188" s="31">
        <v>17</v>
      </c>
      <c r="Q188" s="31">
        <v>16.083333333333332</v>
      </c>
    </row>
    <row r="189" spans="1:17" x14ac:dyDescent="0.2">
      <c r="A189" s="32">
        <v>126</v>
      </c>
      <c r="B189" s="33" t="s">
        <v>222</v>
      </c>
      <c r="C189" s="31"/>
      <c r="D189" s="31"/>
      <c r="E189" s="31">
        <v>2</v>
      </c>
      <c r="F189" s="31">
        <v>2</v>
      </c>
      <c r="G189" s="31">
        <v>2</v>
      </c>
      <c r="H189" s="31">
        <v>2</v>
      </c>
      <c r="I189" s="31">
        <v>2</v>
      </c>
      <c r="J189" s="31">
        <v>2</v>
      </c>
      <c r="K189" s="31">
        <v>2</v>
      </c>
      <c r="L189" s="31">
        <v>2</v>
      </c>
      <c r="M189" s="31">
        <v>2</v>
      </c>
      <c r="N189" s="31">
        <v>3</v>
      </c>
      <c r="O189" s="31">
        <v>3</v>
      </c>
      <c r="P189" s="31">
        <v>3</v>
      </c>
      <c r="Q189" s="31">
        <v>2.25</v>
      </c>
    </row>
    <row r="190" spans="1:17" x14ac:dyDescent="0.2">
      <c r="A190" s="32">
        <v>130</v>
      </c>
      <c r="B190" s="33" t="s">
        <v>223</v>
      </c>
      <c r="C190" s="31"/>
      <c r="D190" s="31"/>
      <c r="E190" s="31">
        <v>3</v>
      </c>
      <c r="F190" s="31">
        <v>3</v>
      </c>
      <c r="G190" s="31">
        <v>3</v>
      </c>
      <c r="H190" s="31">
        <v>2</v>
      </c>
      <c r="I190" s="31">
        <v>10</v>
      </c>
      <c r="J190" s="31">
        <v>10</v>
      </c>
      <c r="K190" s="31">
        <v>10</v>
      </c>
      <c r="L190" s="31">
        <v>10</v>
      </c>
      <c r="M190" s="31">
        <v>10</v>
      </c>
      <c r="N190" s="31">
        <v>10</v>
      </c>
      <c r="O190" s="31">
        <v>10</v>
      </c>
      <c r="P190" s="31">
        <v>10</v>
      </c>
      <c r="Q190" s="31">
        <v>7.583333333333333</v>
      </c>
    </row>
    <row r="191" spans="1:17" x14ac:dyDescent="0.2">
      <c r="A191" s="32">
        <v>131</v>
      </c>
      <c r="B191" s="33" t="s">
        <v>224</v>
      </c>
      <c r="C191" s="31"/>
      <c r="D191" s="31"/>
      <c r="E191" s="31">
        <v>51</v>
      </c>
      <c r="F191" s="31">
        <v>51</v>
      </c>
      <c r="G191" s="31">
        <v>51</v>
      </c>
      <c r="H191" s="31">
        <v>51</v>
      </c>
      <c r="I191" s="31">
        <v>51</v>
      </c>
      <c r="J191" s="31">
        <v>52</v>
      </c>
      <c r="K191" s="31">
        <v>50</v>
      </c>
      <c r="L191" s="31">
        <v>49</v>
      </c>
      <c r="M191" s="31">
        <v>48</v>
      </c>
      <c r="N191" s="31">
        <v>48</v>
      </c>
      <c r="O191" s="31">
        <v>46</v>
      </c>
      <c r="P191" s="31">
        <v>64</v>
      </c>
      <c r="Q191" s="31">
        <v>51</v>
      </c>
    </row>
    <row r="192" spans="1:17" x14ac:dyDescent="0.2">
      <c r="A192" s="32">
        <v>136</v>
      </c>
      <c r="B192" s="33" t="s">
        <v>225</v>
      </c>
      <c r="C192" s="31"/>
      <c r="D192" s="31"/>
      <c r="E192" s="31">
        <v>4</v>
      </c>
      <c r="F192" s="31">
        <v>4</v>
      </c>
      <c r="G192" s="31">
        <v>4</v>
      </c>
      <c r="H192" s="31">
        <v>4</v>
      </c>
      <c r="I192" s="31">
        <v>4</v>
      </c>
      <c r="J192" s="31">
        <v>4</v>
      </c>
      <c r="K192" s="31">
        <v>5</v>
      </c>
      <c r="L192" s="31">
        <v>5</v>
      </c>
      <c r="M192" s="31">
        <v>5</v>
      </c>
      <c r="N192" s="31">
        <v>5</v>
      </c>
      <c r="O192" s="31">
        <v>5</v>
      </c>
      <c r="P192" s="31">
        <v>5</v>
      </c>
      <c r="Q192" s="31">
        <v>4.5</v>
      </c>
    </row>
    <row r="193" spans="1:17" x14ac:dyDescent="0.2">
      <c r="A193" s="32">
        <v>150</v>
      </c>
      <c r="B193" s="33" t="s">
        <v>297</v>
      </c>
      <c r="C193" s="31"/>
      <c r="D193" s="31"/>
      <c r="E193" s="31">
        <v>5989</v>
      </c>
      <c r="F193" s="31">
        <v>6371</v>
      </c>
      <c r="G193" s="31">
        <v>6802</v>
      </c>
      <c r="H193" s="31">
        <v>7200</v>
      </c>
      <c r="I193" s="31">
        <v>7519</v>
      </c>
      <c r="J193" s="31">
        <v>8114</v>
      </c>
      <c r="K193" s="31">
        <v>8692</v>
      </c>
      <c r="L193" s="31">
        <v>9127</v>
      </c>
      <c r="M193" s="31">
        <v>9852</v>
      </c>
      <c r="N193" s="31">
        <v>10586</v>
      </c>
      <c r="O193" s="31">
        <v>11030</v>
      </c>
      <c r="P193" s="31">
        <v>11518</v>
      </c>
      <c r="Q193" s="31">
        <v>8566.6666666666661</v>
      </c>
    </row>
    <row r="194" spans="1:17" x14ac:dyDescent="0.2">
      <c r="A194" s="32">
        <v>151</v>
      </c>
      <c r="B194" s="33" t="s">
        <v>307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>
        <v>2</v>
      </c>
      <c r="Q194" s="31">
        <v>0.16666666666666666</v>
      </c>
    </row>
    <row r="195" spans="1:17" x14ac:dyDescent="0.2">
      <c r="A195" s="32">
        <v>152</v>
      </c>
      <c r="B195" s="33" t="s">
        <v>298</v>
      </c>
      <c r="C195" s="31"/>
      <c r="D195" s="31"/>
      <c r="E195" s="31"/>
      <c r="F195" s="31"/>
      <c r="G195" s="31"/>
      <c r="H195" s="31">
        <v>1</v>
      </c>
      <c r="I195" s="31">
        <v>1</v>
      </c>
      <c r="J195" s="31">
        <v>1</v>
      </c>
      <c r="K195" s="31">
        <v>1</v>
      </c>
      <c r="L195" s="31">
        <v>1</v>
      </c>
      <c r="M195" s="31">
        <v>1</v>
      </c>
      <c r="N195" s="31">
        <v>1</v>
      </c>
      <c r="O195" s="31">
        <v>2</v>
      </c>
      <c r="P195" s="31">
        <v>5</v>
      </c>
      <c r="Q195" s="31">
        <v>1.1666666666666667</v>
      </c>
    </row>
    <row r="196" spans="1:17" x14ac:dyDescent="0.2">
      <c r="A196" s="32">
        <v>153</v>
      </c>
      <c r="B196" s="33" t="s">
        <v>305</v>
      </c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>
        <v>3</v>
      </c>
      <c r="Q196" s="31">
        <v>0.25</v>
      </c>
    </row>
    <row r="197" spans="1:17" x14ac:dyDescent="0.2">
      <c r="A197" s="32">
        <v>160</v>
      </c>
      <c r="B197" s="33" t="s">
        <v>299</v>
      </c>
      <c r="C197" s="31"/>
      <c r="D197" s="31"/>
      <c r="E197" s="31">
        <v>3</v>
      </c>
      <c r="F197" s="31">
        <v>6</v>
      </c>
      <c r="G197" s="31">
        <v>6</v>
      </c>
      <c r="H197" s="31">
        <v>6</v>
      </c>
      <c r="I197" s="31">
        <v>6</v>
      </c>
      <c r="J197" s="31">
        <v>6</v>
      </c>
      <c r="K197" s="31">
        <v>7</v>
      </c>
      <c r="L197" s="31">
        <v>7</v>
      </c>
      <c r="M197" s="31">
        <v>7</v>
      </c>
      <c r="N197" s="31">
        <v>7</v>
      </c>
      <c r="O197" s="31">
        <v>8</v>
      </c>
      <c r="P197" s="31">
        <v>9</v>
      </c>
      <c r="Q197" s="31">
        <v>6.5</v>
      </c>
    </row>
    <row r="198" spans="1:17" x14ac:dyDescent="0.2">
      <c r="A198" s="32">
        <v>165</v>
      </c>
      <c r="B198" s="33" t="s">
        <v>298</v>
      </c>
      <c r="C198" s="31"/>
      <c r="D198" s="31"/>
      <c r="E198" s="31">
        <v>2</v>
      </c>
      <c r="F198" s="31">
        <v>5</v>
      </c>
      <c r="G198" s="31">
        <v>7</v>
      </c>
      <c r="H198" s="31">
        <v>9</v>
      </c>
      <c r="I198" s="31">
        <v>12</v>
      </c>
      <c r="J198" s="31">
        <v>18</v>
      </c>
      <c r="K198" s="31">
        <v>22</v>
      </c>
      <c r="L198" s="31">
        <v>29</v>
      </c>
      <c r="M198" s="31">
        <v>35</v>
      </c>
      <c r="N198" s="31">
        <v>51</v>
      </c>
      <c r="O198" s="31">
        <v>75</v>
      </c>
      <c r="P198" s="31">
        <v>108</v>
      </c>
      <c r="Q198" s="31">
        <v>31.083333333333332</v>
      </c>
    </row>
    <row r="199" spans="1:17" x14ac:dyDescent="0.2">
      <c r="A199" s="32">
        <v>166</v>
      </c>
      <c r="B199" s="33" t="s">
        <v>300</v>
      </c>
      <c r="C199" s="31"/>
      <c r="D199" s="31"/>
      <c r="E199" s="31"/>
      <c r="F199" s="31"/>
      <c r="G199" s="31">
        <v>1</v>
      </c>
      <c r="H199" s="31">
        <v>2</v>
      </c>
      <c r="I199" s="31">
        <v>6</v>
      </c>
      <c r="J199" s="31">
        <v>10</v>
      </c>
      <c r="K199" s="31">
        <v>11</v>
      </c>
      <c r="L199" s="31">
        <v>13</v>
      </c>
      <c r="M199" s="31">
        <v>15</v>
      </c>
      <c r="N199" s="31">
        <v>18</v>
      </c>
      <c r="O199" s="31">
        <v>21</v>
      </c>
      <c r="P199" s="31">
        <v>29</v>
      </c>
      <c r="Q199" s="31">
        <v>10.5</v>
      </c>
    </row>
    <row r="200" spans="1:17" x14ac:dyDescent="0.2">
      <c r="A200" s="32">
        <v>175</v>
      </c>
      <c r="B200" s="33" t="s">
        <v>301</v>
      </c>
      <c r="C200" s="31"/>
      <c r="D200" s="31"/>
      <c r="E200" s="31">
        <v>0</v>
      </c>
      <c r="F200" s="31">
        <v>0</v>
      </c>
      <c r="G200" s="31"/>
      <c r="H200" s="31"/>
      <c r="I200" s="31"/>
      <c r="J200" s="31"/>
      <c r="K200" s="31"/>
      <c r="L200" s="31"/>
      <c r="M200" s="31"/>
      <c r="N200" s="31">
        <v>0</v>
      </c>
      <c r="O200" s="31">
        <v>0</v>
      </c>
      <c r="P200" s="31">
        <v>0</v>
      </c>
      <c r="Q200" s="31">
        <v>0</v>
      </c>
    </row>
    <row r="201" spans="1:17" x14ac:dyDescent="0.2">
      <c r="A201" s="32">
        <v>201</v>
      </c>
      <c r="B201" s="33" t="s">
        <v>301</v>
      </c>
      <c r="C201" s="31"/>
      <c r="D201" s="31"/>
      <c r="E201" s="31">
        <v>1</v>
      </c>
      <c r="F201" s="31">
        <v>0</v>
      </c>
      <c r="G201" s="31"/>
      <c r="H201" s="31"/>
      <c r="I201" s="31"/>
      <c r="J201" s="31"/>
      <c r="K201" s="31"/>
      <c r="L201" s="31"/>
      <c r="M201" s="31"/>
      <c r="N201" s="31">
        <v>0</v>
      </c>
      <c r="O201" s="31">
        <v>0</v>
      </c>
      <c r="P201" s="31">
        <v>0</v>
      </c>
      <c r="Q201" s="31">
        <v>8.3333333333333329E-2</v>
      </c>
    </row>
    <row r="202" spans="1:17" x14ac:dyDescent="0.2">
      <c r="A202" s="36"/>
      <c r="B202" s="37" t="s">
        <v>18</v>
      </c>
      <c r="C202" s="94">
        <f>SUM(C172:C192)</f>
        <v>0</v>
      </c>
      <c r="D202" s="94">
        <f>SUM(D172:D192)</f>
        <v>0</v>
      </c>
      <c r="E202" s="94">
        <f>SUM(E172:E201)</f>
        <v>46313</v>
      </c>
      <c r="F202" s="94">
        <f t="shared" ref="F202:Q202" si="50">SUM(F172:F201)</f>
        <v>46055</v>
      </c>
      <c r="G202" s="94">
        <f t="shared" si="50"/>
        <v>46124</v>
      </c>
      <c r="H202" s="94">
        <f t="shared" si="50"/>
        <v>46038</v>
      </c>
      <c r="I202" s="94">
        <f t="shared" si="50"/>
        <v>45877</v>
      </c>
      <c r="J202" s="94">
        <f t="shared" si="50"/>
        <v>46076</v>
      </c>
      <c r="K202" s="94">
        <f t="shared" si="50"/>
        <v>46186</v>
      </c>
      <c r="L202" s="94">
        <f t="shared" si="50"/>
        <v>45880</v>
      </c>
      <c r="M202" s="94">
        <f t="shared" si="50"/>
        <v>46356</v>
      </c>
      <c r="N202" s="94">
        <f t="shared" si="50"/>
        <v>46511</v>
      </c>
      <c r="O202" s="94">
        <f t="shared" si="50"/>
        <v>45970</v>
      </c>
      <c r="P202" s="94">
        <f t="shared" si="50"/>
        <v>46031</v>
      </c>
      <c r="Q202" s="94">
        <f t="shared" si="50"/>
        <v>46118.083333333343</v>
      </c>
    </row>
    <row r="203" spans="1:17" x14ac:dyDescent="0.2">
      <c r="B203" s="33"/>
    </row>
    <row r="204" spans="1:17" x14ac:dyDescent="0.2">
      <c r="A204" s="32">
        <v>528</v>
      </c>
      <c r="B204" s="33" t="s">
        <v>75</v>
      </c>
      <c r="C204" s="31"/>
      <c r="D204" s="31"/>
      <c r="E204" s="31">
        <v>54</v>
      </c>
      <c r="F204" s="31">
        <v>54</v>
      </c>
      <c r="G204" s="31">
        <v>54</v>
      </c>
      <c r="H204" s="31">
        <v>54</v>
      </c>
      <c r="I204" s="31">
        <v>54</v>
      </c>
      <c r="J204" s="31">
        <v>53</v>
      </c>
      <c r="K204" s="31">
        <v>53</v>
      </c>
      <c r="L204" s="31">
        <v>55</v>
      </c>
      <c r="M204" s="31">
        <v>53</v>
      </c>
      <c r="N204" s="31">
        <v>53</v>
      </c>
      <c r="O204" s="31">
        <v>53</v>
      </c>
      <c r="P204" s="31">
        <v>53</v>
      </c>
      <c r="Q204" s="31">
        <v>53.583333333333336</v>
      </c>
    </row>
    <row r="205" spans="1:17" x14ac:dyDescent="0.2">
      <c r="B205" s="33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</row>
    <row r="206" spans="1:17" x14ac:dyDescent="0.2">
      <c r="B206" s="32" t="s">
        <v>0</v>
      </c>
      <c r="C206" s="31"/>
      <c r="D206" s="31"/>
      <c r="E206" s="31">
        <f t="shared" ref="E206:K206" si="51">E204+E202+E170+E168+E164+E160+E156+E152+E151+E148+E146+E144+E142+E140+E136+E135+E133+E99+E101+E103+E105+E131+E127+E125+E121+E119+E117+E113+E109+E97+E91+E154+E153</f>
        <v>211151</v>
      </c>
      <c r="F206" s="31">
        <f t="shared" si="51"/>
        <v>210676</v>
      </c>
      <c r="G206" s="31">
        <f t="shared" si="51"/>
        <v>210477</v>
      </c>
      <c r="H206" s="31">
        <f t="shared" si="51"/>
        <v>210269</v>
      </c>
      <c r="I206" s="31">
        <f t="shared" si="51"/>
        <v>209780</v>
      </c>
      <c r="J206" s="31">
        <f t="shared" si="51"/>
        <v>209378</v>
      </c>
      <c r="K206" s="31">
        <f t="shared" si="51"/>
        <v>209317</v>
      </c>
      <c r="L206" s="31">
        <f t="shared" ref="L206:N206" si="52">L204+L202+L170+L168+L164+L160+L156+L152+L151+L148+L146+L144+L142+L140+L136+L135+L133+L99+L101+L103+L105+L131+L127+L125+L121+L119+L117+L113+L109+L97+L91+L154+L153</f>
        <v>209046</v>
      </c>
      <c r="M206" s="31">
        <f t="shared" si="52"/>
        <v>209598</v>
      </c>
      <c r="N206" s="31">
        <f t="shared" si="52"/>
        <v>209617</v>
      </c>
      <c r="O206" s="31">
        <f>O204+O202+O170+O168+O164+O160+O156+O152+O151+O148+O146+O144+O142+O140+O136+O135+O133+O99+O101+O103+O105+O131+O127+O125+O121+O119+O117+O113+O109+O97+O91+O154+O153</f>
        <v>208595</v>
      </c>
      <c r="P206" s="31">
        <f>P204+P202+P170+P168+P164+P160+P156+P152+P151+P148+P146+P144+P142+P140+P136+P135+P133+P99+P101+P103+P105+P131+P127+P125+P121+P119+P117+P113+P109+P97+P91+P154+P153</f>
        <v>209447</v>
      </c>
      <c r="Q206" s="31">
        <f>AVERAGE(E206:P206)</f>
        <v>209779.25</v>
      </c>
    </row>
    <row r="207" spans="1:17" x14ac:dyDescent="0.2">
      <c r="B207" s="33"/>
    </row>
    <row r="208" spans="1:17" x14ac:dyDescent="0.2">
      <c r="A208" s="32" t="s">
        <v>240</v>
      </c>
      <c r="B208" s="34" t="s">
        <v>78</v>
      </c>
      <c r="C208" s="31"/>
      <c r="D208" s="31"/>
      <c r="E208" s="31">
        <f>E206-E78</f>
        <v>0</v>
      </c>
      <c r="F208" s="31">
        <f t="shared" ref="F208:P208" si="53">F206-F78</f>
        <v>0</v>
      </c>
      <c r="G208" s="31">
        <f t="shared" si="53"/>
        <v>0</v>
      </c>
      <c r="H208" s="31">
        <f t="shared" si="53"/>
        <v>0</v>
      </c>
      <c r="I208" s="31">
        <f t="shared" si="53"/>
        <v>0</v>
      </c>
      <c r="J208" s="31">
        <f t="shared" si="53"/>
        <v>0</v>
      </c>
      <c r="K208" s="31">
        <f t="shared" si="53"/>
        <v>0</v>
      </c>
      <c r="L208" s="31">
        <f t="shared" si="53"/>
        <v>0</v>
      </c>
      <c r="M208" s="31">
        <f t="shared" si="53"/>
        <v>0</v>
      </c>
      <c r="N208" s="31">
        <f t="shared" si="53"/>
        <v>0</v>
      </c>
      <c r="O208" s="31">
        <f t="shared" si="53"/>
        <v>0</v>
      </c>
      <c r="P208" s="31">
        <f t="shared" si="53"/>
        <v>0</v>
      </c>
    </row>
    <row r="209" spans="2:17" x14ac:dyDescent="0.2">
      <c r="B209" s="34"/>
      <c r="Q209" s="31"/>
    </row>
    <row r="210" spans="2:17" x14ac:dyDescent="0.2">
      <c r="B210" s="34" t="s">
        <v>238</v>
      </c>
      <c r="E210" s="92">
        <f>164838+46313</f>
        <v>211151</v>
      </c>
      <c r="F210" s="92">
        <f>164621+46055</f>
        <v>210676</v>
      </c>
      <c r="G210" s="92">
        <f>164353+46124</f>
        <v>210477</v>
      </c>
      <c r="H210" s="92">
        <f>164231+46038</f>
        <v>210269</v>
      </c>
      <c r="I210" s="92">
        <f>163903+45877</f>
        <v>209780</v>
      </c>
      <c r="J210" s="92">
        <f>163302+46076</f>
        <v>209378</v>
      </c>
      <c r="K210" s="92">
        <f>163131+46186</f>
        <v>209317</v>
      </c>
      <c r="L210" s="92">
        <f>163166+45880</f>
        <v>209046</v>
      </c>
      <c r="M210" s="92">
        <f>163242+46356</f>
        <v>209598</v>
      </c>
      <c r="N210" s="92">
        <f>163106+46511</f>
        <v>209617</v>
      </c>
      <c r="O210" s="92">
        <f>162625+45970</f>
        <v>208595</v>
      </c>
      <c r="P210" s="92">
        <f>163416+46031</f>
        <v>209447</v>
      </c>
      <c r="Q210" s="92">
        <f>163661.166666667+46118.08</f>
        <v>209779.24666666699</v>
      </c>
    </row>
    <row r="211" spans="2:17" x14ac:dyDescent="0.2">
      <c r="B211" s="32" t="s">
        <v>239</v>
      </c>
      <c r="E211" s="95">
        <f>E206-E210</f>
        <v>0</v>
      </c>
      <c r="F211" s="95">
        <f t="shared" ref="F211:M211" si="54">F206-F210</f>
        <v>0</v>
      </c>
      <c r="G211" s="95">
        <f t="shared" si="54"/>
        <v>0</v>
      </c>
      <c r="H211" s="95">
        <f t="shared" si="54"/>
        <v>0</v>
      </c>
      <c r="I211" s="95">
        <f t="shared" si="54"/>
        <v>0</v>
      </c>
      <c r="J211" s="95">
        <f t="shared" si="54"/>
        <v>0</v>
      </c>
      <c r="K211" s="95">
        <f t="shared" si="54"/>
        <v>0</v>
      </c>
      <c r="L211" s="95">
        <f t="shared" si="54"/>
        <v>0</v>
      </c>
      <c r="M211" s="95">
        <f t="shared" si="54"/>
        <v>0</v>
      </c>
      <c r="N211" s="95">
        <f>N206-N210</f>
        <v>0</v>
      </c>
      <c r="O211" s="95">
        <f>O206-O210</f>
        <v>0</v>
      </c>
      <c r="P211" s="95">
        <f>P206-P210</f>
        <v>0</v>
      </c>
      <c r="Q211" s="95">
        <f>Q206-Q210</f>
        <v>3.3333330065943301E-3</v>
      </c>
    </row>
    <row r="212" spans="2:17" x14ac:dyDescent="0.2">
      <c r="B212" s="32" t="s">
        <v>172</v>
      </c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</row>
    <row r="213" spans="2:17" x14ac:dyDescent="0.2">
      <c r="B213" s="32" t="s">
        <v>174</v>
      </c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</row>
    <row r="214" spans="2:17" x14ac:dyDescent="0.2">
      <c r="B214" s="32" t="s">
        <v>0</v>
      </c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</row>
    <row r="215" spans="2:17" x14ac:dyDescent="0.2">
      <c r="B215" s="32" t="s">
        <v>173</v>
      </c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</row>
    <row r="217" spans="2:17" x14ac:dyDescent="0.2">
      <c r="B217" s="51" t="s">
        <v>304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B70"/>
  <sheetViews>
    <sheetView zoomScaleNormal="100" workbookViewId="0">
      <selection activeCell="H48" sqref="H48"/>
    </sheetView>
  </sheetViews>
  <sheetFormatPr defaultColWidth="9.140625" defaultRowHeight="15" x14ac:dyDescent="0.25"/>
  <cols>
    <col min="1" max="1" width="32.5703125" style="24" customWidth="1"/>
    <col min="2" max="16384" width="9.140625" style="24"/>
  </cols>
  <sheetData>
    <row r="6" spans="1:2" ht="15.75" x14ac:dyDescent="0.25">
      <c r="A6" s="74" t="s">
        <v>22</v>
      </c>
    </row>
    <row r="7" spans="1:2" ht="15.75" x14ac:dyDescent="0.25">
      <c r="A7" s="75"/>
    </row>
    <row r="10" spans="1:2" x14ac:dyDescent="0.25">
      <c r="A10" s="24" t="s">
        <v>21</v>
      </c>
      <c r="B10" s="76" t="s">
        <v>152</v>
      </c>
    </row>
    <row r="12" spans="1:2" x14ac:dyDescent="0.25">
      <c r="A12" s="24" t="s">
        <v>20</v>
      </c>
      <c r="B12" s="77" t="s">
        <v>145</v>
      </c>
    </row>
    <row r="14" spans="1:2" x14ac:dyDescent="0.25">
      <c r="A14" s="24" t="s">
        <v>19</v>
      </c>
    </row>
    <row r="16" spans="1:2" x14ac:dyDescent="0.25">
      <c r="A16" s="24" t="s">
        <v>18</v>
      </c>
      <c r="B16" s="77" t="s">
        <v>146</v>
      </c>
    </row>
    <row r="18" spans="1:2" x14ac:dyDescent="0.25">
      <c r="A18" s="24" t="s">
        <v>17</v>
      </c>
    </row>
    <row r="20" spans="1:2" x14ac:dyDescent="0.25">
      <c r="A20" s="24" t="s">
        <v>16</v>
      </c>
    </row>
    <row r="22" spans="1:2" x14ac:dyDescent="0.25">
      <c r="A22" s="24" t="s">
        <v>15</v>
      </c>
    </row>
    <row r="24" spans="1:2" x14ac:dyDescent="0.25">
      <c r="A24" s="24" t="s">
        <v>14</v>
      </c>
      <c r="B24" s="77" t="s">
        <v>147</v>
      </c>
    </row>
    <row r="26" spans="1:2" x14ac:dyDescent="0.25">
      <c r="A26" s="24" t="s">
        <v>13</v>
      </c>
    </row>
    <row r="28" spans="1:2" x14ac:dyDescent="0.25">
      <c r="A28" s="24" t="s">
        <v>12</v>
      </c>
      <c r="B28" s="77" t="s">
        <v>148</v>
      </c>
    </row>
    <row r="30" spans="1:2" x14ac:dyDescent="0.25">
      <c r="A30" s="24" t="s">
        <v>11</v>
      </c>
    </row>
    <row r="32" spans="1:2" x14ac:dyDescent="0.25">
      <c r="A32" s="24" t="s">
        <v>10</v>
      </c>
    </row>
    <row r="34" spans="1:2" x14ac:dyDescent="0.25">
      <c r="A34" s="24" t="s">
        <v>9</v>
      </c>
      <c r="B34" s="77" t="s">
        <v>149</v>
      </c>
    </row>
    <row r="36" spans="1:2" x14ac:dyDescent="0.25">
      <c r="A36" s="24" t="s">
        <v>8</v>
      </c>
    </row>
    <row r="38" spans="1:2" x14ac:dyDescent="0.25">
      <c r="A38" s="24" t="s">
        <v>7</v>
      </c>
      <c r="B38" s="77" t="s">
        <v>150</v>
      </c>
    </row>
    <row r="40" spans="1:2" x14ac:dyDescent="0.25">
      <c r="A40" s="24" t="s">
        <v>6</v>
      </c>
    </row>
    <row r="42" spans="1:2" x14ac:dyDescent="0.25">
      <c r="A42" s="24" t="s">
        <v>118</v>
      </c>
    </row>
    <row r="44" spans="1:2" x14ac:dyDescent="0.25">
      <c r="A44" s="24" t="s">
        <v>5</v>
      </c>
      <c r="B44" s="77" t="s">
        <v>151</v>
      </c>
    </row>
    <row r="46" spans="1:2" x14ac:dyDescent="0.25">
      <c r="A46" s="24" t="s">
        <v>4</v>
      </c>
    </row>
    <row r="48" spans="1:2" x14ac:dyDescent="0.25">
      <c r="A48" s="24" t="s">
        <v>3</v>
      </c>
    </row>
    <row r="50" spans="1:1" x14ac:dyDescent="0.25">
      <c r="A50" s="24" t="s">
        <v>119</v>
      </c>
    </row>
    <row r="52" spans="1:1" x14ac:dyDescent="0.25">
      <c r="A52" s="24" t="s">
        <v>120</v>
      </c>
    </row>
    <row r="54" spans="1:1" x14ac:dyDescent="0.25">
      <c r="A54" s="24" t="s">
        <v>121</v>
      </c>
    </row>
    <row r="56" spans="1:1" x14ac:dyDescent="0.25">
      <c r="A56" s="24" t="s">
        <v>122</v>
      </c>
    </row>
    <row r="58" spans="1:1" x14ac:dyDescent="0.25">
      <c r="A58" s="24" t="s">
        <v>123</v>
      </c>
    </row>
    <row r="60" spans="1:1" x14ac:dyDescent="0.25">
      <c r="A60" s="24" t="s">
        <v>124</v>
      </c>
    </row>
    <row r="62" spans="1:1" x14ac:dyDescent="0.25">
      <c r="A62" s="24" t="s">
        <v>125</v>
      </c>
    </row>
    <row r="64" spans="1:1" x14ac:dyDescent="0.25">
      <c r="A64" s="24" t="s">
        <v>126</v>
      </c>
    </row>
    <row r="66" spans="1:1" x14ac:dyDescent="0.25">
      <c r="A66" s="24" t="s">
        <v>2</v>
      </c>
    </row>
    <row r="68" spans="1:1" x14ac:dyDescent="0.25">
      <c r="A68" s="24" t="s">
        <v>1</v>
      </c>
    </row>
    <row r="70" spans="1:1" x14ac:dyDescent="0.25">
      <c r="A70" s="24" t="s">
        <v>0</v>
      </c>
    </row>
  </sheetData>
  <pageMargins left="0.7" right="0.7" top="0.75" bottom="0.75" header="0.3" footer="0.3"/>
  <pageSetup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86"/>
  <sheetViews>
    <sheetView zoomScale="90" zoomScaleNormal="90" workbookViewId="0">
      <pane xSplit="1" ySplit="10" topLeftCell="H1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L1" sqref="L1"/>
    </sheetView>
  </sheetViews>
  <sheetFormatPr defaultColWidth="9.140625" defaultRowHeight="15.75" outlineLevelCol="2" x14ac:dyDescent="0.25"/>
  <cols>
    <col min="1" max="1" width="25.28515625" style="26" customWidth="1"/>
    <col min="2" max="3" width="15" style="26" hidden="1" customWidth="1" outlineLevel="2"/>
    <col min="4" max="4" width="15" style="26" customWidth="1" outlineLevel="2"/>
    <col min="5" max="5" width="12.7109375" style="26" customWidth="1" outlineLevel="2"/>
    <col min="6" max="7" width="13.5703125" style="26" customWidth="1" outlineLevel="2"/>
    <col min="8" max="12" width="12.7109375" style="26" customWidth="1" outlineLevel="2"/>
    <col min="13" max="15" width="14.28515625" style="26" bestFit="1" customWidth="1" outlineLevel="2"/>
    <col min="16" max="16" width="14.28515625" style="26" customWidth="1"/>
    <col min="17" max="18" width="9.140625" style="26"/>
    <col min="19" max="19" width="23.85546875" style="26" bestFit="1" customWidth="1"/>
    <col min="20" max="16384" width="9.140625" style="26"/>
  </cols>
  <sheetData>
    <row r="1" spans="1:20" x14ac:dyDescent="0.25">
      <c r="A1" s="26" t="s">
        <v>70</v>
      </c>
      <c r="D1" s="150"/>
      <c r="L1" s="26">
        <f>8/31</f>
        <v>0.25806451612903225</v>
      </c>
    </row>
    <row r="2" spans="1:20" x14ac:dyDescent="0.25">
      <c r="A2" s="26" t="s">
        <v>71</v>
      </c>
    </row>
    <row r="3" spans="1:20" x14ac:dyDescent="0.25">
      <c r="A3" s="26" t="str">
        <f>'B&amp;A kWh'!B3</f>
        <v>TEST YEAR ENDED March 31, 2023</v>
      </c>
    </row>
    <row r="4" spans="1:20" x14ac:dyDescent="0.25">
      <c r="A4" s="26" t="s">
        <v>81</v>
      </c>
    </row>
    <row r="5" spans="1:20" x14ac:dyDescent="0.25">
      <c r="A5" s="26" t="s">
        <v>86</v>
      </c>
    </row>
    <row r="6" spans="1:20" x14ac:dyDescent="0.25">
      <c r="A6" s="26" t="s">
        <v>131</v>
      </c>
      <c r="L6" s="26" t="s">
        <v>316</v>
      </c>
    </row>
    <row r="7" spans="1:20" x14ac:dyDescent="0.25">
      <c r="D7" s="26">
        <v>2022</v>
      </c>
      <c r="O7" s="26">
        <v>2023</v>
      </c>
      <c r="P7" s="32" t="s">
        <v>293</v>
      </c>
    </row>
    <row r="8" spans="1:20" x14ac:dyDescent="0.25">
      <c r="A8" s="7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20" s="155" customFormat="1" x14ac:dyDescent="0.25">
      <c r="A9" s="26" t="s">
        <v>129</v>
      </c>
      <c r="D9" s="60">
        <v>1.578E-3</v>
      </c>
      <c r="E9" s="60">
        <v>1.578E-3</v>
      </c>
      <c r="F9" s="60">
        <v>1.578E-3</v>
      </c>
      <c r="G9" s="60">
        <v>1.578E-3</v>
      </c>
      <c r="H9" s="60">
        <v>1.745E-3</v>
      </c>
      <c r="I9" s="60">
        <v>1.745E-3</v>
      </c>
      <c r="J9" s="60">
        <v>1.745E-3</v>
      </c>
      <c r="K9" s="60">
        <v>1.745E-3</v>
      </c>
      <c r="L9" s="60">
        <v>1.745E-3</v>
      </c>
      <c r="M9" s="60">
        <v>0</v>
      </c>
      <c r="N9" s="60">
        <v>0</v>
      </c>
      <c r="O9" s="60">
        <v>0</v>
      </c>
      <c r="P9" s="26"/>
    </row>
    <row r="10" spans="1:20" s="155" customFormat="1" x14ac:dyDescent="0.25">
      <c r="A10" s="26" t="s">
        <v>128</v>
      </c>
      <c r="D10" s="60">
        <v>7.6999999999999996E-4</v>
      </c>
      <c r="E10" s="60">
        <v>7.6999999999999996E-4</v>
      </c>
      <c r="F10" s="60">
        <v>7.6999999999999996E-4</v>
      </c>
      <c r="G10" s="60">
        <v>7.6999999999999996E-4</v>
      </c>
      <c r="H10" s="60">
        <v>8.2799999999999996E-4</v>
      </c>
      <c r="I10" s="60">
        <v>8.2799999999999996E-4</v>
      </c>
      <c r="J10" s="60">
        <v>8.2799999999999996E-4</v>
      </c>
      <c r="K10" s="60">
        <v>8.2799999999999996E-4</v>
      </c>
      <c r="L10" s="60">
        <v>8.2799999999999996E-4</v>
      </c>
      <c r="M10" s="60">
        <v>0</v>
      </c>
      <c r="N10" s="60">
        <v>0</v>
      </c>
      <c r="O10" s="60">
        <v>0</v>
      </c>
      <c r="P10" s="26"/>
    </row>
    <row r="11" spans="1:20" x14ac:dyDescent="0.25">
      <c r="S11" s="26" t="s">
        <v>269</v>
      </c>
      <c r="T11" s="26" t="s">
        <v>268</v>
      </c>
    </row>
    <row r="12" spans="1:20" x14ac:dyDescent="0.25">
      <c r="A12" s="24" t="s">
        <v>21</v>
      </c>
      <c r="B12" s="13">
        <f>ROUND(B$9*'B&amp;A kWh'!C10,2)</f>
        <v>0</v>
      </c>
      <c r="C12" s="13">
        <f>ROUND(C$9*'B&amp;A kWh'!D10,2)</f>
        <v>0</v>
      </c>
      <c r="D12" s="13">
        <f>ROUND(D$9*'B&amp;A kWh'!E10,2)</f>
        <v>198163.76</v>
      </c>
      <c r="E12" s="13">
        <f>ROUND(E$9*'B&amp;A kWh'!F10,2)</f>
        <v>179358</v>
      </c>
      <c r="F12" s="13">
        <f>ROUND(F$9*'B&amp;A kWh'!G10,2)</f>
        <v>225285.43</v>
      </c>
      <c r="G12" s="13">
        <f>ROUND(G$9*'B&amp;A kWh'!H10,2)</f>
        <v>259812.78</v>
      </c>
      <c r="H12" s="13">
        <f>ROUND(H$9*'B&amp;A kWh'!I10,2)</f>
        <v>281774.40999999997</v>
      </c>
      <c r="I12" s="13">
        <f>ROUND(I$9*'B&amp;A kWh'!J10,2)</f>
        <v>210330.48</v>
      </c>
      <c r="J12" s="13">
        <f>ROUND(J$9*'B&amp;A kWh'!K10,2)</f>
        <v>200781.33</v>
      </c>
      <c r="K12" s="13">
        <f>ROUND(K$9*'B&amp;A kWh'!L10,2)</f>
        <v>255507.39</v>
      </c>
      <c r="L12" s="13">
        <f>L$9*'B&amp;A kWh'!M10*$L$1</f>
        <v>99850.909339354839</v>
      </c>
      <c r="M12" s="13">
        <f>ROUND(M$9*'B&amp;A kWh'!N10,2)</f>
        <v>0</v>
      </c>
      <c r="N12" s="13">
        <f>ROUND(N$9*'B&amp;A kWh'!O10,2)</f>
        <v>0</v>
      </c>
      <c r="O12" s="13">
        <f>ROUND(O$9*'B&amp;A kWh'!P10,2)</f>
        <v>0</v>
      </c>
      <c r="P12" s="13">
        <f>SUM(D12:O12)</f>
        <v>1910864.4893393549</v>
      </c>
      <c r="S12" s="26" t="s">
        <v>21</v>
      </c>
      <c r="T12" s="26">
        <v>10</v>
      </c>
    </row>
    <row r="13" spans="1:20" x14ac:dyDescent="0.25">
      <c r="A13" s="24"/>
      <c r="L13" s="13"/>
      <c r="T13" s="26">
        <v>11</v>
      </c>
    </row>
    <row r="14" spans="1:20" x14ac:dyDescent="0.25">
      <c r="A14" s="24" t="s">
        <v>20</v>
      </c>
      <c r="B14" s="13">
        <f>ROUND(B$9*'B&amp;A kWh'!C12,2)</f>
        <v>0</v>
      </c>
      <c r="C14" s="13">
        <f>ROUND(C$9*'B&amp;A kWh'!D12,2)</f>
        <v>0</v>
      </c>
      <c r="D14" s="13">
        <f>ROUND(D$9*'B&amp;A kWh'!E12,2)</f>
        <v>278.64999999999998</v>
      </c>
      <c r="E14" s="13">
        <f>ROUND(E$9*'B&amp;A kWh'!F12,2)</f>
        <v>251.28</v>
      </c>
      <c r="F14" s="13">
        <f>ROUND(F$9*'B&amp;A kWh'!G12,2)</f>
        <v>316.44</v>
      </c>
      <c r="G14" s="13">
        <f>ROUND(G$9*'B&amp;A kWh'!H12,2)</f>
        <v>381.7</v>
      </c>
      <c r="H14" s="13">
        <f>ROUND(H$9*'B&amp;A kWh'!I12,2)</f>
        <v>401.15</v>
      </c>
      <c r="I14" s="13">
        <f>ROUND(I$9*'B&amp;A kWh'!J12,2)</f>
        <v>329.91</v>
      </c>
      <c r="J14" s="13">
        <f>ROUND(J$9*'B&amp;A kWh'!K12,2)</f>
        <v>280.32</v>
      </c>
      <c r="K14" s="13">
        <f>ROUND(K$9*'B&amp;A kWh'!L12,2)</f>
        <v>349.08</v>
      </c>
      <c r="L14" s="13">
        <f>L$9*'B&amp;A kWh'!M12*$L$1</f>
        <v>162.81232774193549</v>
      </c>
      <c r="M14" s="13">
        <f>ROUND(M$9*'B&amp;A kWh'!N12,2)</f>
        <v>0</v>
      </c>
      <c r="N14" s="13">
        <f>ROUND(N$9*'B&amp;A kWh'!O12,2)</f>
        <v>0</v>
      </c>
      <c r="O14" s="13">
        <f>ROUND(O$9*'B&amp;A kWh'!P12,2)</f>
        <v>0</v>
      </c>
      <c r="P14" s="13">
        <f t="shared" ref="P14" si="0">SUM(D14:O14)</f>
        <v>2751.3423277419352</v>
      </c>
      <c r="S14" s="26" t="s">
        <v>20</v>
      </c>
      <c r="T14" s="26">
        <v>12</v>
      </c>
    </row>
    <row r="15" spans="1:20" x14ac:dyDescent="0.25">
      <c r="A15" s="24"/>
      <c r="L15" s="13"/>
      <c r="T15" s="26">
        <v>13</v>
      </c>
    </row>
    <row r="16" spans="1:20" x14ac:dyDescent="0.25">
      <c r="A16" s="24" t="s">
        <v>19</v>
      </c>
      <c r="B16" s="13">
        <f>ROUND(B$9*'B&amp;A kWh'!C14,2)</f>
        <v>0</v>
      </c>
      <c r="C16" s="13">
        <f>ROUND(C$9*'B&amp;A kWh'!D14,2)</f>
        <v>0</v>
      </c>
      <c r="D16" s="13">
        <f>ROUND(D$9*'B&amp;A kWh'!E14,2)</f>
        <v>8.34</v>
      </c>
      <c r="E16" s="13">
        <f>ROUND(E$9*'B&amp;A kWh'!F14,2)</f>
        <v>7.39</v>
      </c>
      <c r="F16" s="13">
        <f>ROUND(F$9*'B&amp;A kWh'!G14,2)</f>
        <v>10.47</v>
      </c>
      <c r="G16" s="13">
        <f>ROUND(G$9*'B&amp;A kWh'!H14,2)</f>
        <v>12.16</v>
      </c>
      <c r="H16" s="13">
        <f>ROUND(H$9*'B&amp;A kWh'!I14,2)</f>
        <v>15.97</v>
      </c>
      <c r="I16" s="13">
        <f>ROUND(I$9*'B&amp;A kWh'!J14,2)</f>
        <v>13.74</v>
      </c>
      <c r="J16" s="13">
        <f>ROUND(J$9*'B&amp;A kWh'!K14,2)</f>
        <v>13.25</v>
      </c>
      <c r="K16" s="13">
        <f>ROUND(K$9*'B&amp;A kWh'!L14,2)</f>
        <v>7.77</v>
      </c>
      <c r="L16" s="13">
        <f>L$9*'B&amp;A kWh'!M14*$L$1</f>
        <v>7.5059767741935488</v>
      </c>
      <c r="M16" s="13">
        <f>ROUND(M$9*'B&amp;A kWh'!N14,2)</f>
        <v>0</v>
      </c>
      <c r="N16" s="13">
        <f>ROUND(N$9*'B&amp;A kWh'!O14,2)</f>
        <v>0</v>
      </c>
      <c r="O16" s="13">
        <f>ROUND(O$9*'B&amp;A kWh'!P14,2)</f>
        <v>0</v>
      </c>
      <c r="P16" s="13">
        <f t="shared" ref="P16" si="1">SUM(D16:O16)</f>
        <v>96.595976774193531</v>
      </c>
      <c r="S16" s="26" t="s">
        <v>19</v>
      </c>
      <c r="T16" s="26">
        <v>14</v>
      </c>
    </row>
    <row r="17" spans="1:20" x14ac:dyDescent="0.25">
      <c r="A17" s="24"/>
      <c r="L17" s="13"/>
      <c r="T17" s="26">
        <v>15</v>
      </c>
    </row>
    <row r="18" spans="1:20" x14ac:dyDescent="0.25">
      <c r="A18" s="43" t="s">
        <v>172</v>
      </c>
      <c r="D18" s="13">
        <f>ROUND(D$9*'B&amp;A kWh'!E16,2)</f>
        <v>0</v>
      </c>
      <c r="E18" s="13">
        <f>ROUND(E$9*'B&amp;A kWh'!F16,2)</f>
        <v>0</v>
      </c>
      <c r="F18" s="13">
        <f>ROUND(F$9*'B&amp;A kWh'!G16,2)</f>
        <v>0</v>
      </c>
      <c r="G18" s="13">
        <f>ROUND(G$9*'B&amp;A kWh'!H16,2)</f>
        <v>0</v>
      </c>
      <c r="H18" s="13">
        <f>ROUND(H$9*'B&amp;A kWh'!I16,2)</f>
        <v>0</v>
      </c>
      <c r="I18" s="13">
        <f>ROUND(I$9*'B&amp;A kWh'!J16,2)</f>
        <v>0</v>
      </c>
      <c r="J18" s="13">
        <f>ROUND(J$9*'B&amp;A kWh'!K16,2)</f>
        <v>0</v>
      </c>
      <c r="K18" s="13">
        <f>ROUND(K$9*'B&amp;A kWh'!L16,2)</f>
        <v>0</v>
      </c>
      <c r="L18" s="13">
        <f>L$9*'B&amp;A kWh'!M16*$L$1</f>
        <v>0</v>
      </c>
      <c r="M18" s="13">
        <f>ROUND(M$9*'B&amp;A kWh'!N16,2)</f>
        <v>0</v>
      </c>
      <c r="N18" s="13">
        <f>ROUND(N$9*'B&amp;A kWh'!O16,2)</f>
        <v>0</v>
      </c>
      <c r="O18" s="13">
        <f>ROUND(O$9*'B&amp;A kWh'!P16,2)</f>
        <v>0</v>
      </c>
      <c r="P18" s="13">
        <f t="shared" ref="P18:P20" si="2">SUM(D18:O18)</f>
        <v>0</v>
      </c>
      <c r="S18" s="26" t="s">
        <v>172</v>
      </c>
      <c r="T18" s="26">
        <v>16</v>
      </c>
    </row>
    <row r="19" spans="1:20" x14ac:dyDescent="0.25">
      <c r="A19" s="43" t="s">
        <v>174</v>
      </c>
      <c r="D19" s="13">
        <f>D20-D18</f>
        <v>4274.3999999999996</v>
      </c>
      <c r="E19" s="13">
        <f t="shared" ref="E19:O19" si="3">E20-E18</f>
        <v>4329.74</v>
      </c>
      <c r="F19" s="13">
        <f t="shared" si="3"/>
        <v>3556.47</v>
      </c>
      <c r="G19" s="13">
        <f t="shared" si="3"/>
        <v>3796.28</v>
      </c>
      <c r="H19" s="13">
        <f t="shared" si="3"/>
        <v>5212.09</v>
      </c>
      <c r="I19" s="13">
        <f t="shared" si="3"/>
        <v>5091.1400000000003</v>
      </c>
      <c r="J19" s="13">
        <f t="shared" si="3"/>
        <v>7354.07</v>
      </c>
      <c r="K19" s="13">
        <f t="shared" si="3"/>
        <v>7967.23</v>
      </c>
      <c r="L19" s="13">
        <f t="shared" si="3"/>
        <v>1688.1206554838709</v>
      </c>
      <c r="M19" s="13">
        <f t="shared" si="3"/>
        <v>0</v>
      </c>
      <c r="N19" s="13">
        <f t="shared" si="3"/>
        <v>0</v>
      </c>
      <c r="O19" s="13">
        <f t="shared" si="3"/>
        <v>0</v>
      </c>
      <c r="P19" s="13">
        <f t="shared" si="2"/>
        <v>43269.54065548387</v>
      </c>
      <c r="S19" s="26" t="s">
        <v>174</v>
      </c>
      <c r="T19" s="26">
        <v>17</v>
      </c>
    </row>
    <row r="20" spans="1:20" x14ac:dyDescent="0.25">
      <c r="A20" s="24" t="s">
        <v>18</v>
      </c>
      <c r="B20" s="13">
        <f>ROUND(B$9*'B&amp;A kWh'!C18,2)</f>
        <v>0</v>
      </c>
      <c r="C20" s="13">
        <f>ROUND(C$9*'B&amp;A kWh'!D18,2)</f>
        <v>0</v>
      </c>
      <c r="D20" s="13">
        <f>ROUND(D$9*'B&amp;A kWh'!E18,2)</f>
        <v>4274.3999999999996</v>
      </c>
      <c r="E20" s="13">
        <f>ROUND(E$9*'B&amp;A kWh'!F18,2)</f>
        <v>4329.74</v>
      </c>
      <c r="F20" s="13">
        <f>ROUND(F$9*'B&amp;A kWh'!G18,2)</f>
        <v>3556.47</v>
      </c>
      <c r="G20" s="13">
        <f>ROUND(G$9*'B&amp;A kWh'!H18,2)</f>
        <v>3796.28</v>
      </c>
      <c r="H20" s="13">
        <f>ROUND(H$9*'B&amp;A kWh'!I18,2)</f>
        <v>5212.09</v>
      </c>
      <c r="I20" s="13">
        <f>ROUND(I$9*'B&amp;A kWh'!J18,2)</f>
        <v>5091.1400000000003</v>
      </c>
      <c r="J20" s="13">
        <f>ROUND(J$9*'B&amp;A kWh'!K18,2)</f>
        <v>7354.07</v>
      </c>
      <c r="K20" s="13">
        <f>ROUND(K$9*'B&amp;A kWh'!L18,2)</f>
        <v>7967.23</v>
      </c>
      <c r="L20" s="13">
        <f>L$9*'B&amp;A kWh'!M18*$L$1</f>
        <v>1688.1206554838709</v>
      </c>
      <c r="M20" s="13">
        <f>ROUND(M$9*'B&amp;A kWh'!N18,2)</f>
        <v>0</v>
      </c>
      <c r="N20" s="13">
        <f>ROUND(N$9*'B&amp;A kWh'!O18,2)</f>
        <v>0</v>
      </c>
      <c r="O20" s="13">
        <f>ROUND(O$9*'B&amp;A kWh'!P18,2)</f>
        <v>0</v>
      </c>
      <c r="P20" s="13">
        <f t="shared" si="2"/>
        <v>43269.54065548387</v>
      </c>
      <c r="S20" s="26" t="s">
        <v>18</v>
      </c>
      <c r="T20" s="26">
        <v>18</v>
      </c>
    </row>
    <row r="21" spans="1:20" x14ac:dyDescent="0.25">
      <c r="A21" s="24"/>
      <c r="L21" s="13"/>
      <c r="T21" s="26">
        <v>19</v>
      </c>
    </row>
    <row r="22" spans="1:20" x14ac:dyDescent="0.25">
      <c r="A22" s="24" t="s">
        <v>17</v>
      </c>
      <c r="B22" s="13">
        <f>ROUND(B$9*'B&amp;A kWh'!C20,2)</f>
        <v>0</v>
      </c>
      <c r="C22" s="13">
        <f>ROUND(C$9*'B&amp;A kWh'!D20,2)</f>
        <v>0</v>
      </c>
      <c r="D22" s="13">
        <f>ROUND(D$9*'B&amp;A kWh'!E20,2)</f>
        <v>15407.4</v>
      </c>
      <c r="E22" s="13">
        <f>ROUND(E$9*'B&amp;A kWh'!F20,2)</f>
        <v>15941.79</v>
      </c>
      <c r="F22" s="13">
        <f>ROUND(F$9*'B&amp;A kWh'!G20,2)</f>
        <v>18404.12</v>
      </c>
      <c r="G22" s="13">
        <f>ROUND(G$9*'B&amp;A kWh'!H20,2)</f>
        <v>19391.23</v>
      </c>
      <c r="H22" s="13">
        <f>ROUND(H$9*'B&amp;A kWh'!I20,2)</f>
        <v>21385.37</v>
      </c>
      <c r="I22" s="13">
        <f>ROUND(I$9*'B&amp;A kWh'!J20,2)</f>
        <v>17985.46</v>
      </c>
      <c r="J22" s="13">
        <f>ROUND(J$9*'B&amp;A kWh'!K20,2)</f>
        <v>17692.39</v>
      </c>
      <c r="K22" s="13">
        <f>ROUND(K$9*'B&amp;A kWh'!L20,2)</f>
        <v>19402.11</v>
      </c>
      <c r="L22" s="13">
        <f>L$9*'B&amp;A kWh'!M20*$L$1</f>
        <v>6533.218305806452</v>
      </c>
      <c r="M22" s="13">
        <f>ROUND(M$9*'B&amp;A kWh'!N20,2)</f>
        <v>0</v>
      </c>
      <c r="N22" s="13">
        <f>ROUND(N$9*'B&amp;A kWh'!O20,2)</f>
        <v>0</v>
      </c>
      <c r="O22" s="13">
        <f>ROUND(O$9*'B&amp;A kWh'!P20,2)</f>
        <v>0</v>
      </c>
      <c r="P22" s="13">
        <f t="shared" ref="P22:P78" si="4">SUM(D22:O22)</f>
        <v>152143.08830580645</v>
      </c>
      <c r="S22" s="26" t="s">
        <v>17</v>
      </c>
      <c r="T22" s="26">
        <v>20</v>
      </c>
    </row>
    <row r="23" spans="1:20" x14ac:dyDescent="0.25">
      <c r="A23" s="24"/>
      <c r="L23" s="13"/>
      <c r="T23" s="26">
        <v>21</v>
      </c>
    </row>
    <row r="24" spans="1:20" x14ac:dyDescent="0.25">
      <c r="A24" s="24" t="s">
        <v>16</v>
      </c>
      <c r="B24" s="13">
        <f>ROUND(B$9*'B&amp;A kWh'!C22,2)</f>
        <v>0</v>
      </c>
      <c r="C24" s="13">
        <f>ROUND(C$9*'B&amp;A kWh'!D22,2)</f>
        <v>0</v>
      </c>
      <c r="D24" s="13">
        <f>ROUND(D$9*'B&amp;A kWh'!E22,2)</f>
        <v>118.22</v>
      </c>
      <c r="E24" s="13">
        <f>ROUND(E$9*'B&amp;A kWh'!F22,2)</f>
        <v>119.19</v>
      </c>
      <c r="F24" s="13">
        <f>ROUND(F$9*'B&amp;A kWh'!G22,2)</f>
        <v>122</v>
      </c>
      <c r="G24" s="13">
        <f>ROUND(G$9*'B&amp;A kWh'!H22,2)</f>
        <v>109.76</v>
      </c>
      <c r="H24" s="13">
        <f>ROUND(H$9*'B&amp;A kWh'!I22,2)</f>
        <v>118.01</v>
      </c>
      <c r="I24" s="13">
        <f>ROUND(I$9*'B&amp;A kWh'!J22,2)</f>
        <v>122.87</v>
      </c>
      <c r="J24" s="13">
        <f>ROUND(J$9*'B&amp;A kWh'!K22,2)</f>
        <v>137.88999999999999</v>
      </c>
      <c r="K24" s="13">
        <f>ROUND(K$9*'B&amp;A kWh'!L22,2)</f>
        <v>140.43</v>
      </c>
      <c r="L24" s="13">
        <f>L$9*'B&amp;A kWh'!M22*$L$1</f>
        <v>32.872197419354841</v>
      </c>
      <c r="M24" s="13">
        <f>ROUND(M$9*'B&amp;A kWh'!N22,2)</f>
        <v>0</v>
      </c>
      <c r="N24" s="13">
        <f>ROUND(N$9*'B&amp;A kWh'!O22,2)</f>
        <v>0</v>
      </c>
      <c r="O24" s="13">
        <f>ROUND(O$9*'B&amp;A kWh'!P22,2)</f>
        <v>0</v>
      </c>
      <c r="P24" s="13">
        <f t="shared" si="4"/>
        <v>1021.2421974193547</v>
      </c>
      <c r="S24" s="26" t="s">
        <v>16</v>
      </c>
      <c r="T24" s="26">
        <v>22</v>
      </c>
    </row>
    <row r="25" spans="1:20" x14ac:dyDescent="0.25">
      <c r="A25" s="24"/>
      <c r="L25" s="13"/>
      <c r="T25" s="26">
        <v>23</v>
      </c>
    </row>
    <row r="26" spans="1:20" x14ac:dyDescent="0.25">
      <c r="A26" s="24" t="s">
        <v>15</v>
      </c>
      <c r="B26" s="13">
        <f>ROUND(B$9*'B&amp;A kWh'!C24,2)</f>
        <v>0</v>
      </c>
      <c r="C26" s="13">
        <f>ROUND(C$9*'B&amp;A kWh'!D24,2)</f>
        <v>0</v>
      </c>
      <c r="D26" s="13">
        <f>ROUND(D$9*'B&amp;A kWh'!E24,2)</f>
        <v>1045.25</v>
      </c>
      <c r="E26" s="13">
        <f>ROUND(E$9*'B&amp;A kWh'!F24,2)</f>
        <v>1207.92</v>
      </c>
      <c r="F26" s="13">
        <f>ROUND(F$9*'B&amp;A kWh'!G24,2)</f>
        <v>1240.1099999999999</v>
      </c>
      <c r="G26" s="13">
        <f>ROUND(G$9*'B&amp;A kWh'!H24,2)</f>
        <v>1020.52</v>
      </c>
      <c r="H26" s="13">
        <f>ROUND(H$9*'B&amp;A kWh'!I24,2)</f>
        <v>1206.53</v>
      </c>
      <c r="I26" s="13">
        <f>ROUND(I$9*'B&amp;A kWh'!J24,2)</f>
        <v>1075.75</v>
      </c>
      <c r="J26" s="13">
        <f>ROUND(J$9*'B&amp;A kWh'!K24,2)</f>
        <v>1209.6300000000001</v>
      </c>
      <c r="K26" s="13">
        <f>ROUND(K$9*'B&amp;A kWh'!L24,2)</f>
        <v>1230.67</v>
      </c>
      <c r="L26" s="13">
        <f>L$9*'B&amp;A kWh'!M24*$L$1</f>
        <v>284.75112645161289</v>
      </c>
      <c r="M26" s="13">
        <f>ROUND(M$9*'B&amp;A kWh'!N24,2)</f>
        <v>0</v>
      </c>
      <c r="N26" s="13">
        <f>ROUND(N$9*'B&amp;A kWh'!O24,2)</f>
        <v>0</v>
      </c>
      <c r="O26" s="13">
        <f>ROUND(O$9*'B&amp;A kWh'!P24,2)</f>
        <v>0</v>
      </c>
      <c r="P26" s="13">
        <f t="shared" si="4"/>
        <v>9521.1311264516116</v>
      </c>
      <c r="S26" s="26" t="s">
        <v>15</v>
      </c>
      <c r="T26" s="26">
        <v>24</v>
      </c>
    </row>
    <row r="27" spans="1:20" x14ac:dyDescent="0.25">
      <c r="A27" s="24"/>
      <c r="L27" s="13"/>
      <c r="T27" s="26">
        <v>25</v>
      </c>
    </row>
    <row r="28" spans="1:20" x14ac:dyDescent="0.25">
      <c r="A28" s="24" t="s">
        <v>14</v>
      </c>
      <c r="B28" s="13">
        <f>ROUND(B$9*'B&amp;A kWh'!C26,2)</f>
        <v>0</v>
      </c>
      <c r="C28" s="13">
        <f>ROUND(C$9*'B&amp;A kWh'!D26,2)</f>
        <v>0</v>
      </c>
      <c r="D28" s="13">
        <f>ROUND(D$9*'B&amp;A kWh'!E26,2)</f>
        <v>385.54</v>
      </c>
      <c r="E28" s="13">
        <f>ROUND(E$9*'B&amp;A kWh'!F26,2)</f>
        <v>434.46</v>
      </c>
      <c r="F28" s="13">
        <f>ROUND(F$9*'B&amp;A kWh'!G26,2)</f>
        <v>398.6</v>
      </c>
      <c r="G28" s="13">
        <f>ROUND(G$9*'B&amp;A kWh'!H26,2)</f>
        <v>374.53</v>
      </c>
      <c r="H28" s="13">
        <f>ROUND(H$9*'B&amp;A kWh'!I26,2)</f>
        <v>422.48</v>
      </c>
      <c r="I28" s="13">
        <f>ROUND(I$9*'B&amp;A kWh'!J26,2)</f>
        <v>389.82</v>
      </c>
      <c r="J28" s="13">
        <f>ROUND(J$9*'B&amp;A kWh'!K26,2)</f>
        <v>486.69</v>
      </c>
      <c r="K28" s="13">
        <f>ROUND(K$9*'B&amp;A kWh'!L26,2)</f>
        <v>502.02</v>
      </c>
      <c r="L28" s="13">
        <f>L$9*'B&amp;A kWh'!M26*$L$1</f>
        <v>140.48758580645162</v>
      </c>
      <c r="M28" s="13">
        <f>ROUND(M$9*'B&amp;A kWh'!N26,2)</f>
        <v>0</v>
      </c>
      <c r="N28" s="13">
        <f>ROUND(N$9*'B&amp;A kWh'!O26,2)</f>
        <v>0</v>
      </c>
      <c r="O28" s="13">
        <f>ROUND(O$9*'B&amp;A kWh'!P26,2)</f>
        <v>0</v>
      </c>
      <c r="P28" s="13">
        <f t="shared" si="4"/>
        <v>3534.6275858064514</v>
      </c>
      <c r="S28" s="26" t="s">
        <v>14</v>
      </c>
      <c r="T28" s="26">
        <v>26</v>
      </c>
    </row>
    <row r="29" spans="1:20" x14ac:dyDescent="0.25">
      <c r="A29" s="24"/>
      <c r="L29" s="13"/>
      <c r="T29" s="26">
        <v>27</v>
      </c>
    </row>
    <row r="30" spans="1:20" x14ac:dyDescent="0.25">
      <c r="A30" s="24" t="s">
        <v>13</v>
      </c>
      <c r="B30" s="13">
        <f>ROUND(B$9*'B&amp;A kWh'!C28,2)</f>
        <v>0</v>
      </c>
      <c r="C30" s="13">
        <f>ROUND(C$9*'B&amp;A kWh'!D28,2)</f>
        <v>0</v>
      </c>
      <c r="D30" s="13">
        <f>ROUND(D$9*'B&amp;A kWh'!E28,2)</f>
        <v>291.83999999999997</v>
      </c>
      <c r="E30" s="13">
        <f>ROUND(E$9*'B&amp;A kWh'!F28,2)</f>
        <v>213.7</v>
      </c>
      <c r="F30" s="13">
        <f>ROUND(F$9*'B&amp;A kWh'!G28,2)</f>
        <v>119.17</v>
      </c>
      <c r="G30" s="13">
        <f>ROUND(G$9*'B&amp;A kWh'!H28,2)</f>
        <v>99.92</v>
      </c>
      <c r="H30" s="13">
        <f>ROUND(H$9*'B&amp;A kWh'!I28,2)</f>
        <v>147.25</v>
      </c>
      <c r="I30" s="13">
        <f>ROUND(I$9*'B&amp;A kWh'!J28,2)</f>
        <v>157.99</v>
      </c>
      <c r="J30" s="13">
        <f>ROUND(J$9*'B&amp;A kWh'!K28,2)</f>
        <v>232.76</v>
      </c>
      <c r="K30" s="13">
        <f>ROUND(K$9*'B&amp;A kWh'!L28,2)</f>
        <v>223.32</v>
      </c>
      <c r="L30" s="13">
        <f>L$9*'B&amp;A kWh'!M28*$L$1</f>
        <v>51.719548387096772</v>
      </c>
      <c r="M30" s="13">
        <f>ROUND(M$9*'B&amp;A kWh'!N28,2)</f>
        <v>0</v>
      </c>
      <c r="N30" s="13">
        <f>ROUND(N$9*'B&amp;A kWh'!O28,2)</f>
        <v>0</v>
      </c>
      <c r="O30" s="13">
        <f>ROUND(O$9*'B&amp;A kWh'!P28,2)</f>
        <v>0</v>
      </c>
      <c r="P30" s="13">
        <f t="shared" si="4"/>
        <v>1537.6695483870965</v>
      </c>
      <c r="S30" s="26" t="s">
        <v>13</v>
      </c>
      <c r="T30" s="26">
        <v>28</v>
      </c>
    </row>
    <row r="31" spans="1:20" x14ac:dyDescent="0.25">
      <c r="A31" s="24"/>
      <c r="L31" s="13"/>
      <c r="T31" s="26">
        <v>29</v>
      </c>
    </row>
    <row r="32" spans="1:20" x14ac:dyDescent="0.25">
      <c r="A32" s="24" t="s">
        <v>12</v>
      </c>
      <c r="B32" s="13">
        <f>ROUND(B$9*'B&amp;A kWh'!C30,2)</f>
        <v>0</v>
      </c>
      <c r="C32" s="13">
        <f>ROUND(C$9*'B&amp;A kWh'!D30,2)</f>
        <v>0</v>
      </c>
      <c r="D32" s="13">
        <f>ROUND(D$9*'B&amp;A kWh'!E30,2)</f>
        <v>48272.75</v>
      </c>
      <c r="E32" s="13">
        <f>ROUND(E$9*'B&amp;A kWh'!F30,2)</f>
        <v>54431.24</v>
      </c>
      <c r="F32" s="13">
        <f>ROUND(F$9*'B&amp;A kWh'!G30,2)</f>
        <v>64595.3</v>
      </c>
      <c r="G32" s="13">
        <f>ROUND(G$9*'B&amp;A kWh'!H30,2)</f>
        <v>64185.23</v>
      </c>
      <c r="H32" s="13">
        <f>ROUND(H$9*'B&amp;A kWh'!I30,2)</f>
        <v>73061.070000000007</v>
      </c>
      <c r="I32" s="13">
        <f>ROUND(I$9*'B&amp;A kWh'!J30,2)</f>
        <v>60976.160000000003</v>
      </c>
      <c r="J32" s="13">
        <f>ROUND(J$9*'B&amp;A kWh'!K30,2)</f>
        <v>59464.08</v>
      </c>
      <c r="K32" s="13">
        <f>ROUND(K$9*'B&amp;A kWh'!L30,2)</f>
        <v>59311.32</v>
      </c>
      <c r="L32" s="13">
        <f>L$9*'B&amp;A kWh'!M30*$L$1</f>
        <v>18231.866276129032</v>
      </c>
      <c r="M32" s="13">
        <f>ROUND(M$9*'B&amp;A kWh'!N30,2)</f>
        <v>0</v>
      </c>
      <c r="N32" s="13">
        <f>ROUND(N$9*'B&amp;A kWh'!O30,2)</f>
        <v>0</v>
      </c>
      <c r="O32" s="13">
        <f>ROUND(O$9*'B&amp;A kWh'!P30,2)</f>
        <v>0</v>
      </c>
      <c r="P32" s="13">
        <f>SUM(D32:O32)</f>
        <v>502529.01627612906</v>
      </c>
      <c r="S32" s="26" t="s">
        <v>12</v>
      </c>
      <c r="T32" s="26">
        <v>30</v>
      </c>
    </row>
    <row r="33" spans="1:20" x14ac:dyDescent="0.25">
      <c r="A33" s="24"/>
      <c r="L33" s="13"/>
      <c r="T33" s="26">
        <v>31</v>
      </c>
    </row>
    <row r="34" spans="1:20" x14ac:dyDescent="0.25">
      <c r="A34" s="24" t="s">
        <v>11</v>
      </c>
      <c r="B34" s="13">
        <f>ROUND(B$9*'B&amp;A kWh'!C32,2)</f>
        <v>0</v>
      </c>
      <c r="C34" s="13">
        <f>ROUND(C$9*'B&amp;A kWh'!D32,2)</f>
        <v>0</v>
      </c>
      <c r="D34" s="13">
        <f>ROUND(D$9*'B&amp;A kWh'!E32,2)</f>
        <v>86.47</v>
      </c>
      <c r="E34" s="13">
        <f>ROUND(E$9*'B&amp;A kWh'!F32,2)</f>
        <v>48.14</v>
      </c>
      <c r="F34" s="13">
        <f>ROUND(F$9*'B&amp;A kWh'!G32,2)</f>
        <v>81.2</v>
      </c>
      <c r="G34" s="13">
        <f>ROUND(G$9*'B&amp;A kWh'!H32,2)</f>
        <v>103.52</v>
      </c>
      <c r="H34" s="13">
        <f>ROUND(H$9*'B&amp;A kWh'!I32,2)</f>
        <v>106.6</v>
      </c>
      <c r="I34" s="13">
        <f>ROUND(I$9*'B&amp;A kWh'!J32,2)</f>
        <v>102.88</v>
      </c>
      <c r="J34" s="13">
        <f>ROUND(J$9*'B&amp;A kWh'!K32,2)</f>
        <v>40.19</v>
      </c>
      <c r="K34" s="13">
        <f>ROUND(K$9*'B&amp;A kWh'!L32,2)</f>
        <v>115.03</v>
      </c>
      <c r="L34" s="13">
        <f>L$9*'B&amp;A kWh'!M32*$L$1</f>
        <v>51.81861935483871</v>
      </c>
      <c r="M34" s="13">
        <f>ROUND(M$9*'B&amp;A kWh'!N32,2)</f>
        <v>0</v>
      </c>
      <c r="N34" s="13">
        <f>ROUND(N$9*'B&amp;A kWh'!O32,2)</f>
        <v>0</v>
      </c>
      <c r="O34" s="13">
        <f>ROUND(O$9*'B&amp;A kWh'!P32,2)</f>
        <v>0</v>
      </c>
      <c r="P34" s="13">
        <f t="shared" si="4"/>
        <v>735.84861935483866</v>
      </c>
      <c r="S34" s="26" t="s">
        <v>11</v>
      </c>
      <c r="T34" s="26">
        <v>32</v>
      </c>
    </row>
    <row r="35" spans="1:20" x14ac:dyDescent="0.25">
      <c r="A35" s="24"/>
      <c r="L35" s="13"/>
      <c r="T35" s="26">
        <v>33</v>
      </c>
    </row>
    <row r="36" spans="1:20" x14ac:dyDescent="0.25">
      <c r="A36" s="24" t="s">
        <v>10</v>
      </c>
      <c r="B36" s="13">
        <f>ROUND(B$9*'B&amp;A kWh'!C34,2)</f>
        <v>0</v>
      </c>
      <c r="C36" s="13">
        <f>ROUND(C$9*'B&amp;A kWh'!D34,2)</f>
        <v>0</v>
      </c>
      <c r="D36" s="13">
        <f>ROUND(D$9*'B&amp;A kWh'!E34,2)</f>
        <v>925.37</v>
      </c>
      <c r="E36" s="13">
        <f>ROUND(E$9*'B&amp;A kWh'!F34,2)</f>
        <v>1051.9100000000001</v>
      </c>
      <c r="F36" s="13">
        <f>ROUND(F$9*'B&amp;A kWh'!G34,2)</f>
        <v>1152.93</v>
      </c>
      <c r="G36" s="13">
        <f>ROUND(G$9*'B&amp;A kWh'!H34,2)</f>
        <v>1140.8599999999999</v>
      </c>
      <c r="H36" s="13">
        <f>ROUND(H$9*'B&amp;A kWh'!I34,2)</f>
        <v>1214.05</v>
      </c>
      <c r="I36" s="13">
        <f>ROUND(I$9*'B&amp;A kWh'!J34,2)</f>
        <v>1148.17</v>
      </c>
      <c r="J36" s="13">
        <f>ROUND(J$9*'B&amp;A kWh'!K34,2)</f>
        <v>1174.1600000000001</v>
      </c>
      <c r="K36" s="13">
        <f>ROUND(K$9*'B&amp;A kWh'!L34,2)</f>
        <v>1260.18</v>
      </c>
      <c r="L36" s="13">
        <f>L$9*'B&amp;A kWh'!M34*$L$1</f>
        <v>360.69667870967743</v>
      </c>
      <c r="M36" s="13">
        <f>ROUND(M$9*'B&amp;A kWh'!N34,2)</f>
        <v>0</v>
      </c>
      <c r="N36" s="13">
        <f>ROUND(N$9*'B&amp;A kWh'!O34,2)</f>
        <v>0</v>
      </c>
      <c r="O36" s="13">
        <f>ROUND(O$9*'B&amp;A kWh'!P34,2)</f>
        <v>0</v>
      </c>
      <c r="P36" s="13">
        <f t="shared" si="4"/>
        <v>9428.3266787096763</v>
      </c>
      <c r="S36" s="26" t="s">
        <v>10</v>
      </c>
      <c r="T36" s="26">
        <v>34</v>
      </c>
    </row>
    <row r="37" spans="1:20" x14ac:dyDescent="0.25">
      <c r="A37" s="24"/>
      <c r="L37" s="13"/>
      <c r="T37" s="26">
        <v>35</v>
      </c>
    </row>
    <row r="38" spans="1:20" x14ac:dyDescent="0.25">
      <c r="A38" s="24" t="s">
        <v>9</v>
      </c>
      <c r="B38" s="13">
        <f>ROUND(B$9*'B&amp;A kWh'!C36,2)</f>
        <v>0</v>
      </c>
      <c r="C38" s="13">
        <f>ROUND(C$9*'B&amp;A kWh'!D36,2)</f>
        <v>0</v>
      </c>
      <c r="D38" s="13">
        <f>ROUND(D$9*'B&amp;A kWh'!E36,2)</f>
        <v>1133.79</v>
      </c>
      <c r="E38" s="13">
        <f>ROUND(E$9*'B&amp;A kWh'!F36,2)</f>
        <v>1192.6099999999999</v>
      </c>
      <c r="F38" s="13">
        <f>ROUND(F$9*'B&amp;A kWh'!G36,2)</f>
        <v>1041.9000000000001</v>
      </c>
      <c r="G38" s="13">
        <f>ROUND(G$9*'B&amp;A kWh'!H36,2)</f>
        <v>759.52</v>
      </c>
      <c r="H38" s="13">
        <f>ROUND(H$9*'B&amp;A kWh'!I36,2)</f>
        <v>944.9</v>
      </c>
      <c r="I38" s="13">
        <f>ROUND(I$9*'B&amp;A kWh'!J36,2)</f>
        <v>841.86</v>
      </c>
      <c r="J38" s="13">
        <f>ROUND(J$9*'B&amp;A kWh'!K36,2)</f>
        <v>1298.06</v>
      </c>
      <c r="K38" s="13">
        <f>ROUND(K$9*'B&amp;A kWh'!L36,2)</f>
        <v>1519.18</v>
      </c>
      <c r="L38" s="13">
        <f>L$9*'B&amp;A kWh'!M36*$L$1</f>
        <v>386.69515225806452</v>
      </c>
      <c r="M38" s="13">
        <f>ROUND(M$9*'B&amp;A kWh'!N36,2)</f>
        <v>0</v>
      </c>
      <c r="N38" s="13">
        <f>ROUND(N$9*'B&amp;A kWh'!O36,2)</f>
        <v>0</v>
      </c>
      <c r="O38" s="13">
        <f>ROUND(O$9*'B&amp;A kWh'!P36,2)</f>
        <v>0</v>
      </c>
      <c r="P38" s="13">
        <f t="shared" si="4"/>
        <v>9118.5151522580636</v>
      </c>
      <c r="S38" s="26" t="s">
        <v>9</v>
      </c>
      <c r="T38" s="26">
        <v>36</v>
      </c>
    </row>
    <row r="39" spans="1:20" x14ac:dyDescent="0.25">
      <c r="A39" s="24"/>
      <c r="L39" s="13"/>
      <c r="T39" s="26">
        <v>37</v>
      </c>
    </row>
    <row r="40" spans="1:20" x14ac:dyDescent="0.25">
      <c r="A40" s="24" t="s">
        <v>8</v>
      </c>
      <c r="B40" s="13">
        <f>ROUND(B$9*'B&amp;A kWh'!C38,2)</f>
        <v>0</v>
      </c>
      <c r="C40" s="13">
        <f>ROUND(C$9*'B&amp;A kWh'!D38,2)</f>
        <v>0</v>
      </c>
      <c r="D40" s="13">
        <f>ROUND(D$9*'B&amp;A kWh'!E38,2)</f>
        <v>92.26</v>
      </c>
      <c r="E40" s="13">
        <f>ROUND(E$9*'B&amp;A kWh'!F38,2)</f>
        <v>61.85</v>
      </c>
      <c r="F40" s="13">
        <f>ROUND(F$9*'B&amp;A kWh'!G38,2)</f>
        <v>90.26</v>
      </c>
      <c r="G40" s="13">
        <f>ROUND(G$9*'B&amp;A kWh'!H38,2)</f>
        <v>20.65</v>
      </c>
      <c r="H40" s="13">
        <f>ROUND(H$9*'B&amp;A kWh'!I38,2)</f>
        <v>53.59</v>
      </c>
      <c r="I40" s="13">
        <f>ROUND(I$9*'B&amp;A kWh'!J38,2)</f>
        <v>76.98</v>
      </c>
      <c r="J40" s="13">
        <f>ROUND(J$9*'B&amp;A kWh'!K38,2)</f>
        <v>24.41</v>
      </c>
      <c r="K40" s="13">
        <f>ROUND(K$9*'B&amp;A kWh'!L38,2)</f>
        <v>56.25</v>
      </c>
      <c r="L40" s="13">
        <f>L$9*'B&amp;A kWh'!M38*$L$1</f>
        <v>23.100197419354839</v>
      </c>
      <c r="M40" s="13">
        <f>ROUND(M$9*'B&amp;A kWh'!N38,2)</f>
        <v>0</v>
      </c>
      <c r="N40" s="13">
        <f>ROUND(N$9*'B&amp;A kWh'!O38,2)</f>
        <v>0</v>
      </c>
      <c r="O40" s="13">
        <f>ROUND(O$9*'B&amp;A kWh'!P38,2)</f>
        <v>0</v>
      </c>
      <c r="P40" s="13">
        <f t="shared" si="4"/>
        <v>499.35019741935491</v>
      </c>
      <c r="S40" s="26" t="s">
        <v>8</v>
      </c>
      <c r="T40" s="26">
        <v>38</v>
      </c>
    </row>
    <row r="41" spans="1:20" x14ac:dyDescent="0.25">
      <c r="A41" s="24"/>
      <c r="L41" s="13"/>
      <c r="T41" s="26">
        <v>39</v>
      </c>
    </row>
    <row r="42" spans="1:20" x14ac:dyDescent="0.25">
      <c r="A42" s="24" t="s">
        <v>7</v>
      </c>
      <c r="B42" s="13">
        <f>ROUND(B$9*'B&amp;A kWh'!C40,2)</f>
        <v>0</v>
      </c>
      <c r="C42" s="13">
        <f>ROUND(C$9*'B&amp;A kWh'!D40,2)</f>
        <v>0</v>
      </c>
      <c r="D42" s="13">
        <f>ROUND(D$9*'B&amp;A kWh'!E40,2)</f>
        <v>34663.699999999997</v>
      </c>
      <c r="E42" s="13">
        <f>ROUND(E$9*'B&amp;A kWh'!F40,2)</f>
        <v>40287.620000000003</v>
      </c>
      <c r="F42" s="13">
        <f>ROUND(F$9*'B&amp;A kWh'!G40,2)</f>
        <v>42396.58</v>
      </c>
      <c r="G42" s="13">
        <f>ROUND(G$9*'B&amp;A kWh'!H40,2)</f>
        <v>40213.07</v>
      </c>
      <c r="H42" s="13">
        <f>ROUND(H$9*'B&amp;A kWh'!I40,2)</f>
        <v>46273.59</v>
      </c>
      <c r="I42" s="13">
        <f>ROUND(I$9*'B&amp;A kWh'!J40,2)</f>
        <v>40415.629999999997</v>
      </c>
      <c r="J42" s="13">
        <f>ROUND(J$9*'B&amp;A kWh'!K40,2)</f>
        <v>44183.66</v>
      </c>
      <c r="K42" s="13">
        <f>ROUND(K$9*'B&amp;A kWh'!L40,2)</f>
        <v>44770.29</v>
      </c>
      <c r="L42" s="13">
        <f>L$9*'B&amp;A kWh'!M40*$L$1</f>
        <v>11437.92380516129</v>
      </c>
      <c r="M42" s="13">
        <f>ROUND(M$9*'B&amp;A kWh'!N40,2)</f>
        <v>0</v>
      </c>
      <c r="N42" s="13">
        <f>ROUND(N$9*'B&amp;A kWh'!O40,2)</f>
        <v>0</v>
      </c>
      <c r="O42" s="13">
        <f>ROUND(O$9*'B&amp;A kWh'!P40,2)</f>
        <v>0</v>
      </c>
      <c r="P42" s="13">
        <f t="shared" si="4"/>
        <v>344642.06380516122</v>
      </c>
      <c r="S42" s="26" t="s">
        <v>7</v>
      </c>
      <c r="T42" s="26">
        <v>40</v>
      </c>
    </row>
    <row r="43" spans="1:20" x14ac:dyDescent="0.25">
      <c r="A43" s="24"/>
      <c r="L43" s="13"/>
      <c r="T43" s="26">
        <v>41</v>
      </c>
    </row>
    <row r="44" spans="1:20" x14ac:dyDescent="0.25">
      <c r="A44" s="24" t="s">
        <v>6</v>
      </c>
      <c r="B44" s="13">
        <f>ROUND(B$9*'B&amp;A kWh'!C42,2)</f>
        <v>0</v>
      </c>
      <c r="C44" s="13">
        <f>ROUND(C$9*'B&amp;A kWh'!D42,2)</f>
        <v>0</v>
      </c>
      <c r="D44" s="13">
        <f>ROUND(D$9*'B&amp;A kWh'!E42,2)</f>
        <v>112.05</v>
      </c>
      <c r="E44" s="13">
        <f>ROUND(E$9*'B&amp;A kWh'!F42,2)</f>
        <v>228.11</v>
      </c>
      <c r="F44" s="13">
        <f>ROUND(F$9*'B&amp;A kWh'!G42,2)</f>
        <v>128.18</v>
      </c>
      <c r="G44" s="13">
        <f>ROUND(G$9*'B&amp;A kWh'!H42,2)</f>
        <v>253.64</v>
      </c>
      <c r="H44" s="13">
        <f>ROUND(H$9*'B&amp;A kWh'!I42,2)</f>
        <v>261.95999999999998</v>
      </c>
      <c r="I44" s="13">
        <f>ROUND(I$9*'B&amp;A kWh'!J42,2)</f>
        <v>288.47000000000003</v>
      </c>
      <c r="J44" s="13">
        <f>ROUND(J$9*'B&amp;A kWh'!K42,2)</f>
        <v>432.17</v>
      </c>
      <c r="K44" s="13">
        <f>ROUND(K$9*'B&amp;A kWh'!L42,2)</f>
        <v>457.91</v>
      </c>
      <c r="L44" s="13">
        <f>L$9*'B&amp;A kWh'!M42*$L$1</f>
        <v>104.9035458064516</v>
      </c>
      <c r="M44" s="13">
        <f>ROUND(M$9*'B&amp;A kWh'!N42,2)</f>
        <v>0</v>
      </c>
      <c r="N44" s="13">
        <f>ROUND(N$9*'B&amp;A kWh'!O42,2)</f>
        <v>0</v>
      </c>
      <c r="O44" s="13">
        <f>ROUND(O$9*'B&amp;A kWh'!P42,2)</f>
        <v>0</v>
      </c>
      <c r="P44" s="13">
        <f t="shared" si="4"/>
        <v>2267.393545806452</v>
      </c>
      <c r="S44" s="26" t="s">
        <v>6</v>
      </c>
      <c r="T44" s="26">
        <v>42</v>
      </c>
    </row>
    <row r="45" spans="1:20" x14ac:dyDescent="0.25">
      <c r="A45" s="24"/>
      <c r="L45" s="13"/>
      <c r="T45" s="26">
        <v>43</v>
      </c>
    </row>
    <row r="46" spans="1:20" x14ac:dyDescent="0.25">
      <c r="A46" s="24" t="s">
        <v>118</v>
      </c>
      <c r="B46" s="13">
        <f>ROUND(B$9*'B&amp;A kWh'!C44,2)</f>
        <v>0</v>
      </c>
      <c r="C46" s="13">
        <f>ROUND(C$9*'B&amp;A kWh'!D44,2)</f>
        <v>0</v>
      </c>
      <c r="D46" s="13">
        <f>ROUND(D$9*'B&amp;A kWh'!E44,2)</f>
        <v>359</v>
      </c>
      <c r="E46" s="13">
        <f>ROUND(E$9*'B&amp;A kWh'!F44,2)</f>
        <v>979.84</v>
      </c>
      <c r="F46" s="13">
        <f>ROUND(F$9*'B&amp;A kWh'!G44,2)</f>
        <v>673.47</v>
      </c>
      <c r="G46" s="13">
        <f>ROUND(G$9*'B&amp;A kWh'!H44,2)</f>
        <v>600.41</v>
      </c>
      <c r="H46" s="13">
        <f>ROUND(H$9*'B&amp;A kWh'!I44,2)</f>
        <v>713</v>
      </c>
      <c r="I46" s="13">
        <f>ROUND(I$9*'B&amp;A kWh'!J44,2)</f>
        <v>707.3</v>
      </c>
      <c r="J46" s="13">
        <f>ROUND(J$9*'B&amp;A kWh'!K44,2)</f>
        <v>777.57</v>
      </c>
      <c r="K46" s="13">
        <f>ROUND(K$9*'B&amp;A kWh'!L44,2)</f>
        <v>800.59</v>
      </c>
      <c r="L46" s="13">
        <f>L$9*'B&amp;A kWh'!M44*$L$1</f>
        <v>192.69348258064514</v>
      </c>
      <c r="M46" s="13">
        <f>ROUND(M$9*'B&amp;A kWh'!N44,2)</f>
        <v>0</v>
      </c>
      <c r="N46" s="13">
        <f>ROUND(N$9*'B&amp;A kWh'!O44,2)</f>
        <v>0</v>
      </c>
      <c r="O46" s="13">
        <f>ROUND(O$9*'B&amp;A kWh'!P44,2)</f>
        <v>0</v>
      </c>
      <c r="P46" s="13">
        <f t="shared" si="4"/>
        <v>5803.873482580645</v>
      </c>
      <c r="S46" s="26" t="s">
        <v>118</v>
      </c>
      <c r="T46" s="26">
        <v>44</v>
      </c>
    </row>
    <row r="47" spans="1:20" x14ac:dyDescent="0.25">
      <c r="A47" s="24"/>
      <c r="L47" s="13"/>
      <c r="T47" s="26">
        <v>45</v>
      </c>
    </row>
    <row r="48" spans="1:20" x14ac:dyDescent="0.25">
      <c r="A48" s="24" t="s">
        <v>270</v>
      </c>
      <c r="C48" s="13">
        <f>ROUND(C$9*'B&amp;A kWh'!D46,2)</f>
        <v>0</v>
      </c>
      <c r="D48" s="13">
        <f>ROUND(D$9*'B&amp;A kWh'!E46,2)</f>
        <v>422.41</v>
      </c>
      <c r="E48" s="13">
        <f>ROUND(E$9*'B&amp;A kWh'!F46,2)</f>
        <v>381.72</v>
      </c>
      <c r="F48" s="13">
        <f>ROUND(F$9*'B&amp;A kWh'!G46,2)</f>
        <v>389.23</v>
      </c>
      <c r="G48" s="13">
        <f>ROUND(G$9*'B&amp;A kWh'!H46,2)</f>
        <v>310.26</v>
      </c>
      <c r="H48" s="13">
        <f>ROUND(H$9*'B&amp;A kWh'!I46,2)</f>
        <v>574.80999999999995</v>
      </c>
      <c r="I48" s="13">
        <f>ROUND(I$9*'B&amp;A kWh'!J46,2)</f>
        <v>547.21</v>
      </c>
      <c r="J48" s="13">
        <f>ROUND(J$9*'B&amp;A kWh'!K46,2)</f>
        <v>568.98</v>
      </c>
      <c r="K48" s="13">
        <f>ROUND(K$9*'B&amp;A kWh'!L46,2)</f>
        <v>67.150000000000006</v>
      </c>
      <c r="L48" s="13">
        <f>L$9*'B&amp;A kWh'!M46*$L$1</f>
        <v>35.244046451612903</v>
      </c>
      <c r="M48" s="13">
        <f>ROUND(M$9*'B&amp;A kWh'!N46,2)</f>
        <v>0</v>
      </c>
      <c r="N48" s="13">
        <f>ROUND(N$9*'B&amp;A kWh'!O46,2)</f>
        <v>0</v>
      </c>
      <c r="O48" s="13">
        <f>ROUND(O$9*'B&amp;A kWh'!P46,2)</f>
        <v>0</v>
      </c>
      <c r="P48" s="13">
        <f t="shared" si="4"/>
        <v>3297.0140464516135</v>
      </c>
      <c r="S48" s="26" t="s">
        <v>241</v>
      </c>
      <c r="T48" s="26">
        <v>46</v>
      </c>
    </row>
    <row r="49" spans="1:20" x14ac:dyDescent="0.25">
      <c r="A49" s="24"/>
      <c r="L49" s="13"/>
      <c r="T49" s="26">
        <v>47</v>
      </c>
    </row>
    <row r="50" spans="1:20" x14ac:dyDescent="0.25">
      <c r="A50" s="24" t="s">
        <v>5</v>
      </c>
      <c r="B50" s="13">
        <f>ROUND(B$9*'B&amp;A kWh'!C48,2)</f>
        <v>0</v>
      </c>
      <c r="C50" s="13">
        <f>ROUND(C$9*'B&amp;A kWh'!D48,2)</f>
        <v>0</v>
      </c>
      <c r="D50" s="13">
        <f>ROUND(D$9*'B&amp;A kWh'!E48,2)</f>
        <v>9383.56</v>
      </c>
      <c r="E50" s="13">
        <f>ROUND(E$9*'B&amp;A kWh'!F48,2)</f>
        <v>11612.88</v>
      </c>
      <c r="F50" s="13">
        <f>ROUND(F$9*'B&amp;A kWh'!G48,2)</f>
        <v>9935.1</v>
      </c>
      <c r="G50" s="13">
        <f>ROUND(G$9*'B&amp;A kWh'!H48,2)</f>
        <v>9590.08</v>
      </c>
      <c r="H50" s="13">
        <f>ROUND(H$9*'B&amp;A kWh'!I48,2)</f>
        <v>11597.17</v>
      </c>
      <c r="I50" s="13">
        <f>ROUND(I$9*'B&amp;A kWh'!J48,2)</f>
        <v>10772.75</v>
      </c>
      <c r="J50" s="13">
        <f>ROUND(J$9*'B&amp;A kWh'!K48,2)</f>
        <v>12092.29</v>
      </c>
      <c r="K50" s="13">
        <f>ROUND(K$9*'B&amp;A kWh'!L48,2)</f>
        <v>12765.5</v>
      </c>
      <c r="L50" s="13">
        <f>L$9*'B&amp;A kWh'!M48*$L$1</f>
        <v>3312.7863561290324</v>
      </c>
      <c r="M50" s="13">
        <f>ROUND(M$9*'B&amp;A kWh'!N48,2)</f>
        <v>0</v>
      </c>
      <c r="N50" s="13">
        <f>ROUND(N$9*'B&amp;A kWh'!O48,2)</f>
        <v>0</v>
      </c>
      <c r="O50" s="13">
        <f>ROUND(O$9*'B&amp;A kWh'!P48,2)</f>
        <v>0</v>
      </c>
      <c r="P50" s="13">
        <f t="shared" si="4"/>
        <v>91062.11635612903</v>
      </c>
      <c r="S50" s="26" t="s">
        <v>5</v>
      </c>
      <c r="T50" s="26">
        <v>48</v>
      </c>
    </row>
    <row r="51" spans="1:20" x14ac:dyDescent="0.25">
      <c r="A51" s="24"/>
      <c r="L51" s="13"/>
      <c r="T51" s="26">
        <v>49</v>
      </c>
    </row>
    <row r="52" spans="1:20" x14ac:dyDescent="0.25">
      <c r="A52" s="24" t="s">
        <v>4</v>
      </c>
      <c r="B52" s="13">
        <f>ROUND(B$9*'B&amp;A kWh'!C50,2)</f>
        <v>0</v>
      </c>
      <c r="C52" s="13">
        <f>ROUND(C$9*'B&amp;A kWh'!D50,2)</f>
        <v>0</v>
      </c>
      <c r="D52" s="13">
        <f>ROUND(D$9*'B&amp;A kWh'!E50,2)</f>
        <v>1178.8499999999999</v>
      </c>
      <c r="E52" s="13">
        <f>ROUND(E$9*'B&amp;A kWh'!F50,2)</f>
        <v>2196.27</v>
      </c>
      <c r="F52" s="13">
        <f>ROUND(F$9*'B&amp;A kWh'!G50,2)</f>
        <v>4539.93</v>
      </c>
      <c r="G52" s="13">
        <f>ROUND(G$9*'B&amp;A kWh'!H50,2)</f>
        <v>90.19</v>
      </c>
      <c r="H52" s="13">
        <f>ROUND(H$9*'B&amp;A kWh'!I50,2)</f>
        <v>2048.2399999999998</v>
      </c>
      <c r="I52" s="13">
        <f>ROUND(I$9*'B&amp;A kWh'!J50,2)</f>
        <v>1811.19</v>
      </c>
      <c r="J52" s="13">
        <f>ROUND(J$9*'B&amp;A kWh'!K50,2)</f>
        <v>1621.45</v>
      </c>
      <c r="K52" s="13">
        <f>ROUND(K$9*'B&amp;A kWh'!L50,2)</f>
        <v>1849.55</v>
      </c>
      <c r="L52" s="13">
        <f>L$9*'B&amp;A kWh'!M50*$L$1</f>
        <v>394.76493290322577</v>
      </c>
      <c r="M52" s="13">
        <f>ROUND(M$9*'B&amp;A kWh'!N50,2)</f>
        <v>0</v>
      </c>
      <c r="N52" s="13">
        <f>ROUND(N$9*'B&amp;A kWh'!O50,2)</f>
        <v>0</v>
      </c>
      <c r="O52" s="13">
        <f>ROUND(O$9*'B&amp;A kWh'!P50,2)</f>
        <v>0</v>
      </c>
      <c r="P52" s="13">
        <f t="shared" si="4"/>
        <v>15730.434932903227</v>
      </c>
      <c r="S52" s="26" t="s">
        <v>4</v>
      </c>
      <c r="T52" s="26">
        <v>50</v>
      </c>
    </row>
    <row r="53" spans="1:20" x14ac:dyDescent="0.25">
      <c r="A53" s="24"/>
      <c r="L53" s="13"/>
      <c r="T53" s="26">
        <v>51</v>
      </c>
    </row>
    <row r="54" spans="1:20" x14ac:dyDescent="0.25">
      <c r="A54" s="24" t="s">
        <v>3</v>
      </c>
      <c r="B54" s="13">
        <f>ROUND(B$9*'B&amp;A kWh'!C52,2)</f>
        <v>0</v>
      </c>
      <c r="C54" s="13">
        <f>ROUND(C$9*'B&amp;A kWh'!D52,2)</f>
        <v>0</v>
      </c>
      <c r="D54" s="13">
        <f>ROUND(D$9*'B&amp;A kWh'!E52,2)</f>
        <v>0</v>
      </c>
      <c r="E54" s="13">
        <f>ROUND(E$9*'B&amp;A kWh'!F52,2)</f>
        <v>0</v>
      </c>
      <c r="F54" s="13">
        <f>ROUND(F$9*'B&amp;A kWh'!G52,2)</f>
        <v>0</v>
      </c>
      <c r="G54" s="13">
        <f>ROUND(G$9*'B&amp;A kWh'!H52,2)</f>
        <v>0</v>
      </c>
      <c r="H54" s="13">
        <f>ROUND(H$9*'B&amp;A kWh'!I52,2)</f>
        <v>0</v>
      </c>
      <c r="I54" s="13">
        <f>ROUND(I$9*'B&amp;A kWh'!J52,2)</f>
        <v>0</v>
      </c>
      <c r="J54" s="13">
        <f>ROUND(J$9*'B&amp;A kWh'!K52,2)</f>
        <v>0</v>
      </c>
      <c r="K54" s="13">
        <f>ROUND(K$9*'B&amp;A kWh'!L52,2)</f>
        <v>0</v>
      </c>
      <c r="L54" s="13">
        <f>L$9*'B&amp;A kWh'!M52*$L$1</f>
        <v>0</v>
      </c>
      <c r="M54" s="13">
        <f>ROUND(M$9*'B&amp;A kWh'!N52,2)</f>
        <v>0</v>
      </c>
      <c r="N54" s="13">
        <f>ROUND(N$9*'B&amp;A kWh'!O52,2)</f>
        <v>0</v>
      </c>
      <c r="O54" s="13">
        <f>ROUND(O$9*'B&amp;A kWh'!P52,2)</f>
        <v>0</v>
      </c>
      <c r="P54" s="13">
        <f t="shared" si="4"/>
        <v>0</v>
      </c>
      <c r="S54" s="26" t="s">
        <v>3</v>
      </c>
      <c r="T54" s="26">
        <v>52</v>
      </c>
    </row>
    <row r="55" spans="1:20" x14ac:dyDescent="0.25">
      <c r="A55" s="24"/>
      <c r="L55" s="13"/>
      <c r="T55" s="26">
        <v>53</v>
      </c>
    </row>
    <row r="56" spans="1:20" x14ac:dyDescent="0.25">
      <c r="A56" s="24" t="s">
        <v>119</v>
      </c>
      <c r="B56" s="13">
        <f>ROUND(B$9*'B&amp;A kWh'!C54,2)</f>
        <v>0</v>
      </c>
      <c r="C56" s="13">
        <f>ROUND(C$9*'B&amp;A kWh'!D54,2)</f>
        <v>0</v>
      </c>
      <c r="D56" s="13">
        <f>ROUND(D$9*'B&amp;A kWh'!E54,2)</f>
        <v>9971.7199999999993</v>
      </c>
      <c r="E56" s="13">
        <f>ROUND(E$9*'B&amp;A kWh'!F54,2)</f>
        <v>11756.05</v>
      </c>
      <c r="F56" s="13">
        <f>ROUND(F$9*'B&amp;A kWh'!G54,2)</f>
        <v>11964.04</v>
      </c>
      <c r="G56" s="13">
        <f>ROUND(G$9*'B&amp;A kWh'!H54,2)</f>
        <v>9226.93</v>
      </c>
      <c r="H56" s="13">
        <f>ROUND(H$9*'B&amp;A kWh'!I54,2)</f>
        <v>12459.5</v>
      </c>
      <c r="I56" s="13">
        <f>ROUND(I$9*'B&amp;A kWh'!J54,2)</f>
        <v>13367.53</v>
      </c>
      <c r="J56" s="13">
        <f>ROUND(J$9*'B&amp;A kWh'!K54,2)</f>
        <v>13087.11</v>
      </c>
      <c r="K56" s="13">
        <f>ROUND(K$9*'B&amp;A kWh'!L54,2)</f>
        <v>11722.55</v>
      </c>
      <c r="L56" s="13">
        <f>L$9*'B&amp;A kWh'!M54*$L$1</f>
        <v>3498.6948283870965</v>
      </c>
      <c r="M56" s="13">
        <f>ROUND(M$9*'B&amp;A kWh'!N54,2)</f>
        <v>0</v>
      </c>
      <c r="N56" s="13">
        <f>ROUND(N$9*'B&amp;A kWh'!O54,2)</f>
        <v>0</v>
      </c>
      <c r="O56" s="13">
        <f>ROUND(O$9*'B&amp;A kWh'!P54,2)</f>
        <v>0</v>
      </c>
      <c r="P56" s="13">
        <f t="shared" si="4"/>
        <v>97054.12482838711</v>
      </c>
      <c r="S56" s="26" t="s">
        <v>119</v>
      </c>
      <c r="T56" s="26">
        <v>54</v>
      </c>
    </row>
    <row r="57" spans="1:20" x14ac:dyDescent="0.25">
      <c r="A57" s="24"/>
      <c r="L57" s="13"/>
      <c r="T57" s="26">
        <v>55</v>
      </c>
    </row>
    <row r="58" spans="1:20" x14ac:dyDescent="0.25">
      <c r="A58" s="24" t="s">
        <v>120</v>
      </c>
      <c r="B58" s="13">
        <f>ROUND(B$9*'B&amp;A kWh'!C56,2)</f>
        <v>0</v>
      </c>
      <c r="C58" s="13">
        <f>ROUND(C$9*'B&amp;A kWh'!D56,2)</f>
        <v>0</v>
      </c>
      <c r="D58" s="13">
        <f>ROUND(D$9*'B&amp;A kWh'!E56,2)</f>
        <v>170.13</v>
      </c>
      <c r="E58" s="13">
        <f>ROUND(E$9*'B&amp;A kWh'!F56,2)</f>
        <v>181.48</v>
      </c>
      <c r="F58" s="13">
        <f>ROUND(F$9*'B&amp;A kWh'!G56,2)</f>
        <v>210.73</v>
      </c>
      <c r="G58" s="13">
        <f>ROUND(G$9*'B&amp;A kWh'!H56,2)</f>
        <v>171.06</v>
      </c>
      <c r="H58" s="13">
        <f>ROUND(H$9*'B&amp;A kWh'!I56,2)</f>
        <v>211.17</v>
      </c>
      <c r="I58" s="13">
        <f>ROUND(I$9*'B&amp;A kWh'!J56,2)</f>
        <v>227.16</v>
      </c>
      <c r="J58" s="13">
        <f>ROUND(J$9*'B&amp;A kWh'!K56,2)</f>
        <v>234.42</v>
      </c>
      <c r="K58" s="13">
        <f>ROUND(K$9*'B&amp;A kWh'!L56,2)</f>
        <v>248.12</v>
      </c>
      <c r="L58" s="13">
        <f>L$9*'B&amp;A kWh'!M56*$L$1</f>
        <v>82.623385806451608</v>
      </c>
      <c r="M58" s="13">
        <f>ROUND(M$9*'B&amp;A kWh'!N56,2)</f>
        <v>0</v>
      </c>
      <c r="N58" s="13">
        <f>ROUND(N$9*'B&amp;A kWh'!O56,2)</f>
        <v>0</v>
      </c>
      <c r="O58" s="13">
        <f>ROUND(O$9*'B&amp;A kWh'!P56,2)</f>
        <v>0</v>
      </c>
      <c r="P58" s="13">
        <f t="shared" si="4"/>
        <v>1736.8933858064515</v>
      </c>
      <c r="S58" s="26" t="s">
        <v>120</v>
      </c>
      <c r="T58" s="26">
        <v>56</v>
      </c>
    </row>
    <row r="59" spans="1:20" x14ac:dyDescent="0.25">
      <c r="A59" s="24"/>
      <c r="L59" s="13">
        <f>L$9*'B&amp;A kWh'!M57*$L$1</f>
        <v>0</v>
      </c>
      <c r="T59" s="26">
        <v>57</v>
      </c>
    </row>
    <row r="60" spans="1:20" x14ac:dyDescent="0.25">
      <c r="A60" s="26" t="s">
        <v>242</v>
      </c>
      <c r="C60" s="13">
        <f>ROUND(C$9*'B&amp;A kWh'!D58,2)</f>
        <v>0</v>
      </c>
      <c r="D60" s="13">
        <f>ROUND(D$10*'B&amp;A kWh'!E58,2)</f>
        <v>1665</v>
      </c>
      <c r="E60" s="13">
        <f>ROUND(E$10*'B&amp;A kWh'!F58,2)</f>
        <v>1764.1</v>
      </c>
      <c r="F60" s="13">
        <f>ROUND(F$10*'B&amp;A kWh'!G58,2)</f>
        <v>1569.57</v>
      </c>
      <c r="G60" s="13">
        <f>ROUND(G$10*'B&amp;A kWh'!H58,2)</f>
        <v>1729.17</v>
      </c>
      <c r="H60" s="13">
        <f>ROUND(H$10*'B&amp;A kWh'!I58,2)</f>
        <v>1989.58</v>
      </c>
      <c r="I60" s="13">
        <f>ROUND(I$10*'B&amp;A kWh'!J58,2)</f>
        <v>1754.05</v>
      </c>
      <c r="J60" s="13">
        <f>ROUND(J$10*'B&amp;A kWh'!K58,2)</f>
        <v>1938.86</v>
      </c>
      <c r="K60" s="13">
        <f>ROUND(K$10*'B&amp;A kWh'!L58,2)</f>
        <v>2286.14</v>
      </c>
      <c r="L60" s="13">
        <f>L$10*'B&amp;A kWh'!M58*$L$1</f>
        <v>487.44648464516126</v>
      </c>
      <c r="M60" s="13">
        <f>ROUND(M$9*'B&amp;A kWh'!N58,2)</f>
        <v>0</v>
      </c>
      <c r="N60" s="13">
        <f>ROUND(N$9*'B&amp;A kWh'!O58,2)</f>
        <v>0</v>
      </c>
      <c r="O60" s="13">
        <f>ROUND(O$9*'B&amp;A kWh'!P58,2)</f>
        <v>0</v>
      </c>
      <c r="P60" s="13">
        <f t="shared" si="4"/>
        <v>15183.91648464516</v>
      </c>
      <c r="S60" s="26" t="s">
        <v>242</v>
      </c>
      <c r="T60" s="26">
        <v>58</v>
      </c>
    </row>
    <row r="61" spans="1:20" x14ac:dyDescent="0.25">
      <c r="A61" s="24"/>
      <c r="L61" s="13">
        <f>L$10*'B&amp;A kWh'!M59*$L$1</f>
        <v>0</v>
      </c>
      <c r="T61" s="26">
        <v>59</v>
      </c>
    </row>
    <row r="62" spans="1:20" x14ac:dyDescent="0.25">
      <c r="A62" s="24" t="s">
        <v>122</v>
      </c>
      <c r="B62" s="13">
        <f>ROUND(B$10*'B&amp;A kWh'!C58,2)</f>
        <v>0</v>
      </c>
      <c r="C62" s="13">
        <f>ROUND(C$9*'B&amp;A kWh'!D60,2)</f>
        <v>0</v>
      </c>
      <c r="D62" s="13">
        <f>ROUND(D$10*'B&amp;A kWh'!E60,2)</f>
        <v>9221.52</v>
      </c>
      <c r="E62" s="13">
        <f>ROUND(E$10*'B&amp;A kWh'!F60,2)</f>
        <v>9646.56</v>
      </c>
      <c r="F62" s="13">
        <f>ROUND(F$10*'B&amp;A kWh'!G60,2)</f>
        <v>8001.84</v>
      </c>
      <c r="G62" s="13">
        <f>ROUND(G$10*'B&amp;A kWh'!H60,2)</f>
        <v>9129.1200000000008</v>
      </c>
      <c r="H62" s="13">
        <f>ROUND(H$10*'B&amp;A kWh'!I60,2)</f>
        <v>10055.23</v>
      </c>
      <c r="I62" s="13">
        <f>ROUND(I$10*'B&amp;A kWh'!J60,2)</f>
        <v>8604.58</v>
      </c>
      <c r="J62" s="13">
        <f>ROUND(J$10*'B&amp;A kWh'!K60,2)</f>
        <v>9618.0499999999993</v>
      </c>
      <c r="K62" s="13">
        <f>ROUND(K$10*'B&amp;A kWh'!L60,2)</f>
        <v>8087.9</v>
      </c>
      <c r="L62" s="13">
        <f>L$10*'B&amp;A kWh'!M60*$L$1</f>
        <v>2528.2312258064512</v>
      </c>
      <c r="M62" s="13">
        <f>ROUND(M$9*'B&amp;A kWh'!N60,2)</f>
        <v>0</v>
      </c>
      <c r="N62" s="13">
        <f>ROUND(N$9*'B&amp;A kWh'!O60,2)</f>
        <v>0</v>
      </c>
      <c r="O62" s="13">
        <f>ROUND(O$9*'B&amp;A kWh'!P60,2)</f>
        <v>0</v>
      </c>
      <c r="P62" s="13">
        <f t="shared" si="4"/>
        <v>74893.031225806451</v>
      </c>
      <c r="S62" s="26" t="s">
        <v>122</v>
      </c>
      <c r="T62" s="26">
        <v>60</v>
      </c>
    </row>
    <row r="63" spans="1:20" x14ac:dyDescent="0.25">
      <c r="A63" s="24"/>
      <c r="D63" s="13"/>
      <c r="E63" s="13"/>
      <c r="F63" s="13"/>
      <c r="G63" s="13"/>
      <c r="H63" s="13"/>
      <c r="I63" s="13"/>
      <c r="J63" s="13"/>
      <c r="K63" s="13"/>
      <c r="L63" s="13">
        <f>L$10*'B&amp;A kWh'!M61*$L$1</f>
        <v>0</v>
      </c>
      <c r="M63" s="13"/>
      <c r="N63" s="13"/>
      <c r="O63" s="13"/>
      <c r="T63" s="26">
        <v>61</v>
      </c>
    </row>
    <row r="64" spans="1:20" x14ac:dyDescent="0.25">
      <c r="A64" s="26" t="s">
        <v>243</v>
      </c>
      <c r="B64" s="13">
        <f>ROUND(B$10*'B&amp;A kWh'!C60,2)</f>
        <v>0</v>
      </c>
      <c r="C64" s="13">
        <f>ROUND(C$10*'B&amp;A kWh'!D60,2)</f>
        <v>0</v>
      </c>
      <c r="D64" s="13">
        <f>ROUND(D$10*'B&amp;A kWh'!E62,2)</f>
        <v>1095.78</v>
      </c>
      <c r="E64" s="13">
        <f>ROUND(E$10*'B&amp;A kWh'!F62,2)</f>
        <v>1111.4100000000001</v>
      </c>
      <c r="F64" s="13">
        <f>ROUND(F$10*'B&amp;A kWh'!G62,2)</f>
        <v>1004.15</v>
      </c>
      <c r="G64" s="13">
        <f>ROUND(G$10*'B&amp;A kWh'!H62,2)</f>
        <v>1056.79</v>
      </c>
      <c r="H64" s="13">
        <f>ROUND(H$10*'B&amp;A kWh'!I62,2)</f>
        <v>1132.44</v>
      </c>
      <c r="I64" s="13">
        <f>ROUND(I$10*'B&amp;A kWh'!J62,2)</f>
        <v>884.36</v>
      </c>
      <c r="J64" s="13">
        <f>ROUND(J$10*'B&amp;A kWh'!K62,2)</f>
        <v>1253.42</v>
      </c>
      <c r="K64" s="13">
        <f>ROUND(K$10*'B&amp;A kWh'!L62,2)</f>
        <v>1202.92</v>
      </c>
      <c r="L64" s="13">
        <f>L$10*'B&amp;A kWh'!M62*$L$1</f>
        <v>352.56987870967737</v>
      </c>
      <c r="M64" s="13">
        <f>ROUND(M$9*'B&amp;A kWh'!N62,2)</f>
        <v>0</v>
      </c>
      <c r="N64" s="13">
        <f>ROUND(N$9*'B&amp;A kWh'!O62,2)</f>
        <v>0</v>
      </c>
      <c r="O64" s="13">
        <f>ROUND(O$9*'B&amp;A kWh'!P62,2)</f>
        <v>0</v>
      </c>
      <c r="P64" s="13">
        <f t="shared" si="4"/>
        <v>9093.8398787096776</v>
      </c>
      <c r="S64" s="26" t="s">
        <v>243</v>
      </c>
      <c r="T64" s="26">
        <v>62</v>
      </c>
    </row>
    <row r="65" spans="1:20" x14ac:dyDescent="0.25">
      <c r="A65" s="24"/>
      <c r="D65" s="13"/>
      <c r="E65" s="13"/>
      <c r="F65" s="13"/>
      <c r="G65" s="13"/>
      <c r="H65" s="13"/>
      <c r="I65" s="13"/>
      <c r="J65" s="13"/>
      <c r="K65" s="13"/>
      <c r="L65" s="13">
        <f>L$10*'B&amp;A kWh'!M63*$L$1</f>
        <v>0</v>
      </c>
      <c r="M65" s="13"/>
      <c r="N65" s="13"/>
      <c r="O65" s="13"/>
      <c r="T65" s="26">
        <v>63</v>
      </c>
    </row>
    <row r="66" spans="1:20" x14ac:dyDescent="0.25">
      <c r="A66" s="26" t="s">
        <v>244</v>
      </c>
      <c r="D66" s="13">
        <f>ROUND(D$10*'B&amp;A kWh'!E64,2)</f>
        <v>4197.4399999999996</v>
      </c>
      <c r="E66" s="13">
        <f>ROUND(E$10*'B&amp;A kWh'!F64,2)</f>
        <v>3444.07</v>
      </c>
      <c r="F66" s="13">
        <f>ROUND(F$10*'B&amp;A kWh'!G64,2)</f>
        <v>2574.11</v>
      </c>
      <c r="G66" s="13">
        <f>ROUND(G$10*'B&amp;A kWh'!H64,2)</f>
        <v>3331.64</v>
      </c>
      <c r="H66" s="13">
        <f>ROUND(H$10*'B&amp;A kWh'!I64,2)</f>
        <v>3254.81</v>
      </c>
      <c r="I66" s="13">
        <f>ROUND(I$10*'B&amp;A kWh'!J64,2)</f>
        <v>2829.38</v>
      </c>
      <c r="J66" s="13">
        <f>ROUND(J$10*'B&amp;A kWh'!K64,2)</f>
        <v>3663.88</v>
      </c>
      <c r="K66" s="13">
        <f>ROUND(K$10*'B&amp;A kWh'!L64,2)</f>
        <v>3935.85</v>
      </c>
      <c r="L66" s="13">
        <f>L$10*'B&amp;A kWh'!M64*$L$1</f>
        <v>885.92474322580642</v>
      </c>
      <c r="M66" s="13">
        <f>ROUND(M$9*'B&amp;A kWh'!N64,2)</f>
        <v>0</v>
      </c>
      <c r="N66" s="13">
        <f>ROUND(N$9*'B&amp;A kWh'!O64,2)</f>
        <v>0</v>
      </c>
      <c r="O66" s="13">
        <f>ROUND(O$9*'B&amp;A kWh'!P64,2)</f>
        <v>0</v>
      </c>
      <c r="P66" s="13">
        <f t="shared" si="4"/>
        <v>28117.104743225806</v>
      </c>
      <c r="S66" s="26" t="s">
        <v>244</v>
      </c>
      <c r="T66" s="26">
        <v>64</v>
      </c>
    </row>
    <row r="67" spans="1:20" x14ac:dyDescent="0.25">
      <c r="A67" s="24"/>
      <c r="L67" s="13">
        <f>L$10*'B&amp;A kWh'!M65*$L$1</f>
        <v>0</v>
      </c>
      <c r="T67" s="26">
        <v>65</v>
      </c>
    </row>
    <row r="68" spans="1:20" x14ac:dyDescent="0.25">
      <c r="A68" s="24" t="s">
        <v>123</v>
      </c>
      <c r="B68" s="13">
        <f>ROUND(B$10*'B&amp;A kWh'!C66,2)</f>
        <v>0</v>
      </c>
      <c r="C68" s="13">
        <f>ROUND(C$10*'B&amp;A kWh'!D66,2)</f>
        <v>0</v>
      </c>
      <c r="D68" s="13">
        <f>ROUND(D$10*'B&amp;A kWh'!E66,2)</f>
        <v>953.74</v>
      </c>
      <c r="E68" s="13">
        <f>ROUND(E$10*'B&amp;A kWh'!F66,2)</f>
        <v>968.28</v>
      </c>
      <c r="F68" s="13">
        <f>ROUND(F$10*'B&amp;A kWh'!G66,2)</f>
        <v>982.16</v>
      </c>
      <c r="G68" s="13">
        <f>ROUND(G$10*'B&amp;A kWh'!H66,2)</f>
        <v>920.33</v>
      </c>
      <c r="H68" s="13">
        <f>ROUND(H$10*'B&amp;A kWh'!I66,2)</f>
        <v>1038.28</v>
      </c>
      <c r="I68" s="13">
        <f>ROUND(I$10*'B&amp;A kWh'!J66,2)</f>
        <v>985.16</v>
      </c>
      <c r="J68" s="13">
        <f>ROUND(J$10*'B&amp;A kWh'!K66,2)</f>
        <v>1145.97</v>
      </c>
      <c r="K68" s="13">
        <f>ROUND(K$10*'B&amp;A kWh'!L66,2)</f>
        <v>1177.44</v>
      </c>
      <c r="L68" s="13">
        <f>L$10*'B&amp;A kWh'!M66*$L$1</f>
        <v>313.69405006451609</v>
      </c>
      <c r="M68" s="13">
        <f>ROUND(M$10*'B&amp;A kWh'!N66,2)</f>
        <v>0</v>
      </c>
      <c r="N68" s="13">
        <f>ROUND(N$10*'B&amp;A kWh'!O66,2)</f>
        <v>0</v>
      </c>
      <c r="O68" s="13">
        <f>ROUND(O$10*'B&amp;A kWh'!P66,2)</f>
        <v>0</v>
      </c>
      <c r="P68" s="13">
        <f t="shared" si="4"/>
        <v>8485.0540500645166</v>
      </c>
      <c r="S68" s="26" t="s">
        <v>123</v>
      </c>
      <c r="T68" s="26">
        <v>66</v>
      </c>
    </row>
    <row r="69" spans="1:20" x14ac:dyDescent="0.25">
      <c r="A69" s="24"/>
      <c r="L69" s="13">
        <f>L$10*'B&amp;A kWh'!M67*$L$1</f>
        <v>0</v>
      </c>
      <c r="T69" s="26">
        <v>67</v>
      </c>
    </row>
    <row r="70" spans="1:20" x14ac:dyDescent="0.25">
      <c r="A70" s="24" t="s">
        <v>124</v>
      </c>
      <c r="B70" s="13">
        <f>ROUND(B$10*'B&amp;A kWh'!C68,2)</f>
        <v>0</v>
      </c>
      <c r="C70" s="13">
        <f>ROUND(C$10*'B&amp;A kWh'!D68,2)</f>
        <v>0</v>
      </c>
      <c r="D70" s="13">
        <f>ROUND(D$10*'B&amp;A kWh'!E68,2)</f>
        <v>17279.080000000002</v>
      </c>
      <c r="E70" s="13">
        <f>ROUND(E$10*'B&amp;A kWh'!F68,2)</f>
        <v>19510.689999999999</v>
      </c>
      <c r="F70" s="13">
        <f>ROUND(F$10*'B&amp;A kWh'!G68,2)</f>
        <v>19582.419999999998</v>
      </c>
      <c r="G70" s="13">
        <f>ROUND(G$10*'B&amp;A kWh'!H68,2)</f>
        <v>17865.88</v>
      </c>
      <c r="H70" s="13">
        <f>ROUND(H$10*'B&amp;A kWh'!I68,2)</f>
        <v>19879.37</v>
      </c>
      <c r="I70" s="13">
        <f>ROUND(I$10*'B&amp;A kWh'!J68,2)</f>
        <v>18209.55</v>
      </c>
      <c r="J70" s="13">
        <f>ROUND(J$10*'B&amp;A kWh'!K68,2)</f>
        <v>21049.94</v>
      </c>
      <c r="K70" s="13">
        <f>ROUND(K$10*'B&amp;A kWh'!L68,2)</f>
        <v>19727.919999999998</v>
      </c>
      <c r="L70" s="13">
        <f>L$10*'B&amp;A kWh'!M68*$L$1</f>
        <v>4660.5209713548384</v>
      </c>
      <c r="M70" s="13">
        <f>ROUND(M$10*'B&amp;A kWh'!N68,2)</f>
        <v>0</v>
      </c>
      <c r="N70" s="13">
        <f>ROUND(N$10*'B&amp;A kWh'!O68,2)</f>
        <v>0</v>
      </c>
      <c r="O70" s="13">
        <f>ROUND(O$10*'B&amp;A kWh'!P68,2)</f>
        <v>0</v>
      </c>
      <c r="P70" s="13">
        <f t="shared" si="4"/>
        <v>157765.3709713548</v>
      </c>
      <c r="S70" s="26" t="s">
        <v>124</v>
      </c>
      <c r="T70" s="26">
        <v>68</v>
      </c>
    </row>
    <row r="71" spans="1:20" x14ac:dyDescent="0.25">
      <c r="A71" s="24"/>
      <c r="L71" s="13">
        <f>L$10*'B&amp;A kWh'!M69*$L$1</f>
        <v>0</v>
      </c>
      <c r="M71" s="166"/>
      <c r="T71" s="26">
        <v>69</v>
      </c>
    </row>
    <row r="72" spans="1:20" x14ac:dyDescent="0.25">
      <c r="A72" s="24" t="s">
        <v>125</v>
      </c>
      <c r="B72" s="13">
        <f>ROUND(B$10*'B&amp;A kWh'!C70,2)</f>
        <v>0</v>
      </c>
      <c r="C72" s="13">
        <f>ROUND(C$10*'B&amp;A kWh'!D70,2)</f>
        <v>0</v>
      </c>
      <c r="D72" s="13">
        <f>ROUND(D$10*'B&amp;A kWh'!E70,2)</f>
        <v>84139.41</v>
      </c>
      <c r="E72" s="13">
        <f>ROUND(E$10*'B&amp;A kWh'!F70,2)</f>
        <v>131537.29</v>
      </c>
      <c r="F72" s="13">
        <f>ROUND(F$10*'B&amp;A kWh'!G70,2)</f>
        <v>66435.22</v>
      </c>
      <c r="G72" s="13">
        <f>ROUND(G$10*'B&amp;A kWh'!H70,2)</f>
        <v>110172.75</v>
      </c>
      <c r="H72" s="13">
        <f>ROUND(H$10*'B&amp;A kWh'!I70,2)</f>
        <v>119451.82</v>
      </c>
      <c r="I72" s="13">
        <f>ROUND(I$10*'B&amp;A kWh'!J70,2)</f>
        <v>106210.1</v>
      </c>
      <c r="J72" s="13">
        <f>ROUND(J$10*'B&amp;A kWh'!K70,2)</f>
        <v>115689.45</v>
      </c>
      <c r="K72" s="13">
        <f>ROUND(K$10*'B&amp;A kWh'!L70,2)</f>
        <v>109778.91</v>
      </c>
      <c r="L72" s="13">
        <f>L$10*'B&amp;A kWh'!M70*$L$1</f>
        <v>27638.230807741933</v>
      </c>
      <c r="M72" s="13">
        <f>ROUND(M$10*'B&amp;A kWh'!N70,2)</f>
        <v>0</v>
      </c>
      <c r="N72" s="13">
        <f>ROUND(N$10*'B&amp;A kWh'!O70,2)</f>
        <v>0</v>
      </c>
      <c r="O72" s="13">
        <f>ROUND(O$10*'B&amp;A kWh'!P70,2)</f>
        <v>0</v>
      </c>
      <c r="P72" s="13">
        <f t="shared" si="4"/>
        <v>871053.18080774206</v>
      </c>
      <c r="S72" s="26" t="s">
        <v>125</v>
      </c>
      <c r="T72" s="26">
        <v>70</v>
      </c>
    </row>
    <row r="73" spans="1:20" x14ac:dyDescent="0.25">
      <c r="A73" s="24"/>
      <c r="L73" s="13">
        <f>L$10*'B&amp;A kWh'!M71*$L$1</f>
        <v>0</v>
      </c>
      <c r="T73" s="26">
        <v>71</v>
      </c>
    </row>
    <row r="74" spans="1:20" x14ac:dyDescent="0.25">
      <c r="A74" s="24" t="s">
        <v>126</v>
      </c>
      <c r="B74" s="13">
        <f>ROUND(B$10*'B&amp;A kWh'!C72,2)</f>
        <v>0</v>
      </c>
      <c r="C74" s="13">
        <f>ROUND(C$10*'B&amp;A kWh'!D72,2)</f>
        <v>0</v>
      </c>
      <c r="D74" s="13">
        <f>ROUND(D$10*'B&amp;A kWh'!E72,2)</f>
        <v>14595.31</v>
      </c>
      <c r="E74" s="13">
        <f>ROUND(E$10*'B&amp;A kWh'!F72,2)</f>
        <v>14550.79</v>
      </c>
      <c r="F74" s="13">
        <f>ROUND(F$10*'B&amp;A kWh'!G72,2)</f>
        <v>19225.43</v>
      </c>
      <c r="G74" s="13">
        <f>ROUND(G$10*'B&amp;A kWh'!H72,2)</f>
        <v>14799.84</v>
      </c>
      <c r="H74" s="13">
        <f>ROUND(H$10*'B&amp;A kWh'!I72,2)</f>
        <v>14042.37</v>
      </c>
      <c r="I74" s="13">
        <f>ROUND(I$10*'B&amp;A kWh'!J72,2)</f>
        <v>14233.83</v>
      </c>
      <c r="J74" s="13">
        <f>ROUND(J$10*'B&amp;A kWh'!K72,2)</f>
        <v>17983.78</v>
      </c>
      <c r="K74" s="13">
        <f>ROUND(K$10*'B&amp;A kWh'!L72,2)</f>
        <v>11471.1</v>
      </c>
      <c r="L74" s="13">
        <f>L$10*'B&amp;A kWh'!M72*$L$1</f>
        <v>4821.7679349677419</v>
      </c>
      <c r="M74" s="13">
        <f>ROUND(M$10*'B&amp;A kWh'!N72,2)</f>
        <v>0</v>
      </c>
      <c r="N74" s="13">
        <f>ROUND(N$10*'B&amp;A kWh'!O72,2)</f>
        <v>0</v>
      </c>
      <c r="O74" s="13">
        <f>ROUND(O$10*'B&amp;A kWh'!P72,2)</f>
        <v>0</v>
      </c>
      <c r="P74" s="13">
        <f t="shared" si="4"/>
        <v>125724.21793496775</v>
      </c>
      <c r="S74" s="26" t="s">
        <v>126</v>
      </c>
      <c r="T74" s="26">
        <v>72</v>
      </c>
    </row>
    <row r="75" spans="1:20" x14ac:dyDescent="0.25">
      <c r="A75" s="24"/>
      <c r="L75" s="13">
        <f>L$10*'B&amp;A kWh'!M73*$L$1</f>
        <v>0</v>
      </c>
      <c r="T75" s="26">
        <v>73</v>
      </c>
    </row>
    <row r="76" spans="1:20" x14ac:dyDescent="0.25">
      <c r="A76" s="24" t="s">
        <v>2</v>
      </c>
      <c r="B76" s="13">
        <f>ROUND(B$9*'B&amp;A kWh'!C74,2)</f>
        <v>0</v>
      </c>
      <c r="C76" s="13">
        <f>ROUND(C$9*'B&amp;A kWh'!D74,2)</f>
        <v>0</v>
      </c>
      <c r="D76" s="13">
        <f>ROUND(D$9*'B&amp;A kWh'!E74,2)</f>
        <v>1006.37</v>
      </c>
      <c r="E76" s="13">
        <f>ROUND(E$9*'B&amp;A kWh'!F74,2)</f>
        <v>884.43</v>
      </c>
      <c r="F76" s="13">
        <f>ROUND(F$9*'B&amp;A kWh'!G74,2)</f>
        <v>798.29</v>
      </c>
      <c r="G76" s="13">
        <f>ROUND(G$9*'B&amp;A kWh'!H74,2)</f>
        <v>863.6</v>
      </c>
      <c r="H76" s="13">
        <f>ROUND(H$9*'B&amp;A kWh'!I74,2)</f>
        <v>1062.06</v>
      </c>
      <c r="I76" s="13">
        <f>ROUND(I$9*'B&amp;A kWh'!J74,2)</f>
        <v>1163.99</v>
      </c>
      <c r="J76" s="13">
        <f>ROUND(J$9*'B&amp;A kWh'!K74,2)</f>
        <v>1359.58</v>
      </c>
      <c r="K76" s="13">
        <f>ROUND(K$9*'B&amp;A kWh'!L74,2)</f>
        <v>1487.64</v>
      </c>
      <c r="L76" s="13">
        <f>L$9*'B&amp;A kWh'!M74*$L$1</f>
        <v>409.45265419354837</v>
      </c>
      <c r="M76" s="13">
        <f>ROUND(M$9*'B&amp;A kWh'!N74,2)</f>
        <v>0</v>
      </c>
      <c r="N76" s="13">
        <f>ROUND(N$9*'B&amp;A kWh'!O74,2)</f>
        <v>0</v>
      </c>
      <c r="O76" s="13">
        <f>ROUND(O$9*'B&amp;A kWh'!P74,2)</f>
        <v>0</v>
      </c>
      <c r="P76" s="13">
        <f t="shared" si="4"/>
        <v>9035.4126541935475</v>
      </c>
      <c r="S76" s="26" t="s">
        <v>2</v>
      </c>
      <c r="T76" s="26">
        <v>74</v>
      </c>
    </row>
    <row r="77" spans="1:20" x14ac:dyDescent="0.25">
      <c r="A77" s="24"/>
      <c r="L77" s="13">
        <f>L$9*'B&amp;A kWh'!M75*$L$1</f>
        <v>0</v>
      </c>
      <c r="T77" s="26">
        <v>75</v>
      </c>
    </row>
    <row r="78" spans="1:20" x14ac:dyDescent="0.25">
      <c r="A78" s="24" t="s">
        <v>1</v>
      </c>
      <c r="B78" s="13">
        <f>ROUND(B$9*'B&amp;A kWh'!C76,2)</f>
        <v>0</v>
      </c>
      <c r="C78" s="13">
        <f>ROUND(C$9*'B&amp;A kWh'!D76,2)</f>
        <v>0</v>
      </c>
      <c r="D78" s="13">
        <f>ROUND(D$9*'B&amp;A kWh'!E76,2)</f>
        <v>209.43</v>
      </c>
      <c r="E78" s="13">
        <f>ROUND(E$9*'B&amp;A kWh'!F76,2)</f>
        <v>245.03</v>
      </c>
      <c r="F78" s="13">
        <f>ROUND(F$9*'B&amp;A kWh'!G76,2)</f>
        <v>272.12</v>
      </c>
      <c r="G78" s="13">
        <f>ROUND(G$9*'B&amp;A kWh'!H76,2)</f>
        <v>229.43</v>
      </c>
      <c r="H78" s="13">
        <f>ROUND(H$9*'B&amp;A kWh'!I76,2)</f>
        <v>262.77999999999997</v>
      </c>
      <c r="I78" s="13">
        <f>ROUND(I$9*'B&amp;A kWh'!J76,2)</f>
        <v>232.97</v>
      </c>
      <c r="J78" s="13">
        <f>ROUND(J$9*'B&amp;A kWh'!K76,2)</f>
        <v>294.35000000000002</v>
      </c>
      <c r="K78" s="13">
        <f>ROUND(K$9*'B&amp;A kWh'!L76,2)</f>
        <v>243.55</v>
      </c>
      <c r="L78" s="13">
        <f>L$9*'B&amp;A kWh'!M76*$L$1</f>
        <v>67.93251225806452</v>
      </c>
      <c r="M78" s="13">
        <f>ROUND(M$9*'B&amp;A kWh'!N76,2)</f>
        <v>0</v>
      </c>
      <c r="N78" s="13">
        <f>ROUND(N$9*'B&amp;A kWh'!O76,2)</f>
        <v>0</v>
      </c>
      <c r="O78" s="13">
        <f>ROUND(O$9*'B&amp;A kWh'!P76,2)</f>
        <v>0</v>
      </c>
      <c r="P78" s="13">
        <f t="shared" si="4"/>
        <v>2057.5925122580647</v>
      </c>
      <c r="S78" s="26" t="s">
        <v>1</v>
      </c>
      <c r="T78" s="26">
        <v>76</v>
      </c>
    </row>
    <row r="79" spans="1:20" x14ac:dyDescent="0.25">
      <c r="A79" s="158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8"/>
    </row>
    <row r="80" spans="1:20" x14ac:dyDescent="0.25">
      <c r="A80" s="26" t="s">
        <v>0</v>
      </c>
      <c r="B80" s="13">
        <f>SUM(B12:B78)</f>
        <v>0</v>
      </c>
      <c r="C80" s="13">
        <f t="shared" ref="C80" si="5">SUM(C12:C78)</f>
        <v>0</v>
      </c>
      <c r="D80" s="13">
        <f>SUM(D12:D78)-D20</f>
        <v>461108.53999999992</v>
      </c>
      <c r="E80" s="13">
        <f t="shared" ref="E80:L80" si="6">SUM(E12:E78)-E20</f>
        <v>509935.83999999997</v>
      </c>
      <c r="F80" s="13">
        <f t="shared" si="6"/>
        <v>507096.97</v>
      </c>
      <c r="G80" s="13">
        <f t="shared" si="6"/>
        <v>571762.85000000009</v>
      </c>
      <c r="H80" s="13">
        <f t="shared" si="6"/>
        <v>632371.65000000014</v>
      </c>
      <c r="I80" s="13">
        <f t="shared" si="6"/>
        <v>521888.41999999981</v>
      </c>
      <c r="J80" s="13">
        <f t="shared" si="6"/>
        <v>537184.1599999998</v>
      </c>
      <c r="K80" s="13">
        <f t="shared" si="6"/>
        <v>579673.01</v>
      </c>
      <c r="L80" s="13">
        <f t="shared" si="6"/>
        <v>189031.97963329032</v>
      </c>
      <c r="M80" s="13">
        <f>SUM(M12:M78)-M20</f>
        <v>0</v>
      </c>
      <c r="N80" s="13">
        <f>SUM(N12:N78)-N20</f>
        <v>0</v>
      </c>
      <c r="O80" s="13">
        <f>SUM(O12:O78)-O20</f>
        <v>0</v>
      </c>
      <c r="P80" s="13">
        <f>SUM(D80:O80)</f>
        <v>4510053.4196332898</v>
      </c>
      <c r="Q80" s="13">
        <f t="shared" ref="Q80" si="7">SUM(Q12:Q78)-Q20</f>
        <v>0</v>
      </c>
    </row>
    <row r="81" spans="4:16" x14ac:dyDescent="0.25">
      <c r="P81" s="13">
        <f>SUM(P12:P78)-P19</f>
        <v>4510053.4196332907</v>
      </c>
    </row>
    <row r="83" spans="4:16" x14ac:dyDescent="0.25"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</row>
    <row r="84" spans="4:16" x14ac:dyDescent="0.25">
      <c r="L84" s="13"/>
      <c r="P84" s="13"/>
    </row>
    <row r="86" spans="4:16" x14ac:dyDescent="0.25">
      <c r="L86" s="13"/>
    </row>
  </sheetData>
  <pageMargins left="0.7" right="0.36" top="0.75" bottom="0.75" header="0.3" footer="0.3"/>
  <pageSetup scale="46" orientation="portrait" r:id="rId1"/>
  <headerFooter>
    <oddFooter>&amp;L&amp;F
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7"/>
  <sheetViews>
    <sheetView zoomScale="90" zoomScaleNormal="90" workbookViewId="0">
      <pane xSplit="1" ySplit="10" topLeftCell="D1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G25" sqref="G25"/>
    </sheetView>
  </sheetViews>
  <sheetFormatPr defaultColWidth="9.140625" defaultRowHeight="15.75" outlineLevelCol="1" x14ac:dyDescent="0.25"/>
  <cols>
    <col min="1" max="1" width="18.42578125" style="26" bestFit="1" customWidth="1"/>
    <col min="2" max="2" width="17.42578125" style="26" hidden="1" customWidth="1" outlineLevel="1"/>
    <col min="3" max="3" width="15.85546875" style="26" hidden="1" customWidth="1" outlineLevel="1"/>
    <col min="4" max="4" width="15.140625" style="26" bestFit="1" customWidth="1" outlineLevel="1"/>
    <col min="5" max="15" width="14.28515625" style="26" customWidth="1" outlineLevel="1"/>
    <col min="16" max="16" width="16.5703125" style="26" customWidth="1"/>
    <col min="17" max="16384" width="9.140625" style="26"/>
  </cols>
  <sheetData>
    <row r="1" spans="1:20" x14ac:dyDescent="0.25">
      <c r="A1" s="26" t="s">
        <v>70</v>
      </c>
      <c r="D1" s="150"/>
    </row>
    <row r="2" spans="1:20" x14ac:dyDescent="0.25">
      <c r="A2" s="26" t="s">
        <v>71</v>
      </c>
    </row>
    <row r="3" spans="1:20" x14ac:dyDescent="0.25">
      <c r="A3" s="26" t="str">
        <f>'B&amp;A kWh'!B3</f>
        <v>TEST YEAR ENDED March 31, 2023</v>
      </c>
    </row>
    <row r="4" spans="1:20" x14ac:dyDescent="0.25">
      <c r="A4" s="26" t="s">
        <v>81</v>
      </c>
    </row>
    <row r="5" spans="1:20" x14ac:dyDescent="0.25">
      <c r="A5" s="26" t="s">
        <v>91</v>
      </c>
    </row>
    <row r="6" spans="1:20" x14ac:dyDescent="0.25">
      <c r="A6" s="26" t="s">
        <v>144</v>
      </c>
    </row>
    <row r="7" spans="1:20" x14ac:dyDescent="0.25">
      <c r="D7" s="26">
        <v>2022</v>
      </c>
      <c r="O7" s="26">
        <v>2023</v>
      </c>
      <c r="P7" s="32" t="s">
        <v>294</v>
      </c>
    </row>
    <row r="8" spans="1:20" x14ac:dyDescent="0.25">
      <c r="A8" s="7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20" x14ac:dyDescent="0.25">
      <c r="A9" s="26" t="s">
        <v>84</v>
      </c>
      <c r="B9" s="65"/>
      <c r="C9" s="65"/>
      <c r="D9" s="60">
        <v>4.2641999999999999E-2</v>
      </c>
      <c r="E9" s="60">
        <v>6.6160999999999998E-2</v>
      </c>
      <c r="F9" s="60">
        <v>4.9723999999999997E-2</v>
      </c>
      <c r="G9" s="60">
        <v>6.2431E-2</v>
      </c>
      <c r="H9" s="60">
        <v>5.9358000000000001E-2</v>
      </c>
      <c r="I9" s="60">
        <v>5.3728999999999999E-2</v>
      </c>
      <c r="J9" s="60">
        <v>5.0094E-2</v>
      </c>
      <c r="K9" s="60">
        <v>5.9121E-2</v>
      </c>
      <c r="L9" s="60">
        <v>5.7579999999999999E-2</v>
      </c>
      <c r="M9" s="60">
        <v>5.7446999999999998E-2</v>
      </c>
      <c r="N9" s="60">
        <v>2.7417E-2</v>
      </c>
      <c r="O9" s="60">
        <v>9.3179999999999999E-3</v>
      </c>
    </row>
    <row r="10" spans="1:20" x14ac:dyDescent="0.25">
      <c r="A10" s="26" t="s">
        <v>92</v>
      </c>
      <c r="B10" s="65"/>
      <c r="C10" s="65"/>
      <c r="D10" s="60">
        <v>6.5272999999999998E-2</v>
      </c>
      <c r="E10" s="60">
        <v>0.100643</v>
      </c>
      <c r="F10" s="60">
        <v>7.5639999999999999E-2</v>
      </c>
      <c r="G10" s="60">
        <v>9.6329999999999999E-2</v>
      </c>
      <c r="H10" s="60">
        <v>9.3637999999999999E-2</v>
      </c>
      <c r="I10" s="60">
        <v>8.6392999999999998E-2</v>
      </c>
      <c r="J10" s="60">
        <v>8.0601999999999993E-2</v>
      </c>
      <c r="K10" s="60">
        <v>9.5183000000000004E-2</v>
      </c>
      <c r="L10" s="60">
        <v>9.3863000000000002E-2</v>
      </c>
      <c r="M10" s="60">
        <v>9.5758999999999997E-2</v>
      </c>
      <c r="N10" s="60">
        <v>4.5578E-2</v>
      </c>
      <c r="O10" s="60">
        <v>1.7498E-2</v>
      </c>
    </row>
    <row r="11" spans="1:20" x14ac:dyDescent="0.25">
      <c r="C11" s="65"/>
    </row>
    <row r="12" spans="1:20" x14ac:dyDescent="0.25">
      <c r="B12" s="26" t="s">
        <v>130</v>
      </c>
      <c r="S12" s="26" t="s">
        <v>271</v>
      </c>
    </row>
    <row r="13" spans="1:20" x14ac:dyDescent="0.25">
      <c r="A13" s="24" t="s">
        <v>21</v>
      </c>
      <c r="B13" s="13">
        <f>ROUND(' B&amp;A+DSM - % Riders'!B10*B$9,2)</f>
        <v>0</v>
      </c>
      <c r="C13" s="13">
        <f>ROUND(' B&amp;A+DSM - % Riders'!C10*C$9,2)</f>
        <v>0</v>
      </c>
      <c r="D13" s="13">
        <f>ROUND(' B&amp;A+DSM - % Riders'!D10*D$9,2)</f>
        <v>871925.66</v>
      </c>
      <c r="E13" s="13">
        <f>ROUND(' B&amp;A+DSM - % Riders'!E10*E$9,2)</f>
        <v>1241018.1100000001</v>
      </c>
      <c r="F13" s="13">
        <f>ROUND(' B&amp;A+DSM - % Riders'!F10*F$9,2)</f>
        <v>1156062.7</v>
      </c>
      <c r="G13" s="13">
        <f>ROUND(' B&amp;A+DSM - % Riders'!G10*G$9,2)</f>
        <v>1667873.49</v>
      </c>
      <c r="H13" s="13">
        <f>ROUND(' B&amp;A+DSM - % Riders'!H10*H$9,2)</f>
        <v>1477612.41</v>
      </c>
      <c r="I13" s="13">
        <f>ROUND(' B&amp;A+DSM - % Riders'!I10*I$9,2)</f>
        <v>988940.35</v>
      </c>
      <c r="J13" s="13">
        <f>ROUND(' B&amp;A+DSM - % Riders'!J10*J$9,2)</f>
        <v>1006119.69</v>
      </c>
      <c r="K13" s="13">
        <f>ROUND(' B&amp;A+DSM - % Riders'!K10*K$9,2)</f>
        <v>1538397.7</v>
      </c>
      <c r="L13" s="13">
        <f>ROUND(' B&amp;A+DSM - % Riders'!L10*L$9,2)</f>
        <v>1703329.09</v>
      </c>
      <c r="M13" s="13">
        <f>ROUND(' B&amp;A+DSM - % Riders'!M10*M$9,2)</f>
        <v>1714058.76</v>
      </c>
      <c r="N13" s="13">
        <f>ROUND(' B&amp;A+DSM - % Riders'!N10*N$9,2)</f>
        <v>541054.18000000005</v>
      </c>
      <c r="O13" s="13">
        <f>ROUND(' B&amp;A+DSM - % Riders'!O10*O$9,2)</f>
        <v>144762.57999999999</v>
      </c>
      <c r="P13" s="13">
        <f>SUM(D13:O13)</f>
        <v>14051154.719999999</v>
      </c>
      <c r="S13" s="51" t="s">
        <v>21</v>
      </c>
      <c r="T13" s="51">
        <v>10</v>
      </c>
    </row>
    <row r="14" spans="1:20" x14ac:dyDescent="0.25">
      <c r="A14" s="24"/>
      <c r="S14" s="51"/>
      <c r="T14" s="51">
        <v>11</v>
      </c>
    </row>
    <row r="15" spans="1:20" x14ac:dyDescent="0.25">
      <c r="A15" s="24" t="s">
        <v>20</v>
      </c>
      <c r="B15" s="13">
        <f>ROUND(' B&amp;A+DSM - % Riders'!B12*B$9,2)</f>
        <v>0</v>
      </c>
      <c r="C15" s="13">
        <f>ROUND(' B&amp;A+DSM - % Riders'!C12*C$9,2)</f>
        <v>0</v>
      </c>
      <c r="D15" s="13">
        <f>ROUND(' B&amp;A+DSM - % Riders'!D12*D$9,2)</f>
        <v>1187.0999999999999</v>
      </c>
      <c r="E15" s="13">
        <f>ROUND(' B&amp;A+DSM - % Riders'!E12*E$9,2)</f>
        <v>1713.43</v>
      </c>
      <c r="F15" s="13">
        <f>ROUND(' B&amp;A+DSM - % Riders'!F12*F$9,2)</f>
        <v>1638.49</v>
      </c>
      <c r="G15" s="13">
        <f>ROUND(' B&amp;A+DSM - % Riders'!G12*G$9,2)</f>
        <v>2456.02</v>
      </c>
      <c r="H15" s="13">
        <f>ROUND(' B&amp;A+DSM - % Riders'!H12*H$9,2)</f>
        <v>2093.29</v>
      </c>
      <c r="I15" s="13">
        <f>ROUND(' B&amp;A+DSM - % Riders'!I12*I$9,2)</f>
        <v>1526.75</v>
      </c>
      <c r="J15" s="13">
        <f>ROUND(' B&amp;A+DSM - % Riders'!J12*J$9,2)</f>
        <v>1363.46</v>
      </c>
      <c r="K15" s="13">
        <f>ROUND(' B&amp;A+DSM - % Riders'!K12*K$9,2)</f>
        <v>2030.67</v>
      </c>
      <c r="L15" s="13">
        <f>ROUND(' B&amp;A+DSM - % Riders'!L12*L$9,2)</f>
        <v>2611.09</v>
      </c>
      <c r="M15" s="13">
        <f>ROUND(' B&amp;A+DSM - % Riders'!M12*M$9,2)</f>
        <v>2862.61</v>
      </c>
      <c r="N15" s="13">
        <f>ROUND(' B&amp;A+DSM - % Riders'!N12*N$9,2)</f>
        <v>737.66</v>
      </c>
      <c r="O15" s="13">
        <f>ROUND(' B&amp;A+DSM - % Riders'!O12*O$9,2)</f>
        <v>186.84</v>
      </c>
      <c r="P15" s="13">
        <f t="shared" ref="P15" si="0">SUM(D15:O15)</f>
        <v>20407.409999999996</v>
      </c>
      <c r="S15" s="51" t="s">
        <v>20</v>
      </c>
      <c r="T15" s="51">
        <v>12</v>
      </c>
    </row>
    <row r="16" spans="1:20" x14ac:dyDescent="0.25">
      <c r="A16" s="24"/>
      <c r="S16" s="51"/>
      <c r="T16" s="51">
        <v>13</v>
      </c>
    </row>
    <row r="17" spans="1:20" x14ac:dyDescent="0.25">
      <c r="A17" s="24" t="s">
        <v>19</v>
      </c>
      <c r="B17" s="13">
        <f>ROUND(' B&amp;A+DSM - % Riders'!B14*B$9,2)</f>
        <v>0</v>
      </c>
      <c r="C17" s="13">
        <f>ROUND(' B&amp;A+DSM - % Riders'!C14*C$9,2)</f>
        <v>0</v>
      </c>
      <c r="D17" s="13">
        <f>ROUND(' B&amp;A+DSM - % Riders'!D14*D$9,2)</f>
        <v>34.840000000000003</v>
      </c>
      <c r="E17" s="13">
        <f>ROUND(' B&amp;A+DSM - % Riders'!E14*E$9,2)</f>
        <v>51.2</v>
      </c>
      <c r="F17" s="13">
        <f>ROUND(' B&amp;A+DSM - % Riders'!F14*F$9,2)</f>
        <v>52.42</v>
      </c>
      <c r="G17" s="13">
        <f>ROUND(' B&amp;A+DSM - % Riders'!G14*G$9,2)</f>
        <v>75.83</v>
      </c>
      <c r="H17" s="13">
        <f>ROUND(' B&amp;A+DSM - % Riders'!H14*H$9,2)</f>
        <v>79.52</v>
      </c>
      <c r="I17" s="13">
        <f>ROUND(' B&amp;A+DSM - % Riders'!I14*I$9,2)</f>
        <v>61.55</v>
      </c>
      <c r="J17" s="13">
        <f>ROUND(' B&amp;A+DSM - % Riders'!J14*J$9,2)</f>
        <v>63.17</v>
      </c>
      <c r="K17" s="13">
        <f>ROUND(' B&amp;A+DSM - % Riders'!K14*K$9,2)</f>
        <v>50.07</v>
      </c>
      <c r="L17" s="13">
        <f>ROUND(' B&amp;A+DSM - % Riders'!L14*L$9,2)</f>
        <v>122.69</v>
      </c>
      <c r="M17" s="13">
        <f>ROUND(' B&amp;A+DSM - % Riders'!M14*M$9,2)</f>
        <v>132.77000000000001</v>
      </c>
      <c r="N17" s="13">
        <f>ROUND(' B&amp;A+DSM - % Riders'!N14*N$9,2)</f>
        <v>36.17</v>
      </c>
      <c r="O17" s="13">
        <f>ROUND(' B&amp;A+DSM - % Riders'!O14*O$9,2)</f>
        <v>8.8800000000000008</v>
      </c>
      <c r="P17" s="13">
        <f t="shared" ref="P17" si="1">SUM(D17:O17)</f>
        <v>769.1099999999999</v>
      </c>
      <c r="S17" s="51" t="s">
        <v>19</v>
      </c>
      <c r="T17" s="51">
        <v>14</v>
      </c>
    </row>
    <row r="18" spans="1:20" x14ac:dyDescent="0.25">
      <c r="A18" s="24"/>
      <c r="S18" s="51"/>
      <c r="T18" s="51">
        <v>15</v>
      </c>
    </row>
    <row r="19" spans="1:20" x14ac:dyDescent="0.25">
      <c r="A19" s="43" t="s">
        <v>172</v>
      </c>
      <c r="D19" s="13">
        <f>ROUND(' B&amp;A+DSM - % Riders'!D16*D$9,2)</f>
        <v>0</v>
      </c>
      <c r="E19" s="13">
        <f>ROUND(' B&amp;A+DSM - % Riders'!E16*E$9,2)</f>
        <v>0</v>
      </c>
      <c r="F19" s="13">
        <f>ROUND(' B&amp;A+DSM - % Riders'!F16*F$9,2)</f>
        <v>0</v>
      </c>
      <c r="G19" s="13">
        <f>ROUND(' B&amp;A+DSM - % Riders'!G16*G$9,2)</f>
        <v>0</v>
      </c>
      <c r="H19" s="13">
        <f>ROUND(' B&amp;A+DSM - % Riders'!H16*H$9,2)</f>
        <v>0</v>
      </c>
      <c r="I19" s="13">
        <f>ROUND(' B&amp;A+DSM - % Riders'!I16*I$9,2)</f>
        <v>0</v>
      </c>
      <c r="J19" s="13">
        <f>ROUND(' B&amp;A+DSM - % Riders'!J16*J$9,2)</f>
        <v>0</v>
      </c>
      <c r="K19" s="13">
        <f>ROUND(' B&amp;A+DSM - % Riders'!K16*K$9,2)</f>
        <v>0</v>
      </c>
      <c r="L19" s="13">
        <f>ROUND(' B&amp;A+DSM - % Riders'!L16*L$9,2)</f>
        <v>0</v>
      </c>
      <c r="M19" s="13">
        <f>ROUND(' B&amp;A+DSM - % Riders'!M16*M$9,2)</f>
        <v>0</v>
      </c>
      <c r="N19" s="13">
        <f>ROUND(' B&amp;A+DSM - % Riders'!N16*N$9,2)</f>
        <v>0</v>
      </c>
      <c r="O19" s="13">
        <f>ROUND(' B&amp;A+DSM - % Riders'!O16*O$9,2)</f>
        <v>0</v>
      </c>
      <c r="P19" s="13">
        <f t="shared" ref="P19:P21" si="2">SUM(D19:O19)</f>
        <v>0</v>
      </c>
      <c r="S19" s="51" t="s">
        <v>172</v>
      </c>
      <c r="T19" s="51">
        <v>16</v>
      </c>
    </row>
    <row r="20" spans="1:20" x14ac:dyDescent="0.25">
      <c r="A20" s="43" t="s">
        <v>174</v>
      </c>
      <c r="D20" s="13">
        <f>ROUND('B&amp;A+DSM - Fuel and % Riders'!D17*D$10,2)</f>
        <v>40798.550000000003</v>
      </c>
      <c r="E20" s="13">
        <f>ROUND('B&amp;A+DSM - Fuel and % Riders'!E17*E$10,2)</f>
        <v>68797.259999999995</v>
      </c>
      <c r="F20" s="13">
        <f>ROUND('B&amp;A+DSM - Fuel and % Riders'!F17*F$10,2)</f>
        <v>46586.94</v>
      </c>
      <c r="G20" s="13">
        <f>ROUND('B&amp;A+DSM - Fuel and % Riders'!G17*G$10,2)</f>
        <v>53997.39</v>
      </c>
      <c r="H20" s="13">
        <f>ROUND('B&amp;A+DSM - Fuel and % Riders'!H17*H$10,2)</f>
        <v>54119.29</v>
      </c>
      <c r="I20" s="13">
        <f>ROUND('B&amp;A+DSM - Fuel and % Riders'!I17*I$10,2)</f>
        <v>46302.99</v>
      </c>
      <c r="J20" s="13">
        <f>ROUND('B&amp;A+DSM - Fuel and % Riders'!J17*J$10,2)</f>
        <v>55499.360000000001</v>
      </c>
      <c r="K20" s="13">
        <f>ROUND('B&amp;A+DSM - Fuel and % Riders'!K17*K$10,2)</f>
        <v>66857.070000000007</v>
      </c>
      <c r="L20" s="13">
        <f>ROUND('B&amp;A+DSM - Fuel and % Riders'!L17*L$10,2)</f>
        <v>40687.22</v>
      </c>
      <c r="M20" s="13">
        <f>ROUND('B&amp;A+DSM - Fuel and % Riders'!M17*M$10,2)</f>
        <v>40218.46</v>
      </c>
      <c r="N20" s="13">
        <f>ROUND('B&amp;A+DSM - Fuel and % Riders'!N17*N$10,2)</f>
        <v>19543.18</v>
      </c>
      <c r="O20" s="13">
        <f>ROUND('B&amp;A+DSM - Fuel and % Riders'!O17*O$10,2)</f>
        <v>11251.66</v>
      </c>
      <c r="P20" s="13">
        <f t="shared" si="2"/>
        <v>544659.37</v>
      </c>
      <c r="S20" s="51" t="s">
        <v>174</v>
      </c>
      <c r="T20" s="51">
        <v>17</v>
      </c>
    </row>
    <row r="21" spans="1:20" x14ac:dyDescent="0.25">
      <c r="A21" s="24" t="s">
        <v>18</v>
      </c>
      <c r="B21" s="13"/>
      <c r="C21" s="13"/>
      <c r="D21" s="13">
        <f>SUM(D19:D20)</f>
        <v>40798.550000000003</v>
      </c>
      <c r="E21" s="13">
        <f t="shared" ref="E21:O21" si="3">SUM(E19:E20)</f>
        <v>68797.259999999995</v>
      </c>
      <c r="F21" s="13">
        <f t="shared" si="3"/>
        <v>46586.94</v>
      </c>
      <c r="G21" s="13">
        <f t="shared" si="3"/>
        <v>53997.39</v>
      </c>
      <c r="H21" s="13">
        <f t="shared" si="3"/>
        <v>54119.29</v>
      </c>
      <c r="I21" s="13">
        <f t="shared" si="3"/>
        <v>46302.99</v>
      </c>
      <c r="J21" s="13">
        <f t="shared" si="3"/>
        <v>55499.360000000001</v>
      </c>
      <c r="K21" s="13">
        <f t="shared" si="3"/>
        <v>66857.070000000007</v>
      </c>
      <c r="L21" s="13">
        <f t="shared" si="3"/>
        <v>40687.22</v>
      </c>
      <c r="M21" s="13">
        <f t="shared" si="3"/>
        <v>40218.46</v>
      </c>
      <c r="N21" s="13">
        <f t="shared" si="3"/>
        <v>19543.18</v>
      </c>
      <c r="O21" s="13">
        <f t="shared" si="3"/>
        <v>11251.66</v>
      </c>
      <c r="P21" s="13">
        <f t="shared" si="2"/>
        <v>544659.37</v>
      </c>
      <c r="S21" s="51" t="s">
        <v>18</v>
      </c>
      <c r="T21" s="51">
        <v>18</v>
      </c>
    </row>
    <row r="22" spans="1:20" x14ac:dyDescent="0.25">
      <c r="A22" s="24"/>
      <c r="S22" s="51"/>
      <c r="T22" s="51">
        <v>19</v>
      </c>
    </row>
    <row r="23" spans="1:20" x14ac:dyDescent="0.25">
      <c r="A23" s="24" t="s">
        <v>17</v>
      </c>
      <c r="B23" s="13">
        <f>ROUND('B&amp;A+DSM - Fuel and % Riders'!B20*B$10,2)</f>
        <v>0</v>
      </c>
      <c r="C23" s="13">
        <f>ROUND('B&amp;A+DSM - Fuel and % Riders'!C20*C$10,2)</f>
        <v>0</v>
      </c>
      <c r="D23" s="13">
        <f>ROUND('B&amp;A+DSM - Fuel and % Riders'!D20*D$10,2)</f>
        <v>93569.12</v>
      </c>
      <c r="E23" s="13">
        <f>ROUND('B&amp;A+DSM - Fuel and % Riders'!E20*E$10,2)</f>
        <v>160991.53</v>
      </c>
      <c r="F23" s="13">
        <f>ROUND('B&amp;A+DSM - Fuel and % Riders'!F20*F$10,2)</f>
        <v>119235.35</v>
      </c>
      <c r="G23" s="13">
        <f>ROUND('B&amp;A+DSM - Fuel and % Riders'!G20*G$10,2)</f>
        <v>154069.5</v>
      </c>
      <c r="H23" s="13">
        <f>ROUND('B&amp;A+DSM - Fuel and % Riders'!H20*H$10,2)</f>
        <v>143972.92000000001</v>
      </c>
      <c r="I23" s="13">
        <f>ROUND('B&amp;A+DSM - Fuel and % Riders'!I20*I$10,2)</f>
        <v>125924.26</v>
      </c>
      <c r="J23" s="13">
        <f>ROUND('B&amp;A+DSM - Fuel and % Riders'!J20*J$10,2)</f>
        <v>129221.02</v>
      </c>
      <c r="K23" s="13">
        <f>ROUND('B&amp;A+DSM - Fuel and % Riders'!K20*K$10,2)</f>
        <v>158145.79999999999</v>
      </c>
      <c r="L23" s="13">
        <f>ROUND('B&amp;A+DSM - Fuel and % Riders'!L20*L$10,2)</f>
        <v>161003.44</v>
      </c>
      <c r="M23" s="13">
        <f>ROUND('B&amp;A+DSM - Fuel and % Riders'!M20*M$10,2)</f>
        <v>159776.88</v>
      </c>
      <c r="N23" s="13">
        <f>ROUND('B&amp;A+DSM - Fuel and % Riders'!N20*N$10,2)</f>
        <v>53192.46</v>
      </c>
      <c r="O23" s="13">
        <f>ROUND('B&amp;A+DSM - Fuel and % Riders'!O20*O$10,2)</f>
        <v>31864.59</v>
      </c>
      <c r="P23" s="13">
        <f t="shared" ref="P23" si="4">SUM(D23:O23)</f>
        <v>1490966.8699999999</v>
      </c>
      <c r="S23" s="51" t="s">
        <v>17</v>
      </c>
      <c r="T23" s="51">
        <v>20</v>
      </c>
    </row>
    <row r="24" spans="1:20" x14ac:dyDescent="0.25">
      <c r="A24" s="24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S24" s="51"/>
      <c r="T24" s="51">
        <v>21</v>
      </c>
    </row>
    <row r="25" spans="1:20" x14ac:dyDescent="0.25">
      <c r="A25" s="24" t="s">
        <v>16</v>
      </c>
      <c r="B25" s="13">
        <f>ROUND('B&amp;A+DSM - Fuel and % Riders'!B22*B$10,2)</f>
        <v>0</v>
      </c>
      <c r="C25" s="13">
        <f>ROUND('B&amp;A+DSM - Fuel and % Riders'!C22*C$10,2)</f>
        <v>0</v>
      </c>
      <c r="D25" s="13">
        <f>ROUND('B&amp;A+DSM - Fuel and % Riders'!D22*D$10,2)</f>
        <v>483.21</v>
      </c>
      <c r="E25" s="13">
        <f>ROUND('B&amp;A+DSM - Fuel and % Riders'!E22*E$10,2)</f>
        <v>789.07</v>
      </c>
      <c r="F25" s="13">
        <f>ROUND('B&amp;A+DSM - Fuel and % Riders'!F22*F$10,2)</f>
        <v>571.30999999999995</v>
      </c>
      <c r="G25" s="13">
        <f>ROUND('B&amp;A+DSM - Fuel and % Riders'!G22*G$10,2)</f>
        <v>655.62</v>
      </c>
      <c r="H25" s="13">
        <f>ROUND('B&amp;A+DSM - Fuel and % Riders'!H22*H$10,2)</f>
        <v>584.26</v>
      </c>
      <c r="I25" s="13">
        <f>ROUND('B&amp;A+DSM - Fuel and % Riders'!I22*I$10,2)</f>
        <v>564.61</v>
      </c>
      <c r="J25" s="13">
        <f>ROUND('B&amp;A+DSM - Fuel and % Riders'!J22*J$10,2)</f>
        <v>545.28</v>
      </c>
      <c r="K25" s="13">
        <f>ROUND('B&amp;A+DSM - Fuel and % Riders'!K22*K$10,2)</f>
        <v>720.84</v>
      </c>
      <c r="L25" s="13">
        <f>ROUND('B&amp;A+DSM - Fuel and % Riders'!L22*L$10,2)</f>
        <v>649.05999999999995</v>
      </c>
      <c r="M25" s="13">
        <f>ROUND('B&amp;A+DSM - Fuel and % Riders'!M22*M$10,2)</f>
        <v>625.16</v>
      </c>
      <c r="N25" s="13">
        <f>ROUND('B&amp;A+DSM - Fuel and % Riders'!N22*N$10,2)</f>
        <v>217.14</v>
      </c>
      <c r="O25" s="13">
        <f>ROUND('B&amp;A+DSM - Fuel and % Riders'!O22*O$10,2)</f>
        <v>141.61000000000001</v>
      </c>
      <c r="P25" s="13">
        <f t="shared" ref="P25" si="5">SUM(D25:O25)</f>
        <v>6547.17</v>
      </c>
      <c r="S25" s="51" t="s">
        <v>16</v>
      </c>
      <c r="T25" s="51">
        <v>22</v>
      </c>
    </row>
    <row r="26" spans="1:20" x14ac:dyDescent="0.25">
      <c r="A26" s="24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S26" s="51"/>
      <c r="T26" s="51">
        <v>23</v>
      </c>
    </row>
    <row r="27" spans="1:20" x14ac:dyDescent="0.25">
      <c r="A27" s="24" t="s">
        <v>15</v>
      </c>
      <c r="B27" s="13">
        <f>ROUND('B&amp;A+DSM - Fuel and % Riders'!B24*B$10,2)</f>
        <v>0</v>
      </c>
      <c r="C27" s="13">
        <f>ROUND('B&amp;A+DSM - Fuel and % Riders'!C24*C$10,2)</f>
        <v>0</v>
      </c>
      <c r="D27" s="13">
        <f>ROUND('B&amp;A+DSM - Fuel and % Riders'!D24*D$10,2)</f>
        <v>5034.79</v>
      </c>
      <c r="E27" s="13">
        <f>ROUND('B&amp;A+DSM - Fuel and % Riders'!E24*E$10,2)</f>
        <v>8452.19</v>
      </c>
      <c r="F27" s="13">
        <f>ROUND('B&amp;A+DSM - Fuel and % Riders'!F24*F$10,2)</f>
        <v>7457.86</v>
      </c>
      <c r="G27" s="13">
        <f>ROUND('B&amp;A+DSM - Fuel and % Riders'!G24*G$10,2)</f>
        <v>7979.77</v>
      </c>
      <c r="H27" s="13">
        <f>ROUND('B&amp;A+DSM - Fuel and % Riders'!H24*H$10,2)</f>
        <v>7506.94</v>
      </c>
      <c r="I27" s="13">
        <f>ROUND('B&amp;A+DSM - Fuel and % Riders'!I24*I$10,2)</f>
        <v>6801.67</v>
      </c>
      <c r="J27" s="13">
        <f>ROUND('B&amp;A+DSM - Fuel and % Riders'!J24*J$10,2)</f>
        <v>6361.13</v>
      </c>
      <c r="K27" s="13">
        <f>ROUND('B&amp;A+DSM - Fuel and % Riders'!K24*K$10,2)</f>
        <v>7763.34</v>
      </c>
      <c r="L27" s="13">
        <f>ROUND('B&amp;A+DSM - Fuel and % Riders'!L24*L$10,2)</f>
        <v>7483.17</v>
      </c>
      <c r="M27" s="13">
        <f>ROUND('B&amp;A+DSM - Fuel and % Riders'!M24*M$10,2)</f>
        <v>6392.62</v>
      </c>
      <c r="N27" s="13">
        <f>ROUND('B&amp;A+DSM - Fuel and % Riders'!N24*N$10,2)</f>
        <v>2238.71</v>
      </c>
      <c r="O27" s="13">
        <f>ROUND('B&amp;A+DSM - Fuel and % Riders'!O24*O$10,2)</f>
        <v>1583.86</v>
      </c>
      <c r="P27" s="13">
        <f t="shared" ref="P27" si="6">SUM(D27:O27)</f>
        <v>75056.05</v>
      </c>
      <c r="S27" s="51" t="s">
        <v>15</v>
      </c>
      <c r="T27" s="51">
        <v>24</v>
      </c>
    </row>
    <row r="28" spans="1:20" x14ac:dyDescent="0.25">
      <c r="A28" s="24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S28" s="51"/>
      <c r="T28" s="51">
        <v>25</v>
      </c>
    </row>
    <row r="29" spans="1:20" x14ac:dyDescent="0.25">
      <c r="A29" s="24" t="s">
        <v>14</v>
      </c>
      <c r="B29" s="13">
        <f>ROUND('B&amp;A+DSM - Fuel and % Riders'!B26*B$10,2)</f>
        <v>0</v>
      </c>
      <c r="C29" s="13">
        <f>ROUND('B&amp;A+DSM - Fuel and % Riders'!C26*C$10,2)</f>
        <v>0</v>
      </c>
      <c r="D29" s="13">
        <f>ROUND('B&amp;A+DSM - Fuel and % Riders'!D26*D$10,2)</f>
        <v>2605.71</v>
      </c>
      <c r="E29" s="13">
        <f>ROUND('B&amp;A+DSM - Fuel and % Riders'!E26*E$10,2)</f>
        <v>4855.21</v>
      </c>
      <c r="F29" s="13">
        <f>ROUND('B&amp;A+DSM - Fuel and % Riders'!F26*F$10,2)</f>
        <v>3005.63</v>
      </c>
      <c r="G29" s="13">
        <f>ROUND('B&amp;A+DSM - Fuel and % Riders'!G26*G$10,2)</f>
        <v>3712.01</v>
      </c>
      <c r="H29" s="13">
        <f>ROUND('B&amp;A+DSM - Fuel and % Riders'!H26*H$10,2)</f>
        <v>3524.85</v>
      </c>
      <c r="I29" s="13">
        <f>ROUND('B&amp;A+DSM - Fuel and % Riders'!I26*I$10,2)</f>
        <v>3201.41</v>
      </c>
      <c r="J29" s="13">
        <f>ROUND('B&amp;A+DSM - Fuel and % Riders'!J26*J$10,2)</f>
        <v>3858.91</v>
      </c>
      <c r="K29" s="13">
        <f>ROUND('B&amp;A+DSM - Fuel and % Riders'!K26*K$10,2)</f>
        <v>4407.16</v>
      </c>
      <c r="L29" s="13">
        <f>ROUND('B&amp;A+DSM - Fuel and % Riders'!L26*L$10,2)</f>
        <v>4080.27</v>
      </c>
      <c r="M29" s="13">
        <f>ROUND('B&amp;A+DSM - Fuel and % Riders'!M26*M$10,2)</f>
        <v>5472.22</v>
      </c>
      <c r="N29" s="13">
        <f>ROUND('B&amp;A+DSM - Fuel and % Riders'!N26*N$10,2)</f>
        <v>698.8</v>
      </c>
      <c r="O29" s="13">
        <f>ROUND('B&amp;A+DSM - Fuel and % Riders'!O26*O$10,2)</f>
        <v>801.96</v>
      </c>
      <c r="P29" s="13">
        <f t="shared" ref="P29" si="7">SUM(D29:O29)</f>
        <v>40224.14</v>
      </c>
      <c r="S29" s="51" t="s">
        <v>14</v>
      </c>
      <c r="T29" s="51">
        <v>26</v>
      </c>
    </row>
    <row r="30" spans="1:20" x14ac:dyDescent="0.25">
      <c r="A30" s="24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S30" s="51"/>
      <c r="T30" s="51">
        <v>27</v>
      </c>
    </row>
    <row r="31" spans="1:20" x14ac:dyDescent="0.25">
      <c r="A31" s="24" t="s">
        <v>13</v>
      </c>
      <c r="B31" s="13">
        <f>ROUND('B&amp;A+DSM - Fuel and % Riders'!B28*B$10,2)</f>
        <v>0</v>
      </c>
      <c r="C31" s="13">
        <f>ROUND('B&amp;A+DSM - Fuel and % Riders'!C28*C$10,2)</f>
        <v>0</v>
      </c>
      <c r="D31" s="13">
        <f>ROUND('B&amp;A+DSM - Fuel and % Riders'!D28*D$10,2)</f>
        <v>1160.99</v>
      </c>
      <c r="E31" s="13">
        <f>ROUND('B&amp;A+DSM - Fuel and % Riders'!E28*E$10,2)</f>
        <v>1468.16</v>
      </c>
      <c r="F31" s="13">
        <f>ROUND('B&amp;A+DSM - Fuel and % Riders'!F28*F$10,2)</f>
        <v>630.33000000000004</v>
      </c>
      <c r="G31" s="13">
        <f>ROUND('B&amp;A+DSM - Fuel and % Riders'!G28*G$10,2)</f>
        <v>699.94</v>
      </c>
      <c r="H31" s="13">
        <f>ROUND('B&amp;A+DSM - Fuel and % Riders'!H28*H$10,2)</f>
        <v>812.32</v>
      </c>
      <c r="I31" s="13">
        <f>ROUND('B&amp;A+DSM - Fuel and % Riders'!I28*I$10,2)</f>
        <v>834.07</v>
      </c>
      <c r="J31" s="13">
        <f>ROUND('B&amp;A+DSM - Fuel and % Riders'!J28*J$10,2)</f>
        <v>1140.01</v>
      </c>
      <c r="K31" s="13">
        <f>ROUND('B&amp;A+DSM - Fuel and % Riders'!K28*K$10,2)</f>
        <v>1248.49</v>
      </c>
      <c r="L31" s="13">
        <f>ROUND('B&amp;A+DSM - Fuel and % Riders'!L28*L$10,2)</f>
        <v>1026.42</v>
      </c>
      <c r="M31" s="13">
        <f>ROUND('B&amp;A+DSM - Fuel and % Riders'!M28*M$10,2)</f>
        <v>1012.73</v>
      </c>
      <c r="N31" s="13">
        <f>ROUND('B&amp;A+DSM - Fuel and % Riders'!N28*N$10,2)</f>
        <v>405.19</v>
      </c>
      <c r="O31" s="13">
        <f>ROUND('B&amp;A+DSM - Fuel and % Riders'!O28*O$10,2)</f>
        <v>299.39</v>
      </c>
      <c r="P31" s="13">
        <f t="shared" ref="P31" si="8">SUM(D31:O31)</f>
        <v>10738.039999999999</v>
      </c>
      <c r="S31" s="51" t="s">
        <v>13</v>
      </c>
      <c r="T31" s="51">
        <v>28</v>
      </c>
    </row>
    <row r="32" spans="1:20" x14ac:dyDescent="0.25">
      <c r="A32" s="24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S32" s="51"/>
      <c r="T32" s="51">
        <v>29</v>
      </c>
    </row>
    <row r="33" spans="1:20" x14ac:dyDescent="0.25">
      <c r="A33" s="24" t="s">
        <v>12</v>
      </c>
      <c r="B33" s="13">
        <f>ROUND('B&amp;A+DSM - Fuel and % Riders'!B30*B$10,2)</f>
        <v>0</v>
      </c>
      <c r="C33" s="13">
        <f>ROUND('B&amp;A+DSM - Fuel and % Riders'!C30*C$10,2)</f>
        <v>0</v>
      </c>
      <c r="D33" s="13">
        <f>ROUND('B&amp;A+DSM - Fuel and % Riders'!D30*D$10,2)</f>
        <v>214313.37</v>
      </c>
      <c r="E33" s="13">
        <f>ROUND('B&amp;A+DSM - Fuel and % Riders'!E30*E$10,2)</f>
        <v>380744.52</v>
      </c>
      <c r="F33" s="13">
        <f>ROUND('B&amp;A+DSM - Fuel and % Riders'!F30*F$10,2)</f>
        <v>296863.26</v>
      </c>
      <c r="G33" s="13">
        <f>ROUND('B&amp;A+DSM - Fuel and % Riders'!G30*G$10,2)</f>
        <v>377211.19</v>
      </c>
      <c r="H33" s="13">
        <f>ROUND('B&amp;A+DSM - Fuel and % Riders'!H30*H$10,2)</f>
        <v>347612.52</v>
      </c>
      <c r="I33" s="13">
        <f>ROUND('B&amp;A+DSM - Fuel and % Riders'!I30*I$10,2)</f>
        <v>309082.12</v>
      </c>
      <c r="J33" s="13">
        <f>ROUND('B&amp;A+DSM - Fuel and % Riders'!J30*J$10,2)</f>
        <v>303531.65000000002</v>
      </c>
      <c r="K33" s="13">
        <f>ROUND('B&amp;A+DSM - Fuel and % Riders'!K30*K$10,2)</f>
        <v>347027.69</v>
      </c>
      <c r="L33" s="13">
        <f>ROUND('B&amp;A+DSM - Fuel and % Riders'!L30*L$10,2)</f>
        <v>362588</v>
      </c>
      <c r="M33" s="13">
        <f>ROUND('B&amp;A+DSM - Fuel and % Riders'!M30*M$10,2)</f>
        <v>351223.51</v>
      </c>
      <c r="N33" s="13">
        <f>ROUND('B&amp;A+DSM - Fuel and % Riders'!N30*N$10,2)</f>
        <v>103771.51</v>
      </c>
      <c r="O33" s="13">
        <f>ROUND('B&amp;A+DSM - Fuel and % Riders'!O30*O$10,2)</f>
        <v>71856.89</v>
      </c>
      <c r="P33" s="13">
        <f t="shared" ref="P33" si="9">SUM(D33:O33)</f>
        <v>3465826.23</v>
      </c>
      <c r="S33" s="51" t="s">
        <v>12</v>
      </c>
      <c r="T33" s="51">
        <v>30</v>
      </c>
    </row>
    <row r="34" spans="1:20" x14ac:dyDescent="0.25">
      <c r="A34" s="24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S34" s="51"/>
      <c r="T34" s="51">
        <v>31</v>
      </c>
    </row>
    <row r="35" spans="1:20" x14ac:dyDescent="0.25">
      <c r="A35" s="24" t="s">
        <v>11</v>
      </c>
      <c r="B35" s="13">
        <f>ROUND('B&amp;A+DSM - Fuel and % Riders'!B32*B$10,2)</f>
        <v>0</v>
      </c>
      <c r="C35" s="13">
        <f>ROUND('B&amp;A+DSM - Fuel and % Riders'!C32*C$10,2)</f>
        <v>0</v>
      </c>
      <c r="D35" s="13">
        <f>ROUND('B&amp;A+DSM - Fuel and % Riders'!D32*D$10,2)</f>
        <v>355.36</v>
      </c>
      <c r="E35" s="13">
        <f>ROUND('B&amp;A+DSM - Fuel and % Riders'!E32*E$10,2)</f>
        <v>416.06</v>
      </c>
      <c r="F35" s="13">
        <f>ROUND('B&amp;A+DSM - Fuel and % Riders'!F32*F$10,2)</f>
        <v>420.59</v>
      </c>
      <c r="G35" s="13">
        <f>ROUND('B&amp;A+DSM - Fuel and % Riders'!G32*G$10,2)</f>
        <v>673.86</v>
      </c>
      <c r="H35" s="13">
        <f>ROUND('B&amp;A+DSM - Fuel and % Riders'!H32*H$10,2)</f>
        <v>551.20000000000005</v>
      </c>
      <c r="I35" s="13">
        <f>ROUND('B&amp;A+DSM - Fuel and % Riders'!I32*I$10,2)</f>
        <v>557.70000000000005</v>
      </c>
      <c r="J35" s="13">
        <f>ROUND('B&amp;A+DSM - Fuel and % Riders'!J32*J$10,2)</f>
        <v>271.77</v>
      </c>
      <c r="K35" s="13">
        <f>ROUND('B&amp;A+DSM - Fuel and % Riders'!K32*K$10,2)</f>
        <v>628</v>
      </c>
      <c r="L35" s="13">
        <f>ROUND('B&amp;A+DSM - Fuel and % Riders'!L32*L$10,2)</f>
        <v>923.31</v>
      </c>
      <c r="M35" s="13">
        <f>ROUND('B&amp;A+DSM - Fuel and % Riders'!M32*M$10,2)</f>
        <v>971.58</v>
      </c>
      <c r="N35" s="13">
        <f>ROUND('B&amp;A+DSM - Fuel and % Riders'!N32*N$10,2)</f>
        <v>209.76</v>
      </c>
      <c r="O35" s="13">
        <f>ROUND('B&amp;A+DSM - Fuel and % Riders'!O32*O$10,2)</f>
        <v>110.86</v>
      </c>
      <c r="P35" s="13">
        <f t="shared" ref="P35" si="10">SUM(D35:O35)</f>
        <v>6090.0499999999993</v>
      </c>
      <c r="S35" s="51" t="s">
        <v>11</v>
      </c>
      <c r="T35" s="51">
        <v>32</v>
      </c>
    </row>
    <row r="36" spans="1:20" x14ac:dyDescent="0.25">
      <c r="A36" s="2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S36" s="51"/>
      <c r="T36" s="51">
        <v>33</v>
      </c>
    </row>
    <row r="37" spans="1:20" x14ac:dyDescent="0.25">
      <c r="A37" s="24" t="s">
        <v>10</v>
      </c>
      <c r="B37" s="13">
        <f>ROUND('B&amp;A+DSM - Fuel and % Riders'!B34*B$10,2)</f>
        <v>0</v>
      </c>
      <c r="C37" s="13">
        <f>ROUND('B&amp;A+DSM - Fuel and % Riders'!C34*C$10,2)</f>
        <v>0</v>
      </c>
      <c r="D37" s="13">
        <f>ROUND('B&amp;A+DSM - Fuel and % Riders'!D34*D$10,2)</f>
        <v>3520.45</v>
      </c>
      <c r="E37" s="13">
        <f>ROUND('B&amp;A+DSM - Fuel and % Riders'!E34*E$10,2)</f>
        <v>6518.21</v>
      </c>
      <c r="F37" s="13">
        <f>ROUND('B&amp;A+DSM - Fuel and % Riders'!F34*F$10,2)</f>
        <v>5029.0600000000004</v>
      </c>
      <c r="G37" s="13">
        <f>ROUND('B&amp;A+DSM - Fuel and % Riders'!G34*G$10,2)</f>
        <v>6408.71</v>
      </c>
      <c r="H37" s="13">
        <f>ROUND('B&amp;A+DSM - Fuel and % Riders'!H34*H$10,2)</f>
        <v>5329.43</v>
      </c>
      <c r="I37" s="13">
        <f>ROUND('B&amp;A+DSM - Fuel and % Riders'!I34*I$10,2)</f>
        <v>5403.02</v>
      </c>
      <c r="J37" s="13">
        <f>ROUND('B&amp;A+DSM - Fuel and % Riders'!J34*J$10,2)</f>
        <v>5237.6499999999996</v>
      </c>
      <c r="K37" s="13">
        <f>ROUND('B&amp;A+DSM - Fuel and % Riders'!K34*K$10,2)</f>
        <v>6187.72</v>
      </c>
      <c r="L37" s="13">
        <f>ROUND('B&amp;A+DSM - Fuel and % Riders'!L34*L$10,2)</f>
        <v>6299.21</v>
      </c>
      <c r="M37" s="13">
        <f>ROUND('B&amp;A+DSM - Fuel and % Riders'!M34*M$10,2)</f>
        <v>6614.12</v>
      </c>
      <c r="N37" s="13">
        <f>ROUND('B&amp;A+DSM - Fuel and % Riders'!N34*N$10,2)</f>
        <v>1611.77</v>
      </c>
      <c r="O37" s="13">
        <f>ROUND('B&amp;A+DSM - Fuel and % Riders'!O34*O$10,2)</f>
        <v>1172.06</v>
      </c>
      <c r="P37" s="13">
        <f t="shared" ref="P37" si="11">SUM(D37:O37)</f>
        <v>59331.409999999996</v>
      </c>
      <c r="S37" s="51" t="s">
        <v>10</v>
      </c>
      <c r="T37" s="51">
        <v>34</v>
      </c>
    </row>
    <row r="38" spans="1:20" x14ac:dyDescent="0.25">
      <c r="A38" s="24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S38" s="51"/>
      <c r="T38" s="51">
        <v>35</v>
      </c>
    </row>
    <row r="39" spans="1:20" x14ac:dyDescent="0.25">
      <c r="A39" s="24" t="s">
        <v>9</v>
      </c>
      <c r="B39" s="13">
        <f>ROUND('B&amp;A+DSM - Fuel and % Riders'!B36*B$10,2)</f>
        <v>0</v>
      </c>
      <c r="C39" s="13">
        <f>ROUND('B&amp;A+DSM - Fuel and % Riders'!C36*C$10,2)</f>
        <v>0</v>
      </c>
      <c r="D39" s="13">
        <f>ROUND('B&amp;A+DSM - Fuel and % Riders'!D36*D$10,2)</f>
        <v>4488.59</v>
      </c>
      <c r="E39" s="13">
        <f>ROUND('B&amp;A+DSM - Fuel and % Riders'!E36*E$10,2)</f>
        <v>7840.09</v>
      </c>
      <c r="F39" s="13">
        <f>ROUND('B&amp;A+DSM - Fuel and % Riders'!F36*F$10,2)</f>
        <v>4659.25</v>
      </c>
      <c r="G39" s="13">
        <f>ROUND('B&amp;A+DSM - Fuel and % Riders'!G36*G$10,2)</f>
        <v>4264.38</v>
      </c>
      <c r="H39" s="13">
        <f>ROUND('B&amp;A+DSM - Fuel and % Riders'!H36*H$10,2)</f>
        <v>4555.34</v>
      </c>
      <c r="I39" s="13">
        <f>ROUND('B&amp;A+DSM - Fuel and % Riders'!I36*I$10,2)</f>
        <v>4122.6400000000003</v>
      </c>
      <c r="J39" s="13">
        <f>ROUND('B&amp;A+DSM - Fuel and % Riders'!J36*J$10,2)</f>
        <v>5986.66</v>
      </c>
      <c r="K39" s="13">
        <f>ROUND('B&amp;A+DSM - Fuel and % Riders'!K36*K$10,2)</f>
        <v>7723.23</v>
      </c>
      <c r="L39" s="13">
        <f>ROUND('B&amp;A+DSM - Fuel and % Riders'!L36*L$10,2)</f>
        <v>7706.55</v>
      </c>
      <c r="M39" s="13">
        <f>ROUND('B&amp;A+DSM - Fuel and % Riders'!M36*M$10,2)</f>
        <v>4922.24</v>
      </c>
      <c r="N39" s="13">
        <f>ROUND('B&amp;A+DSM - Fuel and % Riders'!N36*N$10,2)</f>
        <v>2567.5100000000002</v>
      </c>
      <c r="O39" s="13">
        <f>ROUND('B&amp;A+DSM - Fuel and % Riders'!O36*O$10,2)</f>
        <v>1017.05</v>
      </c>
      <c r="P39" s="13">
        <f t="shared" ref="P39" si="12">SUM(D39:O39)</f>
        <v>59853.53</v>
      </c>
      <c r="S39" s="51" t="s">
        <v>9</v>
      </c>
      <c r="T39" s="51">
        <v>36</v>
      </c>
    </row>
    <row r="40" spans="1:20" x14ac:dyDescent="0.25">
      <c r="A40" s="24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S40" s="51"/>
      <c r="T40" s="51">
        <v>37</v>
      </c>
    </row>
    <row r="41" spans="1:20" x14ac:dyDescent="0.25">
      <c r="A41" s="24" t="s">
        <v>8</v>
      </c>
      <c r="B41" s="13">
        <f>ROUND('B&amp;A+DSM - Fuel and % Riders'!B38*B$10,2)</f>
        <v>0</v>
      </c>
      <c r="C41" s="13">
        <f>ROUND('B&amp;A+DSM - Fuel and % Riders'!C38*C$10,2)</f>
        <v>0</v>
      </c>
      <c r="D41" s="13">
        <f>ROUND('B&amp;A+DSM - Fuel and % Riders'!D38*D$10,2)</f>
        <v>296.24</v>
      </c>
      <c r="E41" s="13">
        <f>ROUND('B&amp;A+DSM - Fuel and % Riders'!E38*E$10,2)</f>
        <v>476.93</v>
      </c>
      <c r="F41" s="13">
        <f>ROUND('B&amp;A+DSM - Fuel and % Riders'!F38*F$10,2)</f>
        <v>395.64</v>
      </c>
      <c r="G41" s="13">
        <f>ROUND('B&amp;A+DSM - Fuel and % Riders'!G38*G$10,2)</f>
        <v>146.28</v>
      </c>
      <c r="H41" s="13">
        <f>ROUND('B&amp;A+DSM - Fuel and % Riders'!H38*H$10,2)</f>
        <v>296.32</v>
      </c>
      <c r="I41" s="13">
        <f>ROUND('B&amp;A+DSM - Fuel and % Riders'!I38*I$10,2)</f>
        <v>411.77</v>
      </c>
      <c r="J41" s="13">
        <f>ROUND('B&amp;A+DSM - Fuel and % Riders'!J38*J$10,2)</f>
        <v>133.29</v>
      </c>
      <c r="K41" s="13">
        <f>ROUND('B&amp;A+DSM - Fuel and % Riders'!K38*K$10,2)</f>
        <v>278.98</v>
      </c>
      <c r="L41" s="13">
        <f>ROUND('B&amp;A+DSM - Fuel and % Riders'!L38*L$10,2)</f>
        <v>454.16</v>
      </c>
      <c r="M41" s="13">
        <f>ROUND('B&amp;A+DSM - Fuel and % Riders'!M38*M$10,2)</f>
        <v>263.91000000000003</v>
      </c>
      <c r="N41" s="13">
        <f>ROUND('B&amp;A+DSM - Fuel and % Riders'!N38*N$10,2)</f>
        <v>64.41</v>
      </c>
      <c r="O41" s="13">
        <f>ROUND('B&amp;A+DSM - Fuel and % Riders'!O38*O$10,2)</f>
        <v>67.03</v>
      </c>
      <c r="P41" s="13">
        <f t="shared" ref="P41" si="13">SUM(D41:O41)</f>
        <v>3284.9599999999996</v>
      </c>
      <c r="S41" s="51" t="s">
        <v>8</v>
      </c>
      <c r="T41" s="51">
        <v>38</v>
      </c>
    </row>
    <row r="42" spans="1:20" x14ac:dyDescent="0.25">
      <c r="A42" s="24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S42" s="51"/>
      <c r="T42" s="51">
        <v>39</v>
      </c>
    </row>
    <row r="43" spans="1:20" x14ac:dyDescent="0.25">
      <c r="A43" s="24" t="s">
        <v>7</v>
      </c>
      <c r="B43" s="13">
        <f>ROUND('B&amp;A+DSM - Fuel and % Riders'!B40*B$10,2)</f>
        <v>0</v>
      </c>
      <c r="C43" s="13">
        <f>ROUND('B&amp;A+DSM - Fuel and % Riders'!C40*C$10,2)</f>
        <v>0</v>
      </c>
      <c r="D43" s="13">
        <f>ROUND('B&amp;A+DSM - Fuel and % Riders'!D40*D$10,2)</f>
        <v>126637.65</v>
      </c>
      <c r="E43" s="13">
        <f>ROUND('B&amp;A+DSM - Fuel and % Riders'!E40*E$10,2)</f>
        <v>233452.38</v>
      </c>
      <c r="F43" s="13">
        <f>ROUND('B&amp;A+DSM - Fuel and % Riders'!F40*F$10,2)</f>
        <v>166878.79</v>
      </c>
      <c r="G43" s="13">
        <f>ROUND('B&amp;A+DSM - Fuel and % Riders'!G40*G$10,2)</f>
        <v>201782.04</v>
      </c>
      <c r="H43" s="13">
        <f>ROUND('B&amp;A+DSM - Fuel and % Riders'!H40*H$10,2)</f>
        <v>181362.19</v>
      </c>
      <c r="I43" s="13">
        <f>ROUND('B&amp;A+DSM - Fuel and % Riders'!I40*I$10,2)</f>
        <v>176296.73</v>
      </c>
      <c r="J43" s="13">
        <f>ROUND('B&amp;A+DSM - Fuel and % Riders'!J40*J$10,2)</f>
        <v>187387.89</v>
      </c>
      <c r="K43" s="13">
        <f>ROUND('B&amp;A+DSM - Fuel and % Riders'!K40*K$10,2)</f>
        <v>213359.67</v>
      </c>
      <c r="L43" s="13">
        <f>ROUND('B&amp;A+DSM - Fuel and % Riders'!L40*L$10,2)</f>
        <v>184671.92</v>
      </c>
      <c r="M43" s="13">
        <f>ROUND('B&amp;A+DSM - Fuel and % Riders'!M40*M$10,2)</f>
        <v>174994.06</v>
      </c>
      <c r="N43" s="13">
        <f>ROUND('B&amp;A+DSM - Fuel and % Riders'!N40*N$10,2)</f>
        <v>51715.03</v>
      </c>
      <c r="O43" s="13">
        <f>ROUND('B&amp;A+DSM - Fuel and % Riders'!O40*O$10,2)</f>
        <v>42801.85</v>
      </c>
      <c r="P43" s="13">
        <f t="shared" ref="P43" si="14">SUM(D43:O43)</f>
        <v>1941340.2</v>
      </c>
      <c r="S43" s="51" t="s">
        <v>7</v>
      </c>
      <c r="T43" s="51">
        <v>40</v>
      </c>
    </row>
    <row r="44" spans="1:20" x14ac:dyDescent="0.25">
      <c r="A44" s="24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S44" s="51"/>
      <c r="T44" s="51">
        <v>41</v>
      </c>
    </row>
    <row r="45" spans="1:20" x14ac:dyDescent="0.25">
      <c r="A45" s="24" t="s">
        <v>6</v>
      </c>
      <c r="B45" s="13">
        <f>ROUND('B&amp;A+DSM - Fuel and % Riders'!B42*B$10,2)</f>
        <v>0</v>
      </c>
      <c r="C45" s="13">
        <f>ROUND('B&amp;A+DSM - Fuel and % Riders'!C42*C$10,2)</f>
        <v>0</v>
      </c>
      <c r="D45" s="13">
        <f>ROUND('B&amp;A+DSM - Fuel and % Riders'!D42*D$10,2)</f>
        <v>400.44</v>
      </c>
      <c r="E45" s="13">
        <f>ROUND('B&amp;A+DSM - Fuel and % Riders'!E42*E$10,2)</f>
        <v>1305.71</v>
      </c>
      <c r="F45" s="13">
        <f>ROUND('B&amp;A+DSM - Fuel and % Riders'!F42*F$10,2)</f>
        <v>552.99</v>
      </c>
      <c r="G45" s="13">
        <f>ROUND('B&amp;A+DSM - Fuel and % Riders'!G42*G$10,2)</f>
        <v>1237.49</v>
      </c>
      <c r="H45" s="13">
        <f>ROUND('B&amp;A+DSM - Fuel and % Riders'!H42*H$10,2)</f>
        <v>1118.6400000000001</v>
      </c>
      <c r="I45" s="13">
        <f>ROUND('B&amp;A+DSM - Fuel and % Riders'!I42*I$10,2)</f>
        <v>1227.9000000000001</v>
      </c>
      <c r="J45" s="13">
        <f>ROUND('B&amp;A+DSM - Fuel and % Riders'!J42*J$10,2)</f>
        <v>1765.22</v>
      </c>
      <c r="K45" s="13">
        <f>ROUND('B&amp;A+DSM - Fuel and % Riders'!K42*K$10,2)</f>
        <v>2100.3200000000002</v>
      </c>
      <c r="L45" s="13">
        <f>ROUND('B&amp;A+DSM - Fuel and % Riders'!L42*L$10,2)</f>
        <v>1710.58</v>
      </c>
      <c r="M45" s="13">
        <f>ROUND('B&amp;A+DSM - Fuel and % Riders'!M42*M$10,2)</f>
        <v>986.08</v>
      </c>
      <c r="N45" s="13">
        <f>ROUND('B&amp;A+DSM - Fuel and % Riders'!N42*N$10,2)</f>
        <v>72.05</v>
      </c>
      <c r="O45" s="13">
        <f>ROUND('B&amp;A+DSM - Fuel and % Riders'!O42*O$10,2)</f>
        <v>110.98</v>
      </c>
      <c r="P45" s="13">
        <f t="shared" ref="P45" si="15">SUM(D45:O45)</f>
        <v>12588.4</v>
      </c>
      <c r="S45" s="51" t="s">
        <v>6</v>
      </c>
      <c r="T45" s="51">
        <v>42</v>
      </c>
    </row>
    <row r="46" spans="1:20" x14ac:dyDescent="0.25">
      <c r="A46" s="24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S46" s="51"/>
      <c r="T46" s="51">
        <v>43</v>
      </c>
    </row>
    <row r="47" spans="1:20" x14ac:dyDescent="0.25">
      <c r="A47" s="24" t="s">
        <v>118</v>
      </c>
      <c r="B47" s="13">
        <f>ROUND('B&amp;A+DSM - Fuel and % Riders'!B44*B$10,2)</f>
        <v>0</v>
      </c>
      <c r="C47" s="13">
        <f>ROUND('B&amp;A+DSM - Fuel and % Riders'!C44*C$10,2)</f>
        <v>0</v>
      </c>
      <c r="D47" s="13">
        <f>ROUND('B&amp;A+DSM - Fuel and % Riders'!D44*D$10,2)</f>
        <v>983.28</v>
      </c>
      <c r="E47" s="13">
        <f>ROUND('B&amp;A+DSM - Fuel and % Riders'!E44*E$10,2)</f>
        <v>4413.16</v>
      </c>
      <c r="F47" s="13">
        <f>ROUND('B&amp;A+DSM - Fuel and % Riders'!F44*F$10,2)</f>
        <v>2022.48</v>
      </c>
      <c r="G47" s="13">
        <f>ROUND('B&amp;A+DSM - Fuel and % Riders'!G44*G$10,2)</f>
        <v>2483.4</v>
      </c>
      <c r="H47" s="13">
        <f>ROUND('B&amp;A+DSM - Fuel and % Riders'!H44*H$10,2)</f>
        <v>2360.04</v>
      </c>
      <c r="I47" s="13">
        <f>ROUND('B&amp;A+DSM - Fuel and % Riders'!I44*I$10,2)</f>
        <v>2290.8200000000002</v>
      </c>
      <c r="J47" s="13">
        <f>ROUND('B&amp;A+DSM - Fuel and % Riders'!J44*J$10,2)</f>
        <v>2605.04</v>
      </c>
      <c r="K47" s="13">
        <f>ROUND('B&amp;A+DSM - Fuel and % Riders'!K44*K$10,2)</f>
        <v>2972.65</v>
      </c>
      <c r="L47" s="13">
        <f>ROUND('B&amp;A+DSM - Fuel and % Riders'!L44*L$10,2)</f>
        <v>2322.6999999999998</v>
      </c>
      <c r="M47" s="13">
        <f>ROUND('B&amp;A+DSM - Fuel and % Riders'!M44*M$10,2)</f>
        <v>3450.52</v>
      </c>
      <c r="N47" s="13">
        <f>ROUND('B&amp;A+DSM - Fuel and % Riders'!N44*N$10,2)</f>
        <v>1118.05</v>
      </c>
      <c r="O47" s="13">
        <f>ROUND('B&amp;A+DSM - Fuel and % Riders'!O44*O$10,2)</f>
        <v>593.92999999999995</v>
      </c>
      <c r="P47" s="13">
        <f t="shared" ref="P47" si="16">SUM(D47:O47)</f>
        <v>27616.070000000003</v>
      </c>
      <c r="S47" s="51" t="s">
        <v>118</v>
      </c>
      <c r="T47" s="51">
        <v>44</v>
      </c>
    </row>
    <row r="48" spans="1:20" x14ac:dyDescent="0.25">
      <c r="A48" s="2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S48" s="51"/>
      <c r="T48" s="51">
        <v>45</v>
      </c>
    </row>
    <row r="49" spans="1:20" x14ac:dyDescent="0.25">
      <c r="A49" s="24" t="s">
        <v>241</v>
      </c>
      <c r="B49" s="13">
        <f>ROUND('B&amp;A+DSM - Fuel and % Riders'!B46*B$10,2)</f>
        <v>0</v>
      </c>
      <c r="C49" s="13">
        <f>ROUND('B&amp;A+DSM - Fuel and % Riders'!C46*C$10,2)</f>
        <v>0</v>
      </c>
      <c r="D49" s="13">
        <f>ROUND('B&amp;A+DSM - Fuel and % Riders'!D46*D$10,2)</f>
        <v>923.25</v>
      </c>
      <c r="E49" s="13">
        <f>ROUND('B&amp;A+DSM - Fuel and % Riders'!E46*E$10,2)</f>
        <v>1485.54</v>
      </c>
      <c r="F49" s="13">
        <f>ROUND('B&amp;A+DSM - Fuel and % Riders'!F46*F$10,2)</f>
        <v>1246.02</v>
      </c>
      <c r="G49" s="13">
        <f>ROUND('B&amp;A+DSM - Fuel and % Riders'!G46*G$10,2)</f>
        <v>1325.07</v>
      </c>
      <c r="H49" s="13">
        <f>ROUND('B&amp;A+DSM - Fuel and % Riders'!H46*H$10,2)</f>
        <v>1936.32</v>
      </c>
      <c r="I49" s="13">
        <f>ROUND('B&amp;A+DSM - Fuel and % Riders'!I46*I$10,2)</f>
        <v>2799.67</v>
      </c>
      <c r="J49" s="13">
        <f>ROUND('B&amp;A+DSM - Fuel and % Riders'!J46*J$10,2)</f>
        <v>1900.77</v>
      </c>
      <c r="K49" s="13">
        <f>ROUND('B&amp;A+DSM - Fuel and % Riders'!K46*K$10,2)</f>
        <v>712.75</v>
      </c>
      <c r="L49" s="13">
        <f>ROUND('B&amp;A+DSM - Fuel and % Riders'!L46*L$10,2)</f>
        <v>907.59</v>
      </c>
      <c r="M49" s="13">
        <f>ROUND('B&amp;A+DSM - Fuel and % Riders'!M46*M$10,2)</f>
        <v>1119.32</v>
      </c>
      <c r="N49" s="13">
        <f>ROUND('B&amp;A+DSM - Fuel and % Riders'!N46*N$10,2)</f>
        <v>320.70999999999998</v>
      </c>
      <c r="O49" s="13">
        <f>ROUND('B&amp;A+DSM - Fuel and % Riders'!O46*O$10,2)</f>
        <v>-95.53</v>
      </c>
      <c r="P49" s="13">
        <f t="shared" ref="P49" si="17">SUM(D49:O49)</f>
        <v>14581.479999999998</v>
      </c>
      <c r="S49" s="51" t="s">
        <v>241</v>
      </c>
      <c r="T49" s="51">
        <v>46</v>
      </c>
    </row>
    <row r="50" spans="1:20" x14ac:dyDescent="0.25">
      <c r="A50" s="24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S50" s="51"/>
      <c r="T50" s="51">
        <v>47</v>
      </c>
    </row>
    <row r="51" spans="1:20" x14ac:dyDescent="0.25">
      <c r="A51" s="24" t="s">
        <v>5</v>
      </c>
      <c r="B51" s="13">
        <f>ROUND('B&amp;A+DSM - Fuel and % Riders'!B48*B$10,2)</f>
        <v>0</v>
      </c>
      <c r="C51" s="13">
        <f>ROUND('B&amp;A+DSM - Fuel and % Riders'!C48*C$10,2)</f>
        <v>0</v>
      </c>
      <c r="D51" s="13">
        <f>ROUND('B&amp;A+DSM - Fuel and % Riders'!D48*D$10,2)</f>
        <v>33340.9</v>
      </c>
      <c r="E51" s="13">
        <f>ROUND('B&amp;A+DSM - Fuel and % Riders'!E48*E$10,2)</f>
        <v>67839.92</v>
      </c>
      <c r="F51" s="13">
        <f>ROUND('B&amp;A+DSM - Fuel and % Riders'!F48*F$10,2)</f>
        <v>37812.75</v>
      </c>
      <c r="G51" s="13">
        <f>ROUND('B&amp;A+DSM - Fuel and % Riders'!G48*G$10,2)</f>
        <v>50531.64</v>
      </c>
      <c r="H51" s="13">
        <f>ROUND('B&amp;A+DSM - Fuel and % Riders'!H48*H$10,2)</f>
        <v>48368.66</v>
      </c>
      <c r="I51" s="13">
        <f>ROUND('B&amp;A+DSM - Fuel and % Riders'!I48*I$10,2)</f>
        <v>47236.82</v>
      </c>
      <c r="J51" s="13">
        <f>ROUND('B&amp;A+DSM - Fuel and % Riders'!J48*J$10,2)</f>
        <v>51935.73</v>
      </c>
      <c r="K51" s="13">
        <f>ROUND('B&amp;A+DSM - Fuel and % Riders'!K48*K$10,2)</f>
        <v>59285.87</v>
      </c>
      <c r="L51" s="13">
        <f>ROUND('B&amp;A+DSM - Fuel and % Riders'!L48*L$10,2)</f>
        <v>52097.83</v>
      </c>
      <c r="M51" s="13">
        <f>ROUND('B&amp;A+DSM - Fuel and % Riders'!M48*M$10,2)</f>
        <v>50933.88</v>
      </c>
      <c r="N51" s="13">
        <f>ROUND('B&amp;A+DSM - Fuel and % Riders'!N48*N$10,2)</f>
        <v>16407.8</v>
      </c>
      <c r="O51" s="13">
        <f>ROUND('B&amp;A+DSM - Fuel and % Riders'!O48*O$10,2)</f>
        <v>13266.73</v>
      </c>
      <c r="P51" s="13">
        <f t="shared" ref="P51" si="18">SUM(D51:O51)</f>
        <v>529058.53</v>
      </c>
      <c r="S51" s="51" t="s">
        <v>5</v>
      </c>
      <c r="T51" s="51">
        <v>48</v>
      </c>
    </row>
    <row r="52" spans="1:20" x14ac:dyDescent="0.25">
      <c r="A52" s="24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S52" s="51"/>
      <c r="T52" s="51">
        <v>49</v>
      </c>
    </row>
    <row r="53" spans="1:20" x14ac:dyDescent="0.25">
      <c r="A53" s="24" t="s">
        <v>4</v>
      </c>
      <c r="B53" s="13">
        <f>ROUND('B&amp;A+DSM - Fuel and % Riders'!B50*B$10,2)</f>
        <v>0</v>
      </c>
      <c r="C53" s="13">
        <f>ROUND('B&amp;A+DSM - Fuel and % Riders'!C50*C$10,2)</f>
        <v>0</v>
      </c>
      <c r="D53" s="13">
        <f>ROUND('B&amp;A+DSM - Fuel and % Riders'!D50*D$10,2)</f>
        <v>3362.79</v>
      </c>
      <c r="E53" s="13">
        <f>ROUND('B&amp;A+DSM - Fuel and % Riders'!E50*E$10,2)</f>
        <v>7451.87</v>
      </c>
      <c r="F53" s="13">
        <f>ROUND('B&amp;A+DSM - Fuel and % Riders'!F50*F$10,2)</f>
        <v>8550.1299999999992</v>
      </c>
      <c r="G53" s="13">
        <f>ROUND('B&amp;A+DSM - Fuel and % Riders'!G50*G$10,2)</f>
        <v>6814.29</v>
      </c>
      <c r="H53" s="13">
        <f>ROUND('B&amp;A+DSM - Fuel and % Riders'!H50*H$10,2)</f>
        <v>-2600.2800000000002</v>
      </c>
      <c r="I53" s="13">
        <f>ROUND('B&amp;A+DSM - Fuel and % Riders'!I50*I$10,2)</f>
        <v>4147.6099999999997</v>
      </c>
      <c r="J53" s="13">
        <f>ROUND('B&amp;A+DSM - Fuel and % Riders'!J50*J$10,2)</f>
        <v>3875.23</v>
      </c>
      <c r="K53" s="13">
        <f>ROUND('B&amp;A+DSM - Fuel and % Riders'!K50*K$10,2)</f>
        <v>4396.92</v>
      </c>
      <c r="L53" s="13">
        <f>ROUND('B&amp;A+DSM - Fuel and % Riders'!L50*L$10,2)</f>
        <v>3213.58</v>
      </c>
      <c r="M53" s="13">
        <f>ROUND('B&amp;A+DSM - Fuel and % Riders'!M50*M$10,2)</f>
        <v>3502.85</v>
      </c>
      <c r="N53" s="13">
        <f>ROUND('B&amp;A+DSM - Fuel and % Riders'!N50*N$10,2)</f>
        <v>507.62</v>
      </c>
      <c r="O53" s="13">
        <f>ROUND('B&amp;A+DSM - Fuel and % Riders'!O50*O$10,2)</f>
        <v>1058.1500000000001</v>
      </c>
      <c r="P53" s="13">
        <f t="shared" ref="P53" si="19">SUM(D53:O53)</f>
        <v>44280.760000000009</v>
      </c>
      <c r="S53" s="51" t="s">
        <v>4</v>
      </c>
      <c r="T53" s="51">
        <v>50</v>
      </c>
    </row>
    <row r="54" spans="1:20" x14ac:dyDescent="0.25">
      <c r="A54" s="2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S54" s="51"/>
      <c r="T54" s="51">
        <v>51</v>
      </c>
    </row>
    <row r="55" spans="1:20" x14ac:dyDescent="0.25">
      <c r="A55" s="24" t="s">
        <v>3</v>
      </c>
      <c r="B55" s="13">
        <f>ROUND('B&amp;A+DSM - Fuel and % Riders'!B52*B$10,2)</f>
        <v>0</v>
      </c>
      <c r="C55" s="13">
        <f>ROUND('B&amp;A+DSM - Fuel and % Riders'!C52*C$10,2)</f>
        <v>0</v>
      </c>
      <c r="D55" s="13">
        <f>ROUND('B&amp;A+DSM - Fuel and % Riders'!D52*D$10,2)</f>
        <v>0</v>
      </c>
      <c r="E55" s="13">
        <f>ROUND('B&amp;A+DSM - Fuel and % Riders'!E52*E$10,2)</f>
        <v>0</v>
      </c>
      <c r="F55" s="13">
        <f>ROUND('B&amp;A+DSM - Fuel and % Riders'!F52*F$10,2)</f>
        <v>0</v>
      </c>
      <c r="G55" s="13">
        <f>ROUND('B&amp;A+DSM - Fuel and % Riders'!G52*G$10,2)</f>
        <v>0</v>
      </c>
      <c r="H55" s="13">
        <f>ROUND('B&amp;A+DSM - Fuel and % Riders'!H52*H$10,2)</f>
        <v>0</v>
      </c>
      <c r="I55" s="13">
        <f>ROUND('B&amp;A+DSM - Fuel and % Riders'!I52*I$10,2)</f>
        <v>0</v>
      </c>
      <c r="J55" s="13">
        <f>ROUND('B&amp;A+DSM - Fuel and % Riders'!J52*J$10,2)</f>
        <v>0</v>
      </c>
      <c r="K55" s="13">
        <f>ROUND('B&amp;A+DSM - Fuel and % Riders'!K52*K$10,2)</f>
        <v>0</v>
      </c>
      <c r="L55" s="13">
        <f>ROUND('B&amp;A+DSM - Fuel and % Riders'!L52*L$10,2)</f>
        <v>0</v>
      </c>
      <c r="M55" s="13">
        <f>ROUND('B&amp;A+DSM - Fuel and % Riders'!M52*M$10,2)</f>
        <v>0</v>
      </c>
      <c r="N55" s="13">
        <f>ROUND('B&amp;A+DSM - Fuel and % Riders'!N52*N$10,2)</f>
        <v>0</v>
      </c>
      <c r="O55" s="13">
        <f>ROUND('B&amp;A+DSM - Fuel and % Riders'!O52*O$10,2)</f>
        <v>0</v>
      </c>
      <c r="P55" s="13">
        <f t="shared" ref="P55" si="20">SUM(D55:O55)</f>
        <v>0</v>
      </c>
      <c r="S55" s="51" t="s">
        <v>3</v>
      </c>
      <c r="T55" s="51">
        <v>52</v>
      </c>
    </row>
    <row r="56" spans="1:20" x14ac:dyDescent="0.25">
      <c r="A56" s="24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S56" s="51"/>
      <c r="T56" s="51">
        <v>53</v>
      </c>
    </row>
    <row r="57" spans="1:20" x14ac:dyDescent="0.25">
      <c r="A57" s="24" t="s">
        <v>119</v>
      </c>
      <c r="B57" s="13">
        <f>ROUND('B&amp;A+DSM - Fuel and % Riders'!B54*B$10,2)</f>
        <v>0</v>
      </c>
      <c r="C57" s="13">
        <f>ROUND('B&amp;A+DSM - Fuel and % Riders'!C54*C$10,2)</f>
        <v>0</v>
      </c>
      <c r="D57" s="13">
        <f>ROUND('B&amp;A+DSM - Fuel and % Riders'!D54*D$10,2)</f>
        <v>42178.21</v>
      </c>
      <c r="E57" s="13">
        <f>ROUND('B&amp;A+DSM - Fuel and % Riders'!E54*E$10,2)</f>
        <v>77382.17</v>
      </c>
      <c r="F57" s="13">
        <f>ROUND('B&amp;A+DSM - Fuel and % Riders'!F54*F$10,2)</f>
        <v>53604.78</v>
      </c>
      <c r="G57" s="13">
        <f>ROUND('B&amp;A+DSM - Fuel and % Riders'!G54*G$10,2)</f>
        <v>51955.47</v>
      </c>
      <c r="H57" s="13">
        <f>ROUND('B&amp;A+DSM - Fuel and % Riders'!H54*H$10,2)</f>
        <v>58259.72</v>
      </c>
      <c r="I57" s="13">
        <f>ROUND('B&amp;A+DSM - Fuel and % Riders'!I54*I$10,2)</f>
        <v>63455.85</v>
      </c>
      <c r="J57" s="13">
        <f>ROUND('B&amp;A+DSM - Fuel and % Riders'!J54*J$10,2)</f>
        <v>63859.47</v>
      </c>
      <c r="K57" s="13">
        <f>ROUND('B&amp;A+DSM - Fuel and % Riders'!K54*K$10,2)</f>
        <v>65997.77</v>
      </c>
      <c r="L57" s="13">
        <f>ROUND('B&amp;A+DSM - Fuel and % Riders'!L54*L$10,2)</f>
        <v>63658.28</v>
      </c>
      <c r="M57" s="13">
        <f>ROUND('B&amp;A+DSM - Fuel and % Riders'!M54*M$10,2)</f>
        <v>57255.82</v>
      </c>
      <c r="N57" s="13">
        <f>ROUND('B&amp;A+DSM - Fuel and % Riders'!N54*N$10,2)</f>
        <v>19679.54</v>
      </c>
      <c r="O57" s="13">
        <f>ROUND('B&amp;A+DSM - Fuel and % Riders'!O54*O$10,2)</f>
        <v>14415.37</v>
      </c>
      <c r="P57" s="13">
        <f t="shared" ref="P57" si="21">SUM(D57:O57)</f>
        <v>631702.44999999995</v>
      </c>
      <c r="S57" s="51" t="s">
        <v>119</v>
      </c>
      <c r="T57" s="51">
        <v>54</v>
      </c>
    </row>
    <row r="58" spans="1:20" x14ac:dyDescent="0.25">
      <c r="A58" s="24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S58" s="51"/>
      <c r="T58" s="51">
        <v>55</v>
      </c>
    </row>
    <row r="59" spans="1:20" x14ac:dyDescent="0.25">
      <c r="A59" s="24" t="s">
        <v>120</v>
      </c>
      <c r="B59" s="13" t="e">
        <f>ROUND('B&amp;A+DSM - Fuel and % Riders'!B56*B$10,2)</f>
        <v>#REF!</v>
      </c>
      <c r="C59" s="13" t="e">
        <f>ROUND('B&amp;A+DSM - Fuel and % Riders'!C56*C$10,2)</f>
        <v>#REF!</v>
      </c>
      <c r="D59" s="13">
        <f>ROUND('B&amp;A+DSM - Fuel and % Riders'!D56*D$10,2)</f>
        <v>596.95000000000005</v>
      </c>
      <c r="E59" s="13">
        <f>ROUND('B&amp;A+DSM - Fuel and % Riders'!E56*E$10,2)</f>
        <v>1005.79</v>
      </c>
      <c r="F59" s="13">
        <f>ROUND('B&amp;A+DSM - Fuel and % Riders'!F56*F$10,2)</f>
        <v>862.36</v>
      </c>
      <c r="G59" s="13">
        <f>ROUND('B&amp;A+DSM - Fuel and % Riders'!G56*G$10,2)</f>
        <v>820.04</v>
      </c>
      <c r="H59" s="13">
        <f>ROUND('B&amp;A+DSM - Fuel and % Riders'!H56*H$10,2)</f>
        <v>790.38</v>
      </c>
      <c r="I59" s="13">
        <f>ROUND('B&amp;A+DSM - Fuel and % Riders'!I56*I$10,2)</f>
        <v>990.71</v>
      </c>
      <c r="J59" s="13">
        <f>ROUND('B&amp;A+DSM - Fuel and % Riders'!J56*J$10,2)</f>
        <v>1068.82</v>
      </c>
      <c r="K59" s="13">
        <f>ROUND('B&amp;A+DSM - Fuel and % Riders'!K56*K$10,2)</f>
        <v>1205.32</v>
      </c>
      <c r="L59" s="13">
        <f>ROUND('B&amp;A+DSM - Fuel and % Riders'!L56*L$10,2)</f>
        <v>1006.54</v>
      </c>
      <c r="M59" s="13">
        <f>ROUND('B&amp;A+DSM - Fuel and % Riders'!M56*M$10,2)</f>
        <v>1288.1500000000001</v>
      </c>
      <c r="N59" s="13">
        <f>ROUND('B&amp;A+DSM - Fuel and % Riders'!N56*N$10,2)</f>
        <v>305.51</v>
      </c>
      <c r="O59" s="13">
        <f>ROUND('B&amp;A+DSM - Fuel and % Riders'!O56*O$10,2)</f>
        <v>230.39</v>
      </c>
      <c r="P59" s="13">
        <f t="shared" ref="P59" si="22">SUM(D59:O59)</f>
        <v>10170.959999999999</v>
      </c>
      <c r="S59" s="51" t="s">
        <v>120</v>
      </c>
      <c r="T59" s="51">
        <v>56</v>
      </c>
    </row>
    <row r="60" spans="1:20" x14ac:dyDescent="0.25">
      <c r="A60" s="24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S60" s="51"/>
      <c r="T60" s="51">
        <v>57</v>
      </c>
    </row>
    <row r="61" spans="1:20" x14ac:dyDescent="0.25">
      <c r="A61" s="24" t="s">
        <v>242</v>
      </c>
      <c r="B61" s="13" t="e">
        <f>ROUND('B&amp;A+DSM - Fuel and % Riders'!B58*B$10,2)</f>
        <v>#REF!</v>
      </c>
      <c r="C61" s="13" t="e">
        <f>ROUND('B&amp;A+DSM - Fuel and % Riders'!C58*C$10,2)</f>
        <v>#REF!</v>
      </c>
      <c r="D61" s="13">
        <f>ROUND('B&amp;A+DSM - Fuel and % Riders'!D58*D$10,2)</f>
        <v>10974.92</v>
      </c>
      <c r="E61" s="13">
        <f>ROUND('B&amp;A+DSM - Fuel and % Riders'!E58*E$10,2)</f>
        <v>22968.65</v>
      </c>
      <c r="F61" s="13">
        <f>ROUND('B&amp;A+DSM - Fuel and % Riders'!F58*F$10,2)</f>
        <v>12362.67</v>
      </c>
      <c r="G61" s="13">
        <f>ROUND('B&amp;A+DSM - Fuel and % Riders'!G58*G$10,2)</f>
        <v>17042.84</v>
      </c>
      <c r="H61" s="13">
        <f>ROUND('B&amp;A+DSM - Fuel and % Riders'!H58*H$10,2)</f>
        <v>20401.259999999998</v>
      </c>
      <c r="I61" s="13">
        <f>ROUND('B&amp;A+DSM - Fuel and % Riders'!I58*I$10,2)</f>
        <v>14673.81</v>
      </c>
      <c r="J61" s="13">
        <f>ROUND('B&amp;A+DSM - Fuel and % Riders'!J58*J$10,2)</f>
        <v>17110.939999999999</v>
      </c>
      <c r="K61" s="13">
        <f>ROUND('B&amp;A+DSM - Fuel and % Riders'!K58*K$10,2)</f>
        <v>17861.919999999998</v>
      </c>
      <c r="L61" s="13">
        <f>ROUND('B&amp;A+DSM - Fuel and % Riders'!L58*L$10,2)</f>
        <v>16562.150000000001</v>
      </c>
      <c r="M61" s="13">
        <f>ROUND('B&amp;A+DSM - Fuel and % Riders'!M58*M$10,2)</f>
        <v>11740.44</v>
      </c>
      <c r="N61" s="13">
        <f>ROUND('B&amp;A+DSM - Fuel and % Riders'!N58*N$10,2)</f>
        <v>6440.9</v>
      </c>
      <c r="O61" s="13">
        <f>ROUND('B&amp;A+DSM - Fuel and % Riders'!O58*O$10,2)</f>
        <v>2843.94</v>
      </c>
      <c r="P61" s="13">
        <f t="shared" ref="P61" si="23">SUM(D61:O61)</f>
        <v>170984.44</v>
      </c>
      <c r="S61" s="51" t="s">
        <v>242</v>
      </c>
      <c r="T61" s="51">
        <v>58</v>
      </c>
    </row>
    <row r="62" spans="1:20" x14ac:dyDescent="0.25">
      <c r="A62" s="2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S62" s="51"/>
      <c r="T62" s="51">
        <v>59</v>
      </c>
    </row>
    <row r="63" spans="1:20" x14ac:dyDescent="0.25">
      <c r="A63" s="24" t="s">
        <v>122</v>
      </c>
      <c r="B63" s="13">
        <f>ROUND('B&amp;A+DSM - Fuel and % Riders'!B60*B$10,2)</f>
        <v>0</v>
      </c>
      <c r="C63" s="13">
        <f>ROUND('B&amp;A+DSM - Fuel and % Riders'!C60*C$10,2)</f>
        <v>0</v>
      </c>
      <c r="D63" s="13">
        <f>IF('B&amp;A+DSM - Fuel and % Riders'!D60&gt;0,ROUND('B&amp;A+DSM - Fuel and % Riders'!D60*D$10,2),0)</f>
        <v>7965.28</v>
      </c>
      <c r="E63" s="13">
        <f>IF('B&amp;A+DSM - Fuel and % Riders'!E60&gt;0,ROUND('B&amp;A+DSM - Fuel and % Riders'!E60*E$10,2),0)</f>
        <v>8681.01</v>
      </c>
      <c r="F63" s="13">
        <f>IF('B&amp;A+DSM - Fuel and % Riders'!F60&gt;0,ROUND('B&amp;A+DSM - Fuel and % Riders'!F60*F$10,2),0)</f>
        <v>0</v>
      </c>
      <c r="G63" s="13">
        <f>IF('B&amp;A+DSM - Fuel and % Riders'!G60&gt;0,ROUND('B&amp;A+DSM - Fuel and % Riders'!G60*G$10,2),0)</f>
        <v>0</v>
      </c>
      <c r="H63" s="13">
        <f>IF('B&amp;A+DSM - Fuel and % Riders'!H60&gt;0,ROUND('B&amp;A+DSM - Fuel and % Riders'!H60*H$10,2),0)</f>
        <v>0</v>
      </c>
      <c r="I63" s="13">
        <f>IF('B&amp;A+DSM - Fuel and % Riders'!I60&gt;0,ROUND('B&amp;A+DSM - Fuel and % Riders'!I60*I$10,2),0)</f>
        <v>7809.03</v>
      </c>
      <c r="J63" s="13">
        <f>IF('B&amp;A+DSM - Fuel and % Riders'!J60&gt;0,ROUND('B&amp;A+DSM - Fuel and % Riders'!J60*J$10,2),0)</f>
        <v>0</v>
      </c>
      <c r="K63" s="13">
        <f>IF('B&amp;A+DSM - Fuel and % Riders'!K60&gt;0,ROUND('B&amp;A+DSM - Fuel and % Riders'!K60*K$10,2),0)</f>
        <v>0</v>
      </c>
      <c r="L63" s="13">
        <f>IF('B&amp;A+DSM - Fuel and % Riders'!L60&gt;0,ROUND('B&amp;A+DSM - Fuel and % Riders'!L60*L$10,2),0)</f>
        <v>0</v>
      </c>
      <c r="M63" s="13">
        <f>IF('B&amp;A+DSM - Fuel and % Riders'!M60&gt;0,ROUND('B&amp;A+DSM - Fuel and % Riders'!M60*M$10,2),0)</f>
        <v>0</v>
      </c>
      <c r="N63" s="13">
        <f>IF('B&amp;A+DSM - Fuel and % Riders'!N60&gt;0,ROUND('B&amp;A+DSM - Fuel and % Riders'!N60*N$10,2),0)</f>
        <v>0</v>
      </c>
      <c r="O63" s="13">
        <f>IF('B&amp;A+DSM - Fuel and % Riders'!O60&gt;0,ROUND('B&amp;A+DSM - Fuel and % Riders'!O60*O$10,2),0)</f>
        <v>5243.29</v>
      </c>
      <c r="P63" s="13">
        <f t="shared" ref="P63" si="24">SUM(D63:O63)</f>
        <v>29698.61</v>
      </c>
      <c r="S63" s="51" t="s">
        <v>121</v>
      </c>
      <c r="T63" s="51">
        <v>60</v>
      </c>
    </row>
    <row r="64" spans="1:20" x14ac:dyDescent="0.25">
      <c r="A64" s="24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S64" s="51"/>
      <c r="T64" s="51">
        <v>61</v>
      </c>
    </row>
    <row r="65" spans="1:20" x14ac:dyDescent="0.25">
      <c r="A65" s="24" t="s">
        <v>243</v>
      </c>
      <c r="B65" s="13">
        <f>ROUND('B&amp;A+DSM - Fuel and % Riders'!B62*B$10,2)</f>
        <v>0</v>
      </c>
      <c r="C65" s="13">
        <f>ROUND('B&amp;A+DSM - Fuel and % Riders'!C62*C$10,2)</f>
        <v>0</v>
      </c>
      <c r="D65" s="13">
        <f>ROUND('B&amp;A+DSM - Fuel and % Riders'!D62*D$10,2)</f>
        <v>3784.97</v>
      </c>
      <c r="E65" s="13">
        <f>ROUND('B&amp;A+DSM - Fuel and % Riders'!E62*E$10,2)</f>
        <v>6336.74</v>
      </c>
      <c r="F65" s="13">
        <f>ROUND('B&amp;A+DSM - Fuel and % Riders'!F62*F$10,2)</f>
        <v>4350.1099999999997</v>
      </c>
      <c r="G65" s="13">
        <f>ROUND('B&amp;A+DSM - Fuel and % Riders'!G62*G$10,2)</f>
        <v>5396</v>
      </c>
      <c r="H65" s="13">
        <f>ROUND('B&amp;A+DSM - Fuel and % Riders'!H62*H$10,2)</f>
        <v>6136.3</v>
      </c>
      <c r="I65" s="13">
        <f>ROUND('B&amp;A+DSM - Fuel and % Riders'!I62*I$10,2)</f>
        <v>4821.54</v>
      </c>
      <c r="J65" s="13">
        <f>ROUND('B&amp;A+DSM - Fuel and % Riders'!J62*J$10,2)</f>
        <v>5480.55</v>
      </c>
      <c r="K65" s="13">
        <f>ROUND('B&amp;A+DSM - Fuel and % Riders'!K62*K$10,2)</f>
        <v>5413</v>
      </c>
      <c r="L65" s="13">
        <f>ROUND('B&amp;A+DSM - Fuel and % Riders'!L62*L$10,2)</f>
        <v>5474.8</v>
      </c>
      <c r="M65" s="13">
        <f>ROUND('B&amp;A+DSM - Fuel and % Riders'!M62*M$10,2)</f>
        <v>5112.45</v>
      </c>
      <c r="N65" s="13">
        <f>ROUND('B&amp;A+DSM - Fuel and % Riders'!N62*N$10,2)</f>
        <v>2589.67</v>
      </c>
      <c r="O65" s="13">
        <f>ROUND('B&amp;A+DSM - Fuel and % Riders'!O62*O$10,2)</f>
        <v>1160.07</v>
      </c>
      <c r="P65" s="13">
        <f t="shared" ref="P65" si="25">SUM(D65:O65)</f>
        <v>56056.2</v>
      </c>
      <c r="S65" s="51" t="s">
        <v>243</v>
      </c>
      <c r="T65" s="51">
        <v>62</v>
      </c>
    </row>
    <row r="66" spans="1:20" x14ac:dyDescent="0.25">
      <c r="A66" s="24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S66" s="51"/>
      <c r="T66" s="51">
        <v>63</v>
      </c>
    </row>
    <row r="67" spans="1:20" x14ac:dyDescent="0.25">
      <c r="A67" s="24" t="s">
        <v>244</v>
      </c>
      <c r="B67" s="13">
        <f>ROUND('B&amp;A+DSM - Fuel and % Riders'!B64*B$10,2)</f>
        <v>0</v>
      </c>
      <c r="C67" s="13">
        <f>ROUND('B&amp;A+DSM - Fuel and % Riders'!C64*C$10,2)</f>
        <v>0</v>
      </c>
      <c r="D67" s="13">
        <f>ROUND('B&amp;A+DSM - Fuel and % Riders'!D64*D$10,2)</f>
        <v>8638.94</v>
      </c>
      <c r="E67" s="13">
        <f>ROUND('B&amp;A+DSM - Fuel and % Riders'!E64*E$10,2)</f>
        <v>15406.91</v>
      </c>
      <c r="F67" s="13">
        <f>ROUND('B&amp;A+DSM - Fuel and % Riders'!F64*F$10,2)</f>
        <v>5474.4</v>
      </c>
      <c r="G67" s="13">
        <f>ROUND('B&amp;A+DSM - Fuel and % Riders'!G64*G$10,2)</f>
        <v>15470.66</v>
      </c>
      <c r="H67" s="13">
        <f>ROUND('B&amp;A+DSM - Fuel and % Riders'!H64*H$10,2)</f>
        <v>13525.74</v>
      </c>
      <c r="I67" s="13">
        <f>ROUND('B&amp;A+DSM - Fuel and % Riders'!I64*I$10,2)</f>
        <v>11659.17</v>
      </c>
      <c r="J67" s="13">
        <f>ROUND('B&amp;A+DSM - Fuel and % Riders'!J64*J$10,2)</f>
        <v>12179.54</v>
      </c>
      <c r="K67" s="13">
        <f>ROUND('B&amp;A+DSM - Fuel and % Riders'!K64*K$10,2)</f>
        <v>14665.29</v>
      </c>
      <c r="L67" s="13">
        <f>ROUND('B&amp;A+DSM - Fuel and % Riders'!L64*L$10,2)</f>
        <v>9052.58</v>
      </c>
      <c r="M67" s="13">
        <f>ROUND('B&amp;A+DSM - Fuel and % Riders'!M64*M$10,2)</f>
        <v>12853.94</v>
      </c>
      <c r="N67" s="13">
        <f>ROUND('B&amp;A+DSM - Fuel and % Riders'!N64*N$10,2)</f>
        <v>4016.03</v>
      </c>
      <c r="O67" s="13">
        <f>ROUND('B&amp;A+DSM - Fuel and % Riders'!O64*O$10,2)</f>
        <v>2490.6799999999998</v>
      </c>
      <c r="P67" s="13">
        <f t="shared" ref="P67" si="26">SUM(D67:O67)</f>
        <v>125433.88000000002</v>
      </c>
      <c r="S67" s="51" t="s">
        <v>244</v>
      </c>
      <c r="T67" s="51">
        <v>64</v>
      </c>
    </row>
    <row r="68" spans="1:20" x14ac:dyDescent="0.25">
      <c r="A68" s="24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S68" s="51"/>
      <c r="T68" s="51">
        <v>65</v>
      </c>
    </row>
    <row r="69" spans="1:20" x14ac:dyDescent="0.25">
      <c r="A69" s="24" t="s">
        <v>123</v>
      </c>
      <c r="B69" s="13">
        <f>ROUND('B&amp;A+DSM - Fuel and % Riders'!B66*B$10,2)</f>
        <v>0</v>
      </c>
      <c r="C69" s="13">
        <f>ROUND('B&amp;A+DSM - Fuel and % Riders'!C66*C$10,2)</f>
        <v>0</v>
      </c>
      <c r="D69" s="13">
        <f>ROUND('B&amp;A+DSM - Fuel and % Riders'!D66*D$10,2)</f>
        <v>4696.5200000000004</v>
      </c>
      <c r="E69" s="13">
        <f>ROUND('B&amp;A+DSM - Fuel and % Riders'!E66*E$10,2)</f>
        <v>8888.09</v>
      </c>
      <c r="F69" s="13">
        <f>ROUND('B&amp;A+DSM - Fuel and % Riders'!F66*F$10,2)</f>
        <v>6085.05</v>
      </c>
      <c r="G69" s="13">
        <f>ROUND('B&amp;A+DSM - Fuel and % Riders'!G66*G$10,2)</f>
        <v>6450.06</v>
      </c>
      <c r="H69" s="13">
        <f>ROUND('B&amp;A+DSM - Fuel and % Riders'!H66*H$10,2)</f>
        <v>6914.85</v>
      </c>
      <c r="I69" s="13">
        <f>ROUND('B&amp;A+DSM - Fuel and % Riders'!I66*I$10,2)</f>
        <v>6769.3</v>
      </c>
      <c r="J69" s="13">
        <f>ROUND('B&amp;A+DSM - Fuel and % Riders'!J66*J$10,2)</f>
        <v>7293.47</v>
      </c>
      <c r="K69" s="13">
        <f>ROUND('B&amp;A+DSM - Fuel and % Riders'!K66*K$10,2)</f>
        <v>7916.38</v>
      </c>
      <c r="L69" s="13">
        <f>ROUND('B&amp;A+DSM - Fuel and % Riders'!L66*L$10,2)</f>
        <v>6048.77</v>
      </c>
      <c r="M69" s="13">
        <f>ROUND('B&amp;A+DSM - Fuel and % Riders'!M66*M$10,2)</f>
        <v>7507.02</v>
      </c>
      <c r="N69" s="13">
        <f>ROUND('B&amp;A+DSM - Fuel and % Riders'!N66*N$10,2)</f>
        <v>1908.36</v>
      </c>
      <c r="O69" s="13">
        <f>ROUND('B&amp;A+DSM - Fuel and % Riders'!O66*O$10,2)</f>
        <v>1669.08</v>
      </c>
      <c r="P69" s="13">
        <f t="shared" ref="P69" si="27">SUM(D69:O69)</f>
        <v>72146.950000000012</v>
      </c>
      <c r="S69" s="51" t="s">
        <v>123</v>
      </c>
      <c r="T69" s="51">
        <v>66</v>
      </c>
    </row>
    <row r="70" spans="1:20" x14ac:dyDescent="0.25">
      <c r="A70" s="24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S70" s="51"/>
      <c r="T70" s="51">
        <v>67</v>
      </c>
    </row>
    <row r="71" spans="1:20" x14ac:dyDescent="0.25">
      <c r="A71" s="24" t="s">
        <v>124</v>
      </c>
      <c r="B71" s="13">
        <f>ROUND('B&amp;A+DSM - Fuel and % Riders'!B68*B$10,2)</f>
        <v>0</v>
      </c>
      <c r="C71" s="13">
        <f>ROUND('B&amp;A+DSM - Fuel and % Riders'!C68*C$10,2)</f>
        <v>0</v>
      </c>
      <c r="D71" s="13">
        <f>ROUND('B&amp;A+DSM - Fuel and % Riders'!D68*D$10,2)</f>
        <v>84986.42</v>
      </c>
      <c r="E71" s="13">
        <f>ROUND('B&amp;A+DSM - Fuel and % Riders'!E68*E$10,2)</f>
        <v>186161.71</v>
      </c>
      <c r="F71" s="13">
        <f>ROUND('B&amp;A+DSM - Fuel and % Riders'!F68*F$10,2)</f>
        <v>82506.09</v>
      </c>
      <c r="G71" s="13">
        <f>ROUND('B&amp;A+DSM - Fuel and % Riders'!G68*G$10,2)</f>
        <v>134338.01999999999</v>
      </c>
      <c r="H71" s="13">
        <f>ROUND('B&amp;A+DSM - Fuel and % Riders'!H68*H$10,2)</f>
        <v>117940.16</v>
      </c>
      <c r="I71" s="13">
        <f>ROUND('B&amp;A+DSM - Fuel and % Riders'!I68*I$10,2)</f>
        <v>113948.19</v>
      </c>
      <c r="J71" s="13">
        <f>ROUND('B&amp;A+DSM - Fuel and % Riders'!J68*J$10,2)</f>
        <v>126171.61</v>
      </c>
      <c r="K71" s="13">
        <f>ROUND('B&amp;A+DSM - Fuel and % Riders'!K68*K$10,2)</f>
        <v>140686.5</v>
      </c>
      <c r="L71" s="13">
        <f>ROUND('B&amp;A+DSM - Fuel and % Riders'!L68*L$10,2)</f>
        <v>107413.97</v>
      </c>
      <c r="M71" s="13">
        <f>ROUND('B&amp;A+DSM - Fuel and % Riders'!M68*M$10,2)</f>
        <v>115304.16</v>
      </c>
      <c r="N71" s="13">
        <f>ROUND('B&amp;A+DSM - Fuel and % Riders'!N68*N$10,2)</f>
        <v>42981.78</v>
      </c>
      <c r="O71" s="13">
        <f>ROUND('B&amp;A+DSM - Fuel and % Riders'!O68*O$10,2)</f>
        <v>31964.02</v>
      </c>
      <c r="P71" s="13">
        <f t="shared" ref="P71" si="28">SUM(D71:O71)</f>
        <v>1284402.6300000001</v>
      </c>
      <c r="S71" s="51" t="s">
        <v>124</v>
      </c>
      <c r="T71" s="51">
        <v>68</v>
      </c>
    </row>
    <row r="72" spans="1:20" x14ac:dyDescent="0.25">
      <c r="A72" s="24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S72" s="51"/>
      <c r="T72" s="51">
        <v>69</v>
      </c>
    </row>
    <row r="73" spans="1:20" x14ac:dyDescent="0.25">
      <c r="A73" s="24" t="s">
        <v>125</v>
      </c>
      <c r="B73" s="13">
        <f>ROUND('B&amp;A+DSM - Fuel and % Riders'!B70*B$10,2)</f>
        <v>0</v>
      </c>
      <c r="C73" s="13">
        <f>ROUND('B&amp;A+DSM - Fuel and % Riders'!C70*C$10,2)</f>
        <v>0</v>
      </c>
      <c r="D73" s="13">
        <f>ROUND('B&amp;A+DSM - Fuel and % Riders'!D70*D$10,2)</f>
        <v>217210.31</v>
      </c>
      <c r="E73" s="13">
        <f>ROUND('B&amp;A+DSM - Fuel and % Riders'!E70*E$10,2)</f>
        <v>337575.27</v>
      </c>
      <c r="F73" s="13">
        <f>ROUND('B&amp;A+DSM - Fuel and % Riders'!F70*F$10,2)</f>
        <v>313968.40000000002</v>
      </c>
      <c r="G73" s="13">
        <f>ROUND('B&amp;A+DSM - Fuel and % Riders'!G70*G$10,2)</f>
        <v>316532.62</v>
      </c>
      <c r="H73" s="13">
        <f>ROUND('B&amp;A+DSM - Fuel and % Riders'!H70*H$10,2)</f>
        <v>254052.78</v>
      </c>
      <c r="I73" s="13">
        <f>ROUND('B&amp;A+DSM - Fuel and % Riders'!I70*I$10,2)</f>
        <v>448149.23</v>
      </c>
      <c r="J73" s="13">
        <f>ROUND('B&amp;A+DSM - Fuel and % Riders'!J70*J$10,2)</f>
        <v>118086.77</v>
      </c>
      <c r="K73" s="13">
        <f>ROUND('B&amp;A+DSM - Fuel and % Riders'!K70*K$10,2)</f>
        <v>320678.93</v>
      </c>
      <c r="L73" s="13">
        <f>ROUND('B&amp;A+DSM - Fuel and % Riders'!L70*L$10,2)</f>
        <v>414434.13</v>
      </c>
      <c r="M73" s="13">
        <f>ROUND('B&amp;A+DSM - Fuel and % Riders'!M70*M$10,2)</f>
        <v>252418.85</v>
      </c>
      <c r="N73" s="13">
        <f>ROUND('B&amp;A+DSM - Fuel and % Riders'!N70*N$10,2)</f>
        <v>121905.44</v>
      </c>
      <c r="O73" s="13">
        <f>ROUND('B&amp;A+DSM - Fuel and % Riders'!O70*O$10,2)</f>
        <v>55497.09</v>
      </c>
      <c r="P73" s="13">
        <f t="shared" ref="P73:P79" si="29">SUM(D73:O73)</f>
        <v>3170509.82</v>
      </c>
      <c r="S73" s="51" t="s">
        <v>125</v>
      </c>
      <c r="T73" s="51">
        <v>70</v>
      </c>
    </row>
    <row r="74" spans="1:20" x14ac:dyDescent="0.25">
      <c r="A74" s="24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S74" s="51"/>
      <c r="T74" s="51">
        <v>71</v>
      </c>
    </row>
    <row r="75" spans="1:20" x14ac:dyDescent="0.25">
      <c r="A75" s="24" t="s">
        <v>126</v>
      </c>
      <c r="B75" s="13"/>
      <c r="C75" s="13"/>
      <c r="D75" s="13">
        <f>ROUND('B&amp;A+DSM - Fuel and % Riders'!D72*D$10,2)</f>
        <v>34795.43</v>
      </c>
      <c r="E75" s="13">
        <f>ROUND('B&amp;A+DSM - Fuel and % Riders'!E72*E$10,2)</f>
        <v>66779.429999999993</v>
      </c>
      <c r="F75" s="13">
        <f>ROUND('B&amp;A+DSM - Fuel and % Riders'!F72*F$10,2)</f>
        <v>47815.91</v>
      </c>
      <c r="G75" s="13">
        <f>ROUND('B&amp;A+DSM - Fuel and % Riders'!G72*G$10,2)</f>
        <v>55688.21</v>
      </c>
      <c r="H75" s="13">
        <f>ROUND('B&amp;A+DSM - Fuel and % Riders'!H72*H$10,2)</f>
        <v>36668.97</v>
      </c>
      <c r="I75" s="13">
        <f>ROUND('B&amp;A+DSM - Fuel and % Riders'!I72*I$10,2)</f>
        <v>35135.79</v>
      </c>
      <c r="J75" s="13">
        <f>ROUND('B&amp;A+DSM - Fuel and % Riders'!J72*J$10,2)</f>
        <v>71649.63</v>
      </c>
      <c r="K75" s="13">
        <f>ROUND('B&amp;A+DSM - Fuel and % Riders'!K72*K$10,2)</f>
        <v>70949.070000000007</v>
      </c>
      <c r="L75" s="13">
        <f>ROUND('B&amp;A+DSM - Fuel and % Riders'!L72*L$10,2)</f>
        <v>31916.13</v>
      </c>
      <c r="M75" s="13">
        <f>ROUND('B&amp;A+DSM - Fuel and % Riders'!M72*M$10,2)</f>
        <v>27867.35</v>
      </c>
      <c r="N75" s="13">
        <f>ROUND('B&amp;A+DSM - Fuel and % Riders'!N72*N$10,2)</f>
        <v>-7464.06</v>
      </c>
      <c r="O75" s="13">
        <f>ROUND('B&amp;A+DSM - Fuel and % Riders'!O72*O$10,2)</f>
        <v>20754.79</v>
      </c>
      <c r="P75" s="13">
        <f t="shared" si="29"/>
        <v>492556.64999999997</v>
      </c>
      <c r="S75" s="51" t="s">
        <v>126</v>
      </c>
      <c r="T75" s="51">
        <v>72</v>
      </c>
    </row>
    <row r="76" spans="1:20" x14ac:dyDescent="0.25">
      <c r="A76" s="24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S76" s="51"/>
      <c r="T76" s="51">
        <v>73</v>
      </c>
    </row>
    <row r="77" spans="1:20" x14ac:dyDescent="0.25">
      <c r="A77" s="66" t="s">
        <v>2</v>
      </c>
      <c r="B77" s="66"/>
      <c r="C77" s="66"/>
      <c r="D77" s="13">
        <f>ROUND('B&amp;A+DSM - Fuel and % Riders'!D74*D$10,2)</f>
        <v>6988.97</v>
      </c>
      <c r="E77" s="13">
        <f>ROUND('B&amp;A+DSM - Fuel and % Riders'!E74*E$10,2)</f>
        <v>10803.89</v>
      </c>
      <c r="F77" s="13">
        <f>ROUND('B&amp;A+DSM - Fuel and % Riders'!F74*F$10,2)</f>
        <v>8139.98</v>
      </c>
      <c r="G77" s="13">
        <f>ROUND('B&amp;A+DSM - Fuel and % Riders'!G74*G$10,2)</f>
        <v>10514.16</v>
      </c>
      <c r="H77" s="13">
        <f>ROUND('B&amp;A+DSM - Fuel and % Riders'!H74*H$10,2)</f>
        <v>9951.2000000000007</v>
      </c>
      <c r="I77" s="13">
        <f>ROUND('B&amp;A+DSM - Fuel and % Riders'!I74*I$10,2)</f>
        <v>9123.26</v>
      </c>
      <c r="J77" s="13">
        <f>ROUND('B&amp;A+DSM - Fuel and % Riders'!J74*J$10,2)</f>
        <v>8444.35</v>
      </c>
      <c r="K77" s="13">
        <f>ROUND('B&amp;A+DSM - Fuel and % Riders'!K74*K$10,2)</f>
        <v>10366.299999999999</v>
      </c>
      <c r="L77" s="13">
        <f>ROUND('B&amp;A+DSM - Fuel and % Riders'!L74*L$10,2)</f>
        <v>9889.31</v>
      </c>
      <c r="M77" s="13">
        <f>ROUND('B&amp;A+DSM - Fuel and % Riders'!M74*M$10,2)</f>
        <v>9901.08</v>
      </c>
      <c r="N77" s="13">
        <f>ROUND('B&amp;A+DSM - Fuel and % Riders'!N74*N$10,2)</f>
        <v>4797.26</v>
      </c>
      <c r="O77" s="13">
        <f>ROUND('B&amp;A+DSM - Fuel and % Riders'!O74*O$10,2)</f>
        <v>1854.57</v>
      </c>
      <c r="P77" s="13">
        <f t="shared" si="29"/>
        <v>100774.33</v>
      </c>
      <c r="Q77" s="66"/>
      <c r="S77" s="51" t="s">
        <v>2</v>
      </c>
      <c r="T77" s="51">
        <v>74</v>
      </c>
    </row>
    <row r="78" spans="1:20" x14ac:dyDescent="0.25">
      <c r="A78" s="66"/>
      <c r="B78" s="66"/>
      <c r="C78" s="66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66"/>
      <c r="Q78" s="66"/>
      <c r="S78" s="51"/>
      <c r="T78" s="51">
        <v>75</v>
      </c>
    </row>
    <row r="79" spans="1:20" x14ac:dyDescent="0.25">
      <c r="A79" s="66" t="s">
        <v>1</v>
      </c>
      <c r="B79" s="66"/>
      <c r="C79" s="66"/>
      <c r="D79" s="13">
        <f>ROUND('B&amp;A+DSM - Fuel and % Riders'!D76*D$10,2)</f>
        <v>719.73</v>
      </c>
      <c r="E79" s="13">
        <f>ROUND('B&amp;A+DSM - Fuel and % Riders'!E76*E$10,2)</f>
        <v>1376.22</v>
      </c>
      <c r="F79" s="13">
        <f>ROUND('B&amp;A+DSM - Fuel and % Riders'!F76*F$10,2)</f>
        <v>1051.8399999999999</v>
      </c>
      <c r="G79" s="13">
        <f>ROUND('B&amp;A+DSM - Fuel and % Riders'!G76*G$10,2)</f>
        <v>1106.3</v>
      </c>
      <c r="H79" s="13">
        <f>ROUND('B&amp;A+DSM - Fuel and % Riders'!H76*H$10,2)</f>
        <v>927.72</v>
      </c>
      <c r="I79" s="13">
        <f>ROUND('B&amp;A+DSM - Fuel and % Riders'!I76*I$10,2)</f>
        <v>1002.9</v>
      </c>
      <c r="J79" s="13">
        <f>ROUND('B&amp;A+DSM - Fuel and % Riders'!J76*J$10,2)</f>
        <v>1207.5</v>
      </c>
      <c r="K79" s="13">
        <f>ROUND('B&amp;A+DSM - Fuel and % Riders'!K76*K$10,2)</f>
        <v>1130.1400000000001</v>
      </c>
      <c r="L79" s="13">
        <f>ROUND('B&amp;A+DSM - Fuel and % Riders'!L76*L$10,2)</f>
        <v>1016.98</v>
      </c>
      <c r="M79" s="13">
        <f>ROUND('B&amp;A+DSM - Fuel and % Riders'!M76*M$10,2)</f>
        <v>913.33</v>
      </c>
      <c r="N79" s="13">
        <f>ROUND('B&amp;A+DSM - Fuel and % Riders'!N76*N$10,2)</f>
        <v>190.96</v>
      </c>
      <c r="O79" s="13">
        <f>ROUND('B&amp;A+DSM - Fuel and % Riders'!O76*O$10,2)</f>
        <v>250.79</v>
      </c>
      <c r="P79" s="13">
        <f t="shared" si="29"/>
        <v>10894.41</v>
      </c>
      <c r="S79" s="51" t="s">
        <v>1</v>
      </c>
      <c r="T79" s="51">
        <v>76</v>
      </c>
    </row>
    <row r="80" spans="1:20" x14ac:dyDescent="0.25">
      <c r="A80" s="66"/>
      <c r="B80" s="66"/>
      <c r="C80" s="66"/>
      <c r="D80" s="66"/>
      <c r="E80" s="66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</row>
    <row r="81" spans="1:16" ht="16.5" thickBot="1" x14ac:dyDescent="0.3">
      <c r="A81" s="26" t="s">
        <v>0</v>
      </c>
      <c r="B81" s="13" t="e">
        <f>SUM(B13:B73)</f>
        <v>#REF!</v>
      </c>
      <c r="C81" s="13" t="e">
        <f t="shared" ref="C81" si="30">SUM(C13:C73)</f>
        <v>#REF!</v>
      </c>
      <c r="D81" s="157">
        <f>SUM(D13:D79)-D21</f>
        <v>1828958.9399999997</v>
      </c>
      <c r="E81" s="157">
        <f t="shared" ref="E81:O81" si="31">SUM(E13:E79)-E21</f>
        <v>2943446.4300000006</v>
      </c>
      <c r="F81" s="157">
        <f t="shared" si="31"/>
        <v>2395893.58</v>
      </c>
      <c r="G81" s="157">
        <f t="shared" si="31"/>
        <v>3159712.3</v>
      </c>
      <c r="H81" s="157">
        <f t="shared" si="31"/>
        <v>2806765.2600000007</v>
      </c>
      <c r="I81" s="157">
        <f t="shared" si="31"/>
        <v>2445273.2399999998</v>
      </c>
      <c r="J81" s="157">
        <f t="shared" si="31"/>
        <v>2201355.58</v>
      </c>
      <c r="K81" s="157">
        <f t="shared" si="31"/>
        <v>3081165.56</v>
      </c>
      <c r="L81" s="157">
        <f t="shared" si="31"/>
        <v>3210361.5199999996</v>
      </c>
      <c r="M81" s="157">
        <f t="shared" si="31"/>
        <v>3031696.8700000006</v>
      </c>
      <c r="N81" s="157">
        <f t="shared" si="31"/>
        <v>993841.10000000044</v>
      </c>
      <c r="O81" s="157">
        <f t="shared" si="31"/>
        <v>461235.44999999995</v>
      </c>
      <c r="P81" s="157">
        <f>SUM(P13:P79)-P21</f>
        <v>28559705.829999994</v>
      </c>
    </row>
    <row r="82" spans="1:16" x14ac:dyDescent="0.25">
      <c r="P82" s="13">
        <f>SUM(D81:O81)</f>
        <v>28559705.830000002</v>
      </c>
    </row>
    <row r="83" spans="1:16" x14ac:dyDescent="0.25"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</row>
    <row r="84" spans="1:16" x14ac:dyDescent="0.25"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</row>
    <row r="86" spans="1:16" x14ac:dyDescent="0.25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</row>
    <row r="87" spans="1:16" x14ac:dyDescent="0.25">
      <c r="D87" s="165"/>
      <c r="E87" s="165"/>
      <c r="F87" s="165"/>
      <c r="G87" s="165"/>
      <c r="H87" s="165"/>
      <c r="I87" s="165"/>
      <c r="J87" s="165"/>
      <c r="K87" s="165"/>
      <c r="L87" s="165"/>
      <c r="M87" s="165"/>
      <c r="N87" s="165"/>
    </row>
  </sheetData>
  <pageMargins left="0.7" right="0.32" top="0.75" bottom="0.75" header="0.3" footer="0.3"/>
  <pageSetup scale="43" orientation="portrait" r:id="rId1"/>
  <headerFooter>
    <oddFooter>&amp;L&amp;F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95"/>
  <sheetViews>
    <sheetView zoomScale="90" zoomScaleNormal="90" workbookViewId="0">
      <pane xSplit="1" ySplit="20" topLeftCell="P2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R40" sqref="R40"/>
    </sheetView>
  </sheetViews>
  <sheetFormatPr defaultColWidth="9.140625" defaultRowHeight="15.75" outlineLevelCol="1" x14ac:dyDescent="0.25"/>
  <cols>
    <col min="1" max="1" width="38.7109375" style="26" bestFit="1" customWidth="1"/>
    <col min="2" max="2" width="10" style="26" hidden="1" customWidth="1" outlineLevel="1"/>
    <col min="3" max="3" width="10.5703125" style="26" hidden="1" customWidth="1" outlineLevel="1"/>
    <col min="4" max="5" width="12.5703125" style="26" hidden="1" customWidth="1" outlineLevel="1"/>
    <col min="6" max="8" width="14.42578125" style="26" hidden="1" customWidth="1" outlineLevel="1"/>
    <col min="9" max="9" width="12.7109375" style="26" hidden="1" customWidth="1" outlineLevel="1"/>
    <col min="10" max="12" width="14.42578125" style="26" hidden="1" customWidth="1" outlineLevel="1"/>
    <col min="13" max="13" width="15.42578125" style="26" hidden="1" customWidth="1" outlineLevel="1"/>
    <col min="14" max="14" width="13.85546875" style="26" hidden="1" customWidth="1" outlineLevel="1"/>
    <col min="15" max="15" width="15.5703125" style="26" hidden="1" customWidth="1" outlineLevel="1"/>
    <col min="16" max="16" width="16.5703125" style="26" customWidth="1" collapsed="1"/>
    <col min="17" max="17" width="15.85546875" style="26" customWidth="1"/>
    <col min="18" max="23" width="9.140625" style="26"/>
    <col min="24" max="24" width="15.5703125" style="26" bestFit="1" customWidth="1"/>
    <col min="25" max="26" width="9.140625" style="26"/>
    <col min="27" max="27" width="15.5703125" style="26" bestFit="1" customWidth="1"/>
    <col min="28" max="16384" width="9.140625" style="26"/>
  </cols>
  <sheetData>
    <row r="1" spans="1:16" x14ac:dyDescent="0.25">
      <c r="A1" s="26" t="s">
        <v>70</v>
      </c>
      <c r="D1" s="150"/>
      <c r="L1" s="26">
        <f>8/31</f>
        <v>0.25806451612903225</v>
      </c>
      <c r="M1" s="163">
        <f>L1+L2</f>
        <v>1</v>
      </c>
    </row>
    <row r="2" spans="1:16" x14ac:dyDescent="0.25">
      <c r="A2" s="26" t="s">
        <v>71</v>
      </c>
      <c r="L2" s="26">
        <f>23/31</f>
        <v>0.74193548387096775</v>
      </c>
    </row>
    <row r="3" spans="1:16" x14ac:dyDescent="0.25">
      <c r="A3" s="26" t="str">
        <f>'B&amp;A kWh'!B3</f>
        <v>TEST YEAR ENDED March 31, 2023</v>
      </c>
    </row>
    <row r="4" spans="1:16" x14ac:dyDescent="0.25">
      <c r="A4" s="26" t="s">
        <v>81</v>
      </c>
    </row>
    <row r="5" spans="1:16" x14ac:dyDescent="0.25">
      <c r="A5" s="26" t="s">
        <v>161</v>
      </c>
    </row>
    <row r="6" spans="1:16" hidden="1" x14ac:dyDescent="0.25"/>
    <row r="7" spans="1:16" hidden="1" x14ac:dyDescent="0.25">
      <c r="D7" s="26">
        <v>2022</v>
      </c>
      <c r="L7" s="26" t="s">
        <v>315</v>
      </c>
      <c r="O7" s="26">
        <v>2023</v>
      </c>
      <c r="P7" s="32" t="s">
        <v>292</v>
      </c>
    </row>
    <row r="8" spans="1:16" hidden="1" x14ac:dyDescent="0.25">
      <c r="A8" s="7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16" hidden="1" x14ac:dyDescent="0.25">
      <c r="A9" s="26" t="s">
        <v>184</v>
      </c>
      <c r="B9" s="65"/>
      <c r="C9" s="65"/>
      <c r="D9" s="60">
        <v>5.94E-3</v>
      </c>
      <c r="E9" s="60">
        <v>5.94E-3</v>
      </c>
      <c r="F9" s="60">
        <v>5.94E-3</v>
      </c>
      <c r="G9" s="60">
        <v>5.94E-3</v>
      </c>
      <c r="H9" s="60">
        <v>5.94E-3</v>
      </c>
      <c r="I9" s="60">
        <v>5.94E-3</v>
      </c>
      <c r="J9" s="60">
        <v>7.2899999999999996E-3</v>
      </c>
      <c r="K9" s="60">
        <v>7.2899999999999996E-3</v>
      </c>
      <c r="L9" s="60">
        <v>7.2899999999999996E-3</v>
      </c>
      <c r="M9" s="164">
        <v>3.5300000000000002E-3</v>
      </c>
      <c r="N9" s="164">
        <v>3.5300000000000002E-3</v>
      </c>
      <c r="O9" s="164">
        <v>3.5300000000000002E-3</v>
      </c>
    </row>
    <row r="10" spans="1:16" hidden="1" x14ac:dyDescent="0.25">
      <c r="A10" s="26" t="s">
        <v>185</v>
      </c>
      <c r="B10" s="65"/>
      <c r="C10" s="65"/>
      <c r="D10" s="60">
        <v>4.8300000000000001E-3</v>
      </c>
      <c r="E10" s="60">
        <v>4.8300000000000001E-3</v>
      </c>
      <c r="F10" s="60">
        <v>4.8300000000000001E-3</v>
      </c>
      <c r="G10" s="60">
        <v>4.8300000000000001E-3</v>
      </c>
      <c r="H10" s="60">
        <v>4.8300000000000001E-3</v>
      </c>
      <c r="I10" s="60">
        <v>4.8300000000000001E-3</v>
      </c>
      <c r="J10" s="60">
        <v>5.9500000000000004E-3</v>
      </c>
      <c r="K10" s="60">
        <v>5.9500000000000004E-3</v>
      </c>
      <c r="L10" s="60">
        <v>5.9500000000000004E-3</v>
      </c>
      <c r="M10" s="164">
        <v>2.8800000000000002E-3</v>
      </c>
      <c r="N10" s="164">
        <v>2.8800000000000002E-3</v>
      </c>
      <c r="O10" s="164">
        <v>2.8800000000000002E-3</v>
      </c>
    </row>
    <row r="11" spans="1:16" hidden="1" x14ac:dyDescent="0.25">
      <c r="A11" s="26" t="s">
        <v>186</v>
      </c>
      <c r="B11" s="65"/>
      <c r="C11" s="65"/>
      <c r="D11" s="60">
        <v>1.2E-4</v>
      </c>
      <c r="E11" s="60">
        <v>1.2E-4</v>
      </c>
      <c r="F11" s="60">
        <v>1.2E-4</v>
      </c>
      <c r="G11" s="60">
        <v>1.2E-4</v>
      </c>
      <c r="H11" s="60">
        <v>1.2E-4</v>
      </c>
      <c r="I11" s="60">
        <v>1.2E-4</v>
      </c>
      <c r="J11" s="60">
        <v>2.9999999999999997E-4</v>
      </c>
      <c r="K11" s="60">
        <v>2.9999999999999997E-4</v>
      </c>
      <c r="L11" s="60">
        <v>2.9999999999999997E-4</v>
      </c>
      <c r="M11" s="164">
        <v>1.3999999999999999E-4</v>
      </c>
      <c r="N11" s="164">
        <v>1.3999999999999999E-4</v>
      </c>
      <c r="O11" s="164">
        <v>1.3999999999999999E-4</v>
      </c>
    </row>
    <row r="12" spans="1:16" hidden="1" x14ac:dyDescent="0.25">
      <c r="B12" s="65"/>
      <c r="C12" s="65"/>
      <c r="D12" s="60"/>
      <c r="E12" s="60"/>
      <c r="F12" s="60"/>
      <c r="G12" s="60"/>
      <c r="H12" s="60"/>
      <c r="I12" s="60"/>
      <c r="J12" s="60"/>
      <c r="K12" s="60"/>
      <c r="L12" s="60"/>
      <c r="M12" s="164"/>
      <c r="N12" s="164"/>
      <c r="O12" s="164"/>
    </row>
    <row r="13" spans="1:16" hidden="1" x14ac:dyDescent="0.25">
      <c r="A13" s="26" t="s">
        <v>188</v>
      </c>
      <c r="B13" s="65"/>
      <c r="C13" s="65"/>
      <c r="D13" s="60">
        <v>4.4299999999999999E-3</v>
      </c>
      <c r="E13" s="60">
        <v>4.4299999999999999E-3</v>
      </c>
      <c r="F13" s="60">
        <v>4.4299999999999999E-3</v>
      </c>
      <c r="G13" s="60">
        <v>4.4299999999999999E-3</v>
      </c>
      <c r="H13" s="60">
        <v>4.4299999999999999E-3</v>
      </c>
      <c r="I13" s="60">
        <v>4.4299999999999999E-3</v>
      </c>
      <c r="J13" s="60">
        <v>5.4799999999999996E-3</v>
      </c>
      <c r="K13" s="60">
        <v>5.4799999999999996E-3</v>
      </c>
      <c r="L13" s="60">
        <v>5.4799999999999996E-3</v>
      </c>
      <c r="M13" s="164">
        <v>2.65E-3</v>
      </c>
      <c r="N13" s="164">
        <v>2.65E-3</v>
      </c>
      <c r="O13" s="164">
        <v>2.65E-3</v>
      </c>
    </row>
    <row r="14" spans="1:16" hidden="1" x14ac:dyDescent="0.25">
      <c r="B14" s="65"/>
      <c r="C14" s="65"/>
      <c r="D14" s="60"/>
      <c r="E14" s="60"/>
      <c r="F14" s="60"/>
      <c r="G14" s="60"/>
      <c r="H14" s="60"/>
      <c r="I14" s="60"/>
      <c r="J14" s="60"/>
      <c r="K14" s="60"/>
      <c r="L14" s="60"/>
      <c r="M14" s="30"/>
      <c r="N14" s="30"/>
      <c r="O14" s="30"/>
    </row>
    <row r="15" spans="1:16" hidden="1" x14ac:dyDescent="0.25">
      <c r="A15" s="26" t="s">
        <v>190</v>
      </c>
      <c r="B15" s="65"/>
      <c r="C15" s="65"/>
      <c r="D15" s="60">
        <v>1.2E-4</v>
      </c>
      <c r="E15" s="60">
        <v>1.2E-4</v>
      </c>
      <c r="F15" s="60">
        <v>1.2E-4</v>
      </c>
      <c r="G15" s="60">
        <v>1.2E-4</v>
      </c>
      <c r="H15" s="60">
        <v>1.2E-4</v>
      </c>
      <c r="I15" s="60">
        <v>1.2E-4</v>
      </c>
      <c r="J15" s="60">
        <v>2.9999999999999997E-4</v>
      </c>
      <c r="K15" s="60">
        <v>2.9999999999999997E-4</v>
      </c>
      <c r="L15" s="60">
        <v>2.9999999999999997E-4</v>
      </c>
      <c r="M15" s="49">
        <v>1.3999999999999999E-4</v>
      </c>
      <c r="N15" s="49">
        <v>1.3999999999999999E-4</v>
      </c>
      <c r="O15" s="49">
        <v>1.3999999999999999E-4</v>
      </c>
    </row>
    <row r="16" spans="1:16" hidden="1" x14ac:dyDescent="0.25">
      <c r="B16" s="65"/>
      <c r="C16" s="65"/>
      <c r="D16" s="60"/>
      <c r="E16" s="60"/>
      <c r="F16" s="60"/>
      <c r="G16" s="60"/>
      <c r="H16" s="60"/>
      <c r="I16" s="60"/>
      <c r="J16" s="60"/>
      <c r="K16" s="60"/>
      <c r="L16" s="60"/>
      <c r="M16" s="49"/>
      <c r="N16" s="49"/>
      <c r="O16" s="49"/>
    </row>
    <row r="17" spans="1:27" hidden="1" x14ac:dyDescent="0.25">
      <c r="A17" s="26" t="s">
        <v>192</v>
      </c>
      <c r="B17" s="65"/>
      <c r="C17" s="65"/>
      <c r="D17" s="60">
        <v>3.3E-3</v>
      </c>
      <c r="E17" s="60">
        <v>3.3E-3</v>
      </c>
      <c r="F17" s="60">
        <v>3.3E-3</v>
      </c>
      <c r="G17" s="60">
        <v>3.3E-3</v>
      </c>
      <c r="H17" s="60">
        <v>3.3E-3</v>
      </c>
      <c r="I17" s="60">
        <v>3.3E-3</v>
      </c>
      <c r="J17" s="60">
        <v>4.1200000000000004E-3</v>
      </c>
      <c r="K17" s="60">
        <v>4.1200000000000004E-3</v>
      </c>
      <c r="L17" s="60">
        <v>4.1200000000000004E-3</v>
      </c>
      <c r="M17" s="49">
        <v>1.99E-3</v>
      </c>
      <c r="N17" s="49">
        <v>1.99E-3</v>
      </c>
      <c r="O17" s="49">
        <v>1.99E-3</v>
      </c>
    </row>
    <row r="18" spans="1:27" hidden="1" x14ac:dyDescent="0.25">
      <c r="A18" s="26" t="s">
        <v>193</v>
      </c>
      <c r="B18" s="65"/>
      <c r="C18" s="65"/>
      <c r="D18" s="60">
        <v>7.5000000000000002E-4</v>
      </c>
      <c r="E18" s="60">
        <v>7.5000000000000002E-4</v>
      </c>
      <c r="F18" s="60">
        <v>7.5000000000000002E-4</v>
      </c>
      <c r="G18" s="60">
        <v>7.5000000000000002E-4</v>
      </c>
      <c r="H18" s="60">
        <v>7.5000000000000002E-4</v>
      </c>
      <c r="I18" s="60">
        <v>7.5000000000000002E-4</v>
      </c>
      <c r="J18" s="60">
        <v>1.0499999999999999E-3</v>
      </c>
      <c r="K18" s="60">
        <v>1.0499999999999999E-3</v>
      </c>
      <c r="L18" s="60">
        <v>1.0499999999999999E-3</v>
      </c>
      <c r="M18" s="49">
        <v>5.1000000000000004E-4</v>
      </c>
      <c r="N18" s="49">
        <v>5.1000000000000004E-4</v>
      </c>
      <c r="O18" s="49">
        <v>5.1000000000000004E-4</v>
      </c>
    </row>
    <row r="19" spans="1:27" hidden="1" x14ac:dyDescent="0.25">
      <c r="A19" s="26" t="s">
        <v>194</v>
      </c>
      <c r="B19" s="65"/>
      <c r="C19" s="65"/>
      <c r="D19" s="60">
        <v>7.5000000000000002E-4</v>
      </c>
      <c r="E19" s="60">
        <v>7.5000000000000002E-4</v>
      </c>
      <c r="F19" s="60">
        <v>7.5000000000000002E-4</v>
      </c>
      <c r="G19" s="60">
        <v>7.5000000000000002E-4</v>
      </c>
      <c r="H19" s="60">
        <v>7.5000000000000002E-4</v>
      </c>
      <c r="I19" s="60">
        <v>7.5000000000000002E-4</v>
      </c>
      <c r="J19" s="60">
        <v>1.0499999999999999E-3</v>
      </c>
      <c r="K19" s="60">
        <v>1.0499999999999999E-3</v>
      </c>
      <c r="L19" s="60">
        <v>1.0499999999999999E-3</v>
      </c>
      <c r="M19" s="49">
        <v>5.1000000000000004E-4</v>
      </c>
      <c r="N19" s="49">
        <v>5.1000000000000004E-4</v>
      </c>
      <c r="O19" s="49">
        <v>5.1000000000000004E-4</v>
      </c>
    </row>
    <row r="20" spans="1:27" hidden="1" x14ac:dyDescent="0.25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2" spans="1:27" x14ac:dyDescent="0.25">
      <c r="B22" s="26" t="s">
        <v>160</v>
      </c>
      <c r="AA22" s="26" t="s">
        <v>0</v>
      </c>
    </row>
    <row r="23" spans="1:27" x14ac:dyDescent="0.25">
      <c r="A23" s="24" t="s">
        <v>21</v>
      </c>
      <c r="B23" s="13">
        <f>ROUND(' B&amp;A+DSM - % Riders'!B10*B$9,2)</f>
        <v>0</v>
      </c>
      <c r="C23" s="13">
        <f>ROUND(' B&amp;A+DSM - % Riders'!C10*C$9,2)</f>
        <v>0</v>
      </c>
      <c r="D23" s="13">
        <f>ROUND(D$9*'B&amp;A kWh'!E10,2)</f>
        <v>745939.63</v>
      </c>
      <c r="E23" s="13">
        <f>ROUND(E$9*'B&amp;A kWh'!F10,2)</f>
        <v>675149.89</v>
      </c>
      <c r="F23" s="13">
        <f>ROUND(F$9*'B&amp;A kWh'!G10,2)</f>
        <v>848032.61</v>
      </c>
      <c r="G23" s="13">
        <f>ROUND(G$9*'B&amp;A kWh'!H10,2)</f>
        <v>978002.49</v>
      </c>
      <c r="H23" s="13">
        <f>ROUND(H$9*'B&amp;A kWh'!I10,2)</f>
        <v>959163.32</v>
      </c>
      <c r="I23" s="13">
        <f>ROUND(I$9*'B&amp;A kWh'!J10,2)</f>
        <v>715967.35</v>
      </c>
      <c r="J23" s="13">
        <f>ROUND(J$9*'B&amp;A kWh'!K10,2)</f>
        <v>838794.21</v>
      </c>
      <c r="K23" s="13">
        <f>ROUND(K$9*'B&amp;A kWh'!L10,2)</f>
        <v>1067420.56</v>
      </c>
      <c r="L23" s="13">
        <f>(L$9*'B&amp;A kWh'!M10*$L$1)+(M$9*'B&amp;A kWh'!M10*$L$2)</f>
        <v>997865.35543935478</v>
      </c>
      <c r="M23" s="13">
        <f>ROUND(M$9*'B&amp;A kWh'!N10,2)</f>
        <v>757243.88</v>
      </c>
      <c r="N23" s="13">
        <f>ROUND(N$9*'B&amp;A kWh'!O10,2)</f>
        <v>566888.56000000006</v>
      </c>
      <c r="O23" s="13">
        <f>ROUND(O$9*'B&amp;A kWh'!P10,2)</f>
        <v>537888.84</v>
      </c>
      <c r="P23" s="13">
        <f>SUM(D23:O23)</f>
        <v>9688356.6954393554</v>
      </c>
      <c r="R23" s="26">
        <v>10</v>
      </c>
      <c r="S23" s="26" t="s">
        <v>21</v>
      </c>
      <c r="V23" s="26" t="s">
        <v>21</v>
      </c>
      <c r="X23" s="73"/>
      <c r="AA23" s="13">
        <f>P23+X23</f>
        <v>9688356.6954393554</v>
      </c>
    </row>
    <row r="24" spans="1:27" x14ac:dyDescent="0.25">
      <c r="A24" s="24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R24" s="26">
        <v>11</v>
      </c>
      <c r="X24" s="73"/>
      <c r="AA24" s="13">
        <f t="shared" ref="AA24:AA87" si="0">P24+X24</f>
        <v>0</v>
      </c>
    </row>
    <row r="25" spans="1:27" x14ac:dyDescent="0.25">
      <c r="A25" s="24" t="s">
        <v>20</v>
      </c>
      <c r="B25" s="13">
        <f>ROUND(' B&amp;A+DSM - % Riders'!B12*B$9,2)</f>
        <v>0</v>
      </c>
      <c r="C25" s="13">
        <f>ROUND(' B&amp;A+DSM - % Riders'!C12*C$9,2)</f>
        <v>0</v>
      </c>
      <c r="D25" s="13">
        <f>ROUND(D$9*'B&amp;A kWh'!E12,2)</f>
        <v>1048.9100000000001</v>
      </c>
      <c r="E25" s="13">
        <f>ROUND(E$9*'B&amp;A kWh'!F12,2)</f>
        <v>945.87</v>
      </c>
      <c r="F25" s="13">
        <f>ROUND(F$9*'B&amp;A kWh'!G12,2)</f>
        <v>1191.17</v>
      </c>
      <c r="G25" s="13">
        <f>ROUND(G$9*'B&amp;A kWh'!H12,2)</f>
        <v>1436.81</v>
      </c>
      <c r="H25" s="13">
        <f>ROUND(H$9*'B&amp;A kWh'!I12,2)</f>
        <v>1365.53</v>
      </c>
      <c r="I25" s="13">
        <f>ROUND(I$9*'B&amp;A kWh'!J12,2)</f>
        <v>1123.02</v>
      </c>
      <c r="J25" s="13">
        <f>ROUND(J$9*'B&amp;A kWh'!K12,2)</f>
        <v>1171.07</v>
      </c>
      <c r="K25" s="13">
        <f>ROUND(K$9*'B&amp;A kWh'!L12,2)</f>
        <v>1458.31</v>
      </c>
      <c r="L25" s="13">
        <f>(L$9*'B&amp;A kWh'!M12*$L$1)+(M$9*'B&amp;A kWh'!M12*$L$2)</f>
        <v>1627.0736277419355</v>
      </c>
      <c r="M25" s="13">
        <f>ROUND(M$9*'B&amp;A kWh'!N12,2)</f>
        <v>1341.99</v>
      </c>
      <c r="N25" s="13">
        <f>ROUND(N$9*'B&amp;A kWh'!O12,2)</f>
        <v>853.46</v>
      </c>
      <c r="O25" s="13">
        <f>ROUND(O$9*'B&amp;A kWh'!P12,2)</f>
        <v>751.54</v>
      </c>
      <c r="P25" s="13">
        <f t="shared" ref="P25" si="1">SUM(D25:O25)</f>
        <v>14314.753627741935</v>
      </c>
      <c r="R25" s="26">
        <v>12</v>
      </c>
      <c r="S25" s="26" t="s">
        <v>20</v>
      </c>
      <c r="V25" s="26" t="s">
        <v>20</v>
      </c>
      <c r="X25" s="73"/>
      <c r="AA25" s="13">
        <f t="shared" si="0"/>
        <v>14314.753627741935</v>
      </c>
    </row>
    <row r="26" spans="1:27" x14ac:dyDescent="0.25">
      <c r="A26" s="24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R26" s="26">
        <v>13</v>
      </c>
      <c r="X26" s="73"/>
      <c r="AA26" s="13">
        <f t="shared" si="0"/>
        <v>0</v>
      </c>
    </row>
    <row r="27" spans="1:27" x14ac:dyDescent="0.25">
      <c r="A27" s="24" t="s">
        <v>19</v>
      </c>
      <c r="B27" s="13">
        <f>ROUND(' B&amp;A+DSM - % Riders'!B14*B$9,2)</f>
        <v>0</v>
      </c>
      <c r="C27" s="13">
        <f>ROUND(' B&amp;A+DSM - % Riders'!C14*C$9,2)</f>
        <v>0</v>
      </c>
      <c r="D27" s="13">
        <f>ROUND(D$9*'B&amp;A kWh'!E14,2)</f>
        <v>31.4</v>
      </c>
      <c r="E27" s="13">
        <f>ROUND(E$9*'B&amp;A kWh'!F14,2)</f>
        <v>27.81</v>
      </c>
      <c r="F27" s="13">
        <f>ROUND(F$9*'B&amp;A kWh'!G14,2)</f>
        <v>39.409999999999997</v>
      </c>
      <c r="G27" s="13">
        <f>ROUND(G$9*'B&amp;A kWh'!H14,2)</f>
        <v>45.76</v>
      </c>
      <c r="H27" s="13">
        <f>ROUND(H$9*'B&amp;A kWh'!I14,2)</f>
        <v>54.35</v>
      </c>
      <c r="I27" s="13">
        <f>ROUND(I$9*'B&amp;A kWh'!J14,2)</f>
        <v>46.77</v>
      </c>
      <c r="J27" s="13">
        <f>ROUND(J$9*'B&amp;A kWh'!K14,2)</f>
        <v>55.35</v>
      </c>
      <c r="K27" s="13">
        <f>ROUND(K$9*'B&amp;A kWh'!L14,2)</f>
        <v>32.450000000000003</v>
      </c>
      <c r="L27" s="13">
        <f>(L$9*'B&amp;A kWh'!M14*$L$1)+(M$9*'B&amp;A kWh'!M14*$L$2)</f>
        <v>75.011376774193536</v>
      </c>
      <c r="M27" s="13">
        <f>ROUND(M$9*'B&amp;A kWh'!N14,2)</f>
        <v>62.76</v>
      </c>
      <c r="N27" s="13">
        <f>ROUND(N$9*'B&amp;A kWh'!O14,2)</f>
        <v>42.86</v>
      </c>
      <c r="O27" s="13">
        <f>ROUND(O$9*'B&amp;A kWh'!P14,2)</f>
        <v>35.479999999999997</v>
      </c>
      <c r="P27" s="13">
        <f t="shared" ref="P27:P31" si="2">SUM(D27:O27)</f>
        <v>549.41137677419351</v>
      </c>
      <c r="R27" s="26">
        <v>14</v>
      </c>
      <c r="S27" s="26" t="s">
        <v>19</v>
      </c>
      <c r="V27" s="26" t="s">
        <v>19</v>
      </c>
      <c r="X27" s="73"/>
      <c r="AA27" s="13">
        <f t="shared" si="0"/>
        <v>549.41137677419351</v>
      </c>
    </row>
    <row r="28" spans="1:27" x14ac:dyDescent="0.25">
      <c r="A28" s="24"/>
      <c r="L28" s="13"/>
      <c r="P28" s="13"/>
      <c r="R28" s="26">
        <v>15</v>
      </c>
      <c r="X28" s="73"/>
      <c r="AA28" s="13">
        <f t="shared" si="0"/>
        <v>0</v>
      </c>
    </row>
    <row r="29" spans="1:27" x14ac:dyDescent="0.25">
      <c r="A29" s="43" t="s">
        <v>172</v>
      </c>
      <c r="D29" s="13">
        <f>ROUND(D$9*'B&amp;A kWh'!E16,2)</f>
        <v>0</v>
      </c>
      <c r="E29" s="13">
        <f>ROUND(E$9*'B&amp;A kWh'!F16,2)</f>
        <v>0</v>
      </c>
      <c r="F29" s="13">
        <f>ROUND(F$9*'B&amp;A kWh'!G16,2)</f>
        <v>0</v>
      </c>
      <c r="G29" s="13">
        <f>ROUND(G$9*'B&amp;A kWh'!H16,2)</f>
        <v>0</v>
      </c>
      <c r="H29" s="13">
        <f>ROUND(H$9*'B&amp;A kWh'!I16,2)</f>
        <v>0</v>
      </c>
      <c r="I29" s="13">
        <f>ROUND(I$9*'B&amp;A kWh'!J16,2)</f>
        <v>0</v>
      </c>
      <c r="J29" s="13">
        <f>ROUND(J$9*'B&amp;A kWh'!K16,2)</f>
        <v>0</v>
      </c>
      <c r="K29" s="13">
        <f>ROUND(K$9*'B&amp;A kWh'!L16,2)</f>
        <v>0</v>
      </c>
      <c r="L29" s="13">
        <f>(L$9*'B&amp;A kWh'!M16*$L$1)+(M$9*'B&amp;A kWh'!M16*$L$2)</f>
        <v>0</v>
      </c>
      <c r="M29" s="13">
        <f>ROUND(M$9*'B&amp;A kWh'!N16,2)</f>
        <v>0</v>
      </c>
      <c r="N29" s="13">
        <f>ROUND(N$9*'B&amp;A kWh'!O16,2)</f>
        <v>0</v>
      </c>
      <c r="O29" s="13">
        <f>ROUND(O$9*'B&amp;A kWh'!P16,2)</f>
        <v>0</v>
      </c>
      <c r="P29" s="13">
        <f t="shared" si="2"/>
        <v>0</v>
      </c>
      <c r="R29" s="26">
        <v>16</v>
      </c>
      <c r="S29" s="26" t="s">
        <v>172</v>
      </c>
      <c r="V29" s="26" t="s">
        <v>172</v>
      </c>
      <c r="X29" s="73"/>
      <c r="AA29" s="13">
        <f t="shared" si="0"/>
        <v>0</v>
      </c>
    </row>
    <row r="30" spans="1:27" x14ac:dyDescent="0.25">
      <c r="A30" s="43" t="s">
        <v>174</v>
      </c>
      <c r="D30" s="13">
        <f>ROUND(D$18*'B&amp;A kWh'!E17,2)</f>
        <v>2031.56</v>
      </c>
      <c r="E30" s="13">
        <f>ROUND(E$18*'B&amp;A kWh'!F17,2)</f>
        <v>2057.86</v>
      </c>
      <c r="F30" s="13">
        <f>ROUND(F$18*'B&amp;A kWh'!G17,2)</f>
        <v>1690.34</v>
      </c>
      <c r="G30" s="13">
        <f>ROUND(G$18*'B&amp;A kWh'!H17,2)</f>
        <v>1804.32</v>
      </c>
      <c r="H30" s="13">
        <f>ROUND(H$18*'B&amp;A kWh'!I17,2)</f>
        <v>2240.15</v>
      </c>
      <c r="I30" s="13">
        <f>ROUND(I$18*'B&amp;A kWh'!J17,2)</f>
        <v>2188.17</v>
      </c>
      <c r="J30" s="13">
        <f>ROUND(J$18*'B&amp;A kWh'!K17,2)</f>
        <v>4425.08</v>
      </c>
      <c r="K30" s="13">
        <f>ROUND(K$18*'B&amp;A kWh'!L17,2)</f>
        <v>4794.03</v>
      </c>
      <c r="L30" s="13">
        <f>(L$18*'B&amp;A kWh'!M17*$L$1)+(M$18*'B&amp;A kWh'!M17*$L$2)</f>
        <v>2434.2312890322582</v>
      </c>
      <c r="M30" s="13">
        <f>ROUND(M$18*'B&amp;A kWh'!N17,2)</f>
        <v>1487.89</v>
      </c>
      <c r="N30" s="13">
        <f>ROUND(N$18*'B&amp;A kWh'!O17,2)</f>
        <v>1422.41</v>
      </c>
      <c r="O30" s="13">
        <f>ROUND(O$18*'B&amp;A kWh'!P17,2)</f>
        <v>1844.8</v>
      </c>
      <c r="P30" s="13">
        <f t="shared" si="2"/>
        <v>28420.841289032254</v>
      </c>
      <c r="R30" s="26">
        <v>17</v>
      </c>
      <c r="S30" s="26" t="s">
        <v>174</v>
      </c>
      <c r="V30" s="26" t="s">
        <v>174</v>
      </c>
      <c r="X30" s="73"/>
      <c r="AA30" s="13">
        <f t="shared" si="0"/>
        <v>28420.841289032254</v>
      </c>
    </row>
    <row r="31" spans="1:27" x14ac:dyDescent="0.25">
      <c r="A31" s="24" t="s">
        <v>18</v>
      </c>
      <c r="B31" s="13" t="e">
        <f>ROUND(' B&amp;A+DSM - % Riders'!B18*B$20,2)</f>
        <v>#REF!</v>
      </c>
      <c r="C31" s="13" t="e">
        <f>ROUND(' B&amp;A+DSM - % Riders'!C18*C$20,2)</f>
        <v>#REF!</v>
      </c>
      <c r="D31" s="13">
        <f>SUM(D29:D30)</f>
        <v>2031.56</v>
      </c>
      <c r="E31" s="13">
        <f t="shared" ref="E31:O31" si="3">SUM(E29:E30)</f>
        <v>2057.86</v>
      </c>
      <c r="F31" s="13">
        <f t="shared" si="3"/>
        <v>1690.34</v>
      </c>
      <c r="G31" s="13">
        <f t="shared" si="3"/>
        <v>1804.32</v>
      </c>
      <c r="H31" s="13">
        <f t="shared" si="3"/>
        <v>2240.15</v>
      </c>
      <c r="I31" s="13">
        <f t="shared" si="3"/>
        <v>2188.17</v>
      </c>
      <c r="J31" s="13">
        <f t="shared" si="3"/>
        <v>4425.08</v>
      </c>
      <c r="K31" s="13">
        <f t="shared" si="3"/>
        <v>4794.03</v>
      </c>
      <c r="L31" s="13">
        <f t="shared" si="3"/>
        <v>2434.2312890322582</v>
      </c>
      <c r="M31" s="13">
        <f t="shared" si="3"/>
        <v>1487.89</v>
      </c>
      <c r="N31" s="13">
        <f t="shared" si="3"/>
        <v>1422.41</v>
      </c>
      <c r="O31" s="13">
        <f t="shared" si="3"/>
        <v>1844.8</v>
      </c>
      <c r="P31" s="13">
        <f t="shared" si="2"/>
        <v>28420.841289032254</v>
      </c>
      <c r="R31" s="26">
        <v>18</v>
      </c>
      <c r="S31" s="26" t="s">
        <v>18</v>
      </c>
      <c r="V31" s="26" t="s">
        <v>18</v>
      </c>
      <c r="X31" s="73"/>
      <c r="AA31" s="13">
        <f t="shared" si="0"/>
        <v>28420.841289032254</v>
      </c>
    </row>
    <row r="32" spans="1:27" x14ac:dyDescent="0.25">
      <c r="A32" s="24"/>
      <c r="R32" s="26">
        <v>19</v>
      </c>
      <c r="X32" s="73"/>
      <c r="AA32" s="13">
        <f t="shared" si="0"/>
        <v>0</v>
      </c>
    </row>
    <row r="33" spans="1:27" x14ac:dyDescent="0.25">
      <c r="A33" s="24" t="s">
        <v>17</v>
      </c>
      <c r="B33" s="13">
        <f>ROUND(' B&amp;A+DSM - % Riders'!B20*B$20,2)</f>
        <v>0</v>
      </c>
      <c r="C33" s="13">
        <f>ROUND(' B&amp;A+DSM - % Riders'!C20*C$20,2)</f>
        <v>0</v>
      </c>
      <c r="D33" s="13">
        <f>ROUND(D$10*'B&amp;A kWh'!E20,2)</f>
        <v>47159.55</v>
      </c>
      <c r="E33" s="13">
        <f>ROUND(E$10*'B&amp;A kWh'!F20,2)</f>
        <v>48795.21</v>
      </c>
      <c r="F33" s="13">
        <f>ROUND(F$10*'B&amp;A kWh'!G20,2)</f>
        <v>56332</v>
      </c>
      <c r="G33" s="13">
        <f>ROUND(G$10*'B&amp;A kWh'!H20,2)</f>
        <v>59353.39</v>
      </c>
      <c r="H33" s="13">
        <f>ROUND(H$10*'B&amp;A kWh'!I20,2)</f>
        <v>59192.74</v>
      </c>
      <c r="I33" s="13">
        <f>ROUND(I$10*'B&amp;A kWh'!J20,2)</f>
        <v>49782.1</v>
      </c>
      <c r="J33" s="13">
        <f>ROUND(J$10*'B&amp;A kWh'!K20,2)</f>
        <v>60326.49</v>
      </c>
      <c r="K33" s="13">
        <f>ROUND(K$10*'B&amp;A kWh'!L20,2)</f>
        <v>66156.179999999993</v>
      </c>
      <c r="L33" s="13">
        <f>(L$10*'B&amp;A kWh'!M20*$L$1)+(M$10*'B&amp;A kWh'!M20*$L$2)</f>
        <v>53276.616900645167</v>
      </c>
      <c r="M33" s="13">
        <f>ROUND(M$10*'B&amp;A kWh'!N20,2)</f>
        <v>40962.019999999997</v>
      </c>
      <c r="N33" s="13">
        <f>ROUND(N$10*'B&amp;A kWh'!O20,2)</f>
        <v>33505.870000000003</v>
      </c>
      <c r="O33" s="13">
        <f>ROUND(O$10*'B&amp;A kWh'!P20,2)</f>
        <v>34351</v>
      </c>
      <c r="P33" s="13">
        <f t="shared" ref="P33" si="4">SUM(D33:O33)</f>
        <v>609193.16690064513</v>
      </c>
      <c r="R33" s="26">
        <v>20</v>
      </c>
      <c r="S33" s="26" t="s">
        <v>17</v>
      </c>
      <c r="V33" s="26" t="s">
        <v>17</v>
      </c>
      <c r="X33" s="73"/>
      <c r="AA33" s="13">
        <f t="shared" si="0"/>
        <v>609193.16690064513</v>
      </c>
    </row>
    <row r="34" spans="1:27" x14ac:dyDescent="0.25">
      <c r="A34" s="24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R34" s="26">
        <v>21</v>
      </c>
      <c r="X34" s="73"/>
      <c r="AA34" s="13">
        <f t="shared" si="0"/>
        <v>0</v>
      </c>
    </row>
    <row r="35" spans="1:27" x14ac:dyDescent="0.25">
      <c r="A35" s="24" t="s">
        <v>16</v>
      </c>
      <c r="B35" s="13">
        <f>ROUND(' B&amp;A+DSM - % Riders'!B22*B$20,2)</f>
        <v>0</v>
      </c>
      <c r="C35" s="13">
        <f>ROUND(' B&amp;A+DSM - % Riders'!C22*C$20,2)</f>
        <v>0</v>
      </c>
      <c r="D35" s="13">
        <f>ROUND(D$10*'B&amp;A kWh'!E22,2)</f>
        <v>361.86</v>
      </c>
      <c r="E35" s="13">
        <f>ROUND(E$10*'B&amp;A kWh'!F22,2)</f>
        <v>364.82</v>
      </c>
      <c r="F35" s="13">
        <f>ROUND(F$10*'B&amp;A kWh'!G22,2)</f>
        <v>373.42</v>
      </c>
      <c r="G35" s="13">
        <f>ROUND(G$10*'B&amp;A kWh'!H22,2)</f>
        <v>335.97</v>
      </c>
      <c r="H35" s="13">
        <f>ROUND(H$10*'B&amp;A kWh'!I22,2)</f>
        <v>326.64</v>
      </c>
      <c r="I35" s="13">
        <f>ROUND(I$10*'B&amp;A kWh'!J22,2)</f>
        <v>340.09</v>
      </c>
      <c r="J35" s="13">
        <f>ROUND(J$10*'B&amp;A kWh'!K22,2)</f>
        <v>470.18</v>
      </c>
      <c r="K35" s="13">
        <f>ROUND(K$10*'B&amp;A kWh'!L22,2)</f>
        <v>478.81</v>
      </c>
      <c r="L35" s="13">
        <f>(L$10*'B&amp;A kWh'!M22*$L$1)+(M$10*'B&amp;A kWh'!M22*$L$2)</f>
        <v>268.06382193548387</v>
      </c>
      <c r="M35" s="13">
        <f>ROUND(M$10*'B&amp;A kWh'!N22,2)</f>
        <v>198.58</v>
      </c>
      <c r="N35" s="13">
        <f>ROUND(N$10*'B&amp;A kWh'!O22,2)</f>
        <v>190.28</v>
      </c>
      <c r="O35" s="13">
        <f>ROUND(O$10*'B&amp;A kWh'!P22,2)</f>
        <v>220.78</v>
      </c>
      <c r="P35" s="13">
        <f t="shared" ref="P35" si="5">SUM(D35:O35)</f>
        <v>3929.493821935484</v>
      </c>
      <c r="R35" s="26">
        <v>22</v>
      </c>
      <c r="S35" s="26" t="s">
        <v>16</v>
      </c>
      <c r="V35" s="26" t="s">
        <v>16</v>
      </c>
      <c r="X35" s="73"/>
      <c r="AA35" s="13">
        <f t="shared" si="0"/>
        <v>3929.493821935484</v>
      </c>
    </row>
    <row r="36" spans="1:27" x14ac:dyDescent="0.25">
      <c r="A36" s="2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R36" s="26">
        <v>23</v>
      </c>
      <c r="X36" s="73"/>
      <c r="AA36" s="13">
        <f t="shared" si="0"/>
        <v>0</v>
      </c>
    </row>
    <row r="37" spans="1:27" x14ac:dyDescent="0.25">
      <c r="A37" s="24" t="s">
        <v>15</v>
      </c>
      <c r="B37" s="13">
        <f>ROUND(' B&amp;A+DSM - % Riders'!B24*B$20,2)</f>
        <v>0</v>
      </c>
      <c r="C37" s="13">
        <f>ROUND(' B&amp;A+DSM - % Riders'!C24*C$20,2)</f>
        <v>0</v>
      </c>
      <c r="D37" s="13">
        <f>ROUND(D$10*'B&amp;A kWh'!E24,2)</f>
        <v>3199.32</v>
      </c>
      <c r="E37" s="13">
        <f>ROUND(E$10*'B&amp;A kWh'!F24,2)</f>
        <v>3697.25</v>
      </c>
      <c r="F37" s="13">
        <f>ROUND(F$10*'B&amp;A kWh'!G24,2)</f>
        <v>3795.77</v>
      </c>
      <c r="G37" s="13">
        <f>ROUND(G$10*'B&amp;A kWh'!H24,2)</f>
        <v>3123.65</v>
      </c>
      <c r="H37" s="13">
        <f>ROUND(H$10*'B&amp;A kWh'!I24,2)</f>
        <v>3339.55</v>
      </c>
      <c r="I37" s="13">
        <f>ROUND(I$10*'B&amp;A kWh'!J24,2)</f>
        <v>2977.57</v>
      </c>
      <c r="J37" s="13">
        <f>ROUND(J$10*'B&amp;A kWh'!K24,2)</f>
        <v>4124.5200000000004</v>
      </c>
      <c r="K37" s="13">
        <f>ROUND(K$10*'B&amp;A kWh'!L24,2)</f>
        <v>4196.28</v>
      </c>
      <c r="L37" s="13">
        <f>(L$10*'B&amp;A kWh'!M24*$L$1)+(M$10*'B&amp;A kWh'!M24*$L$2)</f>
        <v>2322.0679251612901</v>
      </c>
      <c r="M37" s="13">
        <f>ROUND(M$10*'B&amp;A kWh'!N24,2)</f>
        <v>1587.93</v>
      </c>
      <c r="N37" s="13">
        <f>ROUND(N$10*'B&amp;A kWh'!O24,2)</f>
        <v>1540.99</v>
      </c>
      <c r="O37" s="13">
        <f>ROUND(O$10*'B&amp;A kWh'!P24,2)</f>
        <v>1910.74</v>
      </c>
      <c r="P37" s="13">
        <f t="shared" ref="P37" si="6">SUM(D37:O37)</f>
        <v>35815.637925161289</v>
      </c>
      <c r="R37" s="26">
        <v>24</v>
      </c>
      <c r="S37" s="26" t="s">
        <v>15</v>
      </c>
      <c r="V37" s="26" t="s">
        <v>15</v>
      </c>
      <c r="X37" s="73"/>
      <c r="AA37" s="13">
        <f t="shared" si="0"/>
        <v>35815.637925161289</v>
      </c>
    </row>
    <row r="38" spans="1:27" x14ac:dyDescent="0.25">
      <c r="A38" s="24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R38" s="26">
        <v>25</v>
      </c>
      <c r="X38" s="73"/>
      <c r="AA38" s="13">
        <f t="shared" si="0"/>
        <v>0</v>
      </c>
    </row>
    <row r="39" spans="1:27" x14ac:dyDescent="0.25">
      <c r="A39" s="24" t="s">
        <v>14</v>
      </c>
      <c r="B39" s="13">
        <f>ROUND(' B&amp;A+DSM - % Riders'!B26*B$20,2)</f>
        <v>0</v>
      </c>
      <c r="C39" s="13">
        <f>ROUND(' B&amp;A+DSM - % Riders'!C26*C$20,2)</f>
        <v>0</v>
      </c>
      <c r="D39" s="13">
        <f>ROUND(D$10*'B&amp;A kWh'!E26,2)</f>
        <v>1180.08</v>
      </c>
      <c r="E39" s="13">
        <f>ROUND(E$10*'B&amp;A kWh'!F26,2)</f>
        <v>1329.82</v>
      </c>
      <c r="F39" s="13">
        <f>ROUND(F$10*'B&amp;A kWh'!G26,2)</f>
        <v>1220.04</v>
      </c>
      <c r="G39" s="13">
        <f>ROUND(G$10*'B&amp;A kWh'!H26,2)</f>
        <v>1146.3699999999999</v>
      </c>
      <c r="H39" s="13">
        <f>ROUND(H$10*'B&amp;A kWh'!I26,2)</f>
        <v>1169.3900000000001</v>
      </c>
      <c r="I39" s="13">
        <f>ROUND(I$10*'B&amp;A kWh'!J26,2)</f>
        <v>1079</v>
      </c>
      <c r="J39" s="13">
        <f>ROUND(J$10*'B&amp;A kWh'!K26,2)</f>
        <v>1659.48</v>
      </c>
      <c r="K39" s="13">
        <f>ROUND(K$10*'B&amp;A kWh'!L26,2)</f>
        <v>1711.77</v>
      </c>
      <c r="L39" s="13">
        <f>(L$10*'B&amp;A kWh'!M26*$L$1)+(M$10*'B&amp;A kWh'!M26*$L$2)</f>
        <v>1145.6380206451613</v>
      </c>
      <c r="M39" s="13">
        <f>ROUND(M$10*'B&amp;A kWh'!N26,2)</f>
        <v>1343.34</v>
      </c>
      <c r="N39" s="13">
        <f>ROUND(N$10*'B&amp;A kWh'!O26,2)</f>
        <v>222.06</v>
      </c>
      <c r="O39" s="13">
        <f>ROUND(O$10*'B&amp;A kWh'!P26,2)</f>
        <v>770.36</v>
      </c>
      <c r="P39" s="13">
        <f t="shared" ref="P39" si="7">SUM(D39:O39)</f>
        <v>13977.348020645162</v>
      </c>
      <c r="R39" s="26">
        <v>26</v>
      </c>
      <c r="S39" s="26" t="s">
        <v>14</v>
      </c>
      <c r="V39" s="26" t="s">
        <v>14</v>
      </c>
      <c r="X39" s="73"/>
      <c r="AA39" s="13">
        <f t="shared" si="0"/>
        <v>13977.348020645162</v>
      </c>
    </row>
    <row r="40" spans="1:27" x14ac:dyDescent="0.25">
      <c r="A40" s="24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R40" s="26">
        <v>27</v>
      </c>
      <c r="X40" s="73"/>
      <c r="AA40" s="13">
        <f t="shared" si="0"/>
        <v>0</v>
      </c>
    </row>
    <row r="41" spans="1:27" x14ac:dyDescent="0.25">
      <c r="A41" s="24" t="s">
        <v>13</v>
      </c>
      <c r="B41" s="13">
        <f>ROUND(' B&amp;A+DSM - % Riders'!B28*B$20,2)</f>
        <v>0</v>
      </c>
      <c r="C41" s="13">
        <f>ROUND(' B&amp;A+DSM - % Riders'!C28*C$20,2)</f>
        <v>0</v>
      </c>
      <c r="D41" s="13">
        <f>ROUND(D$10*'B&amp;A kWh'!E28,2)</f>
        <v>893.27</v>
      </c>
      <c r="E41" s="13">
        <f>ROUND(E$10*'B&amp;A kWh'!F28,2)</f>
        <v>654.11</v>
      </c>
      <c r="F41" s="13">
        <f>ROUND(F$10*'B&amp;A kWh'!G28,2)</f>
        <v>364.76</v>
      </c>
      <c r="G41" s="13">
        <f>ROUND(G$10*'B&amp;A kWh'!H28,2)</f>
        <v>305.85000000000002</v>
      </c>
      <c r="H41" s="13">
        <f>ROUND(H$10*'B&amp;A kWh'!I28,2)</f>
        <v>407.58</v>
      </c>
      <c r="I41" s="13">
        <f>ROUND(I$10*'B&amp;A kWh'!J28,2)</f>
        <v>437.31</v>
      </c>
      <c r="J41" s="13">
        <f>ROUND(J$10*'B&amp;A kWh'!K28,2)</f>
        <v>793.63</v>
      </c>
      <c r="K41" s="13">
        <f>ROUND(K$10*'B&amp;A kWh'!L28,2)</f>
        <v>761.46</v>
      </c>
      <c r="L41" s="13">
        <f>(L$10*'B&amp;A kWh'!M28*$L$1)+(M$10*'B&amp;A kWh'!M28*$L$2)</f>
        <v>421.75883870967743</v>
      </c>
      <c r="M41" s="13">
        <f>ROUND(M$10*'B&amp;A kWh'!N28,2)</f>
        <v>314.88</v>
      </c>
      <c r="N41" s="13">
        <f>ROUND(N$10*'B&amp;A kWh'!O28,2)</f>
        <v>327.61</v>
      </c>
      <c r="O41" s="13">
        <f>ROUND(O$10*'B&amp;A kWh'!P28,2)</f>
        <v>476.55</v>
      </c>
      <c r="P41" s="13">
        <f t="shared" ref="P41" si="8">SUM(D41:O41)</f>
        <v>6158.7688387096778</v>
      </c>
      <c r="R41" s="26">
        <v>28</v>
      </c>
      <c r="S41" s="26" t="s">
        <v>13</v>
      </c>
      <c r="V41" s="26" t="s">
        <v>13</v>
      </c>
      <c r="X41" s="73"/>
      <c r="AA41" s="13">
        <f t="shared" si="0"/>
        <v>6158.7688387096778</v>
      </c>
    </row>
    <row r="42" spans="1:27" x14ac:dyDescent="0.25">
      <c r="A42" s="24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R42" s="26">
        <v>29</v>
      </c>
      <c r="X42" s="73"/>
      <c r="AA42" s="13">
        <f t="shared" si="0"/>
        <v>0</v>
      </c>
    </row>
    <row r="43" spans="1:27" x14ac:dyDescent="0.25">
      <c r="A43" s="24" t="s">
        <v>12</v>
      </c>
      <c r="B43" s="13">
        <f>ROUND(' B&amp;A+DSM - % Riders'!B30*B$20,2)</f>
        <v>0</v>
      </c>
      <c r="C43" s="13">
        <f>ROUND(' B&amp;A+DSM - % Riders'!C30*C$20,2)</f>
        <v>0</v>
      </c>
      <c r="D43" s="13">
        <f>ROUND(D$10*'B&amp;A kWh'!E30,2)</f>
        <v>147754.99</v>
      </c>
      <c r="E43" s="13">
        <f>ROUND(E$10*'B&amp;A kWh'!F30,2)</f>
        <v>166605.10999999999</v>
      </c>
      <c r="F43" s="13">
        <f>ROUND(F$10*'B&amp;A kWh'!G30,2)</f>
        <v>197715.65</v>
      </c>
      <c r="G43" s="13">
        <f>ROUND(G$10*'B&amp;A kWh'!H30,2)</f>
        <v>196460.48</v>
      </c>
      <c r="H43" s="13">
        <f>ROUND(H$10*'B&amp;A kWh'!I30,2)</f>
        <v>202226.34</v>
      </c>
      <c r="I43" s="13">
        <f>ROUND(I$10*'B&amp;A kWh'!J30,2)</f>
        <v>168776.43</v>
      </c>
      <c r="J43" s="13">
        <f>ROUND(J$10*'B&amp;A kWh'!K30,2)</f>
        <v>202757.19</v>
      </c>
      <c r="K43" s="13">
        <f>ROUND(K$10*'B&amp;A kWh'!L30,2)</f>
        <v>202236.31</v>
      </c>
      <c r="L43" s="13">
        <f>(L$10*'B&amp;A kWh'!M30*$L$1)+(M$10*'B&amp;A kWh'!M30*$L$2)</f>
        <v>148675.90665290324</v>
      </c>
      <c r="M43" s="13">
        <f>ROUND(M$10*'B&amp;A kWh'!N30,2)</f>
        <v>108556.48</v>
      </c>
      <c r="N43" s="13">
        <f>ROUND(N$10*'B&amp;A kWh'!O30,2)</f>
        <v>97193.38</v>
      </c>
      <c r="O43" s="13">
        <f>ROUND(O$10*'B&amp;A kWh'!P30,2)</f>
        <v>102286.91</v>
      </c>
      <c r="P43" s="13">
        <f t="shared" ref="P43" si="9">SUM(D43:O43)</f>
        <v>1941245.176652903</v>
      </c>
      <c r="R43" s="26">
        <v>30</v>
      </c>
      <c r="S43" s="26" t="s">
        <v>12</v>
      </c>
      <c r="V43" s="26" t="s">
        <v>12</v>
      </c>
      <c r="X43" s="73"/>
      <c r="AA43" s="13">
        <f t="shared" si="0"/>
        <v>1941245.176652903</v>
      </c>
    </row>
    <row r="44" spans="1:27" x14ac:dyDescent="0.25">
      <c r="A44" s="24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R44" s="26">
        <v>31</v>
      </c>
      <c r="X44" s="73"/>
      <c r="AA44" s="13">
        <f t="shared" si="0"/>
        <v>0</v>
      </c>
    </row>
    <row r="45" spans="1:27" x14ac:dyDescent="0.25">
      <c r="A45" s="24" t="s">
        <v>11</v>
      </c>
      <c r="B45" s="13">
        <f>ROUND(' B&amp;A+DSM - % Riders'!B32*B$20,2)</f>
        <v>0</v>
      </c>
      <c r="C45" s="13">
        <f>ROUND(' B&amp;A+DSM - % Riders'!C32*C$20,2)</f>
        <v>0</v>
      </c>
      <c r="D45" s="13">
        <f>ROUND(D$10*'B&amp;A kWh'!E32,2)</f>
        <v>264.67</v>
      </c>
      <c r="E45" s="13">
        <f>ROUND(E$10*'B&amp;A kWh'!F32,2)</f>
        <v>147.33000000000001</v>
      </c>
      <c r="F45" s="13">
        <f>ROUND(F$10*'B&amp;A kWh'!G32,2)</f>
        <v>248.54</v>
      </c>
      <c r="G45" s="13">
        <f>ROUND(G$10*'B&amp;A kWh'!H32,2)</f>
        <v>316.86</v>
      </c>
      <c r="H45" s="13">
        <f>ROUND(H$10*'B&amp;A kWh'!I32,2)</f>
        <v>295.05</v>
      </c>
      <c r="I45" s="13">
        <f>ROUND(I$10*'B&amp;A kWh'!J32,2)</f>
        <v>284.76</v>
      </c>
      <c r="J45" s="13">
        <f>ROUND(J$10*'B&amp;A kWh'!K32,2)</f>
        <v>137.02000000000001</v>
      </c>
      <c r="K45" s="13">
        <f>ROUND(K$10*'B&amp;A kWh'!L32,2)</f>
        <v>392.22</v>
      </c>
      <c r="L45" s="13">
        <f>(L$10*'B&amp;A kWh'!M32*$L$1)+(M$10*'B&amp;A kWh'!M32*$L$2)</f>
        <v>422.56673548387101</v>
      </c>
      <c r="M45" s="13">
        <f>ROUND(M$10*'B&amp;A kWh'!N32,2)</f>
        <v>344.59</v>
      </c>
      <c r="N45" s="13">
        <f>ROUND(N$10*'B&amp;A kWh'!O32,2)</f>
        <v>214.8</v>
      </c>
      <c r="O45" s="13">
        <f>ROUND(O$10*'B&amp;A kWh'!P32,2)</f>
        <v>169.6</v>
      </c>
      <c r="P45" s="13">
        <f t="shared" ref="P45" si="10">SUM(D45:O45)</f>
        <v>3238.0067354838711</v>
      </c>
      <c r="R45" s="26">
        <v>32</v>
      </c>
      <c r="S45" s="26" t="s">
        <v>11</v>
      </c>
      <c r="V45" s="26" t="s">
        <v>11</v>
      </c>
      <c r="X45" s="73"/>
      <c r="AA45" s="13">
        <f t="shared" si="0"/>
        <v>3238.0067354838711</v>
      </c>
    </row>
    <row r="46" spans="1:27" x14ac:dyDescent="0.25">
      <c r="A46" s="24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R46" s="26">
        <v>33</v>
      </c>
      <c r="X46" s="73"/>
      <c r="AA46" s="13">
        <f t="shared" si="0"/>
        <v>0</v>
      </c>
    </row>
    <row r="47" spans="1:27" x14ac:dyDescent="0.25">
      <c r="A47" s="24" t="s">
        <v>10</v>
      </c>
      <c r="B47" s="13">
        <f>ROUND(' B&amp;A+DSM - % Riders'!B34*B$20,2)</f>
        <v>0</v>
      </c>
      <c r="C47" s="13">
        <f>ROUND(' B&amp;A+DSM - % Riders'!C34*C$20,2)</f>
        <v>0</v>
      </c>
      <c r="D47" s="13">
        <f>ROUND(D$10*'B&amp;A kWh'!E34,2)</f>
        <v>2832.4</v>
      </c>
      <c r="E47" s="13">
        <f>ROUND(E$10*'B&amp;A kWh'!F34,2)</f>
        <v>3219.72</v>
      </c>
      <c r="F47" s="13">
        <f>ROUND(F$10*'B&amp;A kWh'!G34,2)</f>
        <v>3528.94</v>
      </c>
      <c r="G47" s="13">
        <f>ROUND(G$10*'B&amp;A kWh'!H34,2)</f>
        <v>3491.98</v>
      </c>
      <c r="H47" s="13">
        <f>ROUND(H$10*'B&amp;A kWh'!I34,2)</f>
        <v>3360.38</v>
      </c>
      <c r="I47" s="13">
        <f>ROUND(I$10*'B&amp;A kWh'!J34,2)</f>
        <v>3178.04</v>
      </c>
      <c r="J47" s="13">
        <f>ROUND(J$10*'B&amp;A kWh'!K34,2)</f>
        <v>4003.59</v>
      </c>
      <c r="K47" s="13">
        <f>ROUND(K$10*'B&amp;A kWh'!L34,2)</f>
        <v>4296.8900000000003</v>
      </c>
      <c r="L47" s="13">
        <f>(L$10*'B&amp;A kWh'!M34*$L$1)+(M$10*'B&amp;A kWh'!M34*$L$2)</f>
        <v>2941.3832309677418</v>
      </c>
      <c r="M47" s="13">
        <f>ROUND(M$10*'B&amp;A kWh'!N34,2)</f>
        <v>2282.48</v>
      </c>
      <c r="N47" s="13">
        <f>ROUND(N$10*'B&amp;A kWh'!O34,2)</f>
        <v>1703.53</v>
      </c>
      <c r="O47" s="13">
        <f>ROUND(O$10*'B&amp;A kWh'!P34,2)</f>
        <v>2000.58</v>
      </c>
      <c r="P47" s="13">
        <f t="shared" ref="P47" si="11">SUM(D47:O47)</f>
        <v>36839.913230967744</v>
      </c>
      <c r="R47" s="26">
        <v>34</v>
      </c>
      <c r="S47" s="26" t="s">
        <v>10</v>
      </c>
      <c r="V47" s="26" t="s">
        <v>10</v>
      </c>
      <c r="X47" s="73"/>
      <c r="AA47" s="13">
        <f t="shared" si="0"/>
        <v>36839.913230967744</v>
      </c>
    </row>
    <row r="48" spans="1:27" x14ac:dyDescent="0.25">
      <c r="A48" s="2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R48" s="26">
        <v>35</v>
      </c>
      <c r="X48" s="73"/>
      <c r="AA48" s="13">
        <f t="shared" si="0"/>
        <v>0</v>
      </c>
    </row>
    <row r="49" spans="1:27" x14ac:dyDescent="0.25">
      <c r="A49" s="24" t="s">
        <v>9</v>
      </c>
      <c r="B49" s="13">
        <f>ROUND(' B&amp;A+DSM - % Riders'!B36*B$20,2)</f>
        <v>0</v>
      </c>
      <c r="C49" s="13">
        <f>ROUND(' B&amp;A+DSM - % Riders'!C36*C$20,2)</f>
        <v>0</v>
      </c>
      <c r="D49" s="13">
        <f>ROUND(D$10*'B&amp;A kWh'!E36,2)</f>
        <v>3470.34</v>
      </c>
      <c r="E49" s="13">
        <f>ROUND(E$10*'B&amp;A kWh'!F36,2)</f>
        <v>3650.39</v>
      </c>
      <c r="F49" s="13">
        <f>ROUND(F$10*'B&amp;A kWh'!G36,2)</f>
        <v>3189.08</v>
      </c>
      <c r="G49" s="13">
        <f>ROUND(G$10*'B&amp;A kWh'!H36,2)</f>
        <v>2324.7600000000002</v>
      </c>
      <c r="H49" s="13">
        <f>ROUND(H$10*'B&amp;A kWh'!I36,2)</f>
        <v>2615.39</v>
      </c>
      <c r="I49" s="13">
        <f>ROUND(I$10*'B&amp;A kWh'!J36,2)</f>
        <v>2330.19</v>
      </c>
      <c r="J49" s="13">
        <f>ROUND(J$10*'B&amp;A kWh'!K36,2)</f>
        <v>4426.04</v>
      </c>
      <c r="K49" s="13">
        <f>ROUND(K$10*'B&amp;A kWh'!L36,2)</f>
        <v>5180</v>
      </c>
      <c r="L49" s="13">
        <f>(L$10*'B&amp;A kWh'!M36*$L$1)+(M$10*'B&amp;A kWh'!M36*$L$2)</f>
        <v>3153.3937058064516</v>
      </c>
      <c r="M49" s="13">
        <f>ROUND(M$10*'B&amp;A kWh'!N36,2)</f>
        <v>1924.86</v>
      </c>
      <c r="N49" s="13">
        <f>ROUND(N$10*'B&amp;A kWh'!O36,2)</f>
        <v>2319.16</v>
      </c>
      <c r="O49" s="13">
        <f>ROUND(O$10*'B&amp;A kWh'!P36,2)</f>
        <v>1627.21</v>
      </c>
      <c r="P49" s="13">
        <f t="shared" ref="P49" si="12">SUM(D49:O49)</f>
        <v>36210.813705806453</v>
      </c>
      <c r="R49" s="26">
        <v>36</v>
      </c>
      <c r="S49" s="26" t="s">
        <v>9</v>
      </c>
      <c r="V49" s="26" t="s">
        <v>9</v>
      </c>
      <c r="X49" s="73"/>
      <c r="AA49" s="13">
        <f t="shared" si="0"/>
        <v>36210.813705806453</v>
      </c>
    </row>
    <row r="50" spans="1:27" x14ac:dyDescent="0.25">
      <c r="A50" s="24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R50" s="26">
        <v>37</v>
      </c>
      <c r="X50" s="73"/>
      <c r="AA50" s="13">
        <f t="shared" si="0"/>
        <v>0</v>
      </c>
    </row>
    <row r="51" spans="1:27" x14ac:dyDescent="0.25">
      <c r="A51" s="24" t="s">
        <v>8</v>
      </c>
      <c r="B51" s="13">
        <f>ROUND(' B&amp;A+DSM - % Riders'!B38*B$20,2)</f>
        <v>0</v>
      </c>
      <c r="C51" s="13">
        <f>ROUND(' B&amp;A+DSM - % Riders'!C38*C$20,2)</f>
        <v>0</v>
      </c>
      <c r="D51" s="13">
        <f>ROUND(D$10*'B&amp;A kWh'!E38,2)</f>
        <v>282.38</v>
      </c>
      <c r="E51" s="13">
        <f>ROUND(E$10*'B&amp;A kWh'!F38,2)</f>
        <v>189.31</v>
      </c>
      <c r="F51" s="13">
        <f>ROUND(F$10*'B&amp;A kWh'!G38,2)</f>
        <v>276.27</v>
      </c>
      <c r="G51" s="13">
        <f>ROUND(G$10*'B&amp;A kWh'!H38,2)</f>
        <v>63.21</v>
      </c>
      <c r="H51" s="13">
        <f>ROUND(H$10*'B&amp;A kWh'!I38,2)</f>
        <v>148.33000000000001</v>
      </c>
      <c r="I51" s="13">
        <f>ROUND(I$10*'B&amp;A kWh'!J38,2)</f>
        <v>213.07</v>
      </c>
      <c r="J51" s="13">
        <f>ROUND(J$10*'B&amp;A kWh'!K38,2)</f>
        <v>83.25</v>
      </c>
      <c r="K51" s="13">
        <f>ROUND(K$10*'B&amp;A kWh'!L38,2)</f>
        <v>191.8</v>
      </c>
      <c r="L51" s="13">
        <f>(L$10*'B&amp;A kWh'!M38*$L$1)+(M$10*'B&amp;A kWh'!M38*$L$2)</f>
        <v>188.37582193548388</v>
      </c>
      <c r="M51" s="13">
        <f>ROUND(M$10*'B&amp;A kWh'!N38,2)</f>
        <v>90.25</v>
      </c>
      <c r="N51" s="13">
        <f>ROUND(N$10*'B&amp;A kWh'!O38,2)</f>
        <v>36.909999999999997</v>
      </c>
      <c r="O51" s="13">
        <f>ROUND(O$10*'B&amp;A kWh'!P38,2)</f>
        <v>80.08</v>
      </c>
      <c r="P51" s="13">
        <f t="shared" ref="P51:P55" si="13">SUM(D51:O51)</f>
        <v>1843.235821935484</v>
      </c>
      <c r="R51" s="26">
        <v>38</v>
      </c>
      <c r="S51" s="26" t="s">
        <v>8</v>
      </c>
      <c r="V51" s="26" t="s">
        <v>8</v>
      </c>
      <c r="X51" s="73"/>
      <c r="AA51" s="13">
        <f t="shared" si="0"/>
        <v>1843.235821935484</v>
      </c>
    </row>
    <row r="52" spans="1:27" x14ac:dyDescent="0.25">
      <c r="A52" s="24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R52" s="26">
        <v>39</v>
      </c>
      <c r="X52" s="73"/>
      <c r="AA52" s="13">
        <f t="shared" si="0"/>
        <v>0</v>
      </c>
    </row>
    <row r="53" spans="1:27" x14ac:dyDescent="0.25">
      <c r="A53" s="24" t="s">
        <v>7</v>
      </c>
      <c r="B53" s="13">
        <f>ROUND(' B&amp;A+DSM - % Riders'!B40*B$20,2)</f>
        <v>0</v>
      </c>
      <c r="C53" s="13">
        <f>ROUND(' B&amp;A+DSM - % Riders'!C40*C$20,2)</f>
        <v>0</v>
      </c>
      <c r="D53" s="13">
        <f>ROUND(D$11*'B&amp;A kWh'!E40,2)</f>
        <v>2636.02</v>
      </c>
      <c r="E53" s="13">
        <f>ROUND(E$11*'B&amp;A kWh'!F40,2)</f>
        <v>3063.7</v>
      </c>
      <c r="F53" s="13">
        <f>ROUND(F$11*'B&amp;A kWh'!G40,2)</f>
        <v>3224.07</v>
      </c>
      <c r="G53" s="13">
        <f>ROUND(G$11*'B&amp;A kWh'!H40,2)</f>
        <v>3058.03</v>
      </c>
      <c r="H53" s="13">
        <f>ROUND(H$11*'B&amp;A kWh'!I40,2)</f>
        <v>3182.14</v>
      </c>
      <c r="I53" s="13">
        <f>ROUND(I$11*'B&amp;A kWh'!J40,2)</f>
        <v>2779.3</v>
      </c>
      <c r="J53" s="13">
        <f>ROUND(J$11*'B&amp;A kWh'!K40,2)</f>
        <v>7596.05</v>
      </c>
      <c r="K53" s="13">
        <f>ROUND(K$11*'B&amp;A kWh'!L40,2)</f>
        <v>7696.9</v>
      </c>
      <c r="L53" s="13">
        <f>(L$11*'B&amp;A kWh'!M40*$L$1)+(M$11*'B&amp;A kWh'!M40*$L$2)</f>
        <v>4604.6656006451612</v>
      </c>
      <c r="M53" s="13">
        <f>ROUND(M$11*'B&amp;A kWh'!N40,2)</f>
        <v>3164.88</v>
      </c>
      <c r="N53" s="13">
        <f>ROUND(N$11*'B&amp;A kWh'!O40,2)</f>
        <v>3117.86</v>
      </c>
      <c r="O53" s="13">
        <f>ROUND(O$11*'B&amp;A kWh'!P40,2)</f>
        <v>3505.24</v>
      </c>
      <c r="P53" s="13">
        <f t="shared" si="13"/>
        <v>47628.855600645154</v>
      </c>
      <c r="R53" s="26">
        <v>40</v>
      </c>
      <c r="S53" s="26" t="s">
        <v>7</v>
      </c>
      <c r="V53" s="26" t="s">
        <v>7</v>
      </c>
      <c r="X53" s="73">
        <f>'PPA KW'!P53</f>
        <v>1045083.5619354838</v>
      </c>
      <c r="AA53" s="13">
        <f t="shared" si="0"/>
        <v>1092712.417536129</v>
      </c>
    </row>
    <row r="54" spans="1:27" x14ac:dyDescent="0.25">
      <c r="A54" s="2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R54" s="26">
        <v>41</v>
      </c>
      <c r="X54" s="73">
        <f>'PPA KW'!P54</f>
        <v>0</v>
      </c>
      <c r="AA54" s="13">
        <f t="shared" si="0"/>
        <v>0</v>
      </c>
    </row>
    <row r="55" spans="1:27" x14ac:dyDescent="0.25">
      <c r="A55" s="24" t="s">
        <v>6</v>
      </c>
      <c r="B55" s="13">
        <f>ROUND(' B&amp;A+DSM - % Riders'!B42*B$20,2)</f>
        <v>0</v>
      </c>
      <c r="C55" s="13">
        <f>ROUND(' B&amp;A+DSM - % Riders'!C42*C$20,2)</f>
        <v>0</v>
      </c>
      <c r="D55" s="13">
        <f>ROUND(D$13*'B&amp;A kWh'!E42,2)</f>
        <v>314.57</v>
      </c>
      <c r="E55" s="13">
        <f>ROUND(E$13*'B&amp;A kWh'!F42,2)</f>
        <v>640.4</v>
      </c>
      <c r="F55" s="13">
        <f>ROUND(F$13*'B&amp;A kWh'!G42,2)</f>
        <v>359.86</v>
      </c>
      <c r="G55" s="13">
        <f>ROUND(G$13*'B&amp;A kWh'!H42,2)</f>
        <v>712.05</v>
      </c>
      <c r="H55" s="13">
        <f>ROUND(H$13*'B&amp;A kWh'!I42,2)</f>
        <v>665.04</v>
      </c>
      <c r="I55" s="13">
        <f>ROUND(I$13*'B&amp;A kWh'!J42,2)</f>
        <v>732.35</v>
      </c>
      <c r="J55" s="13">
        <f>ROUND(J$13*'B&amp;A kWh'!K42,2)</f>
        <v>1357.2</v>
      </c>
      <c r="K55" s="13">
        <f>ROUND(K$13*'B&amp;A kWh'!L42,2)</f>
        <v>1438.02</v>
      </c>
      <c r="L55" s="13">
        <f>(L$13*'B&amp;A kWh'!M42*$L$1)+(M$13*'B&amp;A kWh'!M42*$L$2)</f>
        <v>787.45290580645155</v>
      </c>
      <c r="M55" s="13">
        <f>ROUND(M$13*'B&amp;A kWh'!N42,2)</f>
        <v>338.88</v>
      </c>
      <c r="N55" s="13">
        <f>ROUND(N$13*'B&amp;A kWh'!O42,2)</f>
        <v>63.99</v>
      </c>
      <c r="O55" s="13">
        <f>ROUND(O$13*'B&amp;A kWh'!P42,2)</f>
        <v>198.08</v>
      </c>
      <c r="P55" s="13">
        <f t="shared" si="13"/>
        <v>7607.8929058064514</v>
      </c>
      <c r="R55" s="26">
        <v>42</v>
      </c>
      <c r="S55" s="26" t="s">
        <v>6</v>
      </c>
      <c r="V55" s="26" t="s">
        <v>6</v>
      </c>
      <c r="X55" s="73">
        <f>'PPA KW'!P55</f>
        <v>0</v>
      </c>
      <c r="AA55" s="13">
        <f t="shared" si="0"/>
        <v>7607.8929058064514</v>
      </c>
    </row>
    <row r="56" spans="1:27" x14ac:dyDescent="0.25">
      <c r="A56" s="24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R56" s="26">
        <v>43</v>
      </c>
      <c r="X56" s="73">
        <f>'PPA KW'!P56</f>
        <v>0</v>
      </c>
      <c r="AA56" s="13">
        <f t="shared" si="0"/>
        <v>0</v>
      </c>
    </row>
    <row r="57" spans="1:27" x14ac:dyDescent="0.25">
      <c r="A57" s="24" t="s">
        <v>118</v>
      </c>
      <c r="B57" s="13">
        <f>ROUND(' B&amp;A+DSM - % Riders'!B44*B$20,2)</f>
        <v>0</v>
      </c>
      <c r="C57" s="13">
        <f>ROUND(' B&amp;A+DSM - % Riders'!C44*C$20,2)</f>
        <v>0</v>
      </c>
      <c r="D57" s="13">
        <f>ROUND(D$11*'B&amp;A kWh'!E44,2)</f>
        <v>27.3</v>
      </c>
      <c r="E57" s="13">
        <f>ROUND(E$11*'B&amp;A kWh'!F44,2)</f>
        <v>74.510000000000005</v>
      </c>
      <c r="F57" s="13">
        <f>ROUND(F$11*'B&amp;A kWh'!G44,2)</f>
        <v>51.21</v>
      </c>
      <c r="G57" s="13">
        <f>ROUND(G$11*'B&amp;A kWh'!H44,2)</f>
        <v>45.66</v>
      </c>
      <c r="H57" s="13">
        <f>ROUND(H$11*'B&amp;A kWh'!I44,2)</f>
        <v>49.03</v>
      </c>
      <c r="I57" s="13">
        <f>ROUND(I$11*'B&amp;A kWh'!J44,2)</f>
        <v>48.64</v>
      </c>
      <c r="J57" s="13">
        <f>ROUND(J$11*'B&amp;A kWh'!K44,2)</f>
        <v>133.68</v>
      </c>
      <c r="K57" s="13">
        <f>ROUND(K$11*'B&amp;A kWh'!L44,2)</f>
        <v>137.63999999999999</v>
      </c>
      <c r="L57" s="13">
        <f>(L$11*'B&amp;A kWh'!M44*$L$1)+(M$11*'B&amp;A kWh'!M44*$L$2)</f>
        <v>77.574310322580629</v>
      </c>
      <c r="M57" s="13">
        <f>ROUND(M$11*'B&amp;A kWh'!N44,2)</f>
        <v>52.74</v>
      </c>
      <c r="N57" s="13">
        <f>ROUND(N$11*'B&amp;A kWh'!O44,2)</f>
        <v>52.62</v>
      </c>
      <c r="O57" s="13">
        <f>ROUND(O$11*'B&amp;A kWh'!P44,2)</f>
        <v>67.22</v>
      </c>
      <c r="P57" s="13">
        <f t="shared" ref="P57" si="14">SUM(D57:O57)</f>
        <v>817.8243103225808</v>
      </c>
      <c r="R57" s="26">
        <v>44</v>
      </c>
      <c r="S57" s="26" t="s">
        <v>118</v>
      </c>
      <c r="V57" s="26" t="s">
        <v>118</v>
      </c>
      <c r="X57" s="73">
        <f>'PPA KW'!P57</f>
        <v>11624.468387096773</v>
      </c>
      <c r="AA57" s="13">
        <f t="shared" si="0"/>
        <v>12442.292697419354</v>
      </c>
    </row>
    <row r="58" spans="1:27" x14ac:dyDescent="0.25">
      <c r="A58" s="24"/>
      <c r="D58" s="13">
        <f>ROUND(D$11*'B&amp;A kWh'!E45,2)</f>
        <v>0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R58" s="26">
        <v>45</v>
      </c>
      <c r="X58" s="73">
        <f>'PPA KW'!P58</f>
        <v>0</v>
      </c>
      <c r="AA58" s="13">
        <f t="shared" si="0"/>
        <v>0</v>
      </c>
    </row>
    <row r="59" spans="1:27" x14ac:dyDescent="0.25">
      <c r="A59" s="24" t="s">
        <v>241</v>
      </c>
      <c r="B59" s="13">
        <f>ROUND(' B&amp;A+DSM - % Riders'!B46*B$20,2)</f>
        <v>0</v>
      </c>
      <c r="C59" s="13">
        <f>ROUND(' B&amp;A+DSM - % Riders'!C46*C$20,2)</f>
        <v>0</v>
      </c>
      <c r="D59" s="13">
        <f>ROUND(D$11*'B&amp;A kWh'!E46,2)</f>
        <v>32.119999999999997</v>
      </c>
      <c r="E59" s="13">
        <f>ROUND(E$11*'B&amp;A kWh'!F46,2)</f>
        <v>29.03</v>
      </c>
      <c r="F59" s="13">
        <f>ROUND(F$11*'B&amp;A kWh'!G46,2)</f>
        <v>29.6</v>
      </c>
      <c r="G59" s="13">
        <f>ROUND(G$11*'B&amp;A kWh'!H46,2)</f>
        <v>23.59</v>
      </c>
      <c r="H59" s="13">
        <f>ROUND(H$11*'B&amp;A kWh'!I46,2)</f>
        <v>39.53</v>
      </c>
      <c r="I59" s="13">
        <f>ROUND(I$11*'B&amp;A kWh'!J46,2)</f>
        <v>37.630000000000003</v>
      </c>
      <c r="J59" s="13">
        <f>ROUND(J$11*'B&amp;A kWh'!K46,2)</f>
        <v>97.82</v>
      </c>
      <c r="K59" s="13">
        <f>ROUND(K$11*'B&amp;A kWh'!L46,2)</f>
        <v>11.55</v>
      </c>
      <c r="L59" s="13">
        <f>(L$11*'B&amp;A kWh'!M46*$L$1)+(M$11*'B&amp;A kWh'!M46*$L$2)</f>
        <v>14.188505806451612</v>
      </c>
      <c r="M59" s="13">
        <f>ROUND(M$11*'B&amp;A kWh'!N46,2)</f>
        <v>9.98</v>
      </c>
      <c r="N59" s="13">
        <f>ROUND(N$11*'B&amp;A kWh'!O46,2)</f>
        <v>9.81</v>
      </c>
      <c r="O59" s="13">
        <f>ROUND(O$11*'B&amp;A kWh'!P46,2)</f>
        <v>18.100000000000001</v>
      </c>
      <c r="P59" s="13">
        <f t="shared" ref="P59" si="15">SUM(D59:O59)</f>
        <v>352.94850580645164</v>
      </c>
      <c r="R59" s="26">
        <v>46</v>
      </c>
      <c r="S59" s="26" t="s">
        <v>241</v>
      </c>
      <c r="V59" s="26" t="s">
        <v>311</v>
      </c>
      <c r="X59" s="73">
        <f>'PPA KW'!P59</f>
        <v>8914.7916129032255</v>
      </c>
      <c r="AA59" s="13">
        <f t="shared" si="0"/>
        <v>9267.7401187096766</v>
      </c>
    </row>
    <row r="60" spans="1:27" x14ac:dyDescent="0.25">
      <c r="A60" s="24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R60" s="26">
        <v>47</v>
      </c>
      <c r="X60" s="73">
        <f>'PPA KW'!P60</f>
        <v>0</v>
      </c>
      <c r="AA60" s="13">
        <f t="shared" si="0"/>
        <v>0</v>
      </c>
    </row>
    <row r="61" spans="1:27" x14ac:dyDescent="0.25">
      <c r="A61" s="24" t="s">
        <v>5</v>
      </c>
      <c r="B61" s="13">
        <f>ROUND(' B&amp;A+DSM - % Riders'!B48*B$20,2)</f>
        <v>0</v>
      </c>
      <c r="C61" s="13">
        <f>ROUND(' B&amp;A+DSM - % Riders'!C48*C$20,2)</f>
        <v>0</v>
      </c>
      <c r="D61" s="13">
        <f>ROUND(D$11*'B&amp;A kWh'!E48,2)</f>
        <v>713.58</v>
      </c>
      <c r="E61" s="13">
        <f>ROUND(E$11*'B&amp;A kWh'!F48,2)</f>
        <v>883.11</v>
      </c>
      <c r="F61" s="13">
        <f>ROUND(F$11*'B&amp;A kWh'!G48,2)</f>
        <v>755.52</v>
      </c>
      <c r="G61" s="13">
        <f>ROUND(G$11*'B&amp;A kWh'!H48,2)</f>
        <v>729.28</v>
      </c>
      <c r="H61" s="13">
        <f>ROUND(H$11*'B&amp;A kWh'!I48,2)</f>
        <v>797.51</v>
      </c>
      <c r="I61" s="13">
        <f>ROUND(I$11*'B&amp;A kWh'!J48,2)</f>
        <v>740.82</v>
      </c>
      <c r="J61" s="13">
        <f>ROUND(J$11*'B&amp;A kWh'!K48,2)</f>
        <v>2078.9</v>
      </c>
      <c r="K61" s="13">
        <f>ROUND(K$11*'B&amp;A kWh'!L48,2)</f>
        <v>2194.64</v>
      </c>
      <c r="L61" s="13">
        <f>(L$11*'B&amp;A kWh'!M48*$L$1)+(M$11*'B&amp;A kWh'!M48*$L$2)</f>
        <v>1333.6575445161288</v>
      </c>
      <c r="M61" s="13">
        <f>ROUND(M$11*'B&amp;A kWh'!N48,2)</f>
        <v>931.59</v>
      </c>
      <c r="N61" s="13">
        <f>ROUND(N$11*'B&amp;A kWh'!O48,2)</f>
        <v>1004.85</v>
      </c>
      <c r="O61" s="13">
        <f>ROUND(O$11*'B&amp;A kWh'!P48,2)</f>
        <v>1094.4000000000001</v>
      </c>
      <c r="P61" s="13">
        <f t="shared" ref="P61" si="16">SUM(D61:O61)</f>
        <v>13257.857544516128</v>
      </c>
      <c r="R61" s="26">
        <v>48</v>
      </c>
      <c r="S61" s="26" t="s">
        <v>5</v>
      </c>
      <c r="V61" s="26" t="s">
        <v>314</v>
      </c>
      <c r="X61" s="73">
        <f>'PPA KW'!P61</f>
        <v>401768.76</v>
      </c>
      <c r="AA61" s="13">
        <f t="shared" si="0"/>
        <v>415026.61754451616</v>
      </c>
    </row>
    <row r="62" spans="1:27" x14ac:dyDescent="0.25">
      <c r="A62" s="2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R62" s="26">
        <v>49</v>
      </c>
      <c r="X62" s="73">
        <f>'PPA KW'!P62</f>
        <v>0</v>
      </c>
      <c r="AA62" s="13">
        <f t="shared" si="0"/>
        <v>0</v>
      </c>
    </row>
    <row r="63" spans="1:27" x14ac:dyDescent="0.25">
      <c r="A63" s="24" t="s">
        <v>4</v>
      </c>
      <c r="B63" s="13">
        <f>ROUND(' B&amp;A+DSM - % Riders'!B50*B$20,2)</f>
        <v>0</v>
      </c>
      <c r="C63" s="13">
        <f>ROUND(' B&amp;A+DSM - % Riders'!C50*C$20,2)</f>
        <v>0</v>
      </c>
      <c r="D63" s="13">
        <f>ROUND(D$11*'B&amp;A kWh'!E50,2)</f>
        <v>89.65</v>
      </c>
      <c r="E63" s="13">
        <f>ROUND(E$11*'B&amp;A kWh'!F50,2)</f>
        <v>167.02</v>
      </c>
      <c r="F63" s="13">
        <f>ROUND(F$11*'B&amp;A kWh'!G50,2)</f>
        <v>345.24</v>
      </c>
      <c r="G63" s="13">
        <f>ROUND(G$11*'B&amp;A kWh'!H50,2)</f>
        <v>6.86</v>
      </c>
      <c r="H63" s="13">
        <f>ROUND(H$11*'B&amp;A kWh'!I50,2)</f>
        <v>140.85</v>
      </c>
      <c r="I63" s="13">
        <f>ROUND(I$11*'B&amp;A kWh'!J50,2)</f>
        <v>124.55</v>
      </c>
      <c r="J63" s="13">
        <f>ROUND(J$11*'B&amp;A kWh'!K50,2)</f>
        <v>278.76</v>
      </c>
      <c r="K63" s="13">
        <f>ROUND(K$11*'B&amp;A kWh'!L50,2)</f>
        <v>317.97000000000003</v>
      </c>
      <c r="L63" s="13">
        <f>(L$11*'B&amp;A kWh'!M50*$L$1)+(M$11*'B&amp;A kWh'!M50*$L$2)</f>
        <v>158.92399161290319</v>
      </c>
      <c r="M63" s="13">
        <f>ROUND(M$11*'B&amp;A kWh'!N50,2)</f>
        <v>119.06</v>
      </c>
      <c r="N63" s="13">
        <f>ROUND(N$11*'B&amp;A kWh'!O50,2)</f>
        <v>125.02</v>
      </c>
      <c r="O63" s="13">
        <f>ROUND(O$11*'B&amp;A kWh'!P50,2)</f>
        <v>151.55000000000001</v>
      </c>
      <c r="P63" s="13">
        <f t="shared" ref="P63" si="17">SUM(D63:O63)</f>
        <v>2025.4539916129031</v>
      </c>
      <c r="R63" s="26">
        <v>50</v>
      </c>
      <c r="S63" s="26" t="s">
        <v>4</v>
      </c>
      <c r="V63" s="26" t="s">
        <v>4</v>
      </c>
      <c r="X63" s="73">
        <f>'PPA KW'!P63</f>
        <v>37737.264516129027</v>
      </c>
      <c r="AA63" s="13">
        <f t="shared" si="0"/>
        <v>39762.718507741927</v>
      </c>
    </row>
    <row r="64" spans="1:27" x14ac:dyDescent="0.25">
      <c r="A64" s="24"/>
      <c r="D64" s="13">
        <f>ROUND(D$11*'B&amp;A kWh'!E51,2)</f>
        <v>0</v>
      </c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R64" s="26">
        <v>51</v>
      </c>
      <c r="X64" s="73">
        <f>'PPA KW'!P64</f>
        <v>0</v>
      </c>
      <c r="AA64" s="13">
        <f t="shared" si="0"/>
        <v>0</v>
      </c>
    </row>
    <row r="65" spans="1:27" x14ac:dyDescent="0.25">
      <c r="A65" s="24" t="s">
        <v>3</v>
      </c>
      <c r="B65" s="13">
        <f>ROUND(' B&amp;A+DSM - % Riders'!B52*B$20,2)</f>
        <v>0</v>
      </c>
      <c r="C65" s="13">
        <f>ROUND(' B&amp;A+DSM - % Riders'!C52*C$20,2)</f>
        <v>0</v>
      </c>
      <c r="D65" s="13">
        <f>ROUND(D$11*'B&amp;A kWh'!E52,2)</f>
        <v>0</v>
      </c>
      <c r="E65" s="13">
        <f>ROUND(E$11*'B&amp;A kWh'!F52,2)</f>
        <v>0</v>
      </c>
      <c r="F65" s="13">
        <f>ROUND(F$11*'B&amp;A kWh'!G52,2)</f>
        <v>0</v>
      </c>
      <c r="G65" s="13">
        <f>ROUND(G$11*'B&amp;A kWh'!H52,2)</f>
        <v>0</v>
      </c>
      <c r="H65" s="13">
        <f>ROUND(H$11*'B&amp;A kWh'!I52,2)</f>
        <v>0</v>
      </c>
      <c r="I65" s="13">
        <f>ROUND(I$11*'B&amp;A kWh'!J52,2)</f>
        <v>0</v>
      </c>
      <c r="J65" s="13">
        <f>ROUND(J$11*'B&amp;A kWh'!K52,2)</f>
        <v>0</v>
      </c>
      <c r="K65" s="13">
        <f>ROUND(K$11*'B&amp;A kWh'!L52,2)</f>
        <v>0</v>
      </c>
      <c r="L65" s="13">
        <f>(L$11*'B&amp;A kWh'!M52*$L$1)+(M$11*'B&amp;A kWh'!M52*$L$2)</f>
        <v>0</v>
      </c>
      <c r="M65" s="13">
        <f>ROUND(M$11*'B&amp;A kWh'!N52,2)</f>
        <v>0</v>
      </c>
      <c r="N65" s="13">
        <f>ROUND(N$11*'B&amp;A kWh'!O52,2)</f>
        <v>0</v>
      </c>
      <c r="O65" s="13">
        <f>ROUND(O$11*'B&amp;A kWh'!P52,2)</f>
        <v>0</v>
      </c>
      <c r="P65" s="13">
        <f t="shared" ref="P65" si="18">SUM(D65:O65)</f>
        <v>0</v>
      </c>
      <c r="R65" s="26">
        <v>52</v>
      </c>
      <c r="S65" s="26" t="s">
        <v>3</v>
      </c>
      <c r="V65" s="26" t="s">
        <v>3</v>
      </c>
      <c r="X65" s="73">
        <f>'PPA KW'!P65</f>
        <v>0</v>
      </c>
      <c r="AA65" s="13">
        <f t="shared" si="0"/>
        <v>0</v>
      </c>
    </row>
    <row r="66" spans="1:27" x14ac:dyDescent="0.25">
      <c r="A66" s="24"/>
      <c r="D66" s="13">
        <f>ROUND(D$11*'B&amp;A kWh'!E53,2)</f>
        <v>0</v>
      </c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R66" s="26">
        <v>53</v>
      </c>
      <c r="X66" s="73">
        <f>'PPA KW'!P66</f>
        <v>0</v>
      </c>
      <c r="AA66" s="13">
        <f t="shared" si="0"/>
        <v>0</v>
      </c>
    </row>
    <row r="67" spans="1:27" x14ac:dyDescent="0.25">
      <c r="A67" s="24" t="s">
        <v>119</v>
      </c>
      <c r="B67" s="13">
        <f>ROUND(' B&amp;A+DSM - % Riders'!B54*B$20,2)</f>
        <v>0</v>
      </c>
      <c r="C67" s="13">
        <f>ROUND(' B&amp;A+DSM - % Riders'!C54*C$20,2)</f>
        <v>0</v>
      </c>
      <c r="D67" s="13">
        <f>ROUND(D$11*'B&amp;A kWh'!E54,2)</f>
        <v>758.31</v>
      </c>
      <c r="E67" s="13">
        <f>ROUND(E$11*'B&amp;A kWh'!F54,2)</f>
        <v>894</v>
      </c>
      <c r="F67" s="13">
        <f>ROUND(F$11*'B&amp;A kWh'!G54,2)</f>
        <v>909.81</v>
      </c>
      <c r="G67" s="13">
        <f>ROUND(G$11*'B&amp;A kWh'!H54,2)</f>
        <v>701.67</v>
      </c>
      <c r="H67" s="13">
        <f>ROUND(H$11*'B&amp;A kWh'!I54,2)</f>
        <v>856.81</v>
      </c>
      <c r="I67" s="13">
        <f>ROUND(I$11*'B&amp;A kWh'!J54,2)</f>
        <v>919.26</v>
      </c>
      <c r="J67" s="13">
        <f>ROUND(J$11*'B&amp;A kWh'!K54,2)</f>
        <v>2249.9299999999998</v>
      </c>
      <c r="K67" s="13">
        <f>ROUND(K$11*'B&amp;A kWh'!L54,2)</f>
        <v>2015.34</v>
      </c>
      <c r="L67" s="13">
        <f>(L$11*'B&amp;A kWh'!M54*$L$1)+(M$11*'B&amp;A kWh'!M54*$L$2)</f>
        <v>1408.500353548387</v>
      </c>
      <c r="M67" s="13">
        <f>ROUND(M$11*'B&amp;A kWh'!N54,2)</f>
        <v>964.69</v>
      </c>
      <c r="N67" s="13">
        <f>ROUND(N$11*'B&amp;A kWh'!O54,2)</f>
        <v>935.86</v>
      </c>
      <c r="O67" s="13">
        <f>ROUND(O$11*'B&amp;A kWh'!P54,2)</f>
        <v>1034.26</v>
      </c>
      <c r="P67" s="13">
        <f t="shared" ref="P67" si="19">SUM(D67:O67)</f>
        <v>13648.440353548389</v>
      </c>
      <c r="R67" s="26">
        <v>54</v>
      </c>
      <c r="S67" s="26" t="s">
        <v>119</v>
      </c>
      <c r="V67" s="26" t="s">
        <v>119</v>
      </c>
      <c r="X67" s="73">
        <f>'PPA KW'!P67</f>
        <v>423844.8548387097</v>
      </c>
      <c r="AA67" s="13">
        <f t="shared" si="0"/>
        <v>437493.29519225808</v>
      </c>
    </row>
    <row r="68" spans="1:27" x14ac:dyDescent="0.25">
      <c r="A68" s="24"/>
      <c r="D68" s="13">
        <f>ROUND(D$11*'B&amp;A kWh'!E55,2)</f>
        <v>0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R68" s="26">
        <v>55</v>
      </c>
      <c r="X68" s="73">
        <f>'PPA KW'!P68</f>
        <v>0</v>
      </c>
      <c r="AA68" s="13">
        <f t="shared" si="0"/>
        <v>0</v>
      </c>
    </row>
    <row r="69" spans="1:27" x14ac:dyDescent="0.25">
      <c r="A69" s="24" t="s">
        <v>120</v>
      </c>
      <c r="B69" s="13" t="e">
        <f>ROUND(' B&amp;A+DSM - % Riders'!B56*B$20,2)</f>
        <v>#REF!</v>
      </c>
      <c r="C69" s="13" t="e">
        <f>ROUND(' B&amp;A+DSM - % Riders'!C56*C$20,2)</f>
        <v>#REF!</v>
      </c>
      <c r="D69" s="13">
        <f>ROUND(D$11*'B&amp;A kWh'!E56,2)</f>
        <v>12.94</v>
      </c>
      <c r="E69" s="13">
        <f>ROUND(E$11*'B&amp;A kWh'!F56,2)</f>
        <v>13.8</v>
      </c>
      <c r="F69" s="13">
        <f>ROUND(F$11*'B&amp;A kWh'!G56,2)</f>
        <v>16.02</v>
      </c>
      <c r="G69" s="13">
        <f>ROUND(G$11*'B&amp;A kWh'!H56,2)</f>
        <v>13.01</v>
      </c>
      <c r="H69" s="13">
        <f>ROUND(H$11*'B&amp;A kWh'!I56,2)</f>
        <v>14.52</v>
      </c>
      <c r="I69" s="13">
        <f>ROUND(I$11*'B&amp;A kWh'!J56,2)</f>
        <v>15.62</v>
      </c>
      <c r="J69" s="13">
        <f>ROUND(J$11*'B&amp;A kWh'!K56,2)</f>
        <v>40.299999999999997</v>
      </c>
      <c r="K69" s="13">
        <f>ROUND(K$11*'B&amp;A kWh'!L56,2)</f>
        <v>42.66</v>
      </c>
      <c r="L69" s="13">
        <f>(L$11*'B&amp;A kWh'!M56*$L$1)+(M$11*'B&amp;A kWh'!M56*$L$2)</f>
        <v>33.262423225806444</v>
      </c>
      <c r="M69" s="13">
        <f>ROUND(M$11*'B&amp;A kWh'!N56,2)</f>
        <v>27.4</v>
      </c>
      <c r="N69" s="13">
        <f>ROUND(N$11*'B&amp;A kWh'!O56,2)</f>
        <v>25.05</v>
      </c>
      <c r="O69" s="13">
        <f>ROUND(O$11*'B&amp;A kWh'!P56,2)</f>
        <v>18.399999999999999</v>
      </c>
      <c r="P69" s="13">
        <f t="shared" ref="P69" si="20">SUM(D69:O69)</f>
        <v>272.98242322580649</v>
      </c>
      <c r="R69" s="26">
        <v>56</v>
      </c>
      <c r="S69" s="26" t="s">
        <v>120</v>
      </c>
      <c r="V69" s="26" t="s">
        <v>120</v>
      </c>
      <c r="X69" s="73">
        <f>'PPA KW'!P69</f>
        <v>8002.1109677419363</v>
      </c>
      <c r="AA69" s="13">
        <f t="shared" si="0"/>
        <v>8275.0933909677424</v>
      </c>
    </row>
    <row r="70" spans="1:27" x14ac:dyDescent="0.25">
      <c r="A70" s="24"/>
      <c r="D70" s="13"/>
      <c r="E70" s="13"/>
      <c r="F70" s="13"/>
      <c r="G70" s="13"/>
      <c r="H70" s="13"/>
      <c r="I70" s="13"/>
      <c r="J70" s="13"/>
      <c r="K70" s="13"/>
      <c r="L70" s="13">
        <f>(L$11*'B&amp;A kWh'!M57*$L$1)+(M$11*'B&amp;A kWh'!M57*$L$2)</f>
        <v>0</v>
      </c>
      <c r="M70" s="13"/>
      <c r="N70" s="13"/>
      <c r="O70" s="13"/>
      <c r="R70" s="26">
        <v>57</v>
      </c>
      <c r="X70" s="73">
        <f>'PPA KW'!P70</f>
        <v>0</v>
      </c>
      <c r="AA70" s="13">
        <f t="shared" si="0"/>
        <v>0</v>
      </c>
    </row>
    <row r="71" spans="1:27" x14ac:dyDescent="0.25">
      <c r="A71" s="24" t="s">
        <v>242</v>
      </c>
      <c r="B71" s="13" t="e">
        <f>ROUND(' B&amp;A+DSM - % Riders'!B58*B$20,2)</f>
        <v>#REF!</v>
      </c>
      <c r="C71" s="13" t="e">
        <f>ROUND(' B&amp;A+DSM - % Riders'!C58*C$20,2)</f>
        <v>#REF!</v>
      </c>
      <c r="D71" s="13">
        <f>ROUND(D$15*'B&amp;A kWh'!E58,2)</f>
        <v>259.48</v>
      </c>
      <c r="E71" s="13">
        <f>ROUND(E$15*'B&amp;A kWh'!F58,2)</f>
        <v>274.92</v>
      </c>
      <c r="F71" s="13">
        <f>ROUND(F$15*'B&amp;A kWh'!G58,2)</f>
        <v>244.61</v>
      </c>
      <c r="G71" s="13">
        <f>ROUND(G$15*'B&amp;A kWh'!H58,2)</f>
        <v>269.48</v>
      </c>
      <c r="H71" s="13">
        <f>ROUND(H$15*'B&amp;A kWh'!I58,2)</f>
        <v>288.35000000000002</v>
      </c>
      <c r="I71" s="13">
        <f>ROUND(I$15*'B&amp;A kWh'!J58,2)</f>
        <v>254.21</v>
      </c>
      <c r="J71" s="13">
        <f>ROUND(J$15*'B&amp;A kWh'!K58,2)</f>
        <v>702.49</v>
      </c>
      <c r="K71" s="13">
        <f>ROUND(K$15*'B&amp;A kWh'!L58,2)</f>
        <v>828.31</v>
      </c>
      <c r="L71" s="13">
        <f>(L$15*'B&amp;A kWh'!M58*$L$1)+(M$15*'B&amp;A kWh'!M58*$L$2)</f>
        <v>413.5641974193548</v>
      </c>
      <c r="M71" s="13">
        <f>ROUND(M$15*'B&amp;A kWh'!N58,2)</f>
        <v>257.33</v>
      </c>
      <c r="N71" s="13">
        <f>ROUND(N$15*'B&amp;A kWh'!O58,2)</f>
        <v>270.14</v>
      </c>
      <c r="O71" s="13">
        <f>ROUND(O$15*'B&amp;A kWh'!P58,2)</f>
        <v>270.51</v>
      </c>
      <c r="P71" s="13">
        <f t="shared" ref="P71" si="21">SUM(D71:O71)</f>
        <v>4333.3941974193549</v>
      </c>
      <c r="R71" s="26">
        <v>58</v>
      </c>
      <c r="S71" s="26" t="s">
        <v>242</v>
      </c>
      <c r="V71" s="26" t="s">
        <v>242</v>
      </c>
      <c r="X71" s="73">
        <f>'PPA KW'!P71</f>
        <v>155659.45935483873</v>
      </c>
      <c r="AA71" s="13">
        <f t="shared" si="0"/>
        <v>159992.85355225808</v>
      </c>
    </row>
    <row r="72" spans="1:27" x14ac:dyDescent="0.25">
      <c r="A72" s="24"/>
      <c r="D72" s="13"/>
      <c r="E72" s="13"/>
      <c r="F72" s="13"/>
      <c r="G72" s="13"/>
      <c r="H72" s="13"/>
      <c r="I72" s="13"/>
      <c r="J72" s="13"/>
      <c r="K72" s="13"/>
      <c r="L72" s="13">
        <f>(L$15*'B&amp;A kWh'!M59*$L$1)+(M$15*'B&amp;A kWh'!M59*$L$2)</f>
        <v>0</v>
      </c>
      <c r="M72" s="13"/>
      <c r="N72" s="13"/>
      <c r="O72" s="13"/>
      <c r="R72" s="26">
        <v>59</v>
      </c>
      <c r="X72" s="73">
        <f>'PPA KW'!P72</f>
        <v>0</v>
      </c>
      <c r="AA72" s="13">
        <f t="shared" si="0"/>
        <v>0</v>
      </c>
    </row>
    <row r="73" spans="1:27" x14ac:dyDescent="0.25">
      <c r="A73" s="24" t="s">
        <v>122</v>
      </c>
      <c r="B73" s="13">
        <f>ROUND(' B&amp;A+DSM - % Riders'!B60*B$20,2)</f>
        <v>0</v>
      </c>
      <c r="C73" s="13">
        <f>ROUND(' B&amp;A+DSM - % Riders'!C60*C$20,2)</f>
        <v>0</v>
      </c>
      <c r="D73" s="13">
        <f>ROUND(D$15*'B&amp;A kWh'!E60,2)</f>
        <v>1437.12</v>
      </c>
      <c r="E73" s="13">
        <f>ROUND(E$15*'B&amp;A kWh'!F60,2)</f>
        <v>1503.36</v>
      </c>
      <c r="F73" s="13">
        <f>ROUND(F$15*'B&amp;A kWh'!G60,2)</f>
        <v>1247.04</v>
      </c>
      <c r="G73" s="13">
        <f>ROUND(G$15*'B&amp;A kWh'!H60,2)</f>
        <v>1422.72</v>
      </c>
      <c r="H73" s="13">
        <f>ROUND(H$15*'B&amp;A kWh'!I60,2)</f>
        <v>1457.28</v>
      </c>
      <c r="I73" s="13">
        <f>ROUND(I$15*'B&amp;A kWh'!J60,2)</f>
        <v>1247.04</v>
      </c>
      <c r="J73" s="13">
        <f>ROUND(J$15*'B&amp;A kWh'!K60,2)</f>
        <v>3484.8</v>
      </c>
      <c r="K73" s="13">
        <f>ROUND(K$15*'B&amp;A kWh'!L60,2)</f>
        <v>2930.4</v>
      </c>
      <c r="L73" s="13">
        <f>(L$15*'B&amp;A kWh'!M60*$L$1)+(M$15*'B&amp;A kWh'!M60*$L$2)</f>
        <v>2145.0270967741935</v>
      </c>
      <c r="M73" s="13">
        <f>ROUND(M$15*'B&amp;A kWh'!N60,2)</f>
        <v>1663.2</v>
      </c>
      <c r="N73" s="13">
        <f>ROUND(N$15*'B&amp;A kWh'!O60,2)</f>
        <v>1454.88</v>
      </c>
      <c r="O73" s="13">
        <f>ROUND(O$15*'B&amp;A kWh'!P60,2)</f>
        <v>1508.64</v>
      </c>
      <c r="P73" s="13">
        <f t="shared" ref="P73" si="22">SUM(D73:O73)</f>
        <v>21501.507096774196</v>
      </c>
      <c r="R73" s="26">
        <v>60</v>
      </c>
      <c r="S73" s="26" t="s">
        <v>122</v>
      </c>
      <c r="V73" s="26" t="s">
        <v>122</v>
      </c>
      <c r="X73" s="73">
        <f>'PPA KW'!P73</f>
        <v>356472.32516129036</v>
      </c>
      <c r="AA73" s="13">
        <f t="shared" si="0"/>
        <v>377973.83225806453</v>
      </c>
    </row>
    <row r="74" spans="1:27" x14ac:dyDescent="0.25">
      <c r="A74" s="24"/>
      <c r="D74" s="13"/>
      <c r="E74" s="13"/>
      <c r="F74" s="13"/>
      <c r="G74" s="13"/>
      <c r="H74" s="13"/>
      <c r="I74" s="13"/>
      <c r="J74" s="13"/>
      <c r="K74" s="13"/>
      <c r="L74" s="13">
        <f>(L$15*'B&amp;A kWh'!M61*$L$1)+(M$15*'B&amp;A kWh'!M61*$L$2)</f>
        <v>0</v>
      </c>
      <c r="M74" s="13"/>
      <c r="N74" s="13"/>
      <c r="O74" s="13"/>
      <c r="R74" s="26">
        <v>61</v>
      </c>
      <c r="X74" s="73">
        <f>'PPA KW'!P74</f>
        <v>0</v>
      </c>
      <c r="AA74" s="13">
        <f t="shared" si="0"/>
        <v>0</v>
      </c>
    </row>
    <row r="75" spans="1:27" x14ac:dyDescent="0.25">
      <c r="A75" s="24" t="s">
        <v>243</v>
      </c>
      <c r="B75" s="13">
        <f>ROUND(' B&amp;A+DSM - % Riders'!B62*B$20,2)</f>
        <v>0</v>
      </c>
      <c r="C75" s="13">
        <f>ROUND(' B&amp;A+DSM - % Riders'!C62*C$20,2)</f>
        <v>0</v>
      </c>
      <c r="D75" s="13">
        <f>ROUND(D$15*'B&amp;A kWh'!E62,2)</f>
        <v>170.77</v>
      </c>
      <c r="E75" s="13">
        <f>ROUND(E$15*'B&amp;A kWh'!F62,2)</f>
        <v>173.21</v>
      </c>
      <c r="F75" s="13">
        <f>ROUND(F$15*'B&amp;A kWh'!G62,2)</f>
        <v>156.49</v>
      </c>
      <c r="G75" s="13">
        <f>ROUND(G$15*'B&amp;A kWh'!H62,2)</f>
        <v>164.69</v>
      </c>
      <c r="H75" s="13">
        <f>ROUND(H$15*'B&amp;A kWh'!I62,2)</f>
        <v>164.12</v>
      </c>
      <c r="I75" s="13">
        <f>ROUND(I$15*'B&amp;A kWh'!J62,2)</f>
        <v>128.16999999999999</v>
      </c>
      <c r="J75" s="13">
        <f>ROUND(J$15*'B&amp;A kWh'!K62,2)</f>
        <v>454.14</v>
      </c>
      <c r="K75" s="13">
        <f>ROUND(K$15*'B&amp;A kWh'!L62,2)</f>
        <v>435.84</v>
      </c>
      <c r="L75" s="13">
        <f>(L$15*'B&amp;A kWh'!M62*$L$1)+(M$15*'B&amp;A kWh'!M62*$L$2)</f>
        <v>299.13084516129027</v>
      </c>
      <c r="M75" s="13">
        <f>ROUND(M$15*'B&amp;A kWh'!N62,2)</f>
        <v>212.97</v>
      </c>
      <c r="N75" s="13">
        <f>ROUND(N$15*'B&amp;A kWh'!O62,2)</f>
        <v>211.88</v>
      </c>
      <c r="O75" s="13">
        <f>ROUND(O$15*'B&amp;A kWh'!P62,2)</f>
        <v>230.74</v>
      </c>
      <c r="P75" s="13">
        <f t="shared" ref="P75" si="23">SUM(D75:O75)</f>
        <v>2802.1508451612899</v>
      </c>
      <c r="R75" s="26">
        <v>62</v>
      </c>
      <c r="S75" s="26" t="s">
        <v>243</v>
      </c>
      <c r="V75" s="26" t="s">
        <v>243</v>
      </c>
      <c r="X75" s="73">
        <f>'PPA KW'!P75</f>
        <v>71392.765161290328</v>
      </c>
      <c r="AA75" s="13">
        <f t="shared" si="0"/>
        <v>74194.916006451618</v>
      </c>
    </row>
    <row r="76" spans="1:27" x14ac:dyDescent="0.25">
      <c r="A76" s="24"/>
      <c r="D76" s="13"/>
      <c r="E76" s="13"/>
      <c r="F76" s="13"/>
      <c r="G76" s="13"/>
      <c r="H76" s="13"/>
      <c r="I76" s="13"/>
      <c r="J76" s="13"/>
      <c r="K76" s="13"/>
      <c r="L76" s="13">
        <f>(L$15*'B&amp;A kWh'!M63*$L$1)+(M$15*'B&amp;A kWh'!M63*$L$2)</f>
        <v>0</v>
      </c>
      <c r="M76" s="13"/>
      <c r="N76" s="13"/>
      <c r="O76" s="13"/>
      <c r="R76" s="26">
        <v>63</v>
      </c>
      <c r="X76" s="73">
        <f>'PPA KW'!P76</f>
        <v>0</v>
      </c>
      <c r="AA76" s="13">
        <f t="shared" si="0"/>
        <v>0</v>
      </c>
    </row>
    <row r="77" spans="1:27" x14ac:dyDescent="0.25">
      <c r="A77" s="24" t="s">
        <v>244</v>
      </c>
      <c r="B77" s="13">
        <f>ROUND(' B&amp;A+DSM - % Riders'!B64*B$20,2)</f>
        <v>0</v>
      </c>
      <c r="C77" s="13">
        <f>ROUND(' B&amp;A+DSM - % Riders'!C64*C$20,2)</f>
        <v>0</v>
      </c>
      <c r="D77" s="13">
        <f>ROUND(D$15*'B&amp;A kWh'!E64,2)</f>
        <v>654.15</v>
      </c>
      <c r="E77" s="13">
        <f>ROUND(E$15*'B&amp;A kWh'!F64,2)</f>
        <v>536.74</v>
      </c>
      <c r="F77" s="13">
        <f>ROUND(F$15*'B&amp;A kWh'!G64,2)</f>
        <v>401.16</v>
      </c>
      <c r="G77" s="13">
        <f>ROUND(G$15*'B&amp;A kWh'!H64,2)</f>
        <v>519.22</v>
      </c>
      <c r="H77" s="13">
        <f>ROUND(H$15*'B&amp;A kWh'!I64,2)</f>
        <v>471.71</v>
      </c>
      <c r="I77" s="13">
        <f>ROUND(I$15*'B&amp;A kWh'!J64,2)</f>
        <v>410.06</v>
      </c>
      <c r="J77" s="13">
        <f>ROUND(J$15*'B&amp;A kWh'!K64,2)</f>
        <v>1327.49</v>
      </c>
      <c r="K77" s="13">
        <f>ROUND(K$15*'B&amp;A kWh'!L64,2)</f>
        <v>1426.03</v>
      </c>
      <c r="L77" s="13">
        <f>(L$15*'B&amp;A kWh'!M64*$L$1)+(M$15*'B&amp;A kWh'!M64*$L$2)</f>
        <v>751.64508709677409</v>
      </c>
      <c r="M77" s="13">
        <f>ROUND(M$15*'B&amp;A kWh'!N64,2)</f>
        <v>571.82000000000005</v>
      </c>
      <c r="N77" s="13">
        <f>ROUND(N$15*'B&amp;A kWh'!O64,2)</f>
        <v>616.94000000000005</v>
      </c>
      <c r="O77" s="13">
        <f>ROUND(O$15*'B&amp;A kWh'!P64,2)</f>
        <v>662.1</v>
      </c>
      <c r="P77" s="13">
        <f t="shared" ref="P77" si="24">SUM(D77:O77)</f>
        <v>8349.0650870967729</v>
      </c>
      <c r="R77" s="26">
        <v>64</v>
      </c>
      <c r="S77" s="26" t="s">
        <v>244</v>
      </c>
      <c r="V77" s="26" t="s">
        <v>244</v>
      </c>
      <c r="X77" s="73">
        <f>'PPA KW'!P77</f>
        <v>217637.68258064511</v>
      </c>
      <c r="AA77" s="13">
        <f t="shared" si="0"/>
        <v>225986.74766774187</v>
      </c>
    </row>
    <row r="78" spans="1:27" x14ac:dyDescent="0.25">
      <c r="A78" s="24"/>
      <c r="D78" s="13"/>
      <c r="E78" s="13"/>
      <c r="F78" s="13"/>
      <c r="G78" s="13"/>
      <c r="H78" s="13"/>
      <c r="I78" s="13"/>
      <c r="J78" s="13"/>
      <c r="K78" s="13"/>
      <c r="L78" s="13">
        <f>(L$15*'B&amp;A kWh'!M65*$L$1)+(M$15*'B&amp;A kWh'!M65*$L$2)</f>
        <v>0</v>
      </c>
      <c r="M78" s="13"/>
      <c r="N78" s="13"/>
      <c r="O78" s="13"/>
      <c r="R78" s="26">
        <v>65</v>
      </c>
      <c r="X78" s="73">
        <f>'PPA KW'!P78</f>
        <v>0</v>
      </c>
      <c r="AA78" s="13">
        <f t="shared" si="0"/>
        <v>0</v>
      </c>
    </row>
    <row r="79" spans="1:27" x14ac:dyDescent="0.25">
      <c r="A79" s="24" t="s">
        <v>123</v>
      </c>
      <c r="B79" s="13">
        <f>ROUND(' B&amp;A+DSM - % Riders'!B66*B$20,2)</f>
        <v>0</v>
      </c>
      <c r="C79" s="13">
        <f>ROUND(' B&amp;A+DSM - % Riders'!C66*C$20,2)</f>
        <v>0</v>
      </c>
      <c r="D79" s="13">
        <f>ROUND(D$15*'B&amp;A kWh'!E66,2)</f>
        <v>148.63</v>
      </c>
      <c r="E79" s="13">
        <f>ROUND(E$15*'B&amp;A kWh'!F66,2)</f>
        <v>150.9</v>
      </c>
      <c r="F79" s="13">
        <f>ROUND(F$15*'B&amp;A kWh'!G66,2)</f>
        <v>153.06</v>
      </c>
      <c r="G79" s="13">
        <f>ROUND(G$15*'B&amp;A kWh'!H66,2)</f>
        <v>143.43</v>
      </c>
      <c r="H79" s="13">
        <f>ROUND(H$15*'B&amp;A kWh'!I66,2)</f>
        <v>150.47</v>
      </c>
      <c r="I79" s="13">
        <f>ROUND(I$15*'B&amp;A kWh'!J66,2)</f>
        <v>142.78</v>
      </c>
      <c r="J79" s="13">
        <f>ROUND(J$15*'B&amp;A kWh'!K66,2)</f>
        <v>415.21</v>
      </c>
      <c r="K79" s="13">
        <f>ROUND(K$15*'B&amp;A kWh'!L66,2)</f>
        <v>426.61</v>
      </c>
      <c r="L79" s="13">
        <f>(L$15*'B&amp;A kWh'!M66*$L$1)+(M$15*'B&amp;A kWh'!M66*$L$2)</f>
        <v>266.14742774193547</v>
      </c>
      <c r="M79" s="13">
        <f>ROUND(M$15*'B&amp;A kWh'!N66,2)</f>
        <v>188.9</v>
      </c>
      <c r="N79" s="13">
        <f>ROUND(N$15*'B&amp;A kWh'!O66,2)</f>
        <v>177.2</v>
      </c>
      <c r="O79" s="13">
        <f>ROUND(O$15*'B&amp;A kWh'!P66,2)</f>
        <v>192.91</v>
      </c>
      <c r="P79" s="13">
        <f t="shared" ref="P79" si="25">SUM(D79:O79)</f>
        <v>2556.2474277419351</v>
      </c>
      <c r="R79" s="26">
        <v>66</v>
      </c>
      <c r="S79" s="26" t="s">
        <v>123</v>
      </c>
      <c r="V79" s="26" t="s">
        <v>123</v>
      </c>
      <c r="X79" s="73">
        <f>'PPA KW'!P79</f>
        <v>50657.476129032257</v>
      </c>
      <c r="AA79" s="13">
        <f t="shared" si="0"/>
        <v>53213.723556774188</v>
      </c>
    </row>
    <row r="80" spans="1:27" x14ac:dyDescent="0.25">
      <c r="A80" s="24"/>
      <c r="D80" s="13"/>
      <c r="E80" s="13"/>
      <c r="F80" s="13"/>
      <c r="G80" s="13"/>
      <c r="H80" s="13"/>
      <c r="I80" s="13"/>
      <c r="J80" s="13"/>
      <c r="K80" s="13"/>
      <c r="L80" s="13">
        <f>(L$15*'B&amp;A kWh'!M67*$L$1)+(M$15*'B&amp;A kWh'!M67*$L$2)</f>
        <v>0</v>
      </c>
      <c r="M80" s="13"/>
      <c r="N80" s="13"/>
      <c r="O80" s="13"/>
      <c r="R80" s="26">
        <v>67</v>
      </c>
      <c r="X80" s="73">
        <f>'PPA KW'!P80</f>
        <v>0</v>
      </c>
      <c r="AA80" s="13">
        <f t="shared" si="0"/>
        <v>0</v>
      </c>
    </row>
    <row r="81" spans="1:27" x14ac:dyDescent="0.25">
      <c r="A81" s="24" t="s">
        <v>124</v>
      </c>
      <c r="B81" s="13">
        <f>ROUND(' B&amp;A+DSM - % Riders'!B68*B$20,2)</f>
        <v>0</v>
      </c>
      <c r="C81" s="13">
        <f>ROUND(' B&amp;A+DSM - % Riders'!C68*C$20,2)</f>
        <v>0</v>
      </c>
      <c r="D81" s="13">
        <f>ROUND(D$15*'B&amp;A kWh'!E68,2)</f>
        <v>2692.84</v>
      </c>
      <c r="E81" s="13">
        <f>ROUND(E$15*'B&amp;A kWh'!F68,2)</f>
        <v>3040.63</v>
      </c>
      <c r="F81" s="13">
        <f>ROUND(F$15*'B&amp;A kWh'!G68,2)</f>
        <v>3051.81</v>
      </c>
      <c r="G81" s="13">
        <f>ROUND(G$15*'B&amp;A kWh'!H68,2)</f>
        <v>2784.29</v>
      </c>
      <c r="H81" s="13">
        <f>ROUND(H$15*'B&amp;A kWh'!I68,2)</f>
        <v>2881.07</v>
      </c>
      <c r="I81" s="13">
        <f>ROUND(I$15*'B&amp;A kWh'!J68,2)</f>
        <v>2639.06</v>
      </c>
      <c r="J81" s="13">
        <f>ROUND(J$15*'B&amp;A kWh'!K68,2)</f>
        <v>7626.79</v>
      </c>
      <c r="K81" s="13">
        <f>ROUND(K$15*'B&amp;A kWh'!L68,2)</f>
        <v>7147.8</v>
      </c>
      <c r="L81" s="13">
        <f>(L$15*'B&amp;A kWh'!M68*$L$1)+(M$15*'B&amp;A kWh'!M68*$L$2)</f>
        <v>3954.1255825806447</v>
      </c>
      <c r="M81" s="13">
        <f>ROUND(M$15*'B&amp;A kWh'!N68,2)</f>
        <v>2740.97</v>
      </c>
      <c r="N81" s="13">
        <f>ROUND(N$15*'B&amp;A kWh'!O68,2)</f>
        <v>2916.25</v>
      </c>
      <c r="O81" s="13">
        <f>ROUND(O$15*'B&amp;A kWh'!P68,2)</f>
        <v>3468.88</v>
      </c>
      <c r="P81" s="13">
        <f t="shared" ref="P81" si="26">SUM(D81:O81)</f>
        <v>44944.515582580643</v>
      </c>
      <c r="R81" s="26">
        <v>68</v>
      </c>
      <c r="S81" s="26" t="s">
        <v>124</v>
      </c>
      <c r="V81" s="26" t="s">
        <v>124</v>
      </c>
      <c r="X81" s="73">
        <f>'PPA KW'!P81</f>
        <v>1032418.9138709677</v>
      </c>
      <c r="AA81" s="13">
        <f t="shared" si="0"/>
        <v>1077363.4294535483</v>
      </c>
    </row>
    <row r="82" spans="1:27" x14ac:dyDescent="0.25">
      <c r="A82" s="24"/>
      <c r="D82" s="13"/>
      <c r="E82" s="13"/>
      <c r="F82" s="13"/>
      <c r="G82" s="13"/>
      <c r="H82" s="13"/>
      <c r="I82" s="13"/>
      <c r="J82" s="13"/>
      <c r="K82" s="13"/>
      <c r="L82" s="13">
        <f>(L$15*'B&amp;A kWh'!M69*$L$1)+(M$15*'B&amp;A kWh'!M69*$L$2)</f>
        <v>0</v>
      </c>
      <c r="M82" s="13"/>
      <c r="N82" s="13"/>
      <c r="O82" s="13"/>
      <c r="R82" s="26">
        <v>69</v>
      </c>
      <c r="X82" s="73"/>
      <c r="AA82" s="13">
        <f t="shared" si="0"/>
        <v>0</v>
      </c>
    </row>
    <row r="83" spans="1:27" x14ac:dyDescent="0.25">
      <c r="A83" s="24" t="s">
        <v>125</v>
      </c>
      <c r="B83" s="13">
        <f>ROUND(' B&amp;A+DSM - % Riders'!B70*B$20,2)</f>
        <v>0</v>
      </c>
      <c r="C83" s="13">
        <f>ROUND(' B&amp;A+DSM - % Riders'!C70*C$20,2)</f>
        <v>0</v>
      </c>
      <c r="D83" s="13">
        <f>ROUND(D$15*'B&amp;A kWh'!E70,2)</f>
        <v>13112.63</v>
      </c>
      <c r="E83" s="13">
        <f>ROUND(E$15*'B&amp;A kWh'!F70,2)</f>
        <v>20499.32</v>
      </c>
      <c r="F83" s="13">
        <f>ROUND(F$15*'B&amp;A kWh'!G70,2)</f>
        <v>10353.540000000001</v>
      </c>
      <c r="G83" s="13">
        <f>ROUND(G$15*'B&amp;A kWh'!H70,2)</f>
        <v>17169.78</v>
      </c>
      <c r="H83" s="13">
        <f>ROUND(H$15*'B&amp;A kWh'!I70,2)</f>
        <v>17311.86</v>
      </c>
      <c r="I83" s="13">
        <f>ROUND(I$15*'B&amp;A kWh'!J70,2)</f>
        <v>15392.77</v>
      </c>
      <c r="J83" s="13">
        <f>ROUND(J$15*'B&amp;A kWh'!K70,2)</f>
        <v>41916.47</v>
      </c>
      <c r="K83" s="13">
        <f>ROUND(K$15*'B&amp;A kWh'!L70,2)</f>
        <v>39774.97</v>
      </c>
      <c r="L83" s="13">
        <f>(L$15*'B&amp;A kWh'!M70*$L$1)+(M$15*'B&amp;A kWh'!M70*$L$2)</f>
        <v>23449.102829032257</v>
      </c>
      <c r="M83" s="13">
        <f>ROUND(M$15*'B&amp;A kWh'!N70,2)</f>
        <v>18499.57</v>
      </c>
      <c r="N83" s="13">
        <f>ROUND(N$15*'B&amp;A kWh'!O70,2)</f>
        <v>15277.39</v>
      </c>
      <c r="O83" s="13">
        <f>ROUND(O$15*'B&amp;A kWh'!P70,2)</f>
        <v>18503.7</v>
      </c>
      <c r="P83" s="13">
        <f t="shared" ref="P83:P89" si="27">SUM(D83:O83)</f>
        <v>251261.10282903229</v>
      </c>
      <c r="R83" s="26">
        <v>70</v>
      </c>
      <c r="S83" s="26" t="s">
        <v>125</v>
      </c>
      <c r="V83" s="26" t="s">
        <v>125</v>
      </c>
      <c r="X83" s="73">
        <f>'PPA KW'!P84</f>
        <v>3967556.2148387092</v>
      </c>
      <c r="AA83" s="13">
        <f t="shared" si="0"/>
        <v>4218817.3176677413</v>
      </c>
    </row>
    <row r="84" spans="1:27" x14ac:dyDescent="0.25">
      <c r="A84" s="24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>
        <f>(L$15*'B&amp;A kWh'!M71*$L$1)+(M$15*'B&amp;A kWh'!M71*$L$2)</f>
        <v>0</v>
      </c>
      <c r="M84" s="13"/>
      <c r="N84" s="13"/>
      <c r="O84" s="13"/>
      <c r="P84" s="13">
        <f t="shared" si="27"/>
        <v>0</v>
      </c>
      <c r="R84" s="26">
        <v>71</v>
      </c>
      <c r="X84" s="73">
        <f>'PPA KW'!P85</f>
        <v>0</v>
      </c>
      <c r="AA84" s="13">
        <f t="shared" si="0"/>
        <v>0</v>
      </c>
    </row>
    <row r="85" spans="1:27" x14ac:dyDescent="0.25">
      <c r="A85" s="24" t="s">
        <v>126</v>
      </c>
      <c r="B85" s="13"/>
      <c r="C85" s="13"/>
      <c r="D85" s="13">
        <f>ROUND(D$15*'B&amp;A kWh'!E72,2)</f>
        <v>2274.59</v>
      </c>
      <c r="E85" s="13">
        <f>ROUND(E$15*'B&amp;A kWh'!F72,2)</f>
        <v>2267.66</v>
      </c>
      <c r="F85" s="13">
        <f>ROUND(F$15*'B&amp;A kWh'!G72,2)</f>
        <v>2996.17</v>
      </c>
      <c r="G85" s="13">
        <f>ROUND(G$15*'B&amp;A kWh'!H72,2)</f>
        <v>2306.4699999999998</v>
      </c>
      <c r="H85" s="13">
        <f>ROUND(H$15*'B&amp;A kWh'!I72,2)</f>
        <v>2035.13</v>
      </c>
      <c r="I85" s="13">
        <f>ROUND(I$15*'B&amp;A kWh'!J72,2)</f>
        <v>2062.87</v>
      </c>
      <c r="J85" s="13">
        <f>ROUND(J$15*'B&amp;A kWh'!K72,2)</f>
        <v>6515.86</v>
      </c>
      <c r="K85" s="13">
        <f>ROUND(K$15*'B&amp;A kWh'!L72,2)</f>
        <v>4156.2</v>
      </c>
      <c r="L85" s="13">
        <f>(L$15*'B&amp;A kWh'!M72*$L$1)+(M$15*'B&amp;A kWh'!M72*$L$2)</f>
        <v>4090.9323361290317</v>
      </c>
      <c r="M85" s="13">
        <f>ROUND(M$15*'B&amp;A kWh'!N72,2)</f>
        <v>2080.63</v>
      </c>
      <c r="N85" s="13">
        <f>ROUND(N$15*'B&amp;A kWh'!O72,2)</f>
        <v>2421.15</v>
      </c>
      <c r="O85" s="13">
        <f>ROUND(O$15*'B&amp;A kWh'!P72,2)</f>
        <v>3607.5</v>
      </c>
      <c r="P85" s="13">
        <f t="shared" si="27"/>
        <v>36815.162336129033</v>
      </c>
      <c r="R85" s="26">
        <v>72</v>
      </c>
      <c r="S85" s="26" t="s">
        <v>126</v>
      </c>
      <c r="V85" s="26" t="s">
        <v>126</v>
      </c>
      <c r="X85" s="73">
        <f>'PPA KW'!P86</f>
        <v>608498.23225806456</v>
      </c>
      <c r="AA85" s="13">
        <f t="shared" si="0"/>
        <v>645313.39459419355</v>
      </c>
    </row>
    <row r="86" spans="1:27" x14ac:dyDescent="0.25">
      <c r="A86" s="24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>
        <f>(L$15*'B&amp;A kWh'!M73*$L$1)+(M$15*'B&amp;A kWh'!M73*$L$2)</f>
        <v>0</v>
      </c>
      <c r="M86" s="13"/>
      <c r="N86" s="13"/>
      <c r="O86" s="13"/>
      <c r="P86" s="13">
        <f t="shared" si="27"/>
        <v>0</v>
      </c>
      <c r="R86" s="26">
        <v>73</v>
      </c>
      <c r="X86" s="73"/>
      <c r="AA86" s="13">
        <f t="shared" si="0"/>
        <v>0</v>
      </c>
    </row>
    <row r="87" spans="1:27" x14ac:dyDescent="0.25">
      <c r="A87" s="24" t="s">
        <v>2</v>
      </c>
      <c r="B87" s="13"/>
      <c r="C87" s="13"/>
      <c r="D87" s="13">
        <f>ROUND(D$19*'B&amp;A kWh'!E74,2)</f>
        <v>478.31</v>
      </c>
      <c r="E87" s="13">
        <f>ROUND(E$19*'B&amp;A kWh'!F74,2)</f>
        <v>420.36</v>
      </c>
      <c r="F87" s="13">
        <f>ROUND(F$19*'B&amp;A kWh'!G74,2)</f>
        <v>379.42</v>
      </c>
      <c r="G87" s="13">
        <f>ROUND(G$19*'B&amp;A kWh'!H74,2)</f>
        <v>410.46</v>
      </c>
      <c r="H87" s="13">
        <f>ROUND(H$19*'B&amp;A kWh'!I74,2)</f>
        <v>456.47</v>
      </c>
      <c r="I87" s="13">
        <f>ROUND(I$19*'B&amp;A kWh'!J74,2)</f>
        <v>500.28</v>
      </c>
      <c r="J87" s="13">
        <f>ROUND(J$19*'B&amp;A kWh'!K74,2)</f>
        <v>818.08</v>
      </c>
      <c r="K87" s="13">
        <f>ROUND(K$19*'B&amp;A kWh'!L74,2)</f>
        <v>895.14</v>
      </c>
      <c r="L87" s="13">
        <f>(L$19*'B&amp;A kWh'!M74*$L$1)+(M$19*'B&amp;A kWh'!M74*$L$2)</f>
        <v>590.42134161290323</v>
      </c>
      <c r="M87" s="13">
        <f>ROUND(M$19*'B&amp;A kWh'!N74,2)</f>
        <v>446.25</v>
      </c>
      <c r="N87" s="13">
        <f>ROUND(N$19*'B&amp;A kWh'!O74,2)</f>
        <v>378</v>
      </c>
      <c r="O87" s="13">
        <f>ROUND(O$19*'B&amp;A kWh'!P74,2)</f>
        <v>378.64</v>
      </c>
      <c r="P87" s="13">
        <f t="shared" si="27"/>
        <v>6151.831341612904</v>
      </c>
      <c r="R87" s="26">
        <v>74</v>
      </c>
      <c r="S87" s="26" t="s">
        <v>2</v>
      </c>
      <c r="V87" s="26" t="s">
        <v>2</v>
      </c>
      <c r="X87" s="73"/>
      <c r="AA87" s="13">
        <f t="shared" si="0"/>
        <v>6151.831341612904</v>
      </c>
    </row>
    <row r="88" spans="1:27" x14ac:dyDescent="0.25">
      <c r="A88" s="24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>
        <f>(L$19*'B&amp;A kWh'!M75*$L$1)+(M$19*'B&amp;A kWh'!M75*$L$2)</f>
        <v>0</v>
      </c>
      <c r="M88" s="13"/>
      <c r="N88" s="13"/>
      <c r="O88" s="13"/>
      <c r="P88" s="13">
        <f t="shared" si="27"/>
        <v>0</v>
      </c>
      <c r="R88" s="26">
        <v>75</v>
      </c>
      <c r="X88" s="73"/>
      <c r="AA88" s="13">
        <f t="shared" ref="AA88:AA91" si="28">P88+X88</f>
        <v>0</v>
      </c>
    </row>
    <row r="89" spans="1:27" x14ac:dyDescent="0.25">
      <c r="A89" s="24" t="s">
        <v>1</v>
      </c>
      <c r="B89" s="13"/>
      <c r="C89" s="13"/>
      <c r="D89" s="13">
        <f>ROUND(D$17*'B&amp;A kWh'!E76,2)</f>
        <v>437.97</v>
      </c>
      <c r="E89" s="13">
        <f>ROUND(E$17*'B&amp;A kWh'!F76,2)</f>
        <v>512.41</v>
      </c>
      <c r="F89" s="13">
        <f>ROUND(F$17*'B&amp;A kWh'!G76,2)</f>
        <v>569.08000000000004</v>
      </c>
      <c r="G89" s="13">
        <f>ROUND(G$17*'B&amp;A kWh'!H76,2)</f>
        <v>479.81</v>
      </c>
      <c r="H89" s="13">
        <f>ROUND(H$17*'B&amp;A kWh'!I76,2)</f>
        <v>496.94</v>
      </c>
      <c r="I89" s="13">
        <f>ROUND(I$17*'B&amp;A kWh'!J76,2)</f>
        <v>440.57</v>
      </c>
      <c r="J89" s="13">
        <f>ROUND(J$17*'B&amp;A kWh'!K76,2)</f>
        <v>694.97</v>
      </c>
      <c r="K89" s="13">
        <f>ROUND(K$17*'B&amp;A kWh'!L76,2)</f>
        <v>575.02</v>
      </c>
      <c r="L89" s="13">
        <f>(L$17*'B&amp;A kWh'!M76*$L$1)+(M$17*'B&amp;A kWh'!M76*$L$2)</f>
        <v>383.11795774193547</v>
      </c>
      <c r="M89" s="13">
        <f>ROUND(M$17*'B&amp;A kWh'!N76,2)</f>
        <v>247.73</v>
      </c>
      <c r="N89" s="13">
        <f>ROUND(N$17*'B&amp;A kWh'!O76,2)</f>
        <v>270.69</v>
      </c>
      <c r="O89" s="13">
        <f>ROUND(O$17*'B&amp;A kWh'!P76,2)</f>
        <v>307.27999999999997</v>
      </c>
      <c r="P89" s="13">
        <f t="shared" si="27"/>
        <v>5415.5879577419346</v>
      </c>
      <c r="R89" s="26">
        <v>76</v>
      </c>
      <c r="S89" s="26" t="s">
        <v>1</v>
      </c>
      <c r="V89" s="26" t="s">
        <v>1</v>
      </c>
      <c r="X89" s="73"/>
      <c r="AA89" s="13">
        <f t="shared" si="28"/>
        <v>5415.5879577419346</v>
      </c>
    </row>
    <row r="90" spans="1:27" x14ac:dyDescent="0.25">
      <c r="A90" s="24"/>
      <c r="B90" s="13"/>
      <c r="C90" s="13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13"/>
      <c r="X90" s="73"/>
      <c r="AA90" s="13">
        <f t="shared" si="28"/>
        <v>0</v>
      </c>
    </row>
    <row r="91" spans="1:27" x14ac:dyDescent="0.25">
      <c r="A91" s="152" t="s">
        <v>0</v>
      </c>
      <c r="B91" s="44"/>
      <c r="C91" s="44"/>
      <c r="D91" s="44">
        <f>SUM(D23:D89)-D31</f>
        <v>982701.34000000008</v>
      </c>
      <c r="E91" s="44">
        <f t="shared" ref="E91:N91" si="29">SUM(E23:E89)-E31</f>
        <v>941979.58</v>
      </c>
      <c r="F91" s="44">
        <f t="shared" si="29"/>
        <v>1143241.7100000004</v>
      </c>
      <c r="G91" s="44">
        <f t="shared" si="29"/>
        <v>1279172.3999999999</v>
      </c>
      <c r="H91" s="44">
        <f t="shared" si="29"/>
        <v>1267363.5700000003</v>
      </c>
      <c r="I91" s="44">
        <f t="shared" si="29"/>
        <v>977339.85000000009</v>
      </c>
      <c r="J91" s="44">
        <f t="shared" si="29"/>
        <v>1201016.0399999998</v>
      </c>
      <c r="K91" s="44">
        <f t="shared" si="29"/>
        <v>1431758.1099999999</v>
      </c>
      <c r="L91" s="44">
        <f>SUM(L23:L89)-L31</f>
        <v>1259578.8837238713</v>
      </c>
      <c r="M91" s="44">
        <f t="shared" si="29"/>
        <v>950260.51999999967</v>
      </c>
      <c r="N91" s="44">
        <f t="shared" si="29"/>
        <v>735791.4600000002</v>
      </c>
      <c r="O91" s="44">
        <f>SUM(O23:O89)-O31</f>
        <v>719632.62</v>
      </c>
      <c r="P91" s="44">
        <f>SUM(D91:O91)</f>
        <v>12889836.083723873</v>
      </c>
      <c r="V91" s="26" t="s">
        <v>0</v>
      </c>
      <c r="X91" s="73">
        <f>SUM(X52:X85)</f>
        <v>8397268.8816129025</v>
      </c>
      <c r="AA91" s="13">
        <f t="shared" si="28"/>
        <v>21287104.965336777</v>
      </c>
    </row>
    <row r="92" spans="1:27" x14ac:dyDescent="0.25">
      <c r="A92" s="24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>
        <f>P92+Q92</f>
        <v>21287104.96533677</v>
      </c>
      <c r="P92" s="13">
        <f>SUM(P23:P89)-P30</f>
        <v>12889836.083723869</v>
      </c>
      <c r="Q92" s="26">
        <f>'PPA KW'!P94</f>
        <v>8397268.8816129025</v>
      </c>
    </row>
    <row r="93" spans="1:27" x14ac:dyDescent="0.25">
      <c r="A93" s="66"/>
      <c r="B93" s="66"/>
      <c r="C93" s="66"/>
      <c r="D93" s="66"/>
      <c r="E93" s="66"/>
      <c r="F93" s="66"/>
      <c r="G93" s="66"/>
      <c r="H93" s="66"/>
      <c r="I93" s="66"/>
      <c r="J93" s="66"/>
      <c r="K93" s="66"/>
      <c r="L93" s="66"/>
      <c r="M93" s="66"/>
      <c r="N93" s="66"/>
      <c r="O93" s="66"/>
      <c r="P93" s="66"/>
    </row>
    <row r="94" spans="1:27" x14ac:dyDescent="0.25">
      <c r="A94" s="66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</row>
    <row r="95" spans="1:27" x14ac:dyDescent="0.25">
      <c r="A95" s="66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7"/>
      <c r="P95" s="66"/>
    </row>
  </sheetData>
  <pageMargins left="0.7" right="0.28999999999999998" top="0.75" bottom="0.75" header="0.3" footer="0.3"/>
  <pageSetup scale="43" orientation="portrait" r:id="rId1"/>
  <headerFooter>
    <oddFooter>&amp;L&amp;F
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96"/>
  <sheetViews>
    <sheetView zoomScale="85" zoomScaleNormal="85" workbookViewId="0">
      <pane xSplit="1" ySplit="20" topLeftCell="F2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I85" sqref="I85"/>
    </sheetView>
  </sheetViews>
  <sheetFormatPr defaultColWidth="9.140625" defaultRowHeight="15.75" outlineLevelCol="1" x14ac:dyDescent="0.25"/>
  <cols>
    <col min="1" max="1" width="38.7109375" style="26" bestFit="1" customWidth="1"/>
    <col min="2" max="2" width="2.5703125" style="26" customWidth="1" outlineLevel="1"/>
    <col min="3" max="3" width="3.85546875" style="26" customWidth="1" outlineLevel="1"/>
    <col min="4" max="4" width="15.140625" style="26" customWidth="1" outlineLevel="1"/>
    <col min="5" max="5" width="14.28515625" style="26" customWidth="1" outlineLevel="1"/>
    <col min="6" max="7" width="13.5703125" style="26" customWidth="1" outlineLevel="1"/>
    <col min="8" max="10" width="12.7109375" style="26" customWidth="1" outlineLevel="1"/>
    <col min="11" max="13" width="15.7109375" style="26" customWidth="1" outlineLevel="1"/>
    <col min="14" max="14" width="13.85546875" style="26" customWidth="1" outlineLevel="1"/>
    <col min="15" max="15" width="15.7109375" style="26" customWidth="1" outlineLevel="1"/>
    <col min="16" max="16" width="33.85546875" style="26" customWidth="1"/>
    <col min="17" max="17" width="17" style="26" customWidth="1"/>
    <col min="18" max="19" width="9.140625" style="26"/>
    <col min="20" max="20" width="24.7109375" style="26" bestFit="1" customWidth="1"/>
    <col min="21" max="16384" width="9.140625" style="26"/>
  </cols>
  <sheetData>
    <row r="1" spans="1:17" x14ac:dyDescent="0.25">
      <c r="A1" s="26" t="s">
        <v>70</v>
      </c>
      <c r="D1" s="150"/>
      <c r="K1" s="26" t="s">
        <v>312</v>
      </c>
      <c r="L1" s="26">
        <v>1.7</v>
      </c>
      <c r="M1" s="26">
        <f>8/31</f>
        <v>0.25806451612903225</v>
      </c>
      <c r="N1" s="160">
        <f>M1+M2</f>
        <v>1</v>
      </c>
    </row>
    <row r="2" spans="1:17" x14ac:dyDescent="0.25">
      <c r="A2" s="26" t="s">
        <v>71</v>
      </c>
      <c r="L2" s="26">
        <v>0.82</v>
      </c>
      <c r="M2" s="26">
        <f>23/31</f>
        <v>0.74193548387096775</v>
      </c>
    </row>
    <row r="3" spans="1:17" x14ac:dyDescent="0.25">
      <c r="A3" s="26" t="str">
        <f>'B&amp;A kWh'!B3</f>
        <v>TEST YEAR ENDED March 31, 2023</v>
      </c>
    </row>
    <row r="4" spans="1:17" x14ac:dyDescent="0.25">
      <c r="A4" s="26" t="s">
        <v>81</v>
      </c>
      <c r="K4" s="26" t="s">
        <v>313</v>
      </c>
      <c r="L4" s="26">
        <v>2.14</v>
      </c>
      <c r="M4" s="26">
        <f>8/31</f>
        <v>0.25806451612903225</v>
      </c>
    </row>
    <row r="5" spans="1:17" x14ac:dyDescent="0.25">
      <c r="A5" s="26" t="s">
        <v>161</v>
      </c>
      <c r="L5" s="26">
        <v>1.04</v>
      </c>
      <c r="M5" s="26">
        <f>23/31</f>
        <v>0.74193548387096775</v>
      </c>
    </row>
    <row r="7" spans="1:17" x14ac:dyDescent="0.25">
      <c r="A7" s="26" t="s">
        <v>267</v>
      </c>
      <c r="D7" s="26">
        <v>2022</v>
      </c>
      <c r="L7" s="26" t="s">
        <v>315</v>
      </c>
      <c r="O7" s="26">
        <v>2023</v>
      </c>
      <c r="P7" s="32" t="s">
        <v>292</v>
      </c>
    </row>
    <row r="8" spans="1:17" x14ac:dyDescent="0.25">
      <c r="A8" s="74" t="s">
        <v>22</v>
      </c>
      <c r="B8" s="59"/>
      <c r="C8" s="59"/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17" x14ac:dyDescent="0.25">
      <c r="A9" s="26" t="s">
        <v>184</v>
      </c>
      <c r="B9" s="65"/>
      <c r="C9" s="161"/>
      <c r="D9" s="68"/>
      <c r="E9" s="69"/>
      <c r="F9" s="69"/>
      <c r="G9" s="69"/>
      <c r="H9" s="69"/>
      <c r="I9" s="69"/>
      <c r="J9" s="69"/>
      <c r="K9" s="69"/>
      <c r="L9" s="69"/>
      <c r="M9" s="49"/>
      <c r="N9" s="49"/>
      <c r="O9" s="49"/>
      <c r="P9" s="66"/>
    </row>
    <row r="10" spans="1:17" x14ac:dyDescent="0.25">
      <c r="A10" s="26" t="s">
        <v>185</v>
      </c>
      <c r="B10" s="65"/>
      <c r="C10" s="161"/>
      <c r="D10" s="49"/>
      <c r="E10" s="49"/>
      <c r="F10" s="49"/>
      <c r="G10" s="49"/>
      <c r="H10" s="49"/>
      <c r="I10" s="49"/>
      <c r="J10" s="49"/>
      <c r="K10" s="49"/>
      <c r="L10" s="49"/>
      <c r="M10" s="70"/>
      <c r="N10" s="70"/>
      <c r="O10" s="70"/>
      <c r="P10" s="66"/>
    </row>
    <row r="11" spans="1:17" x14ac:dyDescent="0.25">
      <c r="A11" s="26" t="s">
        <v>186</v>
      </c>
      <c r="B11" s="65"/>
      <c r="C11" s="161"/>
      <c r="D11" s="162"/>
      <c r="E11" s="49"/>
      <c r="F11" s="49"/>
      <c r="G11" s="49"/>
      <c r="H11" s="49"/>
      <c r="I11" s="49"/>
      <c r="J11" s="49"/>
      <c r="K11" s="49"/>
      <c r="L11" s="49"/>
      <c r="M11" s="71"/>
      <c r="N11" s="71"/>
      <c r="O11" s="71"/>
      <c r="P11" s="66"/>
    </row>
    <row r="12" spans="1:17" x14ac:dyDescent="0.25">
      <c r="A12" s="26" t="s">
        <v>187</v>
      </c>
      <c r="B12" s="65"/>
      <c r="C12" s="161"/>
      <c r="D12" s="72">
        <v>1.4</v>
      </c>
      <c r="E12" s="72">
        <f>D12</f>
        <v>1.4</v>
      </c>
      <c r="F12" s="72">
        <f>D12</f>
        <v>1.4</v>
      </c>
      <c r="G12" s="72">
        <f t="shared" ref="G12:H12" si="0">E12</f>
        <v>1.4</v>
      </c>
      <c r="H12" s="72">
        <f t="shared" si="0"/>
        <v>1.4</v>
      </c>
      <c r="I12" s="72">
        <f>G12</f>
        <v>1.4</v>
      </c>
      <c r="J12" s="72">
        <v>1.7</v>
      </c>
      <c r="K12" s="71">
        <f>J12</f>
        <v>1.7</v>
      </c>
      <c r="L12" s="71">
        <v>1.7</v>
      </c>
      <c r="M12" s="71">
        <v>0.82</v>
      </c>
      <c r="N12" s="71">
        <v>0.82</v>
      </c>
      <c r="O12" s="71">
        <v>0.82</v>
      </c>
      <c r="P12" s="66"/>
    </row>
    <row r="13" spans="1:17" x14ac:dyDescent="0.25">
      <c r="A13" s="26" t="s">
        <v>188</v>
      </c>
      <c r="B13" s="65"/>
      <c r="C13" s="161"/>
      <c r="D13" s="49"/>
      <c r="E13" s="49"/>
      <c r="F13" s="49"/>
      <c r="G13" s="49"/>
      <c r="H13" s="49"/>
      <c r="I13" s="49"/>
      <c r="J13" s="49"/>
      <c r="K13" s="49"/>
      <c r="L13" s="49"/>
      <c r="M13" s="71"/>
      <c r="N13" s="71"/>
      <c r="O13" s="71"/>
      <c r="P13" s="66"/>
    </row>
    <row r="14" spans="1:17" x14ac:dyDescent="0.25">
      <c r="A14" s="26" t="s">
        <v>189</v>
      </c>
      <c r="B14" s="65"/>
      <c r="C14" s="161"/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  <c r="M14" s="72">
        <v>0</v>
      </c>
      <c r="N14" s="72">
        <v>0</v>
      </c>
      <c r="O14" s="72">
        <v>0</v>
      </c>
      <c r="P14" s="66"/>
    </row>
    <row r="15" spans="1:17" x14ac:dyDescent="0.25">
      <c r="A15" s="26" t="s">
        <v>190</v>
      </c>
      <c r="B15" s="65"/>
      <c r="C15" s="161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</row>
    <row r="16" spans="1:17" x14ac:dyDescent="0.25">
      <c r="A16" s="26" t="s">
        <v>191</v>
      </c>
      <c r="B16" s="65"/>
      <c r="C16" s="161"/>
      <c r="D16" s="72">
        <v>1.66</v>
      </c>
      <c r="E16" s="72">
        <f>D16</f>
        <v>1.66</v>
      </c>
      <c r="F16" s="72">
        <f t="shared" ref="F16:I16" si="1">E16</f>
        <v>1.66</v>
      </c>
      <c r="G16" s="72">
        <f t="shared" si="1"/>
        <v>1.66</v>
      </c>
      <c r="H16" s="72">
        <f t="shared" si="1"/>
        <v>1.66</v>
      </c>
      <c r="I16" s="72">
        <f t="shared" si="1"/>
        <v>1.66</v>
      </c>
      <c r="J16" s="72">
        <v>2.14</v>
      </c>
      <c r="K16" s="72">
        <v>2.14</v>
      </c>
      <c r="L16" s="72">
        <v>2.14</v>
      </c>
      <c r="M16" s="72">
        <v>1.04</v>
      </c>
      <c r="N16" s="72">
        <v>1.04</v>
      </c>
      <c r="O16" s="72">
        <v>1.04</v>
      </c>
      <c r="P16" s="49"/>
      <c r="Q16" s="49"/>
    </row>
    <row r="17" spans="1:17" x14ac:dyDescent="0.25">
      <c r="A17" s="26" t="s">
        <v>192</v>
      </c>
      <c r="B17" s="65"/>
      <c r="C17" s="161"/>
      <c r="D17" s="49"/>
      <c r="E17" s="49"/>
      <c r="F17" s="49"/>
      <c r="G17" s="49"/>
      <c r="H17" s="49"/>
      <c r="I17" s="49"/>
      <c r="J17" s="66"/>
      <c r="K17" s="66"/>
      <c r="L17" s="49"/>
      <c r="M17" s="49"/>
      <c r="N17" s="49"/>
      <c r="O17" s="49"/>
      <c r="P17" s="49"/>
      <c r="Q17" s="49"/>
    </row>
    <row r="18" spans="1:17" x14ac:dyDescent="0.25">
      <c r="A18" s="26" t="s">
        <v>193</v>
      </c>
      <c r="B18" s="65"/>
      <c r="C18" s="65"/>
      <c r="D18" s="60">
        <v>0</v>
      </c>
      <c r="E18" s="60">
        <v>0</v>
      </c>
      <c r="F18" s="60">
        <v>0</v>
      </c>
      <c r="G18" s="60">
        <v>0</v>
      </c>
      <c r="H18" s="60"/>
      <c r="I18" s="60"/>
      <c r="L18" s="60"/>
      <c r="M18" s="60"/>
      <c r="N18" s="60"/>
      <c r="O18" s="49"/>
      <c r="P18" s="49"/>
      <c r="Q18" s="49"/>
    </row>
    <row r="19" spans="1:17" x14ac:dyDescent="0.25">
      <c r="A19" s="26" t="s">
        <v>194</v>
      </c>
      <c r="B19" s="65"/>
      <c r="C19" s="65"/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</row>
    <row r="20" spans="1:17" x14ac:dyDescent="0.25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</row>
    <row r="23" spans="1:17" x14ac:dyDescent="0.25">
      <c r="A23" s="24" t="s">
        <v>21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</row>
    <row r="24" spans="1:17" x14ac:dyDescent="0.25">
      <c r="A24" s="24"/>
    </row>
    <row r="25" spans="1:17" x14ac:dyDescent="0.25">
      <c r="A25" s="24" t="s">
        <v>20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</row>
    <row r="26" spans="1:17" x14ac:dyDescent="0.25">
      <c r="A26" s="24"/>
    </row>
    <row r="27" spans="1:17" x14ac:dyDescent="0.25">
      <c r="A27" s="24" t="s">
        <v>19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</row>
    <row r="28" spans="1:17" x14ac:dyDescent="0.25">
      <c r="A28" s="24"/>
    </row>
    <row r="29" spans="1:17" x14ac:dyDescent="0.25">
      <c r="A29" s="43" t="s">
        <v>172</v>
      </c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</row>
    <row r="30" spans="1:17" x14ac:dyDescent="0.25">
      <c r="A30" s="43" t="s">
        <v>174</v>
      </c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</row>
    <row r="31" spans="1:17" x14ac:dyDescent="0.25">
      <c r="A31" s="24" t="s">
        <v>18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</row>
    <row r="32" spans="1:17" x14ac:dyDescent="0.25">
      <c r="A32" s="24"/>
    </row>
    <row r="33" spans="1:16" x14ac:dyDescent="0.25">
      <c r="A33" s="24" t="s">
        <v>17</v>
      </c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</row>
    <row r="34" spans="1:16" x14ac:dyDescent="0.25">
      <c r="A34" s="24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</row>
    <row r="35" spans="1:16" x14ac:dyDescent="0.25">
      <c r="A35" s="24" t="s">
        <v>16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</row>
    <row r="36" spans="1:16" x14ac:dyDescent="0.25">
      <c r="A36" s="2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1:16" x14ac:dyDescent="0.25">
      <c r="A37" s="24" t="s">
        <v>15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</row>
    <row r="38" spans="1:16" x14ac:dyDescent="0.25">
      <c r="A38" s="24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</row>
    <row r="39" spans="1:16" x14ac:dyDescent="0.25">
      <c r="A39" s="24" t="s">
        <v>14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</row>
    <row r="40" spans="1:16" x14ac:dyDescent="0.25">
      <c r="A40" s="24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</row>
    <row r="41" spans="1:16" x14ac:dyDescent="0.25">
      <c r="A41" s="24" t="s">
        <v>13</v>
      </c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</row>
    <row r="42" spans="1:16" x14ac:dyDescent="0.25">
      <c r="A42" s="24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1:16" x14ac:dyDescent="0.25">
      <c r="A43" s="24" t="s">
        <v>12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x14ac:dyDescent="0.25">
      <c r="A44" s="24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</row>
    <row r="45" spans="1:16" x14ac:dyDescent="0.25">
      <c r="A45" s="24" t="s">
        <v>11</v>
      </c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</row>
    <row r="46" spans="1:16" x14ac:dyDescent="0.25">
      <c r="A46" s="24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</row>
    <row r="47" spans="1:16" x14ac:dyDescent="0.25">
      <c r="A47" s="24" t="s">
        <v>10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</row>
    <row r="48" spans="1:16" x14ac:dyDescent="0.25">
      <c r="A48" s="2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</row>
    <row r="49" spans="1:21" x14ac:dyDescent="0.25">
      <c r="A49" s="24" t="s">
        <v>9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21" x14ac:dyDescent="0.25">
      <c r="A50" s="24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</row>
    <row r="51" spans="1:21" x14ac:dyDescent="0.25">
      <c r="A51" s="24" t="s">
        <v>8</v>
      </c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</row>
    <row r="52" spans="1:21" x14ac:dyDescent="0.25">
      <c r="A52" s="24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T52" s="26" t="s">
        <v>285</v>
      </c>
    </row>
    <row r="53" spans="1:21" x14ac:dyDescent="0.25">
      <c r="A53" s="24" t="s">
        <v>7</v>
      </c>
      <c r="B53" s="13"/>
      <c r="C53" s="13"/>
      <c r="D53" s="13">
        <f>ROUND(D$12*'B&amp;A KW'!E40,2)</f>
        <v>95165</v>
      </c>
      <c r="E53" s="13">
        <f>ROUND(E$12*'B&amp;A KW'!F40,2)</f>
        <v>93165.8</v>
      </c>
      <c r="F53" s="13">
        <f>ROUND(F$12*'B&amp;A KW'!G40,2)</f>
        <v>95541.6</v>
      </c>
      <c r="G53" s="13">
        <f>ROUND(G$12*'B&amp;A KW'!H40,2)</f>
        <v>99132.6</v>
      </c>
      <c r="H53" s="13">
        <f>ROUND(H$12*'B&amp;A KW'!I40,2)</f>
        <v>96668.6</v>
      </c>
      <c r="I53" s="13">
        <f>ROUND(I$12*'B&amp;A KW'!J40,2)</f>
        <v>96412.4</v>
      </c>
      <c r="J53" s="13">
        <f>ROUND(J$12*'B&amp;A KW'!K40,2)</f>
        <v>113325.4</v>
      </c>
      <c r="K53" s="13">
        <f>ROUND(K$12*'B&amp;A KW'!L40,2)</f>
        <v>112013</v>
      </c>
      <c r="L53" s="13">
        <f>(L$12*'B&amp;A KW'!M40*$M$1)+((M$12*'B&amp;A KW'!M40*$M$2))</f>
        <v>72374.281935483858</v>
      </c>
      <c r="M53" s="13">
        <f>ROUND(M$12*'B&amp;A KW'!N40,2)</f>
        <v>58779.24</v>
      </c>
      <c r="N53" s="13">
        <f>ROUND(N$12*'B&amp;A KW'!O40,2)</f>
        <v>56469.3</v>
      </c>
      <c r="O53" s="13">
        <f>ROUND(O$12*'B&amp;A KW'!P40,2)</f>
        <v>56036.34</v>
      </c>
      <c r="P53" s="13">
        <f t="shared" ref="P53" si="2">SUM(D53:O53)</f>
        <v>1045083.5619354838</v>
      </c>
      <c r="T53" s="24" t="s">
        <v>7</v>
      </c>
      <c r="U53" s="32">
        <v>40</v>
      </c>
    </row>
    <row r="54" spans="1:21" x14ac:dyDescent="0.25">
      <c r="A54" s="2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T54" s="24"/>
      <c r="U54" s="32">
        <v>41</v>
      </c>
    </row>
    <row r="55" spans="1:21" x14ac:dyDescent="0.25">
      <c r="A55" s="24" t="s">
        <v>6</v>
      </c>
      <c r="B55" s="13"/>
      <c r="C55" s="13"/>
      <c r="D55" s="13">
        <f>ROUND(D$14*'B&amp;A KW'!E42,2)</f>
        <v>0</v>
      </c>
      <c r="E55" s="13">
        <f>ROUND(E$14*'B&amp;A KW'!F42,2)</f>
        <v>0</v>
      </c>
      <c r="F55" s="13">
        <f>ROUND(F$14*'B&amp;A KW'!G42,2)</f>
        <v>0</v>
      </c>
      <c r="G55" s="13">
        <f>ROUND(G$14*'B&amp;A KW'!H42,2)</f>
        <v>0</v>
      </c>
      <c r="H55" s="13">
        <f>ROUND(H$14*'B&amp;A KW'!I42,2)</f>
        <v>0</v>
      </c>
      <c r="I55" s="13">
        <f>ROUND(I$14*'B&amp;A KW'!J42,2)</f>
        <v>0</v>
      </c>
      <c r="J55" s="13">
        <f>ROUND(J$14*'B&amp;A KW'!K42,2)</f>
        <v>0</v>
      </c>
      <c r="K55" s="13">
        <f>ROUND(K$14*'B&amp;A KW'!L42,2)</f>
        <v>0</v>
      </c>
      <c r="L55" s="13">
        <f>(L$12*'B&amp;A KW'!M42*$M$1)+((M$12*'B&amp;A KW'!M42*$M$2))</f>
        <v>0</v>
      </c>
      <c r="M55" s="13">
        <f>ROUND(M$14*'B&amp;A KW'!N42,2)</f>
        <v>0</v>
      </c>
      <c r="N55" s="13">
        <f>ROUND(N$14*'B&amp;A KW'!O42,2)</f>
        <v>0</v>
      </c>
      <c r="O55" s="13">
        <f>ROUND(O$14*'B&amp;A KW'!P42,2)</f>
        <v>0</v>
      </c>
      <c r="P55" s="13">
        <f t="shared" ref="P55" si="3">SUM(D55:O55)</f>
        <v>0</v>
      </c>
      <c r="T55" s="24" t="s">
        <v>6</v>
      </c>
      <c r="U55" s="32">
        <v>42</v>
      </c>
    </row>
    <row r="56" spans="1:21" x14ac:dyDescent="0.25">
      <c r="A56" s="24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T56" s="24"/>
      <c r="U56" s="32">
        <v>43</v>
      </c>
    </row>
    <row r="57" spans="1:21" x14ac:dyDescent="0.25">
      <c r="A57" s="24" t="s">
        <v>118</v>
      </c>
      <c r="B57" s="13"/>
      <c r="C57" s="13"/>
      <c r="D57" s="13">
        <f>ROUND(D$12*'B&amp;A KW'!E44,2)</f>
        <v>721</v>
      </c>
      <c r="E57" s="13">
        <f>ROUND(E$12*'B&amp;A KW'!F44,2)</f>
        <v>1435</v>
      </c>
      <c r="F57" s="13">
        <f>ROUND(F$12*'B&amp;A KW'!G44,2)</f>
        <v>1029</v>
      </c>
      <c r="G57" s="13">
        <f>ROUND(G$12*'B&amp;A KW'!H44,2)</f>
        <v>1012.2</v>
      </c>
      <c r="H57" s="13">
        <f>ROUND(H$12*'B&amp;A KW'!I44,2)</f>
        <v>1087.8</v>
      </c>
      <c r="I57" s="13">
        <f>ROUND(I$12*'B&amp;A KW'!J44,2)</f>
        <v>1019.2</v>
      </c>
      <c r="J57" s="13">
        <f>ROUND(J$12*'B&amp;A KW'!K44,2)</f>
        <v>1246.0999999999999</v>
      </c>
      <c r="K57" s="13">
        <f>ROUND(K$12*'B&amp;A KW'!L44,2)</f>
        <v>1239.3</v>
      </c>
      <c r="L57" s="13">
        <f>(L$12*'B&amp;A KW'!M44*$M$1)+((M$12*'B&amp;A KW'!M44*$M$2))</f>
        <v>783.22838709677421</v>
      </c>
      <c r="M57" s="13">
        <f>ROUND(M$12*'B&amp;A KW'!N44,2)</f>
        <v>638.78</v>
      </c>
      <c r="N57" s="13">
        <f>ROUND(N$12*'B&amp;A KW'!O44,2)</f>
        <v>708.48</v>
      </c>
      <c r="O57" s="13">
        <f>ROUND(O$12*'B&amp;A KW'!P44,2)</f>
        <v>704.38</v>
      </c>
      <c r="P57" s="13">
        <f t="shared" ref="P57" si="4">SUM(D57:O57)</f>
        <v>11624.468387096773</v>
      </c>
      <c r="T57" s="24" t="s">
        <v>118</v>
      </c>
      <c r="U57" s="32">
        <v>44</v>
      </c>
    </row>
    <row r="58" spans="1:21" x14ac:dyDescent="0.25">
      <c r="A58" s="24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T58" s="24"/>
      <c r="U58" s="32">
        <v>45</v>
      </c>
    </row>
    <row r="59" spans="1:21" x14ac:dyDescent="0.25">
      <c r="A59" s="24" t="s">
        <v>311</v>
      </c>
      <c r="B59" s="13"/>
      <c r="C59" s="13"/>
      <c r="D59" s="13">
        <f>ROUND(D$12*'B&amp;A KW'!E46,2)</f>
        <v>894.6</v>
      </c>
      <c r="E59" s="13">
        <f>ROUND(E$12*'B&amp;A KW'!F46,2)</f>
        <v>196</v>
      </c>
      <c r="F59" s="13">
        <f>ROUND(F$12*'B&amp;A KW'!G46,2)</f>
        <v>632.79999999999995</v>
      </c>
      <c r="G59" s="13">
        <f>ROUND(G$12*'B&amp;A KW'!H46,2)</f>
        <v>1213.8</v>
      </c>
      <c r="H59" s="13">
        <f>ROUND(H$12*'B&amp;A KW'!I46,2)</f>
        <v>165.2</v>
      </c>
      <c r="I59" s="13">
        <f>ROUND(I$12*'B&amp;A KW'!J46,2)</f>
        <v>3028.2</v>
      </c>
      <c r="J59" s="13">
        <f>ROUND(J$12*'B&amp;A KW'!K46,2)</f>
        <v>195.5</v>
      </c>
      <c r="K59" s="13">
        <f>ROUND(K$12*'B&amp;A KW'!L46,2)</f>
        <v>2014.5</v>
      </c>
      <c r="L59" s="13">
        <f>(L$12*'B&amp;A KW'!M46*$M$1)+((M$12*'B&amp;A KW'!M46*$M$2))</f>
        <v>125.6516129032258</v>
      </c>
      <c r="M59" s="13">
        <f>ROUND(M$12*'B&amp;A KW'!N46,2)</f>
        <v>669.94</v>
      </c>
      <c r="N59" s="13">
        <f>ROUND(N$12*'B&amp;A KW'!O46,2)</f>
        <v>298.48</v>
      </c>
      <c r="O59" s="13">
        <f>ROUND(O$12*'B&amp;A KW'!P46,2)</f>
        <v>-519.88</v>
      </c>
      <c r="P59" s="13">
        <f t="shared" ref="P59" si="5">SUM(D59:O59)</f>
        <v>8914.7916129032255</v>
      </c>
      <c r="T59" s="24" t="s">
        <v>241</v>
      </c>
      <c r="U59" s="32">
        <v>46</v>
      </c>
    </row>
    <row r="60" spans="1:21" x14ac:dyDescent="0.25">
      <c r="A60" s="24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T60" s="24"/>
      <c r="U60" s="32">
        <v>47</v>
      </c>
    </row>
    <row r="61" spans="1:21" x14ac:dyDescent="0.25">
      <c r="A61" s="24" t="s">
        <v>314</v>
      </c>
      <c r="B61" s="13"/>
      <c r="C61" s="13"/>
      <c r="D61" s="13">
        <f>ROUND(D$12*'B&amp;A KW'!E51,2)</f>
        <v>32179</v>
      </c>
      <c r="E61" s="13">
        <f>ROUND(E$12*'B&amp;A KW'!F51,2)</f>
        <v>35624.400000000001</v>
      </c>
      <c r="F61" s="13">
        <f>ROUND(F$12*'B&amp;A KW'!G51,2)</f>
        <v>32285.4</v>
      </c>
      <c r="G61" s="13">
        <f>ROUND(G$12*'B&amp;A KW'!H51,2)</f>
        <v>35833</v>
      </c>
      <c r="H61" s="13">
        <f>ROUND(H$12*'B&amp;A KW'!I51,2)</f>
        <v>37812.6</v>
      </c>
      <c r="I61" s="13">
        <f>ROUND(I$12*'B&amp;A KW'!J51,2)</f>
        <v>36436.400000000001</v>
      </c>
      <c r="J61" s="13">
        <f>ROUND(J$12*'B&amp;A KW'!K51,2)</f>
        <v>45014.3</v>
      </c>
      <c r="K61" s="13">
        <f>ROUND(K$12*'B&amp;A KW'!L51,2)</f>
        <v>46248.5</v>
      </c>
      <c r="L61" s="13">
        <f>(L$12*'B&amp;A KW'!M51*$M$1)+((M$12*'B&amp;A KW'!M51*$M$2))</f>
        <v>28499.879999999997</v>
      </c>
      <c r="M61" s="13">
        <f>ROUND(M$12*'B&amp;A KW'!N51,2)</f>
        <v>24549.98</v>
      </c>
      <c r="N61" s="13">
        <f>ROUND(N$12*'B&amp;A KW'!O51,2)</f>
        <v>24219.52</v>
      </c>
      <c r="O61" s="13">
        <f>ROUND(O$12*'B&amp;A KW'!P51,2)</f>
        <v>23065.78</v>
      </c>
      <c r="P61" s="13">
        <f t="shared" ref="P61" si="6">SUM(D61:O61)</f>
        <v>401768.76</v>
      </c>
      <c r="T61" s="24"/>
      <c r="U61" s="32">
        <v>48</v>
      </c>
    </row>
    <row r="62" spans="1:21" x14ac:dyDescent="0.25">
      <c r="A62" s="2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T62" s="24" t="s">
        <v>283</v>
      </c>
      <c r="U62" s="32">
        <v>49</v>
      </c>
    </row>
    <row r="63" spans="1:21" x14ac:dyDescent="0.25">
      <c r="A63" s="24" t="s">
        <v>4</v>
      </c>
      <c r="B63" s="13"/>
      <c r="C63" s="13"/>
      <c r="D63" s="13">
        <f>ROUND(D$12*'B&amp;A KW'!E53,2)</f>
        <v>4256</v>
      </c>
      <c r="E63" s="13">
        <f>ROUND(E$12*'B&amp;A KW'!F53,2)</f>
        <v>4692.8</v>
      </c>
      <c r="F63" s="13">
        <f>ROUND(F$12*'B&amp;A KW'!G53,2)</f>
        <v>5976.6</v>
      </c>
      <c r="G63" s="13">
        <f>ROUND(G$12*'B&amp;A KW'!H53,2)</f>
        <v>2035.6</v>
      </c>
      <c r="H63" s="13">
        <f>ROUND(H$12*'B&amp;A KW'!I53,2)</f>
        <v>3999.8</v>
      </c>
      <c r="I63" s="13">
        <f>ROUND(I$12*'B&amp;A KW'!J53,2)</f>
        <v>2947</v>
      </c>
      <c r="J63" s="13">
        <f>ROUND(J$12*'B&amp;A KW'!K53,2)</f>
        <v>3332</v>
      </c>
      <c r="K63" s="13">
        <f>ROUND(K$12*'B&amp;A KW'!L53,2)</f>
        <v>3213</v>
      </c>
      <c r="L63" s="13">
        <f>(L$12*'B&amp;A KW'!M53*$M$1)+((M$12*'B&amp;A KW'!M53*$M$2))</f>
        <v>2039.744516129032</v>
      </c>
      <c r="M63" s="13">
        <f>ROUND(M$12*'B&amp;A KW'!N53,2)</f>
        <v>1634.26</v>
      </c>
      <c r="N63" s="13">
        <f>ROUND(N$12*'B&amp;A KW'!O53,2)</f>
        <v>1832.7</v>
      </c>
      <c r="O63" s="13">
        <f>ROUND(O$12*'B&amp;A KW'!P53,2)</f>
        <v>1777.76</v>
      </c>
      <c r="P63" s="13">
        <f t="shared" ref="P63" si="7">SUM(D63:O63)</f>
        <v>37737.264516129027</v>
      </c>
      <c r="T63" s="24" t="s">
        <v>284</v>
      </c>
      <c r="U63" s="32">
        <v>50</v>
      </c>
    </row>
    <row r="64" spans="1:21" x14ac:dyDescent="0.25">
      <c r="A64" s="24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T64" s="24" t="s">
        <v>5</v>
      </c>
      <c r="U64" s="32">
        <v>51</v>
      </c>
    </row>
    <row r="65" spans="1:21" x14ac:dyDescent="0.25">
      <c r="A65" s="24" t="s">
        <v>3</v>
      </c>
      <c r="B65" s="13"/>
      <c r="C65" s="13"/>
      <c r="D65" s="13">
        <f>ROUND(D$12*'B&amp;A KW'!E55,2)</f>
        <v>0</v>
      </c>
      <c r="E65" s="13">
        <f>ROUND(E$12*'B&amp;A KW'!F55,2)</f>
        <v>0</v>
      </c>
      <c r="F65" s="13">
        <f>ROUND(F$12*'B&amp;A KW'!G55,2)</f>
        <v>0</v>
      </c>
      <c r="G65" s="13">
        <f>ROUND(G$12*'B&amp;A KW'!H55,2)</f>
        <v>0</v>
      </c>
      <c r="H65" s="13">
        <f>ROUND(H$12*'B&amp;A KW'!I55,2)</f>
        <v>0</v>
      </c>
      <c r="I65" s="13">
        <f>ROUND(I$12*'B&amp;A KW'!J55,2)</f>
        <v>0</v>
      </c>
      <c r="J65" s="13">
        <f>ROUND(J$12*'B&amp;A KW'!K55,2)</f>
        <v>0</v>
      </c>
      <c r="K65" s="13">
        <f>ROUND(K$12*'B&amp;A KW'!L55,2)</f>
        <v>0</v>
      </c>
      <c r="L65" s="13">
        <f>(L$12*'B&amp;A KW'!M55*$M$1)+((M$12*'B&amp;A KW'!M55*$M$2))</f>
        <v>0</v>
      </c>
      <c r="M65" s="13">
        <f>ROUND(M$12*'B&amp;A KW'!N55,2)</f>
        <v>0</v>
      </c>
      <c r="N65" s="13">
        <f>ROUND(N$12*'B&amp;A KW'!O55,2)</f>
        <v>0</v>
      </c>
      <c r="O65" s="13">
        <f>ROUND(O$12*'B&amp;A KW'!P55,2)</f>
        <v>0</v>
      </c>
      <c r="P65" s="13">
        <f t="shared" ref="P65:P69" si="8">SUM(D65:O65)</f>
        <v>0</v>
      </c>
      <c r="T65" s="24"/>
      <c r="U65" s="32">
        <v>52</v>
      </c>
    </row>
    <row r="66" spans="1:21" x14ac:dyDescent="0.25">
      <c r="A66" s="24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T66" s="24" t="s">
        <v>4</v>
      </c>
      <c r="U66" s="32">
        <v>53</v>
      </c>
    </row>
    <row r="67" spans="1:21" x14ac:dyDescent="0.25">
      <c r="A67" s="24" t="s">
        <v>119</v>
      </c>
      <c r="B67" s="13"/>
      <c r="C67" s="13"/>
      <c r="D67" s="13">
        <f>D12*'B&amp;A KW'!E57</f>
        <v>40028.799999999996</v>
      </c>
      <c r="E67" s="13">
        <f>E12*'B&amp;A KW'!F57</f>
        <v>39037.599999999999</v>
      </c>
      <c r="F67" s="13">
        <f>F12*'B&amp;A KW'!G57</f>
        <v>38585.399999999994</v>
      </c>
      <c r="G67" s="13">
        <f>G12*'B&amp;A KW'!H57</f>
        <v>34057.799999999996</v>
      </c>
      <c r="H67" s="13">
        <f>H12*'B&amp;A KW'!I57</f>
        <v>36708</v>
      </c>
      <c r="I67" s="13">
        <f>I12*'B&amp;A KW'!J57</f>
        <v>40898.199999999997</v>
      </c>
      <c r="J67" s="13">
        <f>J12*'B&amp;A KW'!K57</f>
        <v>48103.199999999997</v>
      </c>
      <c r="K67" s="13">
        <f>K12*'B&amp;A KW'!L57</f>
        <v>45604.2</v>
      </c>
      <c r="L67" s="13">
        <f>(L$12*'B&amp;A KW'!M57*$M$1)+((M$12*'B&amp;A KW'!M57*$M$2))</f>
        <v>30240.154838709677</v>
      </c>
      <c r="M67" s="13">
        <f>M12*'B&amp;A KW'!N57</f>
        <v>23463.48</v>
      </c>
      <c r="N67" s="13">
        <f>N12*'B&amp;A KW'!O57</f>
        <v>22188.379999999997</v>
      </c>
      <c r="O67" s="13">
        <f>O12*'B&amp;A KW'!P57</f>
        <v>24929.64</v>
      </c>
      <c r="P67" s="13">
        <f t="shared" si="8"/>
        <v>423844.8548387097</v>
      </c>
      <c r="T67" s="24"/>
      <c r="U67" s="32">
        <v>54</v>
      </c>
    </row>
    <row r="68" spans="1:21" x14ac:dyDescent="0.25">
      <c r="A68" s="24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T68" s="24" t="s">
        <v>3</v>
      </c>
      <c r="U68" s="32">
        <v>55</v>
      </c>
    </row>
    <row r="69" spans="1:21" x14ac:dyDescent="0.25">
      <c r="A69" s="24" t="s">
        <v>120</v>
      </c>
      <c r="B69" s="13"/>
      <c r="C69" s="13"/>
      <c r="D69" s="13">
        <f>D12*'B&amp;A KW'!E59</f>
        <v>753.19999999999993</v>
      </c>
      <c r="E69" s="13">
        <f>E12*'B&amp;A KW'!F59</f>
        <v>687.4</v>
      </c>
      <c r="F69" s="13">
        <f>F12*'B&amp;A KW'!G59</f>
        <v>644</v>
      </c>
      <c r="G69" s="13">
        <f>G12*'B&amp;A KW'!H59</f>
        <v>634.19999999999993</v>
      </c>
      <c r="H69" s="13">
        <f>H12*'B&amp;A KW'!I59</f>
        <v>634.19999999999993</v>
      </c>
      <c r="I69" s="13">
        <f>I12*'B&amp;A KW'!J59</f>
        <v>806.4</v>
      </c>
      <c r="J69" s="13">
        <f>J12*'B&amp;A KW'!K59</f>
        <v>931.6</v>
      </c>
      <c r="K69" s="13">
        <f>K12*'B&amp;A KW'!L59</f>
        <v>906.1</v>
      </c>
      <c r="L69" s="13">
        <f>(L$12*'B&amp;A KW'!M59*$M$1)+((M$12*'B&amp;A KW'!M59*$M$2))</f>
        <v>529.83096774193541</v>
      </c>
      <c r="M69" s="13">
        <f>M12*'B&amp;A KW'!N59</f>
        <v>510.85999999999996</v>
      </c>
      <c r="N69" s="13">
        <f>N12*'B&amp;A KW'!O59</f>
        <v>527.26</v>
      </c>
      <c r="O69" s="13">
        <f>O12*'B&amp;A KW'!P59</f>
        <v>437.06</v>
      </c>
      <c r="P69" s="13">
        <f t="shared" si="8"/>
        <v>8002.1109677419363</v>
      </c>
      <c r="T69" s="24"/>
      <c r="U69" s="32">
        <v>56</v>
      </c>
    </row>
    <row r="70" spans="1:21" x14ac:dyDescent="0.25">
      <c r="A70" s="24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T70" s="24" t="s">
        <v>119</v>
      </c>
      <c r="U70" s="32">
        <v>57</v>
      </c>
    </row>
    <row r="71" spans="1:21" x14ac:dyDescent="0.25">
      <c r="A71" s="24" t="s">
        <v>242</v>
      </c>
      <c r="B71" s="13"/>
      <c r="C71" s="13"/>
      <c r="D71" s="13">
        <f>ROUND(D$16*'B&amp;A KW'!E61,2)</f>
        <v>17471.5</v>
      </c>
      <c r="E71" s="13">
        <f>ROUND(E$16*'B&amp;A KW'!F61,2)</f>
        <v>10663.84</v>
      </c>
      <c r="F71" s="13">
        <f>ROUND(F$16*'B&amp;A KW'!G61,2)</f>
        <v>13968.9</v>
      </c>
      <c r="G71" s="13">
        <f>ROUND(G$16*'B&amp;A KW'!H61,2)</f>
        <v>17351.98</v>
      </c>
      <c r="H71" s="13">
        <f>ROUND(H$16*'B&amp;A KW'!I61,2)</f>
        <v>10773.4</v>
      </c>
      <c r="I71" s="13">
        <f>ROUND(I$16*'B&amp;A KW'!J61,2)</f>
        <v>13995.46</v>
      </c>
      <c r="J71" s="13">
        <f>ROUND(J$16*'B&amp;A KW'!K61,2)</f>
        <v>26146.52</v>
      </c>
      <c r="K71" s="13">
        <f>ROUND(K$16*'B&amp;A KW'!L61,2)</f>
        <v>17783.400000000001</v>
      </c>
      <c r="L71" s="13">
        <f>(L$16*'B&amp;A KW'!M61*$M$4)+(M$16*'B&amp;A KW'!M61*$M$5)</f>
        <v>11497.81935483871</v>
      </c>
      <c r="M71" s="13">
        <f>ROUND(M$16*'B&amp;A KW'!N61,2)</f>
        <v>7240.48</v>
      </c>
      <c r="N71" s="13">
        <f>ROUND(N$16*'B&amp;A KW'!O61,2)</f>
        <v>7242.56</v>
      </c>
      <c r="O71" s="13">
        <f>ROUND(O$16*'B&amp;A KW'!P61,2)</f>
        <v>1523.6</v>
      </c>
      <c r="P71" s="13">
        <f t="shared" ref="P71" si="9">SUM(D71:O71)</f>
        <v>155659.45935483873</v>
      </c>
      <c r="Q71" s="26" t="s">
        <v>287</v>
      </c>
      <c r="T71" s="24"/>
      <c r="U71" s="32">
        <v>58</v>
      </c>
    </row>
    <row r="72" spans="1:21" x14ac:dyDescent="0.25">
      <c r="A72" s="24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T72" s="24" t="s">
        <v>120</v>
      </c>
      <c r="U72" s="32">
        <v>59</v>
      </c>
    </row>
    <row r="73" spans="1:21" x14ac:dyDescent="0.25">
      <c r="A73" s="24" t="s">
        <v>122</v>
      </c>
      <c r="B73" s="13"/>
      <c r="C73" s="13"/>
      <c r="D73" s="13">
        <f>ROUND(D$16*'B&amp;A KW'!E63,2)</f>
        <v>31712.639999999999</v>
      </c>
      <c r="E73" s="13">
        <f>ROUND(E$16*'B&amp;A KW'!F63,2)</f>
        <v>31473.599999999999</v>
      </c>
      <c r="F73" s="13">
        <f>ROUND(F$16*'B&amp;A KW'!G63,2)</f>
        <v>31872</v>
      </c>
      <c r="G73" s="13">
        <f>ROUND(G$16*'B&amp;A KW'!H63,2)</f>
        <v>31792.32</v>
      </c>
      <c r="H73" s="13">
        <f>ROUND(H$16*'B&amp;A KW'!I63,2)</f>
        <v>31712.639999999999</v>
      </c>
      <c r="I73" s="13">
        <f>ROUND(I$16*'B&amp;A KW'!J63,2)</f>
        <v>31712.639999999999</v>
      </c>
      <c r="J73" s="13">
        <f>ROUND(J$16*'B&amp;A KW'!K63,2)</f>
        <v>40933.919999999998</v>
      </c>
      <c r="K73" s="13">
        <f>ROUND(K$16*'B&amp;A KW'!L63,2)</f>
        <v>40779.839999999997</v>
      </c>
      <c r="L73" s="13">
        <f>(L$16*'B&amp;A KW'!M63*$M$4)+(M$16*'B&amp;A KW'!M63*$M$5)</f>
        <v>25227.685161290327</v>
      </c>
      <c r="M73" s="13">
        <f>ROUND(M$16*'B&amp;A KW'!N63,2)</f>
        <v>19818.240000000002</v>
      </c>
      <c r="N73" s="13">
        <f>ROUND(N$16*'B&amp;A KW'!O63,2)</f>
        <v>19718.400000000001</v>
      </c>
      <c r="O73" s="13">
        <f>ROUND(O$16*'B&amp;A KW'!P63,2)</f>
        <v>19718.400000000001</v>
      </c>
      <c r="P73" s="13">
        <f t="shared" ref="P73" si="10">SUM(D73:O73)</f>
        <v>356472.32516129036</v>
      </c>
      <c r="Q73" s="26" t="s">
        <v>288</v>
      </c>
      <c r="T73" s="24"/>
      <c r="U73" s="32">
        <v>60</v>
      </c>
    </row>
    <row r="74" spans="1:21" x14ac:dyDescent="0.25">
      <c r="A74" s="24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T74" s="24" t="s">
        <v>242</v>
      </c>
      <c r="U74" s="32">
        <v>61</v>
      </c>
    </row>
    <row r="75" spans="1:21" x14ac:dyDescent="0.25">
      <c r="A75" s="24" t="s">
        <v>243</v>
      </c>
      <c r="B75" s="13"/>
      <c r="C75" s="13"/>
      <c r="D75" s="13">
        <f>ROUND(D$16*'B&amp;A KW'!E65,2)</f>
        <v>6065.64</v>
      </c>
      <c r="E75" s="13">
        <f>ROUND(E$16*'B&amp;A KW'!F65,2)</f>
        <v>5926.2</v>
      </c>
      <c r="F75" s="13">
        <f>ROUND(F$16*'B&amp;A KW'!G65,2)</f>
        <v>6414.24</v>
      </c>
      <c r="G75" s="13">
        <f>ROUND(G$16*'B&amp;A KW'!H65,2)</f>
        <v>5786.76</v>
      </c>
      <c r="H75" s="13">
        <f>ROUND(H$16*'B&amp;A KW'!I65,2)</f>
        <v>6553.68</v>
      </c>
      <c r="I75" s="13">
        <f>ROUND(I$16*'B&amp;A KW'!J65,2)</f>
        <v>6205.08</v>
      </c>
      <c r="J75" s="13">
        <f>ROUND(J$16*'B&amp;A KW'!K65,2)</f>
        <v>8089.2</v>
      </c>
      <c r="K75" s="13">
        <f>ROUND(K$16*'B&amp;A KW'!L65,2)</f>
        <v>8358.84</v>
      </c>
      <c r="L75" s="13">
        <f>(L$16*'B&amp;A KW'!M65*$M$4)+(M$16*'B&amp;A KW'!M65*$M$5)</f>
        <v>5282.2451612903233</v>
      </c>
      <c r="M75" s="13">
        <f>ROUND(M$16*'B&amp;A KW'!N65,2)</f>
        <v>4062.24</v>
      </c>
      <c r="N75" s="13">
        <f>ROUND(N$16*'B&amp;A KW'!O65,2)</f>
        <v>4280.6400000000003</v>
      </c>
      <c r="O75" s="13">
        <f>ROUND(O$16*'B&amp;A KW'!P65,2)</f>
        <v>4368</v>
      </c>
      <c r="P75" s="13">
        <f t="shared" ref="P75:P77" si="11">SUM(D75:O75)</f>
        <v>71392.765161290328</v>
      </c>
      <c r="Q75" s="26" t="s">
        <v>289</v>
      </c>
      <c r="T75" s="24"/>
      <c r="U75" s="32">
        <v>62</v>
      </c>
    </row>
    <row r="76" spans="1:21" x14ac:dyDescent="0.25">
      <c r="A76" s="24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T76" s="24" t="s">
        <v>122</v>
      </c>
      <c r="U76" s="32">
        <v>63</v>
      </c>
    </row>
    <row r="77" spans="1:21" x14ac:dyDescent="0.25">
      <c r="A77" s="24" t="s">
        <v>244</v>
      </c>
      <c r="B77" s="13"/>
      <c r="C77" s="13"/>
      <c r="D77" s="13">
        <f>ROUND(D$16*'B&amp;A KW'!E67,2)</f>
        <v>36712.559999999998</v>
      </c>
      <c r="E77" s="13">
        <f>ROUND(E$16*'B&amp;A KW'!F67,2)</f>
        <v>17509.68</v>
      </c>
      <c r="F77" s="13">
        <f>ROUND(F$16*'B&amp;A KW'!G67,2)</f>
        <v>0</v>
      </c>
      <c r="G77" s="13">
        <f>ROUND(G$16*'B&amp;A KW'!H67,2)</f>
        <v>17210.88</v>
      </c>
      <c r="H77" s="13">
        <f>ROUND(H$16*'B&amp;A KW'!I67,2)</f>
        <v>33804.239999999998</v>
      </c>
      <c r="I77" s="13">
        <f>ROUND(I$16*'B&amp;A KW'!J67,2)</f>
        <v>17051.52</v>
      </c>
      <c r="J77" s="13">
        <f>ROUND(J$16*'B&amp;A KW'!K67,2)</f>
        <v>22957.919999999998</v>
      </c>
      <c r="K77" s="13">
        <f>ROUND(K$16*'B&amp;A KW'!L67,2)</f>
        <v>23137.68</v>
      </c>
      <c r="L77" s="13">
        <f>(L$16*'B&amp;A KW'!M67*$M$4)+(M$16*'B&amp;A KW'!M67*$M$5)</f>
        <v>14583.762580645165</v>
      </c>
      <c r="M77" s="13">
        <f>ROUND(M$16*'B&amp;A KW'!N67,2)</f>
        <v>11494.08</v>
      </c>
      <c r="N77" s="13">
        <f>ROUND(N$16*'B&amp;A KW'!O67,2)</f>
        <v>11494.08</v>
      </c>
      <c r="O77" s="13">
        <f>ROUND(O$16*'B&amp;A KW'!P67,2)</f>
        <v>11681.28</v>
      </c>
      <c r="P77" s="13">
        <f t="shared" si="11"/>
        <v>217637.68258064511</v>
      </c>
      <c r="Q77" s="26" t="s">
        <v>288</v>
      </c>
      <c r="T77" s="24"/>
      <c r="U77" s="32">
        <v>64</v>
      </c>
    </row>
    <row r="78" spans="1:21" x14ac:dyDescent="0.25">
      <c r="A78" s="24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T78" s="24" t="s">
        <v>243</v>
      </c>
      <c r="U78" s="32">
        <v>65</v>
      </c>
    </row>
    <row r="79" spans="1:21" x14ac:dyDescent="0.25">
      <c r="A79" s="24" t="s">
        <v>123</v>
      </c>
      <c r="B79" s="13"/>
      <c r="C79" s="13"/>
      <c r="D79" s="13">
        <f>ROUND(D$16*'B&amp;A KW'!E69,2)</f>
        <v>4291.1000000000004</v>
      </c>
      <c r="E79" s="13">
        <f>ROUND(E$16*'B&amp;A KW'!F69,2)</f>
        <v>4372.4399999999996</v>
      </c>
      <c r="F79" s="13">
        <f>ROUND(F$16*'B&amp;A KW'!G69,2)</f>
        <v>4579.9399999999996</v>
      </c>
      <c r="G79" s="13">
        <f>ROUND(G$16*'B&amp;A KW'!H69,2)</f>
        <v>4387.38</v>
      </c>
      <c r="H79" s="13">
        <f>ROUND(H$16*'B&amp;A KW'!I69,2)</f>
        <v>4460.42</v>
      </c>
      <c r="I79" s="13">
        <f>ROUND(I$16*'B&amp;A KW'!J69,2)</f>
        <v>4838.8999999999996</v>
      </c>
      <c r="J79" s="13">
        <f>ROUND(J$16*'B&amp;A KW'!K69,2)</f>
        <v>5645.32</v>
      </c>
      <c r="K79" s="13">
        <f>ROUND(K$16*'B&amp;A KW'!L69,2)</f>
        <v>5587.54</v>
      </c>
      <c r="L79" s="13">
        <f>(L$16*'B&amp;A KW'!M69*$M$4)+(M$16*'B&amp;A KW'!M69*$M$5)</f>
        <v>3569.1561290322584</v>
      </c>
      <c r="M79" s="13">
        <f>ROUND(M$16*'B&amp;A KW'!N69,2)</f>
        <v>3231.28</v>
      </c>
      <c r="N79" s="13">
        <f>ROUND(N$16*'B&amp;A KW'!O69,2)</f>
        <v>2869.36</v>
      </c>
      <c r="O79" s="13">
        <f>ROUND(O$16*'B&amp;A KW'!P69,2)</f>
        <v>2824.64</v>
      </c>
      <c r="P79" s="13">
        <f t="shared" ref="P79" si="12">SUM(D79:O79)</f>
        <v>50657.476129032257</v>
      </c>
      <c r="T79" s="24"/>
      <c r="U79" s="32">
        <v>66</v>
      </c>
    </row>
    <row r="80" spans="1:21" x14ac:dyDescent="0.25">
      <c r="A80" s="24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T80" s="24" t="s">
        <v>244</v>
      </c>
      <c r="U80" s="32">
        <v>67</v>
      </c>
    </row>
    <row r="81" spans="1:21" x14ac:dyDescent="0.25">
      <c r="A81" s="24" t="s">
        <v>124</v>
      </c>
      <c r="B81" s="13"/>
      <c r="C81" s="13"/>
      <c r="D81" s="13">
        <f>ROUND(D$16*'B&amp;A KW'!E71,2)</f>
        <v>90418.54</v>
      </c>
      <c r="E81" s="13">
        <f>ROUND(E$16*'B&amp;A KW'!F71,2)</f>
        <v>82865.539999999994</v>
      </c>
      <c r="F81" s="13">
        <f>ROUND(F$16*'B&amp;A KW'!G71,2)</f>
        <v>94219.94</v>
      </c>
      <c r="G81" s="13">
        <f>ROUND(G$16*'B&amp;A KW'!H71,2)</f>
        <v>96849.38</v>
      </c>
      <c r="H81" s="13">
        <f>ROUND(H$16*'B&amp;A KW'!I71,2)</f>
        <v>99342.7</v>
      </c>
      <c r="I81" s="13">
        <f>ROUND(I$16*'B&amp;A KW'!J71,2)</f>
        <v>92564.92</v>
      </c>
      <c r="J81" s="13">
        <f>ROUND(J$16*'B&amp;A KW'!K71,2)</f>
        <v>115594.24000000001</v>
      </c>
      <c r="K81" s="13">
        <f>ROUND(K$16*'B&amp;A KW'!L71,2)</f>
        <v>107860.28</v>
      </c>
      <c r="L81" s="13">
        <f>(L$16*'B&amp;A KW'!M71*$M$4)+(M$16*'B&amp;A KW'!M71*$M$5)</f>
        <v>75432.843870967743</v>
      </c>
      <c r="M81" s="13">
        <f>ROUND(M$16*'B&amp;A KW'!N71,2)</f>
        <v>57397.599999999999</v>
      </c>
      <c r="N81" s="13">
        <f>ROUND(N$16*'B&amp;A KW'!O71,2)</f>
        <v>55353.07</v>
      </c>
      <c r="O81" s="13">
        <f>ROUND(O$16*'B&amp;A KW'!P71,2)</f>
        <v>64519.86</v>
      </c>
      <c r="P81" s="13">
        <f t="shared" ref="P81" si="13">SUM(D81:O81)</f>
        <v>1032418.9138709677</v>
      </c>
      <c r="Q81" s="13">
        <f>P81+P71</f>
        <v>1188078.3732258065</v>
      </c>
      <c r="T81" s="24"/>
      <c r="U81" s="32">
        <v>68</v>
      </c>
    </row>
    <row r="82" spans="1:21" x14ac:dyDescent="0.25">
      <c r="A82" s="24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T82" s="24" t="s">
        <v>123</v>
      </c>
      <c r="U82" s="32">
        <v>69</v>
      </c>
    </row>
    <row r="83" spans="1:21" x14ac:dyDescent="0.25">
      <c r="A83" s="24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T83" s="24"/>
      <c r="U83" s="32"/>
    </row>
    <row r="84" spans="1:21" x14ac:dyDescent="0.25">
      <c r="A84" s="24" t="s">
        <v>125</v>
      </c>
      <c r="B84" s="13"/>
      <c r="C84" s="13"/>
      <c r="D84" s="13">
        <f>ROUND(D$16*'B&amp;A KW'!E75,2)</f>
        <v>317689.14</v>
      </c>
      <c r="E84" s="13">
        <f>ROUND(E$16*'B&amp;A KW'!F75,2)</f>
        <v>140925.70000000001</v>
      </c>
      <c r="F84" s="13">
        <f>ROUND(F$16*'B&amp;A KW'!G75,2)</f>
        <v>350814.44</v>
      </c>
      <c r="G84" s="13">
        <f>ROUND(G$16*'B&amp;A KW'!H75,2)</f>
        <v>349153.58</v>
      </c>
      <c r="H84" s="13">
        <f>ROUND(H$16*'B&amp;A KW'!I75,2)</f>
        <v>422066.62</v>
      </c>
      <c r="I84" s="13">
        <f>ROUND(I$16*'B&amp;A KW'!J75,2)</f>
        <v>349400.12</v>
      </c>
      <c r="J84" s="13">
        <f>ROUND(J$16*'B&amp;A KW'!K75,2)</f>
        <v>481233.48</v>
      </c>
      <c r="K84" s="13">
        <f>ROUND(K$16*'B&amp;A KW'!L75,2)</f>
        <v>446607.3</v>
      </c>
      <c r="L84" s="13">
        <f>(L$16*'B&amp;A KW'!M75*$M$4)+(M$16*'B&amp;A KW'!M75*$M$5)</f>
        <v>284460.15483870974</v>
      </c>
      <c r="M84" s="13">
        <f>ROUND(M$16*'B&amp;A KW'!N75,2)</f>
        <v>369981.04</v>
      </c>
      <c r="N84" s="13">
        <f>ROUND(N$16*'B&amp;A KW'!O75,2)</f>
        <v>211076.32</v>
      </c>
      <c r="O84" s="13">
        <f>ROUND(O$16*'B&amp;A KW'!P75,2)</f>
        <v>244148.32</v>
      </c>
      <c r="P84" s="13">
        <f t="shared" ref="P84:P86" si="14">SUM(D84:O84)</f>
        <v>3967556.2148387092</v>
      </c>
      <c r="Q84" s="13">
        <f>P84+P77+P73</f>
        <v>4541666.2225806452</v>
      </c>
      <c r="T84" s="24"/>
      <c r="U84" s="32">
        <v>70</v>
      </c>
    </row>
    <row r="85" spans="1:21" x14ac:dyDescent="0.25">
      <c r="A85" s="24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>
        <f t="shared" si="14"/>
        <v>0</v>
      </c>
      <c r="T85" s="24" t="s">
        <v>124</v>
      </c>
      <c r="U85" s="32">
        <v>71</v>
      </c>
    </row>
    <row r="86" spans="1:21" x14ac:dyDescent="0.25">
      <c r="A86" s="24" t="s">
        <v>126</v>
      </c>
      <c r="B86" s="13"/>
      <c r="C86" s="13"/>
      <c r="D86" s="13">
        <f>ROUND(D$16*'B&amp;A KW'!E79,2)</f>
        <v>52257.04</v>
      </c>
      <c r="E86" s="13">
        <f>ROUND(E$16*'B&amp;A KW'!F79,2)</f>
        <v>44097.9</v>
      </c>
      <c r="F86" s="13">
        <f>ROUND(F$16*'B&amp;A KW'!G79,2)</f>
        <v>62454.18</v>
      </c>
      <c r="G86" s="13">
        <f>ROUND(G$16*'B&amp;A KW'!H79,2)</f>
        <v>59572.42</v>
      </c>
      <c r="H86" s="13">
        <f>ROUND(H$16*'B&amp;A KW'!I79,2)</f>
        <v>57477.5</v>
      </c>
      <c r="I86" s="13">
        <f>ROUND(I$16*'B&amp;A KW'!J79,2)</f>
        <v>43354.22</v>
      </c>
      <c r="J86" s="13">
        <f>ROUND(J$16*'B&amp;A KW'!K79,2)</f>
        <v>72158.66</v>
      </c>
      <c r="K86" s="13">
        <f>ROUND(K$16*'B&amp;A KW'!L79,2)</f>
        <v>70063.600000000006</v>
      </c>
      <c r="L86" s="13">
        <f>(L$16*'B&amp;A KW'!M79*$M$4)+(M$16*'B&amp;A KW'!M79*$M$5)</f>
        <v>48547.672258064529</v>
      </c>
      <c r="M86" s="13">
        <f>ROUND(M$16*'B&amp;A KW'!N79,2)</f>
        <v>29702.400000000001</v>
      </c>
      <c r="N86" s="13">
        <f>ROUND(N$16*'B&amp;A KW'!O79,2)</f>
        <v>29727.360000000001</v>
      </c>
      <c r="O86" s="13">
        <f>ROUND(O$16*'B&amp;A KW'!P79,2)</f>
        <v>39085.279999999999</v>
      </c>
      <c r="P86" s="13">
        <f t="shared" si="14"/>
        <v>608498.23225806456</v>
      </c>
      <c r="Q86" s="13">
        <f>P86+P75</f>
        <v>679890.99741935486</v>
      </c>
      <c r="T86" s="24"/>
      <c r="U86" s="32">
        <v>72</v>
      </c>
    </row>
    <row r="87" spans="1:21" x14ac:dyDescent="0.25">
      <c r="A87" s="24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T87" s="24" t="s">
        <v>279</v>
      </c>
      <c r="U87" s="32">
        <v>73</v>
      </c>
    </row>
    <row r="88" spans="1:21" x14ac:dyDescent="0.25">
      <c r="A88" s="24" t="s">
        <v>2</v>
      </c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T88" s="24" t="s">
        <v>278</v>
      </c>
      <c r="U88" s="32">
        <v>74</v>
      </c>
    </row>
    <row r="89" spans="1:21" x14ac:dyDescent="0.25">
      <c r="A89" s="24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T89" s="24" t="s">
        <v>280</v>
      </c>
      <c r="U89" s="32">
        <v>75</v>
      </c>
    </row>
    <row r="90" spans="1:21" x14ac:dyDescent="0.25">
      <c r="A90" s="24" t="s">
        <v>1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T90" s="24"/>
      <c r="U90" s="32">
        <v>76</v>
      </c>
    </row>
    <row r="91" spans="1:21" x14ac:dyDescent="0.25">
      <c r="A91" s="24"/>
      <c r="B91" s="13"/>
      <c r="C91" s="13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13"/>
      <c r="T91" s="24" t="s">
        <v>281</v>
      </c>
      <c r="U91" s="32">
        <v>77</v>
      </c>
    </row>
    <row r="92" spans="1:21" x14ac:dyDescent="0.25">
      <c r="A92" s="152" t="s">
        <v>0</v>
      </c>
      <c r="B92" s="44"/>
      <c r="C92" s="44"/>
      <c r="D92" s="44">
        <f>SUM(D23:D90)-D31</f>
        <v>730615.76</v>
      </c>
      <c r="E92" s="44">
        <f t="shared" ref="E92:N92" si="15">SUM(E23:E90)-E31</f>
        <v>512673.9</v>
      </c>
      <c r="F92" s="44">
        <f t="shared" si="15"/>
        <v>739018.44000000006</v>
      </c>
      <c r="G92" s="44">
        <f t="shared" si="15"/>
        <v>756023.9</v>
      </c>
      <c r="H92" s="44">
        <f t="shared" si="15"/>
        <v>843267.39999999991</v>
      </c>
      <c r="I92" s="44">
        <f t="shared" si="15"/>
        <v>740670.65999999992</v>
      </c>
      <c r="J92" s="44">
        <f t="shared" si="15"/>
        <v>984907.36</v>
      </c>
      <c r="K92" s="44">
        <f t="shared" si="15"/>
        <v>931417.08</v>
      </c>
      <c r="L92" s="44">
        <f t="shared" si="15"/>
        <v>603194.1116129033</v>
      </c>
      <c r="M92" s="44">
        <f t="shared" si="15"/>
        <v>613173.9</v>
      </c>
      <c r="N92" s="44">
        <f t="shared" si="15"/>
        <v>448005.91000000003</v>
      </c>
      <c r="O92" s="44">
        <f>SUM(O23:O90)-O31</f>
        <v>494300.45999999996</v>
      </c>
      <c r="P92" s="44">
        <f>SUM(D92:O92)</f>
        <v>8397268.8816129044</v>
      </c>
      <c r="T92" s="24" t="s">
        <v>282</v>
      </c>
      <c r="U92" s="32">
        <v>78</v>
      </c>
    </row>
    <row r="93" spans="1:21" x14ac:dyDescent="0.25">
      <c r="A93" s="24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T93" s="24" t="s">
        <v>126</v>
      </c>
      <c r="U93" s="32">
        <v>79</v>
      </c>
    </row>
    <row r="94" spans="1:21" x14ac:dyDescent="0.25">
      <c r="A94" s="66"/>
      <c r="B94" s="66"/>
      <c r="C94" s="66"/>
      <c r="D94" s="66"/>
      <c r="E94" s="66"/>
      <c r="F94" s="66"/>
      <c r="G94" s="66"/>
      <c r="H94" s="66"/>
      <c r="I94" s="66"/>
      <c r="J94" s="66"/>
      <c r="K94" s="66"/>
      <c r="L94" s="66"/>
      <c r="M94" s="66"/>
      <c r="N94" s="66"/>
      <c r="O94" s="66"/>
      <c r="P94" s="67">
        <f>SUM(P53:P86)</f>
        <v>8397268.8816129025</v>
      </c>
      <c r="Q94" s="26">
        <f>PPA!P91</f>
        <v>12889836.083723873</v>
      </c>
    </row>
    <row r="95" spans="1:21" x14ac:dyDescent="0.25">
      <c r="A95" s="66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</row>
    <row r="96" spans="1:21" x14ac:dyDescent="0.25">
      <c r="A96" s="66" t="s">
        <v>286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</row>
  </sheetData>
  <pageMargins left="0.7" right="0.28999999999999998" top="0.75" bottom="0.75" header="0.3" footer="0.3"/>
  <pageSetup scale="34" orientation="portrait" r:id="rId1"/>
  <headerFooter>
    <oddFooter>&amp;L&amp;F
&amp;A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62465" r:id="rId4">
          <objectPr defaultSize="0" r:id="rId5">
            <anchor moveWithCells="1">
              <from>
                <xdr:col>0</xdr:col>
                <xdr:colOff>0</xdr:colOff>
                <xdr:row>97</xdr:row>
                <xdr:rowOff>0</xdr:rowOff>
              </from>
              <to>
                <xdr:col>0</xdr:col>
                <xdr:colOff>762000</xdr:colOff>
                <xdr:row>98</xdr:row>
                <xdr:rowOff>114300</xdr:rowOff>
              </to>
            </anchor>
          </objectPr>
        </oleObject>
      </mc:Choice>
      <mc:Fallback>
        <oleObject progId="Packager Shell Object" dvAspect="DVASPECT_ICON" shapeId="6246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81"/>
  <sheetViews>
    <sheetView zoomScale="90" zoomScaleNormal="90" workbookViewId="0">
      <pane xSplit="1" ySplit="10" topLeftCell="I1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M43" sqref="M43"/>
    </sheetView>
  </sheetViews>
  <sheetFormatPr defaultColWidth="9.140625" defaultRowHeight="15.75" outlineLevelCol="1" x14ac:dyDescent="0.25"/>
  <cols>
    <col min="1" max="1" width="18.42578125" style="26" bestFit="1" customWidth="1"/>
    <col min="2" max="2" width="10.42578125" style="26" hidden="1" customWidth="1" outlineLevel="1"/>
    <col min="3" max="3" width="10.5703125" style="26" hidden="1" customWidth="1" outlineLevel="1"/>
    <col min="4" max="5" width="12.7109375" style="26" customWidth="1" outlineLevel="1"/>
    <col min="6" max="7" width="13.5703125" style="26" customWidth="1" outlineLevel="1"/>
    <col min="8" max="13" width="12.7109375" style="26" customWidth="1" outlineLevel="1"/>
    <col min="14" max="15" width="14.28515625" style="26" customWidth="1" outlineLevel="1"/>
    <col min="16" max="16" width="15.42578125" style="26" customWidth="1"/>
    <col min="17" max="17" width="8" style="26" customWidth="1"/>
    <col min="18" max="18" width="9.140625" style="26" customWidth="1"/>
    <col min="19" max="19" width="16.85546875" style="73" customWidth="1"/>
    <col min="20" max="20" width="9.140625" style="26" customWidth="1"/>
    <col min="21" max="16384" width="9.140625" style="26"/>
  </cols>
  <sheetData>
    <row r="1" spans="1:21" x14ac:dyDescent="0.25">
      <c r="A1" s="26" t="s">
        <v>70</v>
      </c>
      <c r="D1" s="150"/>
    </row>
    <row r="2" spans="1:21" x14ac:dyDescent="0.25">
      <c r="A2" s="26" t="s">
        <v>71</v>
      </c>
    </row>
    <row r="3" spans="1:21" x14ac:dyDescent="0.25">
      <c r="A3" s="26" t="str">
        <f>'B&amp;A kWh'!B3</f>
        <v>TEST YEAR ENDED March 31, 2023</v>
      </c>
    </row>
    <row r="4" spans="1:21" x14ac:dyDescent="0.25">
      <c r="A4" s="26" t="s">
        <v>81</v>
      </c>
    </row>
    <row r="5" spans="1:21" x14ac:dyDescent="0.25">
      <c r="A5" s="26" t="s">
        <v>89</v>
      </c>
    </row>
    <row r="6" spans="1:21" x14ac:dyDescent="0.25">
      <c r="A6" s="26" t="s">
        <v>131</v>
      </c>
    </row>
    <row r="7" spans="1:21" x14ac:dyDescent="0.25">
      <c r="D7" s="26">
        <v>2022</v>
      </c>
      <c r="O7" s="26">
        <v>2023</v>
      </c>
      <c r="P7" s="32" t="s">
        <v>293</v>
      </c>
      <c r="Q7" s="32"/>
    </row>
    <row r="8" spans="1:21" x14ac:dyDescent="0.25">
      <c r="A8" s="154" t="s">
        <v>22</v>
      </c>
      <c r="B8" s="59" t="s">
        <v>107</v>
      </c>
      <c r="C8" s="59" t="s">
        <v>108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  <c r="Q8" s="151"/>
    </row>
    <row r="9" spans="1:21" s="155" customFormat="1" x14ac:dyDescent="0.25">
      <c r="A9" s="26" t="s">
        <v>87</v>
      </c>
      <c r="D9" s="60">
        <v>1.3899999999999999E-4</v>
      </c>
      <c r="E9" s="60">
        <v>1.3899999999999999E-4</v>
      </c>
      <c r="F9" s="60">
        <v>1.3899999999999999E-4</v>
      </c>
      <c r="G9" s="60">
        <v>1.3899999999999999E-4</v>
      </c>
      <c r="H9" s="60">
        <v>1.3899999999999999E-4</v>
      </c>
      <c r="I9" s="60">
        <v>1.3899999999999999E-4</v>
      </c>
      <c r="J9" s="60">
        <v>1.3899999999999999E-4</v>
      </c>
      <c r="K9" s="60">
        <v>1.3899999999999999E-4</v>
      </c>
      <c r="L9" s="60">
        <v>1.3899999999999999E-4</v>
      </c>
      <c r="M9" s="60">
        <v>2.4699999999999999E-4</v>
      </c>
      <c r="N9" s="60">
        <v>2.4699999999999999E-4</v>
      </c>
      <c r="O9" s="60">
        <v>2.4699999999999999E-4</v>
      </c>
      <c r="P9" s="26"/>
      <c r="Q9" s="26"/>
      <c r="S9" s="73"/>
    </row>
    <row r="10" spans="1:21" s="155" customFormat="1" x14ac:dyDescent="0.25">
      <c r="A10" s="26" t="s">
        <v>88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1.26E-4</v>
      </c>
      <c r="N10" s="60">
        <v>1.26E-4</v>
      </c>
      <c r="O10" s="60">
        <v>1.26E-4</v>
      </c>
      <c r="P10" s="26"/>
      <c r="Q10" s="26"/>
      <c r="S10" s="73"/>
    </row>
    <row r="11" spans="1:21" x14ac:dyDescent="0.25">
      <c r="T11" s="26" t="s">
        <v>277</v>
      </c>
    </row>
    <row r="12" spans="1:21" x14ac:dyDescent="0.25">
      <c r="A12" s="24" t="s">
        <v>21</v>
      </c>
      <c r="B12" s="13">
        <f>ROUND(B$9*'B&amp;A kWh'!C10,2)</f>
        <v>0</v>
      </c>
      <c r="C12" s="13">
        <f>ROUND(C$9*'B&amp;A kWh'!D10,2)</f>
        <v>0</v>
      </c>
      <c r="D12" s="13">
        <f>ROUND(D$9*'B&amp;A kWh'!E10,2)</f>
        <v>17455.490000000002</v>
      </c>
      <c r="E12" s="13">
        <f>ROUND(E$9*'B&amp;A kWh'!F10,2)</f>
        <v>15798.96</v>
      </c>
      <c r="F12" s="13">
        <f>ROUND(F$9*'B&amp;A kWh'!G10,2)</f>
        <v>19844.53</v>
      </c>
      <c r="G12" s="13">
        <f>ROUND(G$9*'B&amp;A kWh'!H10,2)</f>
        <v>22885.919999999998</v>
      </c>
      <c r="H12" s="13">
        <f>ROUND(H$9*'B&amp;A kWh'!I10,2)</f>
        <v>22445.07</v>
      </c>
      <c r="I12" s="13">
        <f>ROUND(I$9*'B&amp;A kWh'!J10,2)</f>
        <v>16754.12</v>
      </c>
      <c r="J12" s="13">
        <f>ROUND(J$9*'B&amp;A kWh'!K10,2)</f>
        <v>15993.47</v>
      </c>
      <c r="K12" s="13">
        <f>ROUND(K$9*'B&amp;A kWh'!L10,2)</f>
        <v>20352.740000000002</v>
      </c>
      <c r="L12" s="13">
        <f>ROUND(L$9*'B&amp;A kWh'!M10,2)</f>
        <v>30820.74</v>
      </c>
      <c r="M12" s="13">
        <f>ROUND(M$9*'B&amp;A kWh'!N10,2)</f>
        <v>52985.62</v>
      </c>
      <c r="N12" s="13">
        <f>ROUND(N$9*'B&amp;A kWh'!O10,2)</f>
        <v>39666.14</v>
      </c>
      <c r="O12" s="13">
        <f>ROUND(O$9*'B&amp;A kWh'!P10,2)</f>
        <v>37636.980000000003</v>
      </c>
      <c r="P12" s="13">
        <f>SUM(D12:O12)</f>
        <v>312639.77999999997</v>
      </c>
      <c r="Q12" s="13"/>
      <c r="T12" s="26">
        <v>10</v>
      </c>
      <c r="U12" s="26" t="s">
        <v>21</v>
      </c>
    </row>
    <row r="13" spans="1:21" x14ac:dyDescent="0.25">
      <c r="A13" s="24"/>
      <c r="T13" s="26">
        <v>11</v>
      </c>
    </row>
    <row r="14" spans="1:21" x14ac:dyDescent="0.25">
      <c r="A14" s="24" t="s">
        <v>20</v>
      </c>
      <c r="B14" s="13">
        <f>ROUND(B$9*'B&amp;A kWh'!C12,2)</f>
        <v>0</v>
      </c>
      <c r="C14" s="13">
        <f>ROUND(C$9*'B&amp;A kWh'!D12,2)</f>
        <v>0</v>
      </c>
      <c r="D14" s="13">
        <f>ROUND(D$9*'B&amp;A kWh'!E12,2)</f>
        <v>24.55</v>
      </c>
      <c r="E14" s="13">
        <f>ROUND(E$9*'B&amp;A kWh'!F12,2)</f>
        <v>22.13</v>
      </c>
      <c r="F14" s="13">
        <f>ROUND(F$9*'B&amp;A kWh'!G12,2)</f>
        <v>27.87</v>
      </c>
      <c r="G14" s="13">
        <f>ROUND(G$9*'B&amp;A kWh'!H12,2)</f>
        <v>33.619999999999997</v>
      </c>
      <c r="H14" s="13">
        <f>ROUND(H$9*'B&amp;A kWh'!I12,2)</f>
        <v>31.95</v>
      </c>
      <c r="I14" s="13">
        <f>ROUND(I$9*'B&amp;A kWh'!J12,2)</f>
        <v>26.28</v>
      </c>
      <c r="J14" s="13">
        <f>ROUND(J$9*'B&amp;A kWh'!K12,2)</f>
        <v>22.33</v>
      </c>
      <c r="K14" s="13">
        <f>ROUND(K$9*'B&amp;A kWh'!L12,2)</f>
        <v>27.81</v>
      </c>
      <c r="L14" s="13">
        <f>ROUND(L$9*'B&amp;A kWh'!M12,2)</f>
        <v>50.25</v>
      </c>
      <c r="M14" s="13">
        <f>ROUND(M$9*'B&amp;A kWh'!N12,2)</f>
        <v>93.9</v>
      </c>
      <c r="N14" s="13">
        <f>ROUND(N$9*'B&amp;A kWh'!O12,2)</f>
        <v>59.72</v>
      </c>
      <c r="O14" s="13">
        <f>ROUND(O$9*'B&amp;A kWh'!P12,2)</f>
        <v>52.59</v>
      </c>
      <c r="P14" s="13">
        <f t="shared" ref="P14" si="0">SUM(D14:O14)</f>
        <v>473</v>
      </c>
      <c r="Q14" s="13"/>
      <c r="T14" s="26">
        <v>12</v>
      </c>
      <c r="U14" s="26" t="s">
        <v>20</v>
      </c>
    </row>
    <row r="15" spans="1:21" x14ac:dyDescent="0.25">
      <c r="A15" s="24"/>
      <c r="T15" s="26">
        <v>13</v>
      </c>
    </row>
    <row r="16" spans="1:21" x14ac:dyDescent="0.25">
      <c r="A16" s="24" t="s">
        <v>19</v>
      </c>
      <c r="B16" s="13">
        <f>ROUND(B$9*'B&amp;A kWh'!C14,2)</f>
        <v>0</v>
      </c>
      <c r="C16" s="13">
        <f>ROUND(C$9*'B&amp;A kWh'!D14,2)</f>
        <v>0</v>
      </c>
      <c r="D16" s="13">
        <f>ROUND(D$9*'B&amp;A kWh'!E14,2)</f>
        <v>0.73</v>
      </c>
      <c r="E16" s="13">
        <f>ROUND(E$9*'B&amp;A kWh'!F14,2)</f>
        <v>0.65</v>
      </c>
      <c r="F16" s="13">
        <f>ROUND(F$9*'B&amp;A kWh'!G14,2)</f>
        <v>0.92</v>
      </c>
      <c r="G16" s="13">
        <f>ROUND(G$9*'B&amp;A kWh'!H14,2)</f>
        <v>1.07</v>
      </c>
      <c r="H16" s="13">
        <f>ROUND(H$9*'B&amp;A kWh'!I14,2)</f>
        <v>1.27</v>
      </c>
      <c r="I16" s="13">
        <f>ROUND(I$9*'B&amp;A kWh'!J14,2)</f>
        <v>1.0900000000000001</v>
      </c>
      <c r="J16" s="13">
        <f>ROUND(J$9*'B&amp;A kWh'!K14,2)</f>
        <v>1.06</v>
      </c>
      <c r="K16" s="13">
        <f>ROUND(K$9*'B&amp;A kWh'!L14,2)</f>
        <v>0.62</v>
      </c>
      <c r="L16" s="13">
        <f>ROUND(L$9*'B&amp;A kWh'!M14,2)</f>
        <v>2.3199999999999998</v>
      </c>
      <c r="M16" s="13">
        <f>ROUND(M$9*'B&amp;A kWh'!N14,2)</f>
        <v>4.3899999999999997</v>
      </c>
      <c r="N16" s="13">
        <f>ROUND(N$9*'B&amp;A kWh'!O14,2)</f>
        <v>3</v>
      </c>
      <c r="O16" s="13">
        <f>ROUND(O$9*'B&amp;A kWh'!P14,2)</f>
        <v>2.48</v>
      </c>
      <c r="P16" s="13">
        <f t="shared" ref="P16" si="1">SUM(D16:O16)</f>
        <v>19.600000000000001</v>
      </c>
      <c r="Q16" s="13"/>
      <c r="T16" s="26">
        <v>14</v>
      </c>
      <c r="U16" s="26" t="s">
        <v>19</v>
      </c>
    </row>
    <row r="17" spans="1:21" x14ac:dyDescent="0.25">
      <c r="A17" s="24"/>
      <c r="R17" s="26" t="s">
        <v>176</v>
      </c>
      <c r="S17" s="73">
        <f>SUM(P12:P16)</f>
        <v>313132.37999999995</v>
      </c>
      <c r="T17" s="26">
        <v>15</v>
      </c>
    </row>
    <row r="18" spans="1:21" x14ac:dyDescent="0.25">
      <c r="A18" s="43" t="s">
        <v>172</v>
      </c>
      <c r="D18" s="26">
        <f>ROUND(D$9*'B&amp;A kWh'!E16,2)</f>
        <v>0</v>
      </c>
      <c r="E18" s="26">
        <f>ROUND(E$9*'B&amp;A kWh'!F16,2)</f>
        <v>0</v>
      </c>
      <c r="F18" s="26">
        <f>ROUND(F$9*'B&amp;A kWh'!G16,2)</f>
        <v>0</v>
      </c>
      <c r="G18" s="26">
        <f>ROUND(G$9*'B&amp;A kWh'!H16,2)</f>
        <v>0</v>
      </c>
      <c r="H18" s="26">
        <f>ROUND(H$9*'B&amp;A kWh'!I16,2)</f>
        <v>0</v>
      </c>
      <c r="I18" s="26">
        <f>ROUND(I$9*'B&amp;A kWh'!J16,2)</f>
        <v>0</v>
      </c>
      <c r="J18" s="26">
        <f>ROUND(J$9*'B&amp;A kWh'!K16,2)</f>
        <v>0</v>
      </c>
      <c r="K18" s="26">
        <f>ROUND(K$9*'B&amp;A kWh'!L16,2)</f>
        <v>0</v>
      </c>
      <c r="L18" s="26">
        <f>ROUND(L$9*'B&amp;A kWh'!M16,2)</f>
        <v>0</v>
      </c>
      <c r="M18" s="26">
        <f>ROUND(M$9*'B&amp;A kWh'!N16,2)</f>
        <v>0</v>
      </c>
      <c r="N18" s="26">
        <f>ROUND(N$9*'B&amp;A kWh'!O16,2)</f>
        <v>0</v>
      </c>
      <c r="O18" s="26">
        <f>ROUND(O$9*'B&amp;A kWh'!P16,2)</f>
        <v>0</v>
      </c>
      <c r="P18" s="13">
        <f t="shared" ref="P18:P20" si="2">SUM(D18:O18)</f>
        <v>0</v>
      </c>
      <c r="T18" s="26">
        <v>16</v>
      </c>
      <c r="U18" s="26" t="s">
        <v>172</v>
      </c>
    </row>
    <row r="19" spans="1:21" x14ac:dyDescent="0.25">
      <c r="A19" s="43" t="s">
        <v>174</v>
      </c>
      <c r="D19" s="26">
        <f>D20-D18</f>
        <v>0</v>
      </c>
      <c r="E19" s="26">
        <f t="shared" ref="E19:O19" si="3">E20-E18</f>
        <v>0</v>
      </c>
      <c r="F19" s="26">
        <f t="shared" si="3"/>
        <v>0</v>
      </c>
      <c r="G19" s="26">
        <f t="shared" si="3"/>
        <v>0</v>
      </c>
      <c r="H19" s="26">
        <f t="shared" si="3"/>
        <v>0</v>
      </c>
      <c r="I19" s="26">
        <f t="shared" si="3"/>
        <v>0</v>
      </c>
      <c r="J19" s="26">
        <f t="shared" si="3"/>
        <v>0</v>
      </c>
      <c r="K19" s="26">
        <f t="shared" si="3"/>
        <v>0</v>
      </c>
      <c r="L19" s="26">
        <f t="shared" si="3"/>
        <v>0</v>
      </c>
      <c r="M19" s="26">
        <f t="shared" si="3"/>
        <v>185.91</v>
      </c>
      <c r="N19" s="26">
        <f t="shared" si="3"/>
        <v>151.34</v>
      </c>
      <c r="O19" s="26">
        <f t="shared" si="3"/>
        <v>152.55000000000001</v>
      </c>
      <c r="P19" s="13">
        <f t="shared" si="2"/>
        <v>489.8</v>
      </c>
      <c r="T19" s="26">
        <v>17</v>
      </c>
      <c r="U19" s="26" t="s">
        <v>174</v>
      </c>
    </row>
    <row r="20" spans="1:21" x14ac:dyDescent="0.25">
      <c r="A20" s="24" t="s">
        <v>18</v>
      </c>
      <c r="B20" s="13" t="e">
        <f>ROUND(B$10*'Comm kWh (DSM)'!C18,2)</f>
        <v>#REF!</v>
      </c>
      <c r="C20" s="13" t="e">
        <f>ROUND(C$10*'Comm kWh (DSM)'!D18,2)</f>
        <v>#REF!</v>
      </c>
      <c r="D20" s="13">
        <f>ROUND(D$10*'Comm kWh (DSM)'!E18,2)</f>
        <v>0</v>
      </c>
      <c r="E20" s="13">
        <f>ROUND(E$10*'Comm kWh (DSM)'!F18,2)</f>
        <v>0</v>
      </c>
      <c r="F20" s="13">
        <f>ROUND(F$10*'Comm kWh (DSM)'!G18,2)</f>
        <v>0</v>
      </c>
      <c r="G20" s="13">
        <f>ROUND(G$10*'Comm kWh (DSM)'!H18,2)</f>
        <v>0</v>
      </c>
      <c r="H20" s="13">
        <f>ROUND(H$10*'Comm kWh (DSM)'!I18,2)</f>
        <v>0</v>
      </c>
      <c r="I20" s="13">
        <f>ROUND(I$10*'Comm kWh (DSM)'!J18,2)</f>
        <v>0</v>
      </c>
      <c r="J20" s="13">
        <f>ROUND(J$10*'Comm kWh (DSM)'!K18,2)</f>
        <v>0</v>
      </c>
      <c r="K20" s="13">
        <f>ROUND(K$10*'Comm kWh (DSM)'!L18,2)</f>
        <v>0</v>
      </c>
      <c r="L20" s="13">
        <f>ROUND(L$10*'Comm kWh (DSM)'!M18,2)</f>
        <v>0</v>
      </c>
      <c r="M20" s="13">
        <f>ROUND(M$10*'Comm kWh (DSM)'!N18,2)</f>
        <v>185.91</v>
      </c>
      <c r="N20" s="13">
        <f>ROUND(N$10*'Comm kWh (DSM)'!O18,2)</f>
        <v>151.34</v>
      </c>
      <c r="O20" s="13">
        <f>ROUND(O$10*'Comm kWh (DSM)'!P18,2)</f>
        <v>152.55000000000001</v>
      </c>
      <c r="P20" s="13">
        <f t="shared" si="2"/>
        <v>489.8</v>
      </c>
      <c r="Q20" s="13"/>
      <c r="T20" s="26">
        <v>18</v>
      </c>
      <c r="U20" s="26" t="s">
        <v>18</v>
      </c>
    </row>
    <row r="21" spans="1:21" x14ac:dyDescent="0.25">
      <c r="A21" s="24"/>
      <c r="T21" s="26">
        <v>19</v>
      </c>
    </row>
    <row r="22" spans="1:21" x14ac:dyDescent="0.25">
      <c r="A22" s="24" t="s">
        <v>17</v>
      </c>
      <c r="B22" s="13">
        <f>ROUND(B$10*'Comm kWh (DSM)'!C20,2)</f>
        <v>0</v>
      </c>
      <c r="C22" s="13">
        <f>ROUND(C$10*'Comm kWh (DSM)'!D20,2)</f>
        <v>0</v>
      </c>
      <c r="D22" s="13">
        <f>ROUND(D$10*'Comm kWh (DSM)'!E20,2)</f>
        <v>0</v>
      </c>
      <c r="E22" s="13">
        <f>ROUND(E$10*'Comm kWh (DSM)'!F20,2)</f>
        <v>0</v>
      </c>
      <c r="F22" s="13">
        <f>ROUND(F$10*'Comm kWh (DSM)'!G20,2)</f>
        <v>0</v>
      </c>
      <c r="G22" s="13">
        <f>ROUND(G$10*'Comm kWh (DSM)'!H20,2)</f>
        <v>0</v>
      </c>
      <c r="H22" s="13">
        <f>ROUND(H$10*'Comm kWh (DSM)'!I20,2)</f>
        <v>0</v>
      </c>
      <c r="I22" s="13">
        <f>ROUND(I$10*'Comm kWh (DSM)'!J20,2)</f>
        <v>0</v>
      </c>
      <c r="J22" s="13">
        <f>ROUND(J$10*'Comm kWh (DSM)'!K20,2)</f>
        <v>0</v>
      </c>
      <c r="K22" s="13">
        <f>ROUND(K$10*'Comm kWh (DSM)'!L20,2)</f>
        <v>0</v>
      </c>
      <c r="L22" s="13">
        <f>ROUND(L$10*'Comm kWh (DSM)'!M20,2)</f>
        <v>0</v>
      </c>
      <c r="M22" s="13">
        <f>ROUND(M$10*'Comm kWh (DSM)'!N20,2)</f>
        <v>1949.25</v>
      </c>
      <c r="N22" s="13">
        <f>ROUND(N$10*'Comm kWh (DSM)'!O20,2)</f>
        <v>1602.14</v>
      </c>
      <c r="O22" s="13">
        <f>ROUND(O$10*'Comm kWh (DSM)'!P20,2)</f>
        <v>1367.41</v>
      </c>
      <c r="P22" s="13">
        <f t="shared" ref="P22" si="4">SUM(D22:O22)</f>
        <v>4918.8</v>
      </c>
      <c r="Q22" s="13"/>
      <c r="T22" s="26">
        <v>20</v>
      </c>
      <c r="U22" s="26" t="s">
        <v>17</v>
      </c>
    </row>
    <row r="23" spans="1:21" x14ac:dyDescent="0.25">
      <c r="A23" s="24"/>
      <c r="T23" s="26">
        <v>21</v>
      </c>
    </row>
    <row r="24" spans="1:21" x14ac:dyDescent="0.25">
      <c r="A24" s="24" t="s">
        <v>16</v>
      </c>
      <c r="B24" s="13">
        <f>ROUND(B$10*'Comm kWh (DSM)'!C22,2)</f>
        <v>0</v>
      </c>
      <c r="C24" s="13">
        <f>ROUND(C$10*'Comm kWh (DSM)'!D22,2)</f>
        <v>0</v>
      </c>
      <c r="D24" s="13">
        <f>ROUND(D$10*'Comm kWh (DSM)'!E22,2)</f>
        <v>0</v>
      </c>
      <c r="E24" s="13">
        <f>ROUND(E$10*'Comm kWh (DSM)'!F22,2)</f>
        <v>0</v>
      </c>
      <c r="F24" s="13">
        <f>ROUND(F$10*'Comm kWh (DSM)'!G22,2)</f>
        <v>0</v>
      </c>
      <c r="G24" s="13">
        <f>ROUND(G$10*'Comm kWh (DSM)'!H22,2)</f>
        <v>0</v>
      </c>
      <c r="H24" s="13">
        <f>ROUND(H$10*'Comm kWh (DSM)'!I22,2)</f>
        <v>0</v>
      </c>
      <c r="I24" s="13">
        <f>ROUND(I$10*'Comm kWh (DSM)'!J22,2)</f>
        <v>0</v>
      </c>
      <c r="J24" s="13">
        <f>ROUND(J$10*'Comm kWh (DSM)'!K22,2)</f>
        <v>0</v>
      </c>
      <c r="K24" s="13">
        <f>ROUND(K$10*'Comm kWh (DSM)'!L22,2)</f>
        <v>0</v>
      </c>
      <c r="L24" s="13">
        <f>ROUND(L$10*'Comm kWh (DSM)'!M22,2)</f>
        <v>0</v>
      </c>
      <c r="M24" s="13">
        <f>ROUND(M$10*'Comm kWh (DSM)'!N22,2)</f>
        <v>10.28</v>
      </c>
      <c r="N24" s="13">
        <f>ROUND(N$10*'Comm kWh (DSM)'!O22,2)</f>
        <v>8.9499999999999993</v>
      </c>
      <c r="O24" s="13">
        <f>ROUND(O$10*'Comm kWh (DSM)'!P22,2)</f>
        <v>8.76</v>
      </c>
      <c r="P24" s="13">
        <f t="shared" ref="P24" si="5">SUM(D24:O24)</f>
        <v>27.989999999999995</v>
      </c>
      <c r="Q24" s="13"/>
      <c r="T24" s="26">
        <v>22</v>
      </c>
      <c r="U24" s="26" t="s">
        <v>16</v>
      </c>
    </row>
    <row r="25" spans="1:21" x14ac:dyDescent="0.25">
      <c r="A25" s="24"/>
      <c r="R25" s="26" t="s">
        <v>18</v>
      </c>
      <c r="S25" s="73">
        <f>P20</f>
        <v>489.8</v>
      </c>
      <c r="T25" s="26">
        <v>23</v>
      </c>
    </row>
    <row r="26" spans="1:21" x14ac:dyDescent="0.25">
      <c r="A26" s="24" t="s">
        <v>15</v>
      </c>
      <c r="B26" s="13">
        <f>ROUND(B$10*'Comm kWh (DSM)'!C24,2)</f>
        <v>0</v>
      </c>
      <c r="C26" s="13">
        <f>ROUND(C$10*'Comm kWh (DSM)'!D24,2)</f>
        <v>0</v>
      </c>
      <c r="D26" s="13">
        <f>ROUND(D$10*'Comm kWh (DSM)'!E24,2)</f>
        <v>0</v>
      </c>
      <c r="E26" s="13">
        <f>ROUND(E$10*'Comm kWh (DSM)'!F24,2)</f>
        <v>0</v>
      </c>
      <c r="F26" s="13">
        <f>ROUND(F$10*'Comm kWh (DSM)'!G24,2)</f>
        <v>0</v>
      </c>
      <c r="G26" s="13">
        <f>ROUND(G$10*'Comm kWh (DSM)'!H24,2)</f>
        <v>0</v>
      </c>
      <c r="H26" s="13">
        <f>ROUND(H$10*'Comm kWh (DSM)'!I24,2)</f>
        <v>0</v>
      </c>
      <c r="I26" s="13">
        <f>ROUND(I$10*'Comm kWh (DSM)'!J24,2)</f>
        <v>0</v>
      </c>
      <c r="J26" s="13">
        <f>ROUND(J$10*'Comm kWh (DSM)'!K24,2)</f>
        <v>0</v>
      </c>
      <c r="K26" s="13">
        <f>ROUND(K$10*'Comm kWh (DSM)'!L24,2)</f>
        <v>0</v>
      </c>
      <c r="L26" s="13">
        <f>ROUND(L$10*'Comm kWh (DSM)'!M24,2)</f>
        <v>0</v>
      </c>
      <c r="M26" s="13">
        <f>ROUND(M$10*'Comm kWh (DSM)'!N24,2)</f>
        <v>86.99</v>
      </c>
      <c r="N26" s="13">
        <f>ROUND(N$10*'Comm kWh (DSM)'!O24,2)</f>
        <v>74.34</v>
      </c>
      <c r="O26" s="13">
        <f>ROUND(O$10*'Comm kWh (DSM)'!P24,2)</f>
        <v>75.040000000000006</v>
      </c>
      <c r="P26" s="13">
        <f t="shared" ref="P26" si="6">SUM(D26:O26)</f>
        <v>236.37</v>
      </c>
      <c r="Q26" s="13"/>
      <c r="T26" s="26">
        <v>24</v>
      </c>
      <c r="U26" s="26" t="s">
        <v>15</v>
      </c>
    </row>
    <row r="27" spans="1:21" x14ac:dyDescent="0.25">
      <c r="A27" s="24"/>
      <c r="T27" s="26">
        <v>25</v>
      </c>
    </row>
    <row r="28" spans="1:21" x14ac:dyDescent="0.25">
      <c r="A28" s="24" t="s">
        <v>14</v>
      </c>
      <c r="B28" s="13">
        <f>ROUND(B$10*'Comm kWh (DSM)'!C26,2)</f>
        <v>0</v>
      </c>
      <c r="C28" s="13">
        <f>ROUND(C$10*'Comm kWh (DSM)'!D26,2)</f>
        <v>0</v>
      </c>
      <c r="D28" s="13">
        <f>ROUND(D$10*'Comm kWh (DSM)'!E26,2)</f>
        <v>0</v>
      </c>
      <c r="E28" s="13">
        <f>ROUND(E$10*'Comm kWh (DSM)'!F26,2)</f>
        <v>0</v>
      </c>
      <c r="F28" s="13">
        <f>ROUND(F$10*'Comm kWh (DSM)'!G26,2)</f>
        <v>0</v>
      </c>
      <c r="G28" s="13">
        <f>ROUND(G$10*'Comm kWh (DSM)'!H26,2)</f>
        <v>0</v>
      </c>
      <c r="H28" s="13">
        <f>ROUND(H$10*'Comm kWh (DSM)'!I26,2)</f>
        <v>0</v>
      </c>
      <c r="I28" s="13">
        <f>ROUND(I$10*'Comm kWh (DSM)'!J26,2)</f>
        <v>0</v>
      </c>
      <c r="J28" s="13">
        <f>ROUND(J$10*'Comm kWh (DSM)'!K26,2)</f>
        <v>0</v>
      </c>
      <c r="K28" s="13">
        <f>ROUND(K$10*'Comm kWh (DSM)'!L26,2)</f>
        <v>0</v>
      </c>
      <c r="L28" s="13">
        <f>ROUND(L$10*'Comm kWh (DSM)'!M26,2)</f>
        <v>0</v>
      </c>
      <c r="M28" s="13">
        <f>ROUND(M$10*'Comm kWh (DSM)'!N26,2)</f>
        <v>53.15</v>
      </c>
      <c r="N28" s="13">
        <f>ROUND(N$10*'Comm kWh (DSM)'!O26,2)</f>
        <v>29.95</v>
      </c>
      <c r="O28" s="13">
        <f>ROUND(O$10*'Comm kWh (DSM)'!P26,2)</f>
        <v>29.86</v>
      </c>
      <c r="P28" s="13">
        <f t="shared" ref="P28" si="7">SUM(D28:O28)</f>
        <v>112.96</v>
      </c>
      <c r="Q28" s="13"/>
      <c r="T28" s="26">
        <v>26</v>
      </c>
      <c r="U28" s="26" t="s">
        <v>14</v>
      </c>
    </row>
    <row r="29" spans="1:21" x14ac:dyDescent="0.25">
      <c r="A29" s="24"/>
      <c r="R29" s="26" t="s">
        <v>177</v>
      </c>
      <c r="S29" s="73">
        <f>SUM(P22:P28)</f>
        <v>5296.12</v>
      </c>
      <c r="T29" s="26">
        <v>27</v>
      </c>
    </row>
    <row r="30" spans="1:21" x14ac:dyDescent="0.25">
      <c r="A30" s="24" t="s">
        <v>13</v>
      </c>
      <c r="B30" s="13">
        <f>ROUND(B$10*'Comm kWh (DSM)'!C28,2)</f>
        <v>0</v>
      </c>
      <c r="C30" s="13">
        <f>ROUND(C$10*'Comm kWh (DSM)'!D28,2)</f>
        <v>0</v>
      </c>
      <c r="D30" s="13">
        <f>ROUND(D$10*'Comm kWh (DSM)'!E28,2)</f>
        <v>0</v>
      </c>
      <c r="E30" s="13">
        <f>ROUND(E$10*'Comm kWh (DSM)'!F28,2)</f>
        <v>0</v>
      </c>
      <c r="F30" s="13">
        <f>ROUND(F$10*'Comm kWh (DSM)'!G28,2)</f>
        <v>0</v>
      </c>
      <c r="G30" s="13">
        <f>ROUND(G$10*'Comm kWh (DSM)'!H28,2)</f>
        <v>0</v>
      </c>
      <c r="H30" s="13">
        <f>ROUND(H$10*'Comm kWh (DSM)'!I28,2)</f>
        <v>0</v>
      </c>
      <c r="I30" s="13">
        <f>ROUND(I$10*'Comm kWh (DSM)'!J28,2)</f>
        <v>0</v>
      </c>
      <c r="J30" s="13">
        <f>ROUND(J$10*'Comm kWh (DSM)'!K28,2)</f>
        <v>0</v>
      </c>
      <c r="K30" s="13">
        <f>ROUND(K$10*'Comm kWh (DSM)'!L28,2)</f>
        <v>0</v>
      </c>
      <c r="L30" s="13">
        <f>ROUND(L$10*'Comm kWh (DSM)'!M28,2)</f>
        <v>0</v>
      </c>
      <c r="M30" s="13">
        <f>ROUND(M$10*'Comm kWh (DSM)'!N28,2)</f>
        <v>16.47</v>
      </c>
      <c r="N30" s="13">
        <f>ROUND(N$10*'Comm kWh (DSM)'!O28,2)</f>
        <v>14.95</v>
      </c>
      <c r="O30" s="13">
        <f>ROUND(O$10*'Comm kWh (DSM)'!P28,2)</f>
        <v>17.77</v>
      </c>
      <c r="P30" s="13">
        <f t="shared" ref="P30" si="8">SUM(D30:O30)</f>
        <v>49.19</v>
      </c>
      <c r="Q30" s="13"/>
      <c r="T30" s="26">
        <v>28</v>
      </c>
      <c r="U30" s="26" t="s">
        <v>13</v>
      </c>
    </row>
    <row r="31" spans="1:21" x14ac:dyDescent="0.25">
      <c r="A31" s="24"/>
      <c r="T31" s="26">
        <v>29</v>
      </c>
    </row>
    <row r="32" spans="1:21" x14ac:dyDescent="0.25">
      <c r="A32" s="24" t="s">
        <v>12</v>
      </c>
      <c r="B32" s="13">
        <f>ROUND(B$10*'Comm kWh (DSM)'!C30,2)</f>
        <v>0</v>
      </c>
      <c r="C32" s="13">
        <f>ROUND(C$10*'Comm kWh (DSM)'!D30,2)</f>
        <v>0</v>
      </c>
      <c r="D32" s="13">
        <f>ROUND(D$10*'Comm kWh (DSM)'!E30,2)</f>
        <v>0</v>
      </c>
      <c r="E32" s="13">
        <f>ROUND(E$10*'Comm kWh (DSM)'!F30,2)</f>
        <v>0</v>
      </c>
      <c r="F32" s="13">
        <f>ROUND(F$10*'Comm kWh (DSM)'!G30,2)</f>
        <v>0</v>
      </c>
      <c r="G32" s="13">
        <f>ROUND(G$10*'Comm kWh (DSM)'!H30,2)</f>
        <v>0</v>
      </c>
      <c r="H32" s="13">
        <f>ROUND(H$10*'Comm kWh (DSM)'!I30,2)</f>
        <v>0</v>
      </c>
      <c r="I32" s="13">
        <f>ROUND(I$10*'Comm kWh (DSM)'!J30,2)</f>
        <v>0</v>
      </c>
      <c r="J32" s="13">
        <f>ROUND(J$10*'Comm kWh (DSM)'!K30,2)</f>
        <v>0</v>
      </c>
      <c r="K32" s="13">
        <f>ROUND(K$10*'Comm kWh (DSM)'!L30,2)</f>
        <v>0</v>
      </c>
      <c r="L32" s="13">
        <f>ROUND(L$10*'Comm kWh (DSM)'!M30,2)</f>
        <v>0</v>
      </c>
      <c r="M32" s="13">
        <f>ROUND(M$10*'Comm kWh (DSM)'!N30,2)</f>
        <v>5302.41</v>
      </c>
      <c r="N32" s="13">
        <f>ROUND(N$10*'Comm kWh (DSM)'!O30,2)</f>
        <v>4540.08</v>
      </c>
      <c r="O32" s="13">
        <f>ROUND(O$10*'Comm kWh (DSM)'!P30,2)</f>
        <v>4003.87</v>
      </c>
      <c r="P32" s="13">
        <f t="shared" ref="P32" si="9">SUM(D32:O32)</f>
        <v>13846.36</v>
      </c>
      <c r="Q32" s="13"/>
      <c r="T32" s="26">
        <v>30</v>
      </c>
      <c r="U32" s="26" t="s">
        <v>12</v>
      </c>
    </row>
    <row r="33" spans="1:21" x14ac:dyDescent="0.25">
      <c r="A33" s="24"/>
      <c r="T33" s="26">
        <v>31</v>
      </c>
    </row>
    <row r="34" spans="1:21" x14ac:dyDescent="0.25">
      <c r="A34" s="24" t="s">
        <v>11</v>
      </c>
      <c r="B34" s="13">
        <f>ROUND(B$10*'Comm kWh (DSM)'!C32,2)</f>
        <v>0</v>
      </c>
      <c r="C34" s="13">
        <f>ROUND(C$10*'Comm kWh (DSM)'!D32,2)</f>
        <v>0</v>
      </c>
      <c r="D34" s="13">
        <f>ROUND(D$10*'Comm kWh (DSM)'!E32,2)</f>
        <v>0</v>
      </c>
      <c r="E34" s="13">
        <f>ROUND(E$10*'Comm kWh (DSM)'!F32,2)</f>
        <v>0</v>
      </c>
      <c r="F34" s="13">
        <f>ROUND(F$10*'Comm kWh (DSM)'!G32,2)</f>
        <v>0</v>
      </c>
      <c r="G34" s="13">
        <f>ROUND(G$10*'Comm kWh (DSM)'!H32,2)</f>
        <v>0</v>
      </c>
      <c r="H34" s="13">
        <f>ROUND(H$10*'Comm kWh (DSM)'!I32,2)</f>
        <v>0</v>
      </c>
      <c r="I34" s="13">
        <f>ROUND(I$10*'Comm kWh (DSM)'!J32,2)</f>
        <v>0</v>
      </c>
      <c r="J34" s="13">
        <f>ROUND(J$10*'Comm kWh (DSM)'!K32,2)</f>
        <v>0</v>
      </c>
      <c r="K34" s="13">
        <f>ROUND(K$10*'Comm kWh (DSM)'!L32,2)</f>
        <v>0</v>
      </c>
      <c r="L34" s="13">
        <f>ROUND(L$10*'Comm kWh (DSM)'!M32,2)</f>
        <v>0</v>
      </c>
      <c r="M34" s="13">
        <f>ROUND(M$10*'Comm kWh (DSM)'!N32,2)</f>
        <v>16.059999999999999</v>
      </c>
      <c r="N34" s="13">
        <f>ROUND(N$10*'Comm kWh (DSM)'!O32,2)</f>
        <v>11.07</v>
      </c>
      <c r="O34" s="13">
        <f>ROUND(O$10*'Comm kWh (DSM)'!P32,2)</f>
        <v>7.77</v>
      </c>
      <c r="P34" s="13">
        <f t="shared" ref="P34" si="10">SUM(D34:O34)</f>
        <v>34.9</v>
      </c>
      <c r="Q34" s="13"/>
      <c r="T34" s="26">
        <v>32</v>
      </c>
      <c r="U34" s="26" t="s">
        <v>11</v>
      </c>
    </row>
    <row r="35" spans="1:21" x14ac:dyDescent="0.25">
      <c r="A35" s="24"/>
      <c r="T35" s="26">
        <v>33</v>
      </c>
    </row>
    <row r="36" spans="1:21" x14ac:dyDescent="0.25">
      <c r="A36" s="24" t="s">
        <v>10</v>
      </c>
      <c r="B36" s="13">
        <f>ROUND(B$10*'Comm kWh (DSM)'!C34,2)</f>
        <v>0</v>
      </c>
      <c r="C36" s="13">
        <f>ROUND(C$10*'Comm kWh (DSM)'!D34,2)</f>
        <v>0</v>
      </c>
      <c r="D36" s="13">
        <f>ROUND(D$10*'Comm kWh (DSM)'!E34,2)</f>
        <v>0</v>
      </c>
      <c r="E36" s="13">
        <f>ROUND(E$10*'Comm kWh (DSM)'!F34,2)</f>
        <v>0</v>
      </c>
      <c r="F36" s="13">
        <f>ROUND(F$10*'Comm kWh (DSM)'!G34,2)</f>
        <v>0</v>
      </c>
      <c r="G36" s="13">
        <f>ROUND(G$10*'Comm kWh (DSM)'!H34,2)</f>
        <v>0</v>
      </c>
      <c r="H36" s="13">
        <f>ROUND(H$10*'Comm kWh (DSM)'!I34,2)</f>
        <v>0</v>
      </c>
      <c r="I36" s="13">
        <f>ROUND(I$10*'Comm kWh (DSM)'!J34,2)</f>
        <v>0</v>
      </c>
      <c r="J36" s="13">
        <f>ROUND(J$10*'Comm kWh (DSM)'!K34,2)</f>
        <v>0</v>
      </c>
      <c r="K36" s="13">
        <f>ROUND(K$10*'Comm kWh (DSM)'!L34,2)</f>
        <v>0</v>
      </c>
      <c r="L36" s="13">
        <f>ROUND(L$10*'Comm kWh (DSM)'!M34,2)</f>
        <v>0</v>
      </c>
      <c r="M36" s="13">
        <f>ROUND(M$10*'Comm kWh (DSM)'!N34,2)</f>
        <v>111.95</v>
      </c>
      <c r="N36" s="13">
        <f>ROUND(N$10*'Comm kWh (DSM)'!O34,2)</f>
        <v>82.41</v>
      </c>
      <c r="O36" s="13">
        <f>ROUND(O$10*'Comm kWh (DSM)'!P34,2)</f>
        <v>85.3</v>
      </c>
      <c r="P36" s="13">
        <f t="shared" ref="P36" si="11">SUM(D36:O36)</f>
        <v>279.66000000000003</v>
      </c>
      <c r="Q36" s="13"/>
      <c r="T36" s="26">
        <v>34</v>
      </c>
      <c r="U36" s="26" t="s">
        <v>10</v>
      </c>
    </row>
    <row r="37" spans="1:21" x14ac:dyDescent="0.25">
      <c r="A37" s="24"/>
      <c r="T37" s="26">
        <v>35</v>
      </c>
    </row>
    <row r="38" spans="1:21" x14ac:dyDescent="0.25">
      <c r="A38" s="24" t="s">
        <v>9</v>
      </c>
      <c r="B38" s="13">
        <f>ROUND(B$10*'Comm kWh (DSM)'!C36,2)</f>
        <v>0</v>
      </c>
      <c r="C38" s="13">
        <f>ROUND(C$10*'Comm kWh (DSM)'!D36,2)</f>
        <v>0</v>
      </c>
      <c r="D38" s="13">
        <f>ROUND(D$10*'Comm kWh (DSM)'!E36,2)</f>
        <v>0</v>
      </c>
      <c r="E38" s="13">
        <f>ROUND(E$10*'Comm kWh (DSM)'!F36,2)</f>
        <v>0</v>
      </c>
      <c r="F38" s="13">
        <f>ROUND(F$10*'Comm kWh (DSM)'!G36,2)</f>
        <v>0</v>
      </c>
      <c r="G38" s="13">
        <f>ROUND(G$10*'Comm kWh (DSM)'!H36,2)</f>
        <v>0</v>
      </c>
      <c r="H38" s="13">
        <f>ROUND(H$10*'Comm kWh (DSM)'!I36,2)</f>
        <v>0</v>
      </c>
      <c r="I38" s="13">
        <f>ROUND(I$10*'Comm kWh (DSM)'!J36,2)</f>
        <v>0</v>
      </c>
      <c r="J38" s="13">
        <f>ROUND(J$10*'Comm kWh (DSM)'!K36,2)</f>
        <v>0</v>
      </c>
      <c r="K38" s="13">
        <f>ROUND(K$10*'Comm kWh (DSM)'!L36,2)</f>
        <v>0</v>
      </c>
      <c r="L38" s="13">
        <f>ROUND(L$10*'Comm kWh (DSM)'!M36,2)</f>
        <v>0</v>
      </c>
      <c r="M38" s="13">
        <f>ROUND(M$10*'Comm kWh (DSM)'!N36,2)</f>
        <v>49.5</v>
      </c>
      <c r="N38" s="13">
        <f>ROUND(N$10*'Comm kWh (DSM)'!O36,2)</f>
        <v>42.99</v>
      </c>
      <c r="O38" s="13">
        <f>ROUND(O$10*'Comm kWh (DSM)'!P36,2)</f>
        <v>37.92</v>
      </c>
      <c r="P38" s="13">
        <f t="shared" ref="P38" si="12">SUM(D38:O38)</f>
        <v>130.41000000000003</v>
      </c>
      <c r="Q38" s="13"/>
      <c r="T38" s="26">
        <v>36</v>
      </c>
      <c r="U38" s="26" t="s">
        <v>9</v>
      </c>
    </row>
    <row r="39" spans="1:21" x14ac:dyDescent="0.25">
      <c r="A39" s="24"/>
      <c r="T39" s="26">
        <v>37</v>
      </c>
    </row>
    <row r="40" spans="1:21" x14ac:dyDescent="0.25">
      <c r="A40" s="24" t="s">
        <v>8</v>
      </c>
      <c r="B40" s="13">
        <f>ROUND(B$10*'Comm kWh (DSM)'!C38,2)</f>
        <v>0</v>
      </c>
      <c r="C40" s="13">
        <f>ROUND(C$10*'Comm kWh (DSM)'!D38,2)</f>
        <v>0</v>
      </c>
      <c r="D40" s="13">
        <f>ROUND(D$10*'Comm kWh (DSM)'!E38,2)</f>
        <v>0</v>
      </c>
      <c r="E40" s="13">
        <f>ROUND(E$10*'Comm kWh (DSM)'!F38,2)</f>
        <v>0</v>
      </c>
      <c r="F40" s="13">
        <f>ROUND(F$10*'Comm kWh (DSM)'!G38,2)</f>
        <v>0</v>
      </c>
      <c r="G40" s="13">
        <f>ROUND(G$10*'Comm kWh (DSM)'!H38,2)</f>
        <v>0</v>
      </c>
      <c r="H40" s="13">
        <f>ROUND(H$10*'Comm kWh (DSM)'!I38,2)</f>
        <v>0</v>
      </c>
      <c r="I40" s="13">
        <f>ROUND(I$10*'Comm kWh (DSM)'!J38,2)</f>
        <v>0</v>
      </c>
      <c r="J40" s="13">
        <f>ROUND(J$10*'Comm kWh (DSM)'!K38,2)</f>
        <v>0</v>
      </c>
      <c r="K40" s="13">
        <f>ROUND(K$10*'Comm kWh (DSM)'!L38,2)</f>
        <v>0</v>
      </c>
      <c r="L40" s="13">
        <f>ROUND(L$10*'Comm kWh (DSM)'!M38,2)</f>
        <v>0</v>
      </c>
      <c r="M40" s="13">
        <f>ROUND(M$10*'Comm kWh (DSM)'!N38,2)</f>
        <v>0</v>
      </c>
      <c r="N40" s="13">
        <f>ROUND(N$10*'Comm kWh (DSM)'!O38,2)</f>
        <v>0</v>
      </c>
      <c r="O40" s="13">
        <f>ROUND(O$10*'Comm kWh (DSM)'!P38,2)</f>
        <v>0</v>
      </c>
      <c r="P40" s="13">
        <f t="shared" ref="P40" si="13">SUM(D40:O40)</f>
        <v>0</v>
      </c>
      <c r="Q40" s="13"/>
      <c r="T40" s="26">
        <v>38</v>
      </c>
      <c r="U40" s="26" t="s">
        <v>8</v>
      </c>
    </row>
    <row r="41" spans="1:21" x14ac:dyDescent="0.25">
      <c r="A41" s="24"/>
      <c r="R41" s="26" t="s">
        <v>132</v>
      </c>
      <c r="S41" s="73">
        <f>SUM(P30:P41)</f>
        <v>14340.52</v>
      </c>
      <c r="T41" s="26">
        <v>39</v>
      </c>
    </row>
    <row r="42" spans="1:21" x14ac:dyDescent="0.25">
      <c r="A42" s="24" t="s">
        <v>7</v>
      </c>
      <c r="B42" s="13">
        <f>ROUND(B$10*'Comm kWh (DSM)'!C40,2)</f>
        <v>0</v>
      </c>
      <c r="C42" s="13">
        <f>ROUND(C$10*'Comm kWh (DSM)'!D40,2)</f>
        <v>0</v>
      </c>
      <c r="D42" s="13">
        <f>ROUND(D$10*'Comm kWh (DSM)'!E40,2)</f>
        <v>0</v>
      </c>
      <c r="E42" s="13">
        <f>ROUND(E$10*'Comm kWh (DSM)'!F40,2)</f>
        <v>0</v>
      </c>
      <c r="F42" s="13">
        <f>ROUND(F$10*'Comm kWh (DSM)'!G40,2)</f>
        <v>0</v>
      </c>
      <c r="G42" s="13">
        <f>ROUND(G$10*'Comm kWh (DSM)'!H40,2)</f>
        <v>0</v>
      </c>
      <c r="H42" s="13">
        <f>ROUND(H$10*'Comm kWh (DSM)'!I40,2)</f>
        <v>0</v>
      </c>
      <c r="I42" s="13">
        <f>ROUND(I$10*'Comm kWh (DSM)'!J40,2)</f>
        <v>0</v>
      </c>
      <c r="J42" s="13">
        <f>ROUND(J$10*'Comm kWh (DSM)'!K40,2)</f>
        <v>0</v>
      </c>
      <c r="K42" s="13">
        <f>ROUND(K$10*'Comm kWh (DSM)'!L40,2)</f>
        <v>0</v>
      </c>
      <c r="L42" s="13">
        <f>ROUND(L$10*'Comm kWh (DSM)'!M40,2)</f>
        <v>0</v>
      </c>
      <c r="M42" s="13">
        <f>ROUND(M$10*'Comm kWh (DSM)'!N40,2)</f>
        <v>3091.83</v>
      </c>
      <c r="N42" s="13">
        <f>ROUND(N$10*'Comm kWh (DSM)'!O40,2)</f>
        <v>2749.06</v>
      </c>
      <c r="O42" s="13">
        <f>ROUND(O$10*'Comm kWh (DSM)'!P40,2)</f>
        <v>2540.5500000000002</v>
      </c>
      <c r="P42" s="13">
        <f t="shared" ref="P42" si="14">SUM(D42:O42)</f>
        <v>8381.4399999999987</v>
      </c>
      <c r="Q42" s="13"/>
      <c r="T42" s="26">
        <v>40</v>
      </c>
      <c r="U42" s="26" t="s">
        <v>7</v>
      </c>
    </row>
    <row r="43" spans="1:21" x14ac:dyDescent="0.25">
      <c r="A43" s="24"/>
      <c r="T43" s="26">
        <v>41</v>
      </c>
    </row>
    <row r="44" spans="1:21" x14ac:dyDescent="0.25">
      <c r="A44" s="24" t="s">
        <v>6</v>
      </c>
      <c r="B44" s="13">
        <f>ROUND(B$10*'Comm kWh (DSM)'!C42,2)</f>
        <v>0</v>
      </c>
      <c r="C44" s="13">
        <f>ROUND(C$10*'Comm kWh (DSM)'!D42,2)</f>
        <v>0</v>
      </c>
      <c r="D44" s="13">
        <f>ROUND(D$10*'Comm kWh (DSM)'!E42,2)</f>
        <v>0</v>
      </c>
      <c r="E44" s="13">
        <f>ROUND(E$10*'Comm kWh (DSM)'!F42,2)</f>
        <v>0</v>
      </c>
      <c r="F44" s="13">
        <f>ROUND(F$10*'Comm kWh (DSM)'!G42,2)</f>
        <v>0</v>
      </c>
      <c r="G44" s="13">
        <f>ROUND(G$10*'Comm kWh (DSM)'!H42,2)</f>
        <v>0</v>
      </c>
      <c r="H44" s="13">
        <f>ROUND(H$10*'Comm kWh (DSM)'!I42,2)</f>
        <v>0</v>
      </c>
      <c r="I44" s="13">
        <f>ROUND(I$10*'Comm kWh (DSM)'!J42,2)</f>
        <v>0</v>
      </c>
      <c r="J44" s="13">
        <f>ROUND(J$10*'Comm kWh (DSM)'!K42,2)</f>
        <v>0</v>
      </c>
      <c r="K44" s="13">
        <f>ROUND(K$10*'Comm kWh (DSM)'!L42,2)</f>
        <v>0</v>
      </c>
      <c r="L44" s="13">
        <f>ROUND(L$10*'Comm kWh (DSM)'!M42,2)</f>
        <v>0</v>
      </c>
      <c r="M44" s="13">
        <f>ROUND(M$10*'Comm kWh (DSM)'!N42,2)</f>
        <v>24.12</v>
      </c>
      <c r="N44" s="13">
        <f>ROUND(N$10*'Comm kWh (DSM)'!O42,2)</f>
        <v>10.029999999999999</v>
      </c>
      <c r="O44" s="13">
        <f>ROUND(O$10*'Comm kWh (DSM)'!P42,2)</f>
        <v>9.4700000000000006</v>
      </c>
      <c r="P44" s="13">
        <f t="shared" ref="P44" si="15">SUM(D44:O44)</f>
        <v>43.62</v>
      </c>
      <c r="Q44" s="13"/>
      <c r="T44" s="26">
        <v>42</v>
      </c>
      <c r="U44" s="26" t="s">
        <v>6</v>
      </c>
    </row>
    <row r="45" spans="1:21" x14ac:dyDescent="0.25">
      <c r="A45" s="24"/>
      <c r="T45" s="26">
        <v>43</v>
      </c>
    </row>
    <row r="46" spans="1:21" x14ac:dyDescent="0.25">
      <c r="A46" s="24" t="s">
        <v>118</v>
      </c>
      <c r="B46" s="13">
        <f>ROUND(B$10*'Comm kWh (DSM)'!C44,2)</f>
        <v>0</v>
      </c>
      <c r="C46" s="13">
        <f>ROUND(C$10*'Comm kWh (DSM)'!D44,2)</f>
        <v>0</v>
      </c>
      <c r="D46" s="13">
        <f>ROUND(D$10*'Comm kWh (DSM)'!E44,2)</f>
        <v>0</v>
      </c>
      <c r="E46" s="13">
        <f>ROUND(E$10*'Comm kWh (DSM)'!F44,2)</f>
        <v>0</v>
      </c>
      <c r="F46" s="13">
        <f>ROUND(F$10*'Comm kWh (DSM)'!G44,2)</f>
        <v>0</v>
      </c>
      <c r="G46" s="13">
        <f>ROUND(G$10*'Comm kWh (DSM)'!H44,2)</f>
        <v>0</v>
      </c>
      <c r="H46" s="13">
        <f>ROUND(H$10*'Comm kWh (DSM)'!I44,2)</f>
        <v>0</v>
      </c>
      <c r="I46" s="13">
        <f>ROUND(I$10*'Comm kWh (DSM)'!J44,2)</f>
        <v>0</v>
      </c>
      <c r="J46" s="13">
        <f>ROUND(J$10*'Comm kWh (DSM)'!K44,2)</f>
        <v>0</v>
      </c>
      <c r="K46" s="13">
        <f>ROUND(K$10*'Comm kWh (DSM)'!L44,2)</f>
        <v>0</v>
      </c>
      <c r="L46" s="13">
        <f>ROUND(L$10*'Comm kWh (DSM)'!M44,2)</f>
        <v>0</v>
      </c>
      <c r="M46" s="13">
        <f>ROUND(M$10*'Comm kWh (DSM)'!N44,2)</f>
        <v>58.37</v>
      </c>
      <c r="N46" s="13">
        <f>ROUND(N$10*'Comm kWh (DSM)'!O44,2)</f>
        <v>50.82</v>
      </c>
      <c r="O46" s="13">
        <f>ROUND(O$10*'Comm kWh (DSM)'!P44,2)</f>
        <v>53.71</v>
      </c>
      <c r="P46" s="13">
        <f t="shared" ref="P46" si="16">SUM(D46:O46)</f>
        <v>162.9</v>
      </c>
      <c r="Q46" s="13"/>
      <c r="T46" s="26">
        <v>44</v>
      </c>
      <c r="U46" s="26" t="s">
        <v>118</v>
      </c>
    </row>
    <row r="47" spans="1:21" x14ac:dyDescent="0.25">
      <c r="A47" s="24"/>
      <c r="T47" s="26">
        <v>45</v>
      </c>
    </row>
    <row r="48" spans="1:21" x14ac:dyDescent="0.25">
      <c r="A48" s="24" t="s">
        <v>241</v>
      </c>
      <c r="B48" s="13">
        <f>ROUND(B$10*'Comm kWh (DSM)'!C46,2)</f>
        <v>0</v>
      </c>
      <c r="C48" s="13">
        <f>ROUND(C$10*'Comm kWh (DSM)'!D46,2)</f>
        <v>0</v>
      </c>
      <c r="D48" s="13">
        <f>ROUND(D$10*'Comm kWh (DSM)'!E46,2)</f>
        <v>0</v>
      </c>
      <c r="E48" s="13">
        <f>ROUND(E$10*'Comm kWh (DSM)'!F46,2)</f>
        <v>0</v>
      </c>
      <c r="F48" s="13">
        <f>ROUND(F$10*'Comm kWh (DSM)'!G46,2)</f>
        <v>0</v>
      </c>
      <c r="G48" s="13">
        <f>ROUND(G$10*'Comm kWh (DSM)'!H46,2)</f>
        <v>0</v>
      </c>
      <c r="H48" s="13">
        <f>ROUND(H$10*'Comm kWh (DSM)'!I46,2)</f>
        <v>0</v>
      </c>
      <c r="I48" s="13">
        <f>ROUND(I$10*'Comm kWh (DSM)'!J46,2)</f>
        <v>0</v>
      </c>
      <c r="J48" s="13">
        <f>ROUND(J$10*'Comm kWh (DSM)'!K46,2)</f>
        <v>0</v>
      </c>
      <c r="K48" s="13">
        <f>ROUND(K$10*'Comm kWh (DSM)'!L46,2)</f>
        <v>0</v>
      </c>
      <c r="L48" s="13">
        <f>ROUND(L$10*'Comm kWh (DSM)'!M46,2)</f>
        <v>0</v>
      </c>
      <c r="M48" s="13">
        <f>ROUND(M$10*'Comm kWh (DSM)'!N46,2)</f>
        <v>0</v>
      </c>
      <c r="N48" s="13">
        <f>ROUND(N$10*'Comm kWh (DSM)'!O46,2)</f>
        <v>0</v>
      </c>
      <c r="O48" s="13">
        <f>ROUND(O$10*'Comm kWh (DSM)'!P46,2)</f>
        <v>0</v>
      </c>
      <c r="P48" s="13">
        <f t="shared" ref="P48" si="17">SUM(D48:O48)</f>
        <v>0</v>
      </c>
      <c r="Q48" s="13"/>
      <c r="T48" s="26">
        <v>46</v>
      </c>
      <c r="U48" s="26" t="s">
        <v>241</v>
      </c>
    </row>
    <row r="49" spans="1:21" x14ac:dyDescent="0.25">
      <c r="A49" s="24"/>
      <c r="T49" s="26">
        <v>47</v>
      </c>
    </row>
    <row r="50" spans="1:21" x14ac:dyDescent="0.25">
      <c r="A50" s="24" t="s">
        <v>5</v>
      </c>
      <c r="B50" s="13">
        <f>ROUND(B$10*'Comm kWh (DSM)'!C48,2)</f>
        <v>0</v>
      </c>
      <c r="C50" s="13">
        <f>ROUND(C$10*'Comm kWh (DSM)'!D48,2)</f>
        <v>0</v>
      </c>
      <c r="D50" s="13">
        <f>ROUND(D$10*'Comm kWh (DSM)'!E48,2)</f>
        <v>0</v>
      </c>
      <c r="E50" s="13">
        <f>ROUND(E$10*'Comm kWh (DSM)'!F48,2)</f>
        <v>0</v>
      </c>
      <c r="F50" s="13">
        <f>ROUND(F$10*'Comm kWh (DSM)'!G48,2)</f>
        <v>0</v>
      </c>
      <c r="G50" s="13">
        <f>ROUND(G$10*'Comm kWh (DSM)'!H48,2)</f>
        <v>0</v>
      </c>
      <c r="H50" s="13">
        <f>ROUND(H$10*'Comm kWh (DSM)'!I48,2)</f>
        <v>0</v>
      </c>
      <c r="I50" s="13">
        <f>ROUND(I$10*'Comm kWh (DSM)'!J48,2)</f>
        <v>0</v>
      </c>
      <c r="J50" s="13">
        <f>ROUND(J$10*'Comm kWh (DSM)'!K48,2)</f>
        <v>0</v>
      </c>
      <c r="K50" s="13">
        <f>ROUND(K$10*'Comm kWh (DSM)'!L48,2)</f>
        <v>0</v>
      </c>
      <c r="L50" s="13">
        <f>ROUND(L$10*'Comm kWh (DSM)'!M48,2)</f>
        <v>0</v>
      </c>
      <c r="M50" s="13">
        <f>ROUND(M$10*'Comm kWh (DSM)'!N48,2)</f>
        <v>378.09</v>
      </c>
      <c r="N50" s="13">
        <f>ROUND(N$10*'Comm kWh (DSM)'!O48,2)</f>
        <v>347.97</v>
      </c>
      <c r="O50" s="13">
        <f>ROUND(O$10*'Comm kWh (DSM)'!P48,2)</f>
        <v>320.18</v>
      </c>
      <c r="P50" s="13">
        <f t="shared" ref="P50" si="18">SUM(D50:O50)</f>
        <v>1046.24</v>
      </c>
      <c r="Q50" s="13"/>
      <c r="T50" s="26">
        <v>48</v>
      </c>
      <c r="U50" s="26" t="s">
        <v>5</v>
      </c>
    </row>
    <row r="51" spans="1:21" x14ac:dyDescent="0.25">
      <c r="A51" s="24"/>
      <c r="T51" s="26">
        <v>49</v>
      </c>
    </row>
    <row r="52" spans="1:21" x14ac:dyDescent="0.25">
      <c r="A52" s="24" t="s">
        <v>4</v>
      </c>
      <c r="B52" s="13">
        <f>ROUND(B$10*'Comm kWh (DSM)'!C50,2)</f>
        <v>0</v>
      </c>
      <c r="C52" s="13">
        <f>ROUND(C$10*'Comm kWh (DSM)'!D50,2)</f>
        <v>0</v>
      </c>
      <c r="D52" s="13">
        <f>ROUND(D$10*'Comm kWh (DSM)'!E50,2)</f>
        <v>0</v>
      </c>
      <c r="E52" s="13">
        <f>ROUND(E$10*'Comm kWh (DSM)'!F50,2)</f>
        <v>0</v>
      </c>
      <c r="F52" s="13">
        <f>ROUND(F$10*'Comm kWh (DSM)'!G50,2)</f>
        <v>0</v>
      </c>
      <c r="G52" s="13">
        <f>ROUND(G$10*'Comm kWh (DSM)'!H50,2)</f>
        <v>0</v>
      </c>
      <c r="H52" s="13">
        <f>ROUND(H$10*'Comm kWh (DSM)'!I50,2)</f>
        <v>0</v>
      </c>
      <c r="I52" s="13">
        <f>ROUND(I$10*'Comm kWh (DSM)'!J50,2)</f>
        <v>0</v>
      </c>
      <c r="J52" s="13">
        <f>ROUND(J$10*'Comm kWh (DSM)'!K50,2)</f>
        <v>0</v>
      </c>
      <c r="K52" s="13">
        <f>ROUND(K$10*'Comm kWh (DSM)'!L50,2)</f>
        <v>0</v>
      </c>
      <c r="L52" s="13">
        <f>ROUND(L$10*'Comm kWh (DSM)'!M50,2)</f>
        <v>0</v>
      </c>
      <c r="M52" s="13">
        <f>ROUND(M$10*'Comm kWh (DSM)'!N50,2)</f>
        <v>66.23</v>
      </c>
      <c r="N52" s="13">
        <f>ROUND(N$10*'Comm kWh (DSM)'!O50,2)</f>
        <v>59.86</v>
      </c>
      <c r="O52" s="13">
        <f>ROUND(O$10*'Comm kWh (DSM)'!P50,2)</f>
        <v>51.15</v>
      </c>
      <c r="P52" s="13">
        <f t="shared" ref="P52" si="19">SUM(D52:O52)</f>
        <v>177.24</v>
      </c>
      <c r="Q52" s="13"/>
      <c r="T52" s="26">
        <v>50</v>
      </c>
      <c r="U52" s="26" t="s">
        <v>4</v>
      </c>
    </row>
    <row r="53" spans="1:21" x14ac:dyDescent="0.25">
      <c r="A53" s="24"/>
      <c r="R53" s="26" t="s">
        <v>178</v>
      </c>
      <c r="S53" s="73">
        <f>SUM(P42:P52)</f>
        <v>9811.4399999999987</v>
      </c>
      <c r="T53" s="26">
        <v>51</v>
      </c>
    </row>
    <row r="54" spans="1:21" x14ac:dyDescent="0.25">
      <c r="A54" s="24" t="s">
        <v>3</v>
      </c>
      <c r="B54" s="13">
        <f>ROUND(B$10*'Comm kWh (DSM)'!C52,2)</f>
        <v>0</v>
      </c>
      <c r="C54" s="13">
        <f>ROUND(C$10*'Comm kWh (DSM)'!D52,2)</f>
        <v>0</v>
      </c>
      <c r="D54" s="13">
        <f>ROUND(D$10*'Comm kWh (DSM)'!E52,2)</f>
        <v>0</v>
      </c>
      <c r="E54" s="13">
        <f>ROUND(E$10*'Comm kWh (DSM)'!F52,2)</f>
        <v>0</v>
      </c>
      <c r="F54" s="13">
        <f>ROUND(F$10*'Comm kWh (DSM)'!G52,2)</f>
        <v>0</v>
      </c>
      <c r="G54" s="13">
        <f>ROUND(G$10*'Comm kWh (DSM)'!H52,2)</f>
        <v>0</v>
      </c>
      <c r="H54" s="13">
        <f>ROUND(H$10*'Comm kWh (DSM)'!I52,2)</f>
        <v>0</v>
      </c>
      <c r="I54" s="13">
        <f>ROUND(I$10*'Comm kWh (DSM)'!J52,2)</f>
        <v>0</v>
      </c>
      <c r="J54" s="13">
        <f>ROUND(J$10*'Comm kWh (DSM)'!K52,2)</f>
        <v>0</v>
      </c>
      <c r="K54" s="13">
        <f>ROUND(K$10*'Comm kWh (DSM)'!L52,2)</f>
        <v>0</v>
      </c>
      <c r="L54" s="13">
        <f>ROUND(L$10*'Comm kWh (DSM)'!M52,2)</f>
        <v>0</v>
      </c>
      <c r="M54" s="13">
        <f>ROUND(M$10*'Comm kWh (DSM)'!N52,2)</f>
        <v>0</v>
      </c>
      <c r="N54" s="13">
        <f>ROUND(N$10*'Comm kWh (DSM)'!O52,2)</f>
        <v>0</v>
      </c>
      <c r="O54" s="13">
        <f>ROUND(O$10*'Comm kWh (DSM)'!P52,2)</f>
        <v>0</v>
      </c>
      <c r="P54" s="13">
        <f t="shared" ref="P54" si="20">SUM(D54:O54)</f>
        <v>0</v>
      </c>
      <c r="Q54" s="13"/>
      <c r="T54" s="26">
        <v>52</v>
      </c>
      <c r="U54" s="26" t="s">
        <v>3</v>
      </c>
    </row>
    <row r="55" spans="1:21" x14ac:dyDescent="0.25">
      <c r="A55" s="24"/>
      <c r="T55" s="26">
        <v>53</v>
      </c>
    </row>
    <row r="56" spans="1:21" x14ac:dyDescent="0.25">
      <c r="A56" s="24" t="s">
        <v>119</v>
      </c>
      <c r="B56" s="13">
        <f>ROUND(B$10*'Comm kWh (DSM)'!C54,2)</f>
        <v>0</v>
      </c>
      <c r="C56" s="13">
        <f>ROUND(C$10*'Comm kWh (DSM)'!D54,2)</f>
        <v>0</v>
      </c>
      <c r="D56" s="13">
        <f>ROUND(D$10*'Comm kWh (DSM)'!E54,2)</f>
        <v>0</v>
      </c>
      <c r="E56" s="13">
        <f>ROUND(E$10*'Comm kWh (DSM)'!F54,2)</f>
        <v>0</v>
      </c>
      <c r="F56" s="13">
        <f>ROUND(F$10*'Comm kWh (DSM)'!G54,2)</f>
        <v>0</v>
      </c>
      <c r="G56" s="13">
        <f>ROUND(G$10*'Comm kWh (DSM)'!H54,2)</f>
        <v>0</v>
      </c>
      <c r="H56" s="13">
        <f>ROUND(H$10*'Comm kWh (DSM)'!I54,2)</f>
        <v>0</v>
      </c>
      <c r="I56" s="13">
        <f>ROUND(I$10*'Comm kWh (DSM)'!J54,2)</f>
        <v>0</v>
      </c>
      <c r="J56" s="13">
        <f>ROUND(J$10*'Comm kWh (DSM)'!K54,2)</f>
        <v>0</v>
      </c>
      <c r="K56" s="13">
        <f>ROUND(K$10*'Comm kWh (DSM)'!L54,2)</f>
        <v>0</v>
      </c>
      <c r="L56" s="13">
        <f>ROUND(L$10*'Comm kWh (DSM)'!M54,2)</f>
        <v>0</v>
      </c>
      <c r="M56" s="13">
        <f>ROUND(M$10*'Comm kWh (DSM)'!N54,2)</f>
        <v>1039.06</v>
      </c>
      <c r="N56" s="13">
        <f>ROUND(N$10*'Comm kWh (DSM)'!O54,2)</f>
        <v>874.02</v>
      </c>
      <c r="O56" s="13">
        <f>ROUND(O$10*'Comm kWh (DSM)'!P54,2)</f>
        <v>895.81</v>
      </c>
      <c r="P56" s="13">
        <f t="shared" ref="P56" si="21">SUM(D56:O56)</f>
        <v>2808.89</v>
      </c>
      <c r="Q56" s="13"/>
      <c r="T56" s="26">
        <v>54</v>
      </c>
      <c r="U56" s="26" t="s">
        <v>119</v>
      </c>
    </row>
    <row r="57" spans="1:21" x14ac:dyDescent="0.25">
      <c r="A57" s="24"/>
      <c r="R57" s="26" t="s">
        <v>133</v>
      </c>
      <c r="S57" s="73">
        <f>SUM(P54:P58)</f>
        <v>2877.69</v>
      </c>
      <c r="T57" s="26">
        <v>55</v>
      </c>
    </row>
    <row r="58" spans="1:21" x14ac:dyDescent="0.25">
      <c r="A58" s="24" t="s">
        <v>120</v>
      </c>
      <c r="B58" s="13">
        <f>ROUND(B$10*'Comm kWh (DSM)'!C56,2)</f>
        <v>0</v>
      </c>
      <c r="C58" s="13">
        <f>ROUND(C$10*'Comm kWh (DSM)'!D56,2)</f>
        <v>0</v>
      </c>
      <c r="D58" s="13">
        <f>ROUND(D$10*'Comm kWh (DSM)'!E56,2)</f>
        <v>0</v>
      </c>
      <c r="E58" s="13">
        <f>ROUND(E$10*'Comm kWh (DSM)'!F56,2)</f>
        <v>0</v>
      </c>
      <c r="F58" s="13">
        <f>ROUND(F$10*'Comm kWh (DSM)'!G56,2)</f>
        <v>0</v>
      </c>
      <c r="G58" s="13">
        <f>ROUND(G$10*'Comm kWh (DSM)'!H56,2)</f>
        <v>0</v>
      </c>
      <c r="H58" s="13">
        <f>ROUND(H$10*'Comm kWh (DSM)'!I56,2)</f>
        <v>0</v>
      </c>
      <c r="I58" s="13">
        <f>ROUND(I$10*'Comm kWh (DSM)'!J56,2)</f>
        <v>0</v>
      </c>
      <c r="J58" s="13">
        <f>ROUND(J$10*'Comm kWh (DSM)'!K56,2)</f>
        <v>0</v>
      </c>
      <c r="K58" s="13">
        <f>ROUND(K$10*'Comm kWh (DSM)'!L56,2)</f>
        <v>0</v>
      </c>
      <c r="L58" s="13">
        <f>ROUND(L$10*'Comm kWh (DSM)'!M56,2)</f>
        <v>0</v>
      </c>
      <c r="M58" s="13">
        <f>ROUND(M$10*'Comm kWh (DSM)'!N56,2)</f>
        <v>27.41</v>
      </c>
      <c r="N58" s="13">
        <f>ROUND(N$10*'Comm kWh (DSM)'!O56,2)</f>
        <v>24.15</v>
      </c>
      <c r="O58" s="13">
        <f>ROUND(O$10*'Comm kWh (DSM)'!P56,2)</f>
        <v>17.239999999999998</v>
      </c>
      <c r="P58" s="13">
        <f t="shared" ref="P58" si="22">SUM(D58:O58)</f>
        <v>68.8</v>
      </c>
      <c r="Q58" s="13"/>
      <c r="T58" s="26">
        <v>56</v>
      </c>
      <c r="U58" s="26" t="s">
        <v>120</v>
      </c>
    </row>
    <row r="59" spans="1:21" x14ac:dyDescent="0.25">
      <c r="A59" s="24"/>
      <c r="T59" s="26">
        <v>57</v>
      </c>
    </row>
    <row r="60" spans="1:21" x14ac:dyDescent="0.25">
      <c r="A60" s="24" t="s">
        <v>242</v>
      </c>
      <c r="B60" s="13">
        <f>ROUND(B$10*'Comm kWh (DSM)'!C58,2)</f>
        <v>0</v>
      </c>
      <c r="C60" s="13">
        <f>ROUND(C$10*'Comm kWh (DSM)'!D58,2)</f>
        <v>0</v>
      </c>
      <c r="D60" s="13">
        <f>ROUND(D$10*'Comm kWh (DSM)'!E58,2)</f>
        <v>0</v>
      </c>
      <c r="E60" s="13">
        <f>ROUND(E$10*'Comm kWh (DSM)'!F58,2)</f>
        <v>0</v>
      </c>
      <c r="F60" s="13">
        <f>ROUND(F$10*'Comm kWh (DSM)'!G58,2)</f>
        <v>0</v>
      </c>
      <c r="G60" s="13">
        <f>ROUND(G$10*'Comm kWh (DSM)'!H58,2)</f>
        <v>0</v>
      </c>
      <c r="H60" s="13">
        <f>ROUND(H$10*'Comm kWh (DSM)'!I58,2)</f>
        <v>0</v>
      </c>
      <c r="I60" s="13">
        <f>ROUND(I$10*'Comm kWh (DSM)'!J58,2)</f>
        <v>0</v>
      </c>
      <c r="J60" s="13">
        <f>ROUND(J$10*'Comm kWh (DSM)'!K58,2)</f>
        <v>0</v>
      </c>
      <c r="K60" s="13">
        <f>ROUND(K$10*'Comm kWh (DSM)'!L58,2)</f>
        <v>0</v>
      </c>
      <c r="L60" s="13">
        <f>ROUND(L$10*'Comm kWh (DSM)'!M58,2)</f>
        <v>0</v>
      </c>
      <c r="M60" s="13">
        <f>ROUND(M$10*'Comm kWh (DSM)'!N58,2)</f>
        <v>0</v>
      </c>
      <c r="N60" s="13">
        <f>ROUND(N$10*'Comm kWh (DSM)'!O58,2)</f>
        <v>0</v>
      </c>
      <c r="O60" s="13">
        <f>ROUND(O$10*'Comm kWh (DSM)'!P58,2)</f>
        <v>0</v>
      </c>
      <c r="P60" s="13">
        <f t="shared" ref="P60" si="23">SUM(D60:O60)</f>
        <v>0</v>
      </c>
      <c r="Q60" s="13"/>
      <c r="T60" s="26">
        <v>58</v>
      </c>
      <c r="U60" s="26" t="s">
        <v>242</v>
      </c>
    </row>
    <row r="61" spans="1:21" x14ac:dyDescent="0.25">
      <c r="A61" s="24"/>
      <c r="T61" s="26">
        <v>59</v>
      </c>
    </row>
    <row r="62" spans="1:21" x14ac:dyDescent="0.25">
      <c r="A62" s="24" t="s">
        <v>122</v>
      </c>
      <c r="B62" s="13">
        <f>ROUND(B$10*'Comm kWh (DSM)'!C60,2)</f>
        <v>0</v>
      </c>
      <c r="C62" s="13">
        <f>ROUND(C$10*'Comm kWh (DSM)'!D60,2)</f>
        <v>0</v>
      </c>
      <c r="D62" s="13">
        <f>ROUND(D$10*'Comm kWh (DSM)'!E60,2)</f>
        <v>0</v>
      </c>
      <c r="E62" s="13">
        <f>ROUND(E$10*'Comm kWh (DSM)'!F60,2)</f>
        <v>0</v>
      </c>
      <c r="F62" s="13">
        <f>ROUND(F$10*'Comm kWh (DSM)'!G60,2)</f>
        <v>0</v>
      </c>
      <c r="G62" s="13">
        <f>ROUND(G$10*'Comm kWh (DSM)'!H60,2)</f>
        <v>0</v>
      </c>
      <c r="H62" s="13">
        <f>ROUND(H$10*'Comm kWh (DSM)'!I60,2)</f>
        <v>0</v>
      </c>
      <c r="I62" s="13">
        <f>ROUND(I$10*'Comm kWh (DSM)'!J60,2)</f>
        <v>0</v>
      </c>
      <c r="J62" s="13">
        <f>ROUND(J$10*'Comm kWh (DSM)'!K60,2)</f>
        <v>0</v>
      </c>
      <c r="K62" s="13">
        <f>ROUND(K$10*'Comm kWh (DSM)'!L60,2)</f>
        <v>0</v>
      </c>
      <c r="L62" s="13">
        <f>ROUND(L$10*'Comm kWh (DSM)'!M60,2)</f>
        <v>0</v>
      </c>
      <c r="M62" s="13">
        <f>ROUND(M$10*'Comm kWh (DSM)'!N60,2)</f>
        <v>0</v>
      </c>
      <c r="N62" s="13">
        <f>ROUND(N$10*'Comm kWh (DSM)'!O60,2)</f>
        <v>0</v>
      </c>
      <c r="O62" s="13">
        <f>ROUND(O$10*'Comm kWh (DSM)'!P60,2)</f>
        <v>0</v>
      </c>
      <c r="P62" s="13">
        <f t="shared" ref="P62" si="24">SUM(D62:O62)</f>
        <v>0</v>
      </c>
      <c r="Q62" s="13"/>
      <c r="T62" s="26">
        <v>60</v>
      </c>
      <c r="U62" s="26" t="s">
        <v>122</v>
      </c>
    </row>
    <row r="63" spans="1:21" x14ac:dyDescent="0.25">
      <c r="A63" s="24"/>
      <c r="T63" s="26">
        <v>61</v>
      </c>
    </row>
    <row r="64" spans="1:21" x14ac:dyDescent="0.25">
      <c r="A64" s="24" t="s">
        <v>243</v>
      </c>
      <c r="B64" s="13">
        <f>ROUND(B$10*'Comm kWh (DSM)'!C62,2)</f>
        <v>0</v>
      </c>
      <c r="C64" s="13">
        <f>ROUND(C$10*'Comm kWh (DSM)'!D62,2)</f>
        <v>0</v>
      </c>
      <c r="D64" s="13">
        <f>ROUND(D$10*'Comm kWh (DSM)'!E62,2)</f>
        <v>0</v>
      </c>
      <c r="E64" s="13">
        <f>ROUND(E$10*'Comm kWh (DSM)'!F62,2)</f>
        <v>0</v>
      </c>
      <c r="F64" s="13">
        <f>ROUND(F$10*'Comm kWh (DSM)'!G62,2)</f>
        <v>0</v>
      </c>
      <c r="G64" s="13">
        <f>ROUND(G$10*'Comm kWh (DSM)'!H62,2)</f>
        <v>0</v>
      </c>
      <c r="H64" s="13">
        <f>ROUND(H$10*'Comm kWh (DSM)'!I62,2)</f>
        <v>0</v>
      </c>
      <c r="I64" s="13">
        <f>ROUND(I$10*'Comm kWh (DSM)'!J62,2)</f>
        <v>0</v>
      </c>
      <c r="J64" s="13">
        <f>ROUND(J$10*'Comm kWh (DSM)'!K62,2)</f>
        <v>0</v>
      </c>
      <c r="K64" s="13">
        <f>ROUND(K$10*'Comm kWh (DSM)'!L62,2)</f>
        <v>0</v>
      </c>
      <c r="L64" s="13">
        <f>ROUND(L$10*'Comm kWh (DSM)'!M62,2)</f>
        <v>0</v>
      </c>
      <c r="M64" s="13">
        <f>ROUND(M$10*'Comm kWh (DSM)'!N62,2)</f>
        <v>0</v>
      </c>
      <c r="N64" s="13">
        <f>ROUND(N$10*'Comm kWh (DSM)'!O62,2)</f>
        <v>0</v>
      </c>
      <c r="O64" s="13">
        <f>ROUND(O$10*'Comm kWh (DSM)'!P62,2)</f>
        <v>0</v>
      </c>
      <c r="P64" s="13">
        <f t="shared" ref="P64" si="25">SUM(D64:O64)</f>
        <v>0</v>
      </c>
      <c r="Q64" s="13"/>
      <c r="T64" s="26">
        <v>62</v>
      </c>
      <c r="U64" s="26" t="s">
        <v>243</v>
      </c>
    </row>
    <row r="65" spans="1:21" x14ac:dyDescent="0.25">
      <c r="A65" s="24"/>
      <c r="T65" s="26">
        <v>63</v>
      </c>
    </row>
    <row r="66" spans="1:21" x14ac:dyDescent="0.25">
      <c r="A66" s="24" t="s">
        <v>244</v>
      </c>
      <c r="B66" s="13">
        <f>ROUND(B$10*'Comm kWh (DSM)'!C64,2)</f>
        <v>0</v>
      </c>
      <c r="C66" s="13">
        <f>ROUND(C$10*'Comm kWh (DSM)'!D64,2)</f>
        <v>0</v>
      </c>
      <c r="D66" s="13">
        <f>ROUND(D$10*'Comm kWh (DSM)'!E64,2)</f>
        <v>0</v>
      </c>
      <c r="E66" s="13">
        <f>ROUND(E$10*'Comm kWh (DSM)'!F64,2)</f>
        <v>0</v>
      </c>
      <c r="F66" s="13">
        <f>ROUND(F$10*'Comm kWh (DSM)'!G64,2)</f>
        <v>0</v>
      </c>
      <c r="G66" s="13">
        <f>ROUND(G$10*'Comm kWh (DSM)'!H64,2)</f>
        <v>0</v>
      </c>
      <c r="H66" s="13">
        <f>ROUND(H$10*'Comm kWh (DSM)'!I64,2)</f>
        <v>0</v>
      </c>
      <c r="I66" s="13">
        <f>ROUND(I$10*'Comm kWh (DSM)'!J64,2)</f>
        <v>0</v>
      </c>
      <c r="J66" s="13">
        <f>ROUND(J$10*'Comm kWh (DSM)'!K64,2)</f>
        <v>0</v>
      </c>
      <c r="K66" s="13">
        <f>ROUND(K$10*'Comm kWh (DSM)'!L64,2)</f>
        <v>0</v>
      </c>
      <c r="L66" s="13">
        <f>ROUND(L$10*'Comm kWh (DSM)'!M64,2)</f>
        <v>0</v>
      </c>
      <c r="M66" s="13">
        <f>ROUND(M$10*'Comm kWh (DSM)'!N64,2)</f>
        <v>0</v>
      </c>
      <c r="N66" s="13">
        <f>ROUND(N$10*'Comm kWh (DSM)'!O64,2)</f>
        <v>0</v>
      </c>
      <c r="O66" s="13">
        <f>ROUND(O$10*'Comm kWh (DSM)'!P64,2)</f>
        <v>0</v>
      </c>
      <c r="P66" s="13">
        <f t="shared" ref="P66" si="26">SUM(D66:O66)</f>
        <v>0</v>
      </c>
      <c r="Q66" s="13"/>
      <c r="T66" s="26">
        <v>64</v>
      </c>
      <c r="U66" s="26" t="s">
        <v>244</v>
      </c>
    </row>
    <row r="67" spans="1:21" x14ac:dyDescent="0.25">
      <c r="A67" s="24"/>
      <c r="T67" s="26">
        <v>65</v>
      </c>
    </row>
    <row r="68" spans="1:21" x14ac:dyDescent="0.25">
      <c r="A68" s="24" t="s">
        <v>123</v>
      </c>
      <c r="B68" s="13">
        <f>ROUND(B$10*'Comm kWh (DSM)'!C66,2)</f>
        <v>0</v>
      </c>
      <c r="C68" s="13">
        <f>ROUND(C$10*'Comm kWh (DSM)'!D66,2)</f>
        <v>0</v>
      </c>
      <c r="D68" s="13">
        <f>ROUND(D$10*'Comm kWh (DSM)'!E66,2)</f>
        <v>0</v>
      </c>
      <c r="E68" s="13">
        <f>ROUND(E$10*'Comm kWh (DSM)'!F66,2)</f>
        <v>0</v>
      </c>
      <c r="F68" s="13">
        <f>ROUND(F$10*'Comm kWh (DSM)'!G66,2)</f>
        <v>0</v>
      </c>
      <c r="G68" s="13">
        <f>ROUND(G$10*'Comm kWh (DSM)'!H66,2)</f>
        <v>0</v>
      </c>
      <c r="H68" s="13">
        <f>ROUND(H$10*'Comm kWh (DSM)'!I66,2)</f>
        <v>0</v>
      </c>
      <c r="I68" s="13">
        <f>ROUND(I$10*'Comm kWh (DSM)'!J66,2)</f>
        <v>0</v>
      </c>
      <c r="J68" s="13">
        <f>ROUND(J$10*'Comm kWh (DSM)'!K66,2)</f>
        <v>0</v>
      </c>
      <c r="K68" s="13">
        <f>ROUND(K$10*'Comm kWh (DSM)'!L66,2)</f>
        <v>0</v>
      </c>
      <c r="L68" s="13">
        <f>ROUND(L$10*'Comm kWh (DSM)'!M66,2)</f>
        <v>0</v>
      </c>
      <c r="M68" s="13">
        <f>ROUND(M$10*'Comm kWh (DSM)'!N66,2)</f>
        <v>195.41</v>
      </c>
      <c r="N68" s="13">
        <f>ROUND(N$10*'Comm kWh (DSM)'!O66,2)</f>
        <v>173.82</v>
      </c>
      <c r="O68" s="13">
        <f>ROUND(O$10*'Comm kWh (DSM)'!P66,2)</f>
        <v>161.47999999999999</v>
      </c>
      <c r="P68" s="13">
        <f t="shared" ref="P68" si="27">SUM(D68:O68)</f>
        <v>530.71</v>
      </c>
      <c r="Q68" s="13"/>
      <c r="T68" s="26">
        <v>66</v>
      </c>
      <c r="U68" s="26" t="s">
        <v>123</v>
      </c>
    </row>
    <row r="69" spans="1:21" x14ac:dyDescent="0.25">
      <c r="A69" s="24"/>
      <c r="R69" s="26" t="s">
        <v>179</v>
      </c>
      <c r="S69" s="73">
        <f>SUM(P68:P74)</f>
        <v>11240.16</v>
      </c>
      <c r="T69" s="26">
        <v>67</v>
      </c>
    </row>
    <row r="70" spans="1:21" x14ac:dyDescent="0.25">
      <c r="A70" s="24" t="s">
        <v>124</v>
      </c>
      <c r="B70" s="13">
        <f>ROUND(B$10*'Comm kWh (DSM)'!C68,2)</f>
        <v>0</v>
      </c>
      <c r="C70" s="13">
        <f>ROUND(C$10*'Comm kWh (DSM)'!D68,2)</f>
        <v>0</v>
      </c>
      <c r="D70" s="13">
        <f>ROUND(D$10*'Comm kWh (DSM)'!E68,2)</f>
        <v>0</v>
      </c>
      <c r="E70" s="13">
        <f>ROUND(E$10*'Comm kWh (DSM)'!F68,2)</f>
        <v>0</v>
      </c>
      <c r="F70" s="13">
        <f>ROUND(F$10*'Comm kWh (DSM)'!G68,2)</f>
        <v>0</v>
      </c>
      <c r="G70" s="13">
        <f>ROUND(G$10*'Comm kWh (DSM)'!H68,2)</f>
        <v>0</v>
      </c>
      <c r="H70" s="13">
        <f>ROUND(H$10*'Comm kWh (DSM)'!I68,2)</f>
        <v>0</v>
      </c>
      <c r="I70" s="13">
        <f>ROUND(I$10*'Comm kWh (DSM)'!J68,2)</f>
        <v>0</v>
      </c>
      <c r="J70" s="13">
        <f>ROUND(J$10*'Comm kWh (DSM)'!K68,2)</f>
        <v>0</v>
      </c>
      <c r="K70" s="13">
        <f>ROUND(K$10*'Comm kWh (DSM)'!L68,2)</f>
        <v>0</v>
      </c>
      <c r="L70" s="13">
        <f>ROUND(L$10*'Comm kWh (DSM)'!M68,2)</f>
        <v>0</v>
      </c>
      <c r="M70" s="13">
        <f>ROUND(M$10*'Comm kWh (DSM)'!N68,2)</f>
        <v>1194.3699999999999</v>
      </c>
      <c r="N70" s="13">
        <f>ROUND(N$10*'Comm kWh (DSM)'!O68,2)</f>
        <v>1057.33</v>
      </c>
      <c r="O70" s="13">
        <f>ROUND(O$10*'Comm kWh (DSM)'!P68,2)</f>
        <v>1074.1400000000001</v>
      </c>
      <c r="P70" s="13">
        <f t="shared" ref="P70" si="28">SUM(D70:O70)</f>
        <v>3325.84</v>
      </c>
      <c r="Q70" s="13"/>
      <c r="T70" s="26">
        <v>68</v>
      </c>
      <c r="U70" s="26" t="s">
        <v>124</v>
      </c>
    </row>
    <row r="71" spans="1:21" x14ac:dyDescent="0.25">
      <c r="A71" s="24"/>
      <c r="T71" s="26">
        <v>69</v>
      </c>
    </row>
    <row r="72" spans="1:21" x14ac:dyDescent="0.25">
      <c r="A72" s="24" t="s">
        <v>125</v>
      </c>
      <c r="B72" s="13">
        <f>ROUND(B$10*'Comm kWh (DSM)'!C70,2)</f>
        <v>0</v>
      </c>
      <c r="C72" s="13">
        <f>ROUND(C$10*'Comm kWh (DSM)'!D70,2)</f>
        <v>0</v>
      </c>
      <c r="D72" s="13">
        <f>ROUND(D$10*'Comm kWh (DSM)'!E70,2)</f>
        <v>0</v>
      </c>
      <c r="E72" s="13">
        <f>ROUND(E$10*'Comm kWh (DSM)'!F70,2)</f>
        <v>0</v>
      </c>
      <c r="F72" s="13">
        <f>ROUND(F$10*'Comm kWh (DSM)'!G70,2)</f>
        <v>0</v>
      </c>
      <c r="G72" s="13">
        <f>ROUND(G$10*'Comm kWh (DSM)'!H70,2)</f>
        <v>0</v>
      </c>
      <c r="H72" s="13">
        <f>ROUND(H$10*'Comm kWh (DSM)'!I70,2)</f>
        <v>0</v>
      </c>
      <c r="I72" s="13">
        <f>ROUND(I$10*'Comm kWh (DSM)'!J70,2)</f>
        <v>0</v>
      </c>
      <c r="J72" s="13">
        <f>ROUND(J$10*'Comm kWh (DSM)'!K70,2)</f>
        <v>0</v>
      </c>
      <c r="K72" s="13">
        <f>ROUND(K$10*'Comm kWh (DSM)'!L70,2)</f>
        <v>0</v>
      </c>
      <c r="L72" s="13">
        <f>ROUND(L$10*'Comm kWh (DSM)'!M70,2)</f>
        <v>0</v>
      </c>
      <c r="M72" s="13">
        <f>ROUND(M$10*'Comm kWh (DSM)'!N70,2)</f>
        <v>2046.08</v>
      </c>
      <c r="N72" s="13">
        <f>ROUND(N$10*'Comm kWh (DSM)'!O70,2)</f>
        <v>1871.45</v>
      </c>
      <c r="O72" s="13">
        <f>ROUND(O$10*'Comm kWh (DSM)'!P70,2)</f>
        <v>3466.08</v>
      </c>
      <c r="P72" s="13">
        <f t="shared" ref="P72:P78" si="29">SUM(D72:O72)</f>
        <v>7383.61</v>
      </c>
      <c r="Q72" s="13"/>
      <c r="R72" s="26" t="s">
        <v>135</v>
      </c>
      <c r="S72" s="73">
        <f>P78</f>
        <v>56.81</v>
      </c>
      <c r="T72" s="26">
        <v>70</v>
      </c>
      <c r="U72" s="26" t="s">
        <v>125</v>
      </c>
    </row>
    <row r="73" spans="1:21" x14ac:dyDescent="0.25">
      <c r="A73" s="66"/>
      <c r="B73" s="66"/>
      <c r="C73" s="66"/>
      <c r="P73" s="13">
        <f t="shared" si="29"/>
        <v>0</v>
      </c>
      <c r="Q73" s="66"/>
      <c r="T73" s="26">
        <v>71</v>
      </c>
    </row>
    <row r="74" spans="1:21" x14ac:dyDescent="0.25">
      <c r="A74" s="66" t="s">
        <v>126</v>
      </c>
      <c r="B74" s="66"/>
      <c r="C74" s="66"/>
      <c r="D74" s="13">
        <f>ROUND(D$10*'Comm kWh (DSM)'!E72,2)</f>
        <v>0</v>
      </c>
      <c r="E74" s="13">
        <f>ROUND(E$10*'Comm kWh (DSM)'!F72,2)</f>
        <v>0</v>
      </c>
      <c r="F74" s="13">
        <f>ROUND(F$10*'Comm kWh (DSM)'!G72,2)</f>
        <v>0</v>
      </c>
      <c r="G74" s="13">
        <f>ROUND(G$10*'Comm kWh (DSM)'!H72,2)</f>
        <v>0</v>
      </c>
      <c r="H74" s="13">
        <f>ROUND(H$10*'Comm kWh (DSM)'!I72,2)</f>
        <v>0</v>
      </c>
      <c r="I74" s="13">
        <f>ROUND(I$10*'Comm kWh (DSM)'!J72,2)</f>
        <v>0</v>
      </c>
      <c r="J74" s="13">
        <f>ROUND(J$10*'Comm kWh (DSM)'!K72,2)</f>
        <v>0</v>
      </c>
      <c r="K74" s="13">
        <f>ROUND(K$10*'Comm kWh (DSM)'!L72,2)</f>
        <v>0</v>
      </c>
      <c r="L74" s="13">
        <f>ROUND(L$10*'Comm kWh (DSM)'!M72,2)</f>
        <v>0</v>
      </c>
      <c r="M74" s="13">
        <f>ROUND(M$10*'Comm kWh (DSM)'!N72,2)</f>
        <v>0</v>
      </c>
      <c r="N74" s="13">
        <f>ROUND(N$10*'Comm kWh (DSM)'!O72,2)</f>
        <v>0</v>
      </c>
      <c r="O74" s="13">
        <f>ROUND(O$10*'Comm kWh (DSM)'!P72,2)</f>
        <v>0</v>
      </c>
      <c r="P74" s="13">
        <f t="shared" si="29"/>
        <v>0</v>
      </c>
      <c r="Q74" s="66"/>
      <c r="T74" s="26">
        <v>72</v>
      </c>
      <c r="U74" s="26" t="s">
        <v>126</v>
      </c>
    </row>
    <row r="75" spans="1:21" x14ac:dyDescent="0.25">
      <c r="A75" s="66"/>
      <c r="B75" s="66"/>
      <c r="C75" s="66"/>
      <c r="P75" s="13">
        <f t="shared" si="29"/>
        <v>0</v>
      </c>
      <c r="Q75" s="66"/>
      <c r="T75" s="26">
        <v>73</v>
      </c>
    </row>
    <row r="76" spans="1:21" x14ac:dyDescent="0.25">
      <c r="A76" s="66" t="s">
        <v>2</v>
      </c>
      <c r="B76" s="66"/>
      <c r="C76" s="66"/>
      <c r="D76" s="13">
        <f>ROUND(D$10*'Comm kWh (DSM)'!E74,2)</f>
        <v>0</v>
      </c>
      <c r="E76" s="13">
        <f>ROUND(E$10*'Comm kWh (DSM)'!F74,2)</f>
        <v>0</v>
      </c>
      <c r="F76" s="13">
        <f>ROUND(F$10*'Comm kWh (DSM)'!G74,2)</f>
        <v>0</v>
      </c>
      <c r="G76" s="13">
        <f>ROUND(G$10*'Comm kWh (DSM)'!H74,2)</f>
        <v>0</v>
      </c>
      <c r="H76" s="13">
        <f>ROUND(H$10*'Comm kWh (DSM)'!I74,2)</f>
        <v>0</v>
      </c>
      <c r="I76" s="13">
        <f>ROUND(I$10*'Comm kWh (DSM)'!J74,2)</f>
        <v>0</v>
      </c>
      <c r="J76" s="13">
        <f>ROUND(J$10*'Comm kWh (DSM)'!K74,2)</f>
        <v>0</v>
      </c>
      <c r="K76" s="13">
        <f>ROUND(K$10*'Comm kWh (DSM)'!L74,2)</f>
        <v>0</v>
      </c>
      <c r="L76" s="13">
        <f>ROUND(L$10*'Comm kWh (DSM)'!M74,2)</f>
        <v>0</v>
      </c>
      <c r="M76" s="13">
        <f>ROUND(M$10*'Comm kWh (DSM)'!N74,2)</f>
        <v>0</v>
      </c>
      <c r="N76" s="13">
        <f>ROUND(N$10*'Comm kWh (DSM)'!O74,2)</f>
        <v>0</v>
      </c>
      <c r="O76" s="13">
        <f>ROUND(O$10*'Comm kWh (DSM)'!P74,2)</f>
        <v>0</v>
      </c>
      <c r="P76" s="13">
        <f t="shared" si="29"/>
        <v>0</v>
      </c>
      <c r="Q76" s="66"/>
      <c r="T76" s="26">
        <v>74</v>
      </c>
      <c r="U76" s="26" t="s">
        <v>2</v>
      </c>
    </row>
    <row r="77" spans="1:21" x14ac:dyDescent="0.25">
      <c r="A77" s="66"/>
      <c r="B77" s="66"/>
      <c r="C77" s="66"/>
      <c r="P77" s="13">
        <f t="shared" si="29"/>
        <v>0</v>
      </c>
      <c r="Q77" s="66"/>
      <c r="T77" s="26">
        <v>75</v>
      </c>
    </row>
    <row r="78" spans="1:21" x14ac:dyDescent="0.25">
      <c r="A78" s="66" t="s">
        <v>1</v>
      </c>
      <c r="B78" s="66"/>
      <c r="C78" s="66"/>
      <c r="D78" s="13">
        <f>ROUND(D$10*'Comm kWh (DSM)'!E76,2)</f>
        <v>0</v>
      </c>
      <c r="E78" s="13">
        <f>ROUND(E$10*'Comm kWh (DSM)'!F76,2)</f>
        <v>0</v>
      </c>
      <c r="F78" s="13">
        <f>ROUND(F$10*'Comm kWh (DSM)'!G76,2)</f>
        <v>0</v>
      </c>
      <c r="G78" s="13">
        <f>ROUND(G$10*'Comm kWh (DSM)'!H76,2)</f>
        <v>0</v>
      </c>
      <c r="H78" s="13">
        <f>ROUND(H$10*'Comm kWh (DSM)'!I76,2)</f>
        <v>0</v>
      </c>
      <c r="I78" s="13">
        <f>ROUND(I$10*'Comm kWh (DSM)'!J76,2)</f>
        <v>0</v>
      </c>
      <c r="J78" s="13">
        <f>ROUND(J$10*'Comm kWh (DSM)'!K76,2)</f>
        <v>0</v>
      </c>
      <c r="K78" s="13">
        <f>ROUND(K$10*'Comm kWh (DSM)'!L76,2)</f>
        <v>0</v>
      </c>
      <c r="L78" s="13">
        <f>ROUND(L$10*'Comm kWh (DSM)'!M76,2)</f>
        <v>0</v>
      </c>
      <c r="M78" s="13">
        <f>ROUND(M$10*'Comm kWh (DSM)'!N76,2)</f>
        <v>20.29</v>
      </c>
      <c r="N78" s="13">
        <f>ROUND(N$10*'Comm kWh (DSM)'!O76,2)</f>
        <v>18.940000000000001</v>
      </c>
      <c r="O78" s="13">
        <f>ROUND(O$10*'Comm kWh (DSM)'!P76,2)</f>
        <v>17.579999999999998</v>
      </c>
      <c r="P78" s="13">
        <f t="shared" si="29"/>
        <v>56.81</v>
      </c>
      <c r="Q78" s="66"/>
      <c r="T78" s="26">
        <v>76</v>
      </c>
      <c r="U78" s="26" t="s">
        <v>1</v>
      </c>
    </row>
    <row r="79" spans="1:21" x14ac:dyDescent="0.25">
      <c r="A79" s="26" t="s">
        <v>0</v>
      </c>
      <c r="B79" s="13" t="e">
        <f>SUM(B12:B72)</f>
        <v>#REF!</v>
      </c>
      <c r="C79" s="13" t="e">
        <f t="shared" ref="C79" si="30">SUM(C12:C72)</f>
        <v>#REF!</v>
      </c>
      <c r="D79" s="44">
        <f>SUM(D12:D78)-D20</f>
        <v>17480.77</v>
      </c>
      <c r="E79" s="44">
        <f t="shared" ref="E79:O79" si="31">SUM(E12:E78)-E20</f>
        <v>15821.739999999998</v>
      </c>
      <c r="F79" s="44">
        <f t="shared" si="31"/>
        <v>19873.319999999996</v>
      </c>
      <c r="G79" s="44">
        <f t="shared" si="31"/>
        <v>22920.609999999997</v>
      </c>
      <c r="H79" s="44">
        <f t="shared" si="31"/>
        <v>22478.29</v>
      </c>
      <c r="I79" s="44">
        <f t="shared" si="31"/>
        <v>16781.489999999998</v>
      </c>
      <c r="J79" s="44">
        <f t="shared" si="31"/>
        <v>16016.859999999999</v>
      </c>
      <c r="K79" s="44">
        <f t="shared" si="31"/>
        <v>20381.170000000002</v>
      </c>
      <c r="L79" s="44">
        <f t="shared" si="31"/>
        <v>30873.31</v>
      </c>
      <c r="M79" s="44">
        <f t="shared" si="31"/>
        <v>69007.140000000014</v>
      </c>
      <c r="N79" s="44">
        <f t="shared" si="31"/>
        <v>53524.529999999984</v>
      </c>
      <c r="O79" s="44">
        <f t="shared" si="31"/>
        <v>52085.690000000017</v>
      </c>
      <c r="P79" s="44">
        <f>SUM(D79:O79)</f>
        <v>357244.92</v>
      </c>
      <c r="Q79" s="13"/>
      <c r="S79" s="73">
        <f>SUM(S17:S72)</f>
        <v>357244.91999999993</v>
      </c>
    </row>
    <row r="81" spans="16:16" x14ac:dyDescent="0.25">
      <c r="P81" s="13">
        <f>SUM(P12:P78)</f>
        <v>357734.71999999991</v>
      </c>
    </row>
  </sheetData>
  <pageMargins left="0.7" right="0.36" top="0.75" bottom="0.75" header="0.3" footer="0.3"/>
  <pageSetup scale="48" orientation="portrait" r:id="rId1"/>
  <headerFooter>
    <oddFooter>&amp;L&amp;F
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82"/>
  <sheetViews>
    <sheetView zoomScale="90" zoomScaleNormal="90" workbookViewId="0">
      <pane xSplit="1" ySplit="10" topLeftCell="D11" activePane="bottomRight" state="frozen"/>
      <selection activeCell="A25" sqref="A1:XFD1048576"/>
      <selection pane="topRight" activeCell="A25" sqref="A1:XFD1048576"/>
      <selection pane="bottomLeft" activeCell="A25" sqref="A1:XFD1048576"/>
      <selection pane="bottomRight" activeCell="G15" sqref="G15"/>
    </sheetView>
  </sheetViews>
  <sheetFormatPr defaultColWidth="9.140625" defaultRowHeight="15.75" outlineLevelCol="1" x14ac:dyDescent="0.25"/>
  <cols>
    <col min="1" max="1" width="18.42578125" style="26" bestFit="1" customWidth="1"/>
    <col min="2" max="2" width="18.140625" style="26" hidden="1" customWidth="1" outlineLevel="1"/>
    <col min="3" max="3" width="23.85546875" style="26" hidden="1" customWidth="1" outlineLevel="1"/>
    <col min="4" max="4" width="15.140625" style="26" bestFit="1" customWidth="1" outlineLevel="1"/>
    <col min="5" max="15" width="14.28515625" style="26" customWidth="1" outlineLevel="1"/>
    <col min="16" max="16" width="16.5703125" style="26" customWidth="1"/>
    <col min="17" max="16384" width="9.140625" style="26"/>
  </cols>
  <sheetData>
    <row r="1" spans="1:19" x14ac:dyDescent="0.25">
      <c r="A1" s="26" t="s">
        <v>70</v>
      </c>
      <c r="D1" s="150"/>
    </row>
    <row r="2" spans="1:19" x14ac:dyDescent="0.25">
      <c r="A2" s="26" t="s">
        <v>71</v>
      </c>
    </row>
    <row r="3" spans="1:19" x14ac:dyDescent="0.25">
      <c r="A3" s="26" t="str">
        <f>'B&amp;A kWh'!B3</f>
        <v>TEST YEAR ENDED March 31, 2023</v>
      </c>
    </row>
    <row r="4" spans="1:19" x14ac:dyDescent="0.25">
      <c r="A4" s="26" t="s">
        <v>81</v>
      </c>
    </row>
    <row r="5" spans="1:19" x14ac:dyDescent="0.25">
      <c r="A5" s="26" t="s">
        <v>162</v>
      </c>
    </row>
    <row r="6" spans="1:19" x14ac:dyDescent="0.25">
      <c r="A6" s="26" t="s">
        <v>144</v>
      </c>
    </row>
    <row r="7" spans="1:19" x14ac:dyDescent="0.25">
      <c r="D7" s="26">
        <v>2022</v>
      </c>
      <c r="O7" s="26">
        <v>2023</v>
      </c>
      <c r="P7" s="32" t="s">
        <v>293</v>
      </c>
    </row>
    <row r="8" spans="1:19" x14ac:dyDescent="0.25">
      <c r="A8" s="74" t="s">
        <v>22</v>
      </c>
      <c r="B8" s="59" t="s">
        <v>106</v>
      </c>
      <c r="C8" s="59" t="s">
        <v>107</v>
      </c>
      <c r="D8" s="59" t="s">
        <v>109</v>
      </c>
      <c r="E8" s="59" t="s">
        <v>110</v>
      </c>
      <c r="F8" s="59" t="s">
        <v>111</v>
      </c>
      <c r="G8" s="59" t="s">
        <v>112</v>
      </c>
      <c r="H8" s="59" t="s">
        <v>113</v>
      </c>
      <c r="I8" s="59" t="s">
        <v>114</v>
      </c>
      <c r="J8" s="59" t="s">
        <v>115</v>
      </c>
      <c r="K8" s="59" t="s">
        <v>116</v>
      </c>
      <c r="L8" s="59" t="s">
        <v>117</v>
      </c>
      <c r="M8" s="59" t="s">
        <v>106</v>
      </c>
      <c r="N8" s="59" t="s">
        <v>107</v>
      </c>
      <c r="O8" s="59" t="s">
        <v>108</v>
      </c>
      <c r="P8" s="151" t="s">
        <v>0</v>
      </c>
    </row>
    <row r="9" spans="1:19" x14ac:dyDescent="0.25">
      <c r="A9" s="26" t="s">
        <v>84</v>
      </c>
      <c r="B9" s="65"/>
      <c r="C9" s="65"/>
      <c r="D9" s="60">
        <v>5.6344999999999999E-2</v>
      </c>
      <c r="E9" s="60">
        <v>5.6344999999999999E-2</v>
      </c>
      <c r="F9" s="60">
        <v>5.6344999999999999E-2</v>
      </c>
      <c r="G9" s="60">
        <v>5.6344999999999999E-2</v>
      </c>
      <c r="H9" s="60">
        <v>5.6344999999999999E-2</v>
      </c>
      <c r="I9" s="60">
        <v>5.6344999999999999E-2</v>
      </c>
      <c r="J9" s="60">
        <v>4.6917E-2</v>
      </c>
      <c r="K9" s="60">
        <v>4.6917E-2</v>
      </c>
      <c r="L9" s="60">
        <v>4.6917E-2</v>
      </c>
      <c r="M9" s="60">
        <v>4.6917E-2</v>
      </c>
      <c r="N9" s="60">
        <v>4.6917E-2</v>
      </c>
      <c r="O9" s="60">
        <v>4.6917E-2</v>
      </c>
    </row>
    <row r="10" spans="1:19" x14ac:dyDescent="0.25">
      <c r="A10" s="26" t="s">
        <v>92</v>
      </c>
      <c r="B10" s="65"/>
      <c r="C10" s="65"/>
      <c r="D10" s="60">
        <v>8.3578E-2</v>
      </c>
      <c r="E10" s="60">
        <v>8.3578E-2</v>
      </c>
      <c r="F10" s="60">
        <v>8.3578E-2</v>
      </c>
      <c r="G10" s="60">
        <v>8.3578E-2</v>
      </c>
      <c r="H10" s="60">
        <v>8.3578E-2</v>
      </c>
      <c r="I10" s="60">
        <v>8.3578E-2</v>
      </c>
      <c r="J10" s="60">
        <v>7.9233999999999999E-2</v>
      </c>
      <c r="K10" s="60">
        <v>7.9233999999999999E-2</v>
      </c>
      <c r="L10" s="60">
        <v>7.9233999999999999E-2</v>
      </c>
      <c r="M10" s="60">
        <v>7.9233999999999999E-2</v>
      </c>
      <c r="N10" s="60">
        <v>7.9233999999999999E-2</v>
      </c>
      <c r="O10" s="60">
        <v>7.9233999999999999E-2</v>
      </c>
    </row>
    <row r="12" spans="1:19" x14ac:dyDescent="0.25">
      <c r="B12" s="26" t="s">
        <v>130</v>
      </c>
      <c r="S12" s="26" t="s">
        <v>262</v>
      </c>
    </row>
    <row r="13" spans="1:19" x14ac:dyDescent="0.25">
      <c r="A13" s="24" t="s">
        <v>21</v>
      </c>
      <c r="B13" s="13">
        <f>ROUND(' B&amp;A+DSM - % Riders'!B10*B$9,2)</f>
        <v>0</v>
      </c>
      <c r="C13" s="13">
        <f>ROUND(' B&amp;A+DSM - % Riders'!C10*C$9,2)</f>
        <v>0</v>
      </c>
      <c r="D13" s="13">
        <f>ROUND(' B&amp;A+DSM - % Riders'!D10*D$9,2)</f>
        <v>1152118.83</v>
      </c>
      <c r="E13" s="13">
        <f>ROUND(' B&amp;A+DSM - % Riders'!E10*E$9,2)</f>
        <v>1056894.02</v>
      </c>
      <c r="F13" s="13">
        <f>ROUND(' B&amp;A+DSM - % Riders'!F10*F$9,2)</f>
        <v>1309998.25</v>
      </c>
      <c r="G13" s="13">
        <f>ROUND(' B&amp;A+DSM - % Riders'!G10*G$9,2)</f>
        <v>1505283.14</v>
      </c>
      <c r="H13" s="13">
        <f>ROUND(' B&amp;A+DSM - % Riders'!H10*H$9,2)</f>
        <v>1402609.11</v>
      </c>
      <c r="I13" s="13">
        <f>ROUND(' B&amp;A+DSM - % Riders'!I10*I$9,2)</f>
        <v>1037090.66</v>
      </c>
      <c r="J13" s="13">
        <f>ROUND(' B&amp;A+DSM - % Riders'!J10*J$9,2)</f>
        <v>942310.81</v>
      </c>
      <c r="K13" s="13">
        <f>ROUND(' B&amp;A+DSM - % Riders'!K10*K$9,2)</f>
        <v>1220835.32</v>
      </c>
      <c r="L13" s="13">
        <f>ROUND(' B&amp;A+DSM - % Riders'!L10*L$9,2)</f>
        <v>1387896.68</v>
      </c>
      <c r="M13" s="13">
        <f>ROUND(' B&amp;A+DSM - % Riders'!M10*M$9,2)</f>
        <v>1399872.84</v>
      </c>
      <c r="N13" s="13">
        <f>ROUND(' B&amp;A+DSM - % Riders'!N10*N$9,2)</f>
        <v>925872.23</v>
      </c>
      <c r="O13" s="13">
        <f>ROUND(' B&amp;A+DSM - % Riders'!O10*O$9,2)</f>
        <v>728893.08</v>
      </c>
      <c r="P13" s="13">
        <f>SUM(D13:O13)</f>
        <v>14069674.970000001</v>
      </c>
      <c r="R13" s="26" t="s">
        <v>21</v>
      </c>
      <c r="S13" s="26">
        <v>10</v>
      </c>
    </row>
    <row r="14" spans="1:19" x14ac:dyDescent="0.25">
      <c r="A14" s="24"/>
      <c r="S14" s="26">
        <v>11</v>
      </c>
    </row>
    <row r="15" spans="1:19" x14ac:dyDescent="0.25">
      <c r="A15" s="24" t="s">
        <v>20</v>
      </c>
      <c r="B15" s="13">
        <f>ROUND(' B&amp;A+DSM - % Riders'!B12*B$9,2)</f>
        <v>0</v>
      </c>
      <c r="C15" s="13">
        <f>ROUND(' B&amp;A+DSM - % Riders'!C12*C$9,2)</f>
        <v>0</v>
      </c>
      <c r="D15" s="13">
        <f>ROUND(' B&amp;A+DSM - % Riders'!D12*D$9,2)</f>
        <v>1568.57</v>
      </c>
      <c r="E15" s="13">
        <f>ROUND(' B&amp;A+DSM - % Riders'!E12*E$9,2)</f>
        <v>1459.22</v>
      </c>
      <c r="F15" s="13">
        <f>ROUND(' B&amp;A+DSM - % Riders'!F12*F$9,2)</f>
        <v>1856.66</v>
      </c>
      <c r="G15" s="13">
        <f>ROUND(' B&amp;A+DSM - % Riders'!G12*G$9,2)</f>
        <v>2216.6</v>
      </c>
      <c r="H15" s="13">
        <f>ROUND(' B&amp;A+DSM - % Riders'!H12*H$9,2)</f>
        <v>1987.03</v>
      </c>
      <c r="I15" s="13">
        <f>ROUND(' B&amp;A+DSM - % Riders'!I12*I$9,2)</f>
        <v>1601.09</v>
      </c>
      <c r="J15" s="13">
        <f>ROUND(' B&amp;A+DSM - % Riders'!J12*J$9,2)</f>
        <v>1276.98</v>
      </c>
      <c r="K15" s="13">
        <f>ROUND(' B&amp;A+DSM - % Riders'!K12*K$9,2)</f>
        <v>1611.49</v>
      </c>
      <c r="L15" s="13">
        <f>ROUND(' B&amp;A+DSM - % Riders'!L12*L$9,2)</f>
        <v>2127.5500000000002</v>
      </c>
      <c r="M15" s="13">
        <f>ROUND(' B&amp;A+DSM - % Riders'!M12*M$9,2)</f>
        <v>2337.9</v>
      </c>
      <c r="N15" s="13">
        <f>ROUND(' B&amp;A+DSM - % Riders'!N12*N$9,2)</f>
        <v>1262.31</v>
      </c>
      <c r="O15" s="13">
        <f>ROUND(' B&amp;A+DSM - % Riders'!O12*O$9,2)</f>
        <v>940.78</v>
      </c>
      <c r="P15" s="13">
        <f t="shared" ref="P15" si="0">SUM(D15:O15)</f>
        <v>20246.18</v>
      </c>
      <c r="R15" s="26" t="s">
        <v>20</v>
      </c>
      <c r="S15" s="26">
        <v>12</v>
      </c>
    </row>
    <row r="16" spans="1:19" x14ac:dyDescent="0.25">
      <c r="A16" s="24"/>
      <c r="S16" s="26">
        <v>13</v>
      </c>
    </row>
    <row r="17" spans="1:19" x14ac:dyDescent="0.25">
      <c r="A17" s="24" t="s">
        <v>19</v>
      </c>
      <c r="B17" s="13">
        <f>ROUND(' B&amp;A+DSM - % Riders'!B14*B$9,2)</f>
        <v>0</v>
      </c>
      <c r="C17" s="13">
        <f>ROUND(' B&amp;A+DSM - % Riders'!C14*C$9,2)</f>
        <v>0</v>
      </c>
      <c r="D17" s="13">
        <f>ROUND(' B&amp;A+DSM - % Riders'!D14*D$9,2)</f>
        <v>46.04</v>
      </c>
      <c r="E17" s="13">
        <f>ROUND(' B&amp;A+DSM - % Riders'!E14*E$9,2)</f>
        <v>43.6</v>
      </c>
      <c r="F17" s="13">
        <f>ROUND(' B&amp;A+DSM - % Riders'!F14*F$9,2)</f>
        <v>59.4</v>
      </c>
      <c r="G17" s="13">
        <f>ROUND(' B&amp;A+DSM - % Riders'!G14*G$9,2)</f>
        <v>68.44</v>
      </c>
      <c r="H17" s="13">
        <f>ROUND(' B&amp;A+DSM - % Riders'!H14*H$9,2)</f>
        <v>75.489999999999995</v>
      </c>
      <c r="I17" s="13">
        <f>ROUND(' B&amp;A+DSM - % Riders'!I14*I$9,2)</f>
        <v>64.540000000000006</v>
      </c>
      <c r="J17" s="13">
        <f>ROUND(' B&amp;A+DSM - % Riders'!J14*J$9,2)</f>
        <v>59.16</v>
      </c>
      <c r="K17" s="13">
        <f>ROUND(' B&amp;A+DSM - % Riders'!K14*K$9,2)</f>
        <v>39.729999999999997</v>
      </c>
      <c r="L17" s="13">
        <f>ROUND(' B&amp;A+DSM - % Riders'!L14*L$9,2)</f>
        <v>99.97</v>
      </c>
      <c r="M17" s="13">
        <f>ROUND(' B&amp;A+DSM - % Riders'!M14*M$9,2)</f>
        <v>108.43</v>
      </c>
      <c r="N17" s="13">
        <f>ROUND(' B&amp;A+DSM - % Riders'!N14*N$9,2)</f>
        <v>61.89</v>
      </c>
      <c r="O17" s="13">
        <f>ROUND(' B&amp;A+DSM - % Riders'!O14*O$9,2)</f>
        <v>44.73</v>
      </c>
      <c r="P17" s="13">
        <f t="shared" ref="P17" si="1">SUM(D17:O17)</f>
        <v>771.42</v>
      </c>
      <c r="R17" s="26" t="s">
        <v>19</v>
      </c>
      <c r="S17" s="26">
        <v>14</v>
      </c>
    </row>
    <row r="18" spans="1:19" x14ac:dyDescent="0.25">
      <c r="A18" s="24"/>
      <c r="S18" s="26">
        <v>15</v>
      </c>
    </row>
    <row r="19" spans="1:19" x14ac:dyDescent="0.25">
      <c r="A19" s="43" t="s">
        <v>172</v>
      </c>
      <c r="D19" s="13">
        <f>ROUND(' B&amp;A+DSM - % Riders'!D16*D$9,2)</f>
        <v>0</v>
      </c>
      <c r="E19" s="13">
        <f>ROUND(' B&amp;A+DSM - % Riders'!E16*E$9,2)</f>
        <v>0</v>
      </c>
      <c r="F19" s="13">
        <f>ROUND(' B&amp;A+DSM - % Riders'!F16*F$9,2)</f>
        <v>0</v>
      </c>
      <c r="G19" s="13">
        <f>ROUND(' B&amp;A+DSM - % Riders'!G16*G$9,2)</f>
        <v>0</v>
      </c>
      <c r="H19" s="13">
        <f>ROUND(' B&amp;A+DSM - % Riders'!H16*H$9,2)</f>
        <v>0</v>
      </c>
      <c r="I19" s="13">
        <f>ROUND(' B&amp;A+DSM - % Riders'!I16*I$9,2)</f>
        <v>0</v>
      </c>
      <c r="J19" s="13">
        <f>ROUND(' B&amp;A+DSM - % Riders'!J16*J$9,2)</f>
        <v>0</v>
      </c>
      <c r="K19" s="13">
        <f>ROUND(' B&amp;A+DSM - % Riders'!K16*K$9,2)</f>
        <v>0</v>
      </c>
      <c r="L19" s="13">
        <f>ROUND(' B&amp;A+DSM - % Riders'!L16*L$9,2)</f>
        <v>0</v>
      </c>
      <c r="M19" s="13">
        <f>ROUND(' B&amp;A+DSM - % Riders'!M16*M$9,2)</f>
        <v>0</v>
      </c>
      <c r="N19" s="13">
        <f>ROUND(' B&amp;A+DSM - % Riders'!N16*N$9,2)</f>
        <v>0</v>
      </c>
      <c r="O19" s="13">
        <f>ROUND(' B&amp;A+DSM - % Riders'!O16*O$9,2)</f>
        <v>0</v>
      </c>
      <c r="P19" s="13">
        <f t="shared" ref="P19:P21" si="2">SUM(D19:O19)</f>
        <v>0</v>
      </c>
      <c r="R19" s="26" t="s">
        <v>172</v>
      </c>
      <c r="S19" s="26">
        <v>16</v>
      </c>
    </row>
    <row r="20" spans="1:19" x14ac:dyDescent="0.25">
      <c r="A20" s="43" t="s">
        <v>174</v>
      </c>
      <c r="D20" s="13">
        <f>ROUND('B&amp;A+DSM - Fuel and % Riders'!D17*D$10,2)</f>
        <v>52239.99</v>
      </c>
      <c r="E20" s="13">
        <f>ROUND('B&amp;A+DSM - Fuel and % Riders'!E17*E$10,2)</f>
        <v>57132.02</v>
      </c>
      <c r="F20" s="13">
        <f>ROUND('B&amp;A+DSM - Fuel and % Riders'!F17*F$10,2)</f>
        <v>51475.99</v>
      </c>
      <c r="G20" s="13">
        <f>ROUND('B&amp;A+DSM - Fuel and % Riders'!G17*G$10,2)</f>
        <v>46849.31</v>
      </c>
      <c r="H20" s="13">
        <f>ROUND('B&amp;A+DSM - Fuel and % Riders'!H17*H$10,2)</f>
        <v>48304.99</v>
      </c>
      <c r="I20" s="13">
        <f>ROUND('B&amp;A+DSM - Fuel and % Riders'!I17*I$10,2)</f>
        <v>44794.27</v>
      </c>
      <c r="J20" s="13">
        <f>ROUND('B&amp;A+DSM - Fuel and % Riders'!J17*J$10,2)</f>
        <v>54557.41</v>
      </c>
      <c r="K20" s="13">
        <f>ROUND('B&amp;A+DSM - Fuel and % Riders'!K17*K$10,2)</f>
        <v>55654.400000000001</v>
      </c>
      <c r="L20" s="13">
        <f>ROUND('B&amp;A+DSM - Fuel and % Riders'!L17*L$10,2)</f>
        <v>34345.919999999998</v>
      </c>
      <c r="M20" s="13">
        <f>ROUND('B&amp;A+DSM - Fuel and % Riders'!M17*M$10,2)</f>
        <v>33278.01</v>
      </c>
      <c r="N20" s="13">
        <f>ROUND('B&amp;A+DSM - Fuel and % Riders'!N17*N$10,2)</f>
        <v>33974.370000000003</v>
      </c>
      <c r="O20" s="13">
        <f>ROUND('B&amp;A+DSM - Fuel and % Riders'!O17*O$10,2)</f>
        <v>50949.5</v>
      </c>
      <c r="P20" s="13">
        <f t="shared" si="2"/>
        <v>563556.17999999993</v>
      </c>
      <c r="R20" s="26" t="s">
        <v>174</v>
      </c>
      <c r="S20" s="26">
        <v>17</v>
      </c>
    </row>
    <row r="21" spans="1:19" x14ac:dyDescent="0.25">
      <c r="A21" s="24" t="s">
        <v>18</v>
      </c>
      <c r="B21" s="13" t="e">
        <f>ROUND(' B&amp;A+DSM - % Riders'!B18*B$9,2)</f>
        <v>#REF!</v>
      </c>
      <c r="C21" s="13" t="e">
        <f>ROUND(' B&amp;A+DSM - % Riders'!C18*C$9,2)</f>
        <v>#REF!</v>
      </c>
      <c r="D21" s="13">
        <f>SUM(D19:D20)</f>
        <v>52239.99</v>
      </c>
      <c r="E21" s="13">
        <f t="shared" ref="E21:O21" si="3">SUM(E19:E20)</f>
        <v>57132.02</v>
      </c>
      <c r="F21" s="13">
        <f t="shared" si="3"/>
        <v>51475.99</v>
      </c>
      <c r="G21" s="13">
        <f t="shared" si="3"/>
        <v>46849.31</v>
      </c>
      <c r="H21" s="13">
        <f t="shared" si="3"/>
        <v>48304.99</v>
      </c>
      <c r="I21" s="13">
        <f t="shared" si="3"/>
        <v>44794.27</v>
      </c>
      <c r="J21" s="13">
        <f t="shared" si="3"/>
        <v>54557.41</v>
      </c>
      <c r="K21" s="13">
        <f t="shared" si="3"/>
        <v>55654.400000000001</v>
      </c>
      <c r="L21" s="13">
        <f t="shared" si="3"/>
        <v>34345.919999999998</v>
      </c>
      <c r="M21" s="13">
        <f t="shared" si="3"/>
        <v>33278.01</v>
      </c>
      <c r="N21" s="13">
        <f t="shared" si="3"/>
        <v>33974.370000000003</v>
      </c>
      <c r="O21" s="13">
        <f t="shared" si="3"/>
        <v>50949.5</v>
      </c>
      <c r="P21" s="13">
        <f t="shared" si="2"/>
        <v>563556.17999999993</v>
      </c>
      <c r="R21" s="26" t="s">
        <v>18</v>
      </c>
      <c r="S21" s="26">
        <v>18</v>
      </c>
    </row>
    <row r="22" spans="1:19" x14ac:dyDescent="0.25">
      <c r="A22" s="24"/>
      <c r="S22" s="26">
        <v>19</v>
      </c>
    </row>
    <row r="23" spans="1:19" x14ac:dyDescent="0.25">
      <c r="A23" s="24" t="s">
        <v>17</v>
      </c>
      <c r="B23" s="13">
        <f>ROUND('B&amp;A+DSM - Fuel and % Riders'!B20*B$10,2)</f>
        <v>0</v>
      </c>
      <c r="C23" s="13">
        <f>ROUND('B&amp;A+DSM - Fuel and % Riders'!C20*C$10,2)</f>
        <v>0</v>
      </c>
      <c r="D23" s="13">
        <f>ROUND('B&amp;A+DSM - Fuel and % Riders'!D20*D$10,2)</f>
        <v>119809.42</v>
      </c>
      <c r="E23" s="13">
        <f>ROUND('B&amp;A+DSM - Fuel and % Riders'!E20*E$10,2)</f>
        <v>133693.85</v>
      </c>
      <c r="F23" s="13">
        <f>ROUND('B&amp;A+DSM - Fuel and % Riders'!F20*F$10,2)</f>
        <v>131748.44</v>
      </c>
      <c r="G23" s="13">
        <f>ROUND('B&amp;A+DSM - Fuel and % Riders'!G20*G$10,2)</f>
        <v>133674.04999999999</v>
      </c>
      <c r="H23" s="13">
        <f>ROUND('B&amp;A+DSM - Fuel and % Riders'!H20*H$10,2)</f>
        <v>128505.19</v>
      </c>
      <c r="I23" s="13">
        <f>ROUND('B&amp;A+DSM - Fuel and % Riders'!I20*I$10,2)</f>
        <v>121821.19</v>
      </c>
      <c r="J23" s="13">
        <f>ROUND('B&amp;A+DSM - Fuel and % Riders'!J20*J$10,2)</f>
        <v>127027.85</v>
      </c>
      <c r="K23" s="13">
        <f>ROUND('B&amp;A+DSM - Fuel and % Riders'!K20*K$10,2)</f>
        <v>131646.66</v>
      </c>
      <c r="L23" s="13">
        <f>ROUND('B&amp;A+DSM - Fuel and % Riders'!L20*L$10,2)</f>
        <v>135910.28</v>
      </c>
      <c r="M23" s="13">
        <f>ROUND('B&amp;A+DSM - Fuel and % Riders'!M20*M$10,2)</f>
        <v>132204.4</v>
      </c>
      <c r="N23" s="13">
        <f>ROUND('B&amp;A+DSM - Fuel and % Riders'!N20*N$10,2)</f>
        <v>92471.18</v>
      </c>
      <c r="O23" s="13">
        <f>ROUND('B&amp;A+DSM - Fuel and % Riders'!O20*O$10,2)</f>
        <v>144288.43</v>
      </c>
      <c r="P23" s="13">
        <f t="shared" ref="P23" si="4">SUM(D23:O23)</f>
        <v>1532800.9399999997</v>
      </c>
      <c r="R23" s="26" t="s">
        <v>17</v>
      </c>
      <c r="S23" s="26">
        <v>20</v>
      </c>
    </row>
    <row r="24" spans="1:19" x14ac:dyDescent="0.25">
      <c r="A24" s="24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S24" s="26">
        <v>21</v>
      </c>
    </row>
    <row r="25" spans="1:19" x14ac:dyDescent="0.25">
      <c r="A25" s="24" t="s">
        <v>16</v>
      </c>
      <c r="B25" s="13">
        <f>ROUND('B&amp;A+DSM - Fuel and % Riders'!B22*B$10,2)</f>
        <v>0</v>
      </c>
      <c r="C25" s="13">
        <f>ROUND('B&amp;A+DSM - Fuel and % Riders'!C22*C$10,2)</f>
        <v>0</v>
      </c>
      <c r="D25" s="13">
        <f>ROUND('B&amp;A+DSM - Fuel and % Riders'!D22*D$10,2)</f>
        <v>618.72</v>
      </c>
      <c r="E25" s="13">
        <f>ROUND('B&amp;A+DSM - Fuel and % Riders'!E22*E$10,2)</f>
        <v>655.27</v>
      </c>
      <c r="F25" s="13">
        <f>ROUND('B&amp;A+DSM - Fuel and % Riders'!F22*F$10,2)</f>
        <v>631.27</v>
      </c>
      <c r="G25" s="13">
        <f>ROUND('B&amp;A+DSM - Fuel and % Riders'!G22*G$10,2)</f>
        <v>568.83000000000004</v>
      </c>
      <c r="H25" s="13">
        <f>ROUND('B&amp;A+DSM - Fuel and % Riders'!H22*H$10,2)</f>
        <v>521.49</v>
      </c>
      <c r="I25" s="13">
        <f>ROUND('B&amp;A+DSM - Fuel and % Riders'!I22*I$10,2)</f>
        <v>546.22</v>
      </c>
      <c r="J25" s="13">
        <f>ROUND('B&amp;A+DSM - Fuel and % Riders'!J22*J$10,2)</f>
        <v>536.03</v>
      </c>
      <c r="K25" s="13">
        <f>ROUND('B&amp;A+DSM - Fuel and % Riders'!K22*K$10,2)</f>
        <v>600.05999999999995</v>
      </c>
      <c r="L25" s="13">
        <f>ROUND('B&amp;A+DSM - Fuel and % Riders'!L22*L$10,2)</f>
        <v>547.9</v>
      </c>
      <c r="M25" s="13">
        <f>ROUND('B&amp;A+DSM - Fuel and % Riders'!M22*M$10,2)</f>
        <v>517.28</v>
      </c>
      <c r="N25" s="13">
        <f>ROUND('B&amp;A+DSM - Fuel and % Riders'!N22*N$10,2)</f>
        <v>377.48</v>
      </c>
      <c r="O25" s="13">
        <f>ROUND('B&amp;A+DSM - Fuel and % Riders'!O22*O$10,2)</f>
        <v>641.25</v>
      </c>
      <c r="P25" s="13">
        <f t="shared" ref="P25" si="5">SUM(D25:O25)</f>
        <v>6761.7999999999993</v>
      </c>
      <c r="R25" s="26" t="s">
        <v>16</v>
      </c>
      <c r="S25" s="26">
        <v>22</v>
      </c>
    </row>
    <row r="26" spans="1:19" x14ac:dyDescent="0.25">
      <c r="A26" s="24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S26" s="26">
        <v>23</v>
      </c>
    </row>
    <row r="27" spans="1:19" x14ac:dyDescent="0.25">
      <c r="A27" s="24" t="s">
        <v>15</v>
      </c>
      <c r="B27" s="13">
        <f>ROUND('B&amp;A+DSM - Fuel and % Riders'!B24*B$10,2)</f>
        <v>0</v>
      </c>
      <c r="C27" s="13">
        <f>ROUND('B&amp;A+DSM - Fuel and % Riders'!C24*C$10,2)</f>
        <v>0</v>
      </c>
      <c r="D27" s="13">
        <f>ROUND('B&amp;A+DSM - Fuel and % Riders'!D24*D$10,2)</f>
        <v>6446.74</v>
      </c>
      <c r="E27" s="13">
        <f>ROUND('B&amp;A+DSM - Fuel and % Riders'!E24*E$10,2)</f>
        <v>7019.03</v>
      </c>
      <c r="F27" s="13">
        <f>ROUND('B&amp;A+DSM - Fuel and % Riders'!F24*F$10,2)</f>
        <v>8240.52</v>
      </c>
      <c r="G27" s="13">
        <f>ROUND('B&amp;A+DSM - Fuel and % Riders'!G24*G$10,2)</f>
        <v>6923.42</v>
      </c>
      <c r="H27" s="13">
        <f>ROUND('B&amp;A+DSM - Fuel and % Riders'!H24*H$10,2)</f>
        <v>6700.43</v>
      </c>
      <c r="I27" s="13">
        <f>ROUND('B&amp;A+DSM - Fuel and % Riders'!I24*I$10,2)</f>
        <v>6580.05</v>
      </c>
      <c r="J27" s="13">
        <f>ROUND('B&amp;A+DSM - Fuel and % Riders'!J24*J$10,2)</f>
        <v>6253.17</v>
      </c>
      <c r="K27" s="13">
        <f>ROUND('B&amp;A+DSM - Fuel and % Riders'!K24*K$10,2)</f>
        <v>6462.5</v>
      </c>
      <c r="L27" s="13">
        <f>ROUND('B&amp;A+DSM - Fuel and % Riders'!L24*L$10,2)</f>
        <v>6316.89</v>
      </c>
      <c r="M27" s="13">
        <f>ROUND('B&amp;A+DSM - Fuel and % Riders'!M24*M$10,2)</f>
        <v>5289.46</v>
      </c>
      <c r="N27" s="13">
        <f>ROUND('B&amp;A+DSM - Fuel and % Riders'!N24*N$10,2)</f>
        <v>3891.84</v>
      </c>
      <c r="O27" s="13">
        <f>ROUND('B&amp;A+DSM - Fuel and % Riders'!O24*O$10,2)</f>
        <v>7171.99</v>
      </c>
      <c r="P27" s="13">
        <f t="shared" ref="P27" si="6">SUM(D27:O27)</f>
        <v>77296.040000000008</v>
      </c>
      <c r="R27" s="26" t="s">
        <v>15</v>
      </c>
      <c r="S27" s="26">
        <v>24</v>
      </c>
    </row>
    <row r="28" spans="1:19" x14ac:dyDescent="0.25">
      <c r="A28" s="24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S28" s="26">
        <v>25</v>
      </c>
    </row>
    <row r="29" spans="1:19" x14ac:dyDescent="0.25">
      <c r="A29" s="24" t="s">
        <v>14</v>
      </c>
      <c r="B29" s="13">
        <f>ROUND('B&amp;A+DSM - Fuel and % Riders'!B26*B$10,2)</f>
        <v>0</v>
      </c>
      <c r="C29" s="13">
        <f>ROUND('B&amp;A+DSM - Fuel and % Riders'!C26*C$10,2)</f>
        <v>0</v>
      </c>
      <c r="D29" s="13">
        <f>ROUND('B&amp;A+DSM - Fuel and % Riders'!D26*D$10,2)</f>
        <v>3336.45</v>
      </c>
      <c r="E29" s="13">
        <f>ROUND('B&amp;A+DSM - Fuel and % Riders'!E26*E$10,2)</f>
        <v>4031.96</v>
      </c>
      <c r="F29" s="13">
        <f>ROUND('B&amp;A+DSM - Fuel and % Riders'!F26*F$10,2)</f>
        <v>3321.05</v>
      </c>
      <c r="G29" s="13">
        <f>ROUND('B&amp;A+DSM - Fuel and % Riders'!G26*G$10,2)</f>
        <v>3220.62</v>
      </c>
      <c r="H29" s="13">
        <f>ROUND('B&amp;A+DSM - Fuel and % Riders'!H26*H$10,2)</f>
        <v>3146.16</v>
      </c>
      <c r="I29" s="13">
        <f>ROUND('B&amp;A+DSM - Fuel and % Riders'!I26*I$10,2)</f>
        <v>3097.1</v>
      </c>
      <c r="J29" s="13">
        <f>ROUND('B&amp;A+DSM - Fuel and % Riders'!J26*J$10,2)</f>
        <v>3793.42</v>
      </c>
      <c r="K29" s="13">
        <f>ROUND('B&amp;A+DSM - Fuel and % Riders'!K26*K$10,2)</f>
        <v>3668.69</v>
      </c>
      <c r="L29" s="13">
        <f>ROUND('B&amp;A+DSM - Fuel and % Riders'!L26*L$10,2)</f>
        <v>3444.34</v>
      </c>
      <c r="M29" s="13">
        <f>ROUND('B&amp;A+DSM - Fuel and % Riders'!M26*M$10,2)</f>
        <v>4527.8900000000003</v>
      </c>
      <c r="N29" s="13">
        <f>ROUND('B&amp;A+DSM - Fuel and % Riders'!N26*N$10,2)</f>
        <v>1214.81</v>
      </c>
      <c r="O29" s="13">
        <f>ROUND('B&amp;A+DSM - Fuel and % Riders'!O26*O$10,2)</f>
        <v>3631.42</v>
      </c>
      <c r="P29" s="13">
        <f t="shared" ref="P29" si="7">SUM(D29:O29)</f>
        <v>40433.909999999989</v>
      </c>
      <c r="R29" s="26" t="s">
        <v>14</v>
      </c>
      <c r="S29" s="26">
        <v>26</v>
      </c>
    </row>
    <row r="30" spans="1:19" x14ac:dyDescent="0.25">
      <c r="A30" s="24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S30" s="26">
        <v>27</v>
      </c>
    </row>
    <row r="31" spans="1:19" x14ac:dyDescent="0.25">
      <c r="A31" s="24" t="s">
        <v>13</v>
      </c>
      <c r="B31" s="13">
        <f>ROUND('B&amp;A+DSM - Fuel and % Riders'!B28*B$10,2)</f>
        <v>0</v>
      </c>
      <c r="C31" s="13">
        <f>ROUND('B&amp;A+DSM - Fuel and % Riders'!C28*C$10,2)</f>
        <v>0</v>
      </c>
      <c r="D31" s="13">
        <f>ROUND('B&amp;A+DSM - Fuel and % Riders'!D28*D$10,2)</f>
        <v>1486.58</v>
      </c>
      <c r="E31" s="13">
        <f>ROUND('B&amp;A+DSM - Fuel and % Riders'!E28*E$10,2)</f>
        <v>1219.22</v>
      </c>
      <c r="F31" s="13">
        <f>ROUND('B&amp;A+DSM - Fuel and % Riders'!F28*F$10,2)</f>
        <v>696.48</v>
      </c>
      <c r="G31" s="13">
        <f>ROUND('B&amp;A+DSM - Fuel and % Riders'!G28*G$10,2)</f>
        <v>607.29</v>
      </c>
      <c r="H31" s="13">
        <f>ROUND('B&amp;A+DSM - Fuel and % Riders'!H28*H$10,2)</f>
        <v>725.05</v>
      </c>
      <c r="I31" s="13">
        <f>ROUND('B&amp;A+DSM - Fuel and % Riders'!I28*I$10,2)</f>
        <v>806.89</v>
      </c>
      <c r="J31" s="13">
        <f>ROUND('B&amp;A+DSM - Fuel and % Riders'!J28*J$10,2)</f>
        <v>1120.6600000000001</v>
      </c>
      <c r="K31" s="13">
        <f>ROUND('B&amp;A+DSM - Fuel and % Riders'!K28*K$10,2)</f>
        <v>1039.29</v>
      </c>
      <c r="L31" s="13">
        <f>ROUND('B&amp;A+DSM - Fuel and % Riders'!L28*L$10,2)</f>
        <v>866.45</v>
      </c>
      <c r="M31" s="13">
        <f>ROUND('B&amp;A+DSM - Fuel and % Riders'!M28*M$10,2)</f>
        <v>837.97</v>
      </c>
      <c r="N31" s="13">
        <f>ROUND('B&amp;A+DSM - Fuel and % Riders'!N28*N$10,2)</f>
        <v>704.39</v>
      </c>
      <c r="O31" s="13">
        <f>ROUND('B&amp;A+DSM - Fuel and % Riders'!O28*O$10,2)</f>
        <v>1355.67</v>
      </c>
      <c r="P31" s="13">
        <f t="shared" ref="P31" si="8">SUM(D31:O31)</f>
        <v>11465.939999999999</v>
      </c>
      <c r="R31" s="26" t="s">
        <v>13</v>
      </c>
      <c r="S31" s="26">
        <v>28</v>
      </c>
    </row>
    <row r="32" spans="1:19" x14ac:dyDescent="0.25">
      <c r="A32" s="24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S32" s="26">
        <v>29</v>
      </c>
    </row>
    <row r="33" spans="1:19" x14ac:dyDescent="0.25">
      <c r="A33" s="24" t="s">
        <v>12</v>
      </c>
      <c r="B33" s="13">
        <f>ROUND('B&amp;A+DSM - Fuel and % Riders'!B30*B$10,2)</f>
        <v>0</v>
      </c>
      <c r="C33" s="13">
        <f>ROUND('B&amp;A+DSM - Fuel and % Riders'!C30*C$10,2)</f>
        <v>0</v>
      </c>
      <c r="D33" s="13">
        <f>ROUND('B&amp;A+DSM - Fuel and % Riders'!D30*D$10,2)</f>
        <v>274414.89</v>
      </c>
      <c r="E33" s="13">
        <f>ROUND('B&amp;A+DSM - Fuel and % Riders'!E30*E$10,2)</f>
        <v>316185.58</v>
      </c>
      <c r="F33" s="13">
        <f>ROUND('B&amp;A+DSM - Fuel and % Riders'!F30*F$10,2)</f>
        <v>328017.42</v>
      </c>
      <c r="G33" s="13">
        <f>ROUND('B&amp;A+DSM - Fuel and % Riders'!G30*G$10,2)</f>
        <v>327276.62</v>
      </c>
      <c r="H33" s="13">
        <f>ROUND('B&amp;A+DSM - Fuel and % Riders'!H30*H$10,2)</f>
        <v>310266.77</v>
      </c>
      <c r="I33" s="13">
        <f>ROUND('B&amp;A+DSM - Fuel and % Riders'!I30*I$10,2)</f>
        <v>299011.09000000003</v>
      </c>
      <c r="J33" s="13">
        <f>ROUND('B&amp;A+DSM - Fuel and % Riders'!J30*J$10,2)</f>
        <v>298380.03000000003</v>
      </c>
      <c r="K33" s="13">
        <f>ROUND('B&amp;A+DSM - Fuel and % Riders'!K30*K$10,2)</f>
        <v>288879.23</v>
      </c>
      <c r="L33" s="13">
        <f>ROUND('B&amp;A+DSM - Fuel and % Riders'!L30*L$10,2)</f>
        <v>306076.92</v>
      </c>
      <c r="M33" s="13">
        <f>ROUND('B&amp;A+DSM - Fuel and % Riders'!M30*M$10,2)</f>
        <v>290613.34999999998</v>
      </c>
      <c r="N33" s="13">
        <f>ROUND('B&amp;A+DSM - Fuel and % Riders'!N30*N$10,2)</f>
        <v>180399.13</v>
      </c>
      <c r="O33" s="13">
        <f>ROUND('B&amp;A+DSM - Fuel and % Riders'!O30*O$10,2)</f>
        <v>325380.55</v>
      </c>
      <c r="P33" s="13">
        <f t="shared" ref="P33" si="9">SUM(D33:O33)</f>
        <v>3544901.5799999996</v>
      </c>
      <c r="R33" s="26" t="s">
        <v>12</v>
      </c>
      <c r="S33" s="26">
        <v>30</v>
      </c>
    </row>
    <row r="34" spans="1:19" x14ac:dyDescent="0.25">
      <c r="A34" s="24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S34" s="26">
        <v>31</v>
      </c>
    </row>
    <row r="35" spans="1:19" x14ac:dyDescent="0.25">
      <c r="A35" s="24" t="s">
        <v>11</v>
      </c>
      <c r="B35" s="13">
        <f>ROUND('B&amp;A+DSM - Fuel and % Riders'!B32*B$10,2)</f>
        <v>0</v>
      </c>
      <c r="C35" s="13">
        <f>ROUND('B&amp;A+DSM - Fuel and % Riders'!C32*C$10,2)</f>
        <v>0</v>
      </c>
      <c r="D35" s="13">
        <f>ROUND('B&amp;A+DSM - Fuel and % Riders'!D32*D$10,2)</f>
        <v>455.02</v>
      </c>
      <c r="E35" s="13">
        <f>ROUND('B&amp;A+DSM - Fuel and % Riders'!E32*E$10,2)</f>
        <v>345.51</v>
      </c>
      <c r="F35" s="13">
        <f>ROUND('B&amp;A+DSM - Fuel and % Riders'!F32*F$10,2)</f>
        <v>464.73</v>
      </c>
      <c r="G35" s="13">
        <f>ROUND('B&amp;A+DSM - Fuel and % Riders'!G32*G$10,2)</f>
        <v>584.66</v>
      </c>
      <c r="H35" s="13">
        <f>ROUND('B&amp;A+DSM - Fuel and % Riders'!H32*H$10,2)</f>
        <v>491.98</v>
      </c>
      <c r="I35" s="13">
        <f>ROUND('B&amp;A+DSM - Fuel and % Riders'!I32*I$10,2)</f>
        <v>539.53</v>
      </c>
      <c r="J35" s="13">
        <f>ROUND('B&amp;A+DSM - Fuel and % Riders'!J32*J$10,2)</f>
        <v>267.16000000000003</v>
      </c>
      <c r="K35" s="13">
        <f>ROUND('B&amp;A+DSM - Fuel and % Riders'!K32*K$10,2)</f>
        <v>522.77</v>
      </c>
      <c r="L35" s="13">
        <f>ROUND('B&amp;A+DSM - Fuel and % Riders'!L32*L$10,2)</f>
        <v>779.41</v>
      </c>
      <c r="M35" s="13">
        <f>ROUND('B&amp;A+DSM - Fuel and % Riders'!M32*M$10,2)</f>
        <v>803.91</v>
      </c>
      <c r="N35" s="13">
        <f>ROUND('B&amp;A+DSM - Fuel and % Riders'!N32*N$10,2)</f>
        <v>364.66</v>
      </c>
      <c r="O35" s="13">
        <f>ROUND('B&amp;A+DSM - Fuel and % Riders'!O32*O$10,2)</f>
        <v>502</v>
      </c>
      <c r="P35" s="13">
        <f t="shared" ref="P35" si="10">SUM(D35:O35)</f>
        <v>6121.34</v>
      </c>
      <c r="R35" s="26" t="s">
        <v>11</v>
      </c>
      <c r="S35" s="26">
        <v>32</v>
      </c>
    </row>
    <row r="36" spans="1:19" x14ac:dyDescent="0.25">
      <c r="A36" s="24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S36" s="26">
        <v>33</v>
      </c>
    </row>
    <row r="37" spans="1:19" x14ac:dyDescent="0.25">
      <c r="A37" s="24" t="s">
        <v>10</v>
      </c>
      <c r="B37" s="13">
        <f>ROUND('B&amp;A+DSM - Fuel and % Riders'!B34*B$10,2)</f>
        <v>0</v>
      </c>
      <c r="C37" s="13">
        <f>ROUND('B&amp;A+DSM - Fuel and % Riders'!C34*C$10,2)</f>
        <v>0</v>
      </c>
      <c r="D37" s="13">
        <f>ROUND('B&amp;A+DSM - Fuel and % Riders'!D34*D$10,2)</f>
        <v>4507.71</v>
      </c>
      <c r="E37" s="13">
        <f>ROUND('B&amp;A+DSM - Fuel and % Riders'!E34*E$10,2)</f>
        <v>5412.98</v>
      </c>
      <c r="F37" s="13">
        <f>ROUND('B&amp;A+DSM - Fuel and % Riders'!F34*F$10,2)</f>
        <v>5556.83</v>
      </c>
      <c r="G37" s="13">
        <f>ROUND('B&amp;A+DSM - Fuel and % Riders'!G34*G$10,2)</f>
        <v>5560.33</v>
      </c>
      <c r="H37" s="13">
        <f>ROUND('B&amp;A+DSM - Fuel and % Riders'!H34*H$10,2)</f>
        <v>4756.87</v>
      </c>
      <c r="I37" s="13">
        <f>ROUND('B&amp;A+DSM - Fuel and % Riders'!I34*I$10,2)</f>
        <v>5226.97</v>
      </c>
      <c r="J37" s="13">
        <f>ROUND('B&amp;A+DSM - Fuel and % Riders'!J34*J$10,2)</f>
        <v>5148.75</v>
      </c>
      <c r="K37" s="13">
        <f>ROUND('B&amp;A+DSM - Fuel and % Riders'!K34*K$10,2)</f>
        <v>5150.8900000000003</v>
      </c>
      <c r="L37" s="13">
        <f>ROUND('B&amp;A+DSM - Fuel and % Riders'!L34*L$10,2)</f>
        <v>5317.45</v>
      </c>
      <c r="M37" s="13">
        <f>ROUND('B&amp;A+DSM - Fuel and % Riders'!M34*M$10,2)</f>
        <v>5472.73</v>
      </c>
      <c r="N37" s="13">
        <f>ROUND('B&amp;A+DSM - Fuel and % Riders'!N34*N$10,2)</f>
        <v>2801.95</v>
      </c>
      <c r="O37" s="13">
        <f>ROUND('B&amp;A+DSM - Fuel and % Riders'!O34*O$10,2)</f>
        <v>5307.31</v>
      </c>
      <c r="P37" s="13">
        <f t="shared" ref="P37" si="11">SUM(D37:O37)</f>
        <v>60220.76999999999</v>
      </c>
      <c r="R37" s="26" t="s">
        <v>10</v>
      </c>
      <c r="S37" s="26">
        <v>34</v>
      </c>
    </row>
    <row r="38" spans="1:19" x14ac:dyDescent="0.25">
      <c r="A38" s="24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S38" s="26">
        <v>35</v>
      </c>
    </row>
    <row r="39" spans="1:19" x14ac:dyDescent="0.25">
      <c r="A39" s="24" t="s">
        <v>9</v>
      </c>
      <c r="B39" s="13">
        <f>ROUND('B&amp;A+DSM - Fuel and % Riders'!B36*B$10,2)</f>
        <v>0</v>
      </c>
      <c r="C39" s="13">
        <f>ROUND('B&amp;A+DSM - Fuel and % Riders'!C36*C$10,2)</f>
        <v>0</v>
      </c>
      <c r="D39" s="13">
        <f>ROUND('B&amp;A+DSM - Fuel and % Riders'!D36*D$10,2)</f>
        <v>5747.36</v>
      </c>
      <c r="E39" s="13">
        <f>ROUND('B&amp;A+DSM - Fuel and % Riders'!E36*E$10,2)</f>
        <v>6510.72</v>
      </c>
      <c r="F39" s="13">
        <f>ROUND('B&amp;A+DSM - Fuel and % Riders'!F36*F$10,2)</f>
        <v>5148.21</v>
      </c>
      <c r="G39" s="13">
        <f>ROUND('B&amp;A+DSM - Fuel and % Riders'!G36*G$10,2)</f>
        <v>3699.87</v>
      </c>
      <c r="H39" s="13">
        <f>ROUND('B&amp;A+DSM - Fuel and % Riders'!H36*H$10,2)</f>
        <v>4065.94</v>
      </c>
      <c r="I39" s="13">
        <f>ROUND('B&amp;A+DSM - Fuel and % Riders'!I36*I$10,2)</f>
        <v>3988.31</v>
      </c>
      <c r="J39" s="13">
        <f>ROUND('B&amp;A+DSM - Fuel and % Riders'!J36*J$10,2)</f>
        <v>5885.05</v>
      </c>
      <c r="K39" s="13">
        <f>ROUND('B&amp;A+DSM - Fuel and % Riders'!K36*K$10,2)</f>
        <v>6429.11</v>
      </c>
      <c r="L39" s="13">
        <f>ROUND('B&amp;A+DSM - Fuel and % Riders'!L36*L$10,2)</f>
        <v>6505.45</v>
      </c>
      <c r="M39" s="13">
        <f>ROUND('B&amp;A+DSM - Fuel and % Riders'!M36*M$10,2)</f>
        <v>4072.81</v>
      </c>
      <c r="N39" s="13">
        <f>ROUND('B&amp;A+DSM - Fuel and % Riders'!N36*N$10,2)</f>
        <v>4463.43</v>
      </c>
      <c r="O39" s="13">
        <f>ROUND('B&amp;A+DSM - Fuel and % Riders'!O36*O$10,2)</f>
        <v>4605.3599999999997</v>
      </c>
      <c r="P39" s="13">
        <f t="shared" ref="P39" si="12">SUM(D39:O39)</f>
        <v>61121.619999999995</v>
      </c>
      <c r="R39" s="26" t="s">
        <v>9</v>
      </c>
      <c r="S39" s="26">
        <v>36</v>
      </c>
    </row>
    <row r="40" spans="1:19" x14ac:dyDescent="0.25">
      <c r="A40" s="24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S40" s="26">
        <v>37</v>
      </c>
    </row>
    <row r="41" spans="1:19" x14ac:dyDescent="0.25">
      <c r="A41" s="24" t="s">
        <v>8</v>
      </c>
      <c r="B41" s="13">
        <f>ROUND('B&amp;A+DSM - Fuel and % Riders'!B38*B$10,2)</f>
        <v>0</v>
      </c>
      <c r="C41" s="13">
        <f>ROUND('B&amp;A+DSM - Fuel and % Riders'!C38*C$10,2)</f>
        <v>0</v>
      </c>
      <c r="D41" s="13">
        <f>ROUND('B&amp;A+DSM - Fuel and % Riders'!D38*D$10,2)</f>
        <v>379.31</v>
      </c>
      <c r="E41" s="13">
        <f>ROUND('B&amp;A+DSM - Fuel and % Riders'!E38*E$10,2)</f>
        <v>396.07</v>
      </c>
      <c r="F41" s="13">
        <f>ROUND('B&amp;A+DSM - Fuel and % Riders'!F38*F$10,2)</f>
        <v>437.16</v>
      </c>
      <c r="G41" s="13">
        <f>ROUND('B&amp;A+DSM - Fuel and % Riders'!G38*G$10,2)</f>
        <v>126.91</v>
      </c>
      <c r="H41" s="13">
        <f>ROUND('B&amp;A+DSM - Fuel and % Riders'!H38*H$10,2)</f>
        <v>264.48</v>
      </c>
      <c r="I41" s="13">
        <f>ROUND('B&amp;A+DSM - Fuel and % Riders'!I38*I$10,2)</f>
        <v>398.36</v>
      </c>
      <c r="J41" s="13">
        <f>ROUND('B&amp;A+DSM - Fuel and % Riders'!J38*J$10,2)</f>
        <v>131.03</v>
      </c>
      <c r="K41" s="13">
        <f>ROUND('B&amp;A+DSM - Fuel and % Riders'!K38*K$10,2)</f>
        <v>232.23</v>
      </c>
      <c r="L41" s="13">
        <f>ROUND('B&amp;A+DSM - Fuel and % Riders'!L38*L$10,2)</f>
        <v>383.38</v>
      </c>
      <c r="M41" s="13">
        <f>ROUND('B&amp;A+DSM - Fuel and % Riders'!M38*M$10,2)</f>
        <v>218.37</v>
      </c>
      <c r="N41" s="13">
        <f>ROUND('B&amp;A+DSM - Fuel and % Riders'!N38*N$10,2)</f>
        <v>111.96</v>
      </c>
      <c r="O41" s="13">
        <f>ROUND('B&amp;A+DSM - Fuel and % Riders'!O38*O$10,2)</f>
        <v>303.52999999999997</v>
      </c>
      <c r="P41" s="13">
        <f t="shared" ref="P41" si="13">SUM(D41:O41)</f>
        <v>3382.79</v>
      </c>
      <c r="R41" s="26" t="s">
        <v>8</v>
      </c>
      <c r="S41" s="26">
        <v>38</v>
      </c>
    </row>
    <row r="42" spans="1:19" x14ac:dyDescent="0.25">
      <c r="A42" s="24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S42" s="26">
        <v>39</v>
      </c>
    </row>
    <row r="43" spans="1:19" x14ac:dyDescent="0.25">
      <c r="A43" s="24" t="s">
        <v>7</v>
      </c>
      <c r="B43" s="13">
        <f>ROUND('B&amp;A+DSM - Fuel and % Riders'!B40*B$10,2)</f>
        <v>0</v>
      </c>
      <c r="C43" s="13">
        <f>ROUND('B&amp;A+DSM - Fuel and % Riders'!C40*C$10,2)</f>
        <v>0</v>
      </c>
      <c r="D43" s="13">
        <f>ROUND('B&amp;A+DSM - Fuel and % Riders'!D40*D$10,2)</f>
        <v>162151.60999999999</v>
      </c>
      <c r="E43" s="13">
        <f>ROUND('B&amp;A+DSM - Fuel and % Riders'!E40*E$10,2)</f>
        <v>193868.26</v>
      </c>
      <c r="F43" s="13">
        <f>ROUND('B&amp;A+DSM - Fuel and % Riders'!F40*F$10,2)</f>
        <v>184391.8</v>
      </c>
      <c r="G43" s="13">
        <f>ROUND('B&amp;A+DSM - Fuel and % Riders'!G40*G$10,2)</f>
        <v>175070.48</v>
      </c>
      <c r="H43" s="13">
        <f>ROUND('B&amp;A+DSM - Fuel and % Riders'!H40*H$10,2)</f>
        <v>161877.54</v>
      </c>
      <c r="I43" s="13">
        <f>ROUND('B&amp;A+DSM - Fuel and % Riders'!I40*I$10,2)</f>
        <v>170552.34</v>
      </c>
      <c r="J43" s="13">
        <f>ROUND('B&amp;A+DSM - Fuel and % Riders'!J40*J$10,2)</f>
        <v>184207.49</v>
      </c>
      <c r="K43" s="13">
        <f>ROUND('B&amp;A+DSM - Fuel and % Riders'!K40*K$10,2)</f>
        <v>177608.81</v>
      </c>
      <c r="L43" s="13">
        <f>ROUND('B&amp;A+DSM - Fuel and % Riders'!L40*L$10,2)</f>
        <v>155889.91</v>
      </c>
      <c r="M43" s="13">
        <f>ROUND('B&amp;A+DSM - Fuel and % Riders'!M40*M$10,2)</f>
        <v>144795.57</v>
      </c>
      <c r="N43" s="13">
        <f>ROUND('B&amp;A+DSM - Fuel and % Riders'!N40*N$10,2)</f>
        <v>89902.77</v>
      </c>
      <c r="O43" s="13">
        <f>ROUND('B&amp;A+DSM - Fuel and % Riders'!O40*O$10,2)</f>
        <v>193814.24</v>
      </c>
      <c r="P43" s="13">
        <f t="shared" ref="P43" si="14">SUM(D43:O43)</f>
        <v>1994130.82</v>
      </c>
      <c r="R43" s="26" t="s">
        <v>7</v>
      </c>
      <c r="S43" s="26">
        <v>40</v>
      </c>
    </row>
    <row r="44" spans="1:19" x14ac:dyDescent="0.25">
      <c r="A44" s="24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S44" s="26">
        <v>41</v>
      </c>
    </row>
    <row r="45" spans="1:19" x14ac:dyDescent="0.25">
      <c r="A45" s="24" t="s">
        <v>6</v>
      </c>
      <c r="B45" s="13">
        <f>ROUND('B&amp;A+DSM - Fuel and % Riders'!B42*B$10,2)</f>
        <v>0</v>
      </c>
      <c r="C45" s="13">
        <f>ROUND('B&amp;A+DSM - Fuel and % Riders'!C42*C$10,2)</f>
        <v>0</v>
      </c>
      <c r="D45" s="13">
        <f>ROUND('B&amp;A+DSM - Fuel and % Riders'!D42*D$10,2)</f>
        <v>512.74</v>
      </c>
      <c r="E45" s="13">
        <f>ROUND('B&amp;A+DSM - Fuel and % Riders'!E42*E$10,2)</f>
        <v>1084.31</v>
      </c>
      <c r="F45" s="13">
        <f>ROUND('B&amp;A+DSM - Fuel and % Riders'!F42*F$10,2)</f>
        <v>611.02</v>
      </c>
      <c r="G45" s="13">
        <f>ROUND('B&amp;A+DSM - Fuel and % Riders'!G42*G$10,2)</f>
        <v>1073.67</v>
      </c>
      <c r="H45" s="13">
        <f>ROUND('B&amp;A+DSM - Fuel and % Riders'!H42*H$10,2)</f>
        <v>998.46</v>
      </c>
      <c r="I45" s="13">
        <f>ROUND('B&amp;A+DSM - Fuel and % Riders'!I42*I$10,2)</f>
        <v>1187.9000000000001</v>
      </c>
      <c r="J45" s="13">
        <f>ROUND('B&amp;A+DSM - Fuel and % Riders'!J42*J$10,2)</f>
        <v>1735.26</v>
      </c>
      <c r="K45" s="13">
        <f>ROUND('B&amp;A+DSM - Fuel and % Riders'!K42*K$10,2)</f>
        <v>1748.38</v>
      </c>
      <c r="L45" s="13">
        <f>ROUND('B&amp;A+DSM - Fuel and % Riders'!L42*L$10,2)</f>
        <v>1443.98</v>
      </c>
      <c r="M45" s="13">
        <f>ROUND('B&amp;A+DSM - Fuel and % Riders'!M42*M$10,2)</f>
        <v>815.92</v>
      </c>
      <c r="N45" s="13">
        <f>ROUND('B&amp;A+DSM - Fuel and % Riders'!N42*N$10,2)</f>
        <v>125.25</v>
      </c>
      <c r="O45" s="13">
        <f>ROUND('B&amp;A+DSM - Fuel and % Riders'!O42*O$10,2)</f>
        <v>502.54</v>
      </c>
      <c r="P45" s="13">
        <f t="shared" ref="P45" si="15">SUM(D45:O45)</f>
        <v>11839.430000000002</v>
      </c>
      <c r="R45" s="26" t="s">
        <v>6</v>
      </c>
      <c r="S45" s="26">
        <v>42</v>
      </c>
    </row>
    <row r="46" spans="1:19" x14ac:dyDescent="0.25">
      <c r="A46" s="24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S46" s="26">
        <v>43</v>
      </c>
    </row>
    <row r="47" spans="1:19" x14ac:dyDescent="0.25">
      <c r="A47" s="24" t="s">
        <v>118</v>
      </c>
      <c r="B47" s="13">
        <f>ROUND('B&amp;A+DSM - Fuel and % Riders'!B44*B$10,2)</f>
        <v>0</v>
      </c>
      <c r="C47" s="13">
        <f>ROUND('B&amp;A+DSM - Fuel and % Riders'!C44*C$10,2)</f>
        <v>0</v>
      </c>
      <c r="D47" s="13">
        <f>ROUND('B&amp;A+DSM - Fuel and % Riders'!D44*D$10,2)</f>
        <v>1259.03</v>
      </c>
      <c r="E47" s="13">
        <f>ROUND('B&amp;A+DSM - Fuel and % Riders'!E44*E$10,2)</f>
        <v>3664.87</v>
      </c>
      <c r="F47" s="13">
        <f>ROUND('B&amp;A+DSM - Fuel and % Riders'!F44*F$10,2)</f>
        <v>2234.73</v>
      </c>
      <c r="G47" s="13">
        <f>ROUND('B&amp;A+DSM - Fuel and % Riders'!G44*G$10,2)</f>
        <v>2154.66</v>
      </c>
      <c r="H47" s="13">
        <f>ROUND('B&amp;A+DSM - Fuel and % Riders'!H44*H$10,2)</f>
        <v>2106.4899999999998</v>
      </c>
      <c r="I47" s="13">
        <f>ROUND('B&amp;A+DSM - Fuel and % Riders'!I44*I$10,2)</f>
        <v>2216.1799999999998</v>
      </c>
      <c r="J47" s="13">
        <f>ROUND('B&amp;A+DSM - Fuel and % Riders'!J44*J$10,2)</f>
        <v>2560.83</v>
      </c>
      <c r="K47" s="13">
        <f>ROUND('B&amp;A+DSM - Fuel and % Riders'!K44*K$10,2)</f>
        <v>2474.5500000000002</v>
      </c>
      <c r="L47" s="13">
        <f>ROUND('B&amp;A+DSM - Fuel and % Riders'!L44*L$10,2)</f>
        <v>1960.69</v>
      </c>
      <c r="M47" s="13">
        <f>ROUND('B&amp;A+DSM - Fuel and % Riders'!M44*M$10,2)</f>
        <v>2855.07</v>
      </c>
      <c r="N47" s="13">
        <f>ROUND('B&amp;A+DSM - Fuel and % Riders'!N44*N$10,2)</f>
        <v>1943.66</v>
      </c>
      <c r="O47" s="13">
        <f>ROUND('B&amp;A+DSM - Fuel and % Riders'!O44*O$10,2)</f>
        <v>2689.43</v>
      </c>
      <c r="P47" s="13">
        <f t="shared" ref="P47" si="16">SUM(D47:O47)</f>
        <v>28120.19</v>
      </c>
      <c r="R47" s="26" t="s">
        <v>118</v>
      </c>
      <c r="S47" s="26">
        <v>44</v>
      </c>
    </row>
    <row r="48" spans="1:19" x14ac:dyDescent="0.25">
      <c r="A48" s="24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S48" s="26">
        <v>45</v>
      </c>
    </row>
    <row r="49" spans="1:19" x14ac:dyDescent="0.25">
      <c r="A49" s="24" t="s">
        <v>241</v>
      </c>
      <c r="B49" s="13">
        <f>ROUND('B&amp;A+DSM - Fuel and % Riders'!B46*B$10,2)</f>
        <v>0</v>
      </c>
      <c r="C49" s="13">
        <f>ROUND('B&amp;A+DSM - Fuel and % Riders'!C46*C$10,2)</f>
        <v>0</v>
      </c>
      <c r="D49" s="13">
        <f>ROUND('B&amp;A+DSM - Fuel and % Riders'!D46*D$10,2)</f>
        <v>1182.17</v>
      </c>
      <c r="E49" s="13">
        <f>ROUND('B&amp;A+DSM - Fuel and % Riders'!E46*E$10,2)</f>
        <v>1233.6500000000001</v>
      </c>
      <c r="F49" s="13">
        <f>ROUND('B&amp;A+DSM - Fuel and % Riders'!F46*F$10,2)</f>
        <v>1376.79</v>
      </c>
      <c r="G49" s="13">
        <f>ROUND('B&amp;A+DSM - Fuel and % Riders'!G46*G$10,2)</f>
        <v>1149.6600000000001</v>
      </c>
      <c r="H49" s="13">
        <f>ROUND('B&amp;A+DSM - Fuel and % Riders'!H46*H$10,2)</f>
        <v>1728.29</v>
      </c>
      <c r="I49" s="13">
        <f>ROUND('B&amp;A+DSM - Fuel and % Riders'!I46*I$10,2)</f>
        <v>2708.44</v>
      </c>
      <c r="J49" s="13">
        <f>ROUND('B&amp;A+DSM - Fuel and % Riders'!J46*J$10,2)</f>
        <v>1868.51</v>
      </c>
      <c r="K49" s="13">
        <f>ROUND('B&amp;A+DSM - Fuel and % Riders'!K46*K$10,2)</f>
        <v>593.32000000000005</v>
      </c>
      <c r="L49" s="13">
        <f>ROUND('B&amp;A+DSM - Fuel and % Riders'!L46*L$10,2)</f>
        <v>766.14</v>
      </c>
      <c r="M49" s="13">
        <f>ROUND('B&amp;A+DSM - Fuel and % Riders'!M46*M$10,2)</f>
        <v>926.16</v>
      </c>
      <c r="N49" s="13">
        <f>ROUND('B&amp;A+DSM - Fuel and % Riders'!N46*N$10,2)</f>
        <v>557.53</v>
      </c>
      <c r="O49" s="13">
        <f>ROUND('B&amp;A+DSM - Fuel and % Riders'!O46*O$10,2)</f>
        <v>-432.57</v>
      </c>
      <c r="P49" s="13">
        <f t="shared" ref="P49" si="17">SUM(D49:O49)</f>
        <v>13658.09</v>
      </c>
      <c r="R49" s="26" t="s">
        <v>241</v>
      </c>
      <c r="S49" s="26">
        <v>46</v>
      </c>
    </row>
    <row r="50" spans="1:19" x14ac:dyDescent="0.25">
      <c r="A50" s="24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S50" s="26">
        <v>47</v>
      </c>
    </row>
    <row r="51" spans="1:19" x14ac:dyDescent="0.25">
      <c r="A51" s="24" t="s">
        <v>5</v>
      </c>
      <c r="B51" s="13">
        <f>ROUND('B&amp;A+DSM - Fuel and % Riders'!B48*B$10,2)</f>
        <v>0</v>
      </c>
      <c r="C51" s="13">
        <f>ROUND('B&amp;A+DSM - Fuel and % Riders'!C48*C$10,2)</f>
        <v>0</v>
      </c>
      <c r="D51" s="13">
        <f>ROUND('B&amp;A+DSM - Fuel and % Riders'!D48*D$10,2)</f>
        <v>42690.93</v>
      </c>
      <c r="E51" s="13">
        <f>ROUND('B&amp;A+DSM - Fuel and % Riders'!E48*E$10,2)</f>
        <v>56337</v>
      </c>
      <c r="F51" s="13">
        <f>ROUND('B&amp;A+DSM - Fuel and % Riders'!F48*F$10,2)</f>
        <v>41780.980000000003</v>
      </c>
      <c r="G51" s="13">
        <f>ROUND('B&amp;A+DSM - Fuel and % Riders'!G48*G$10,2)</f>
        <v>43842.35</v>
      </c>
      <c r="H51" s="13">
        <f>ROUND('B&amp;A+DSM - Fuel and % Riders'!H48*H$10,2)</f>
        <v>43172.18</v>
      </c>
      <c r="I51" s="13">
        <f>ROUND('B&amp;A+DSM - Fuel and % Riders'!I48*I$10,2)</f>
        <v>45697.67</v>
      </c>
      <c r="J51" s="13">
        <f>ROUND('B&amp;A+DSM - Fuel and % Riders'!J48*J$10,2)</f>
        <v>51054.27</v>
      </c>
      <c r="K51" s="13">
        <f>ROUND('B&amp;A+DSM - Fuel and % Riders'!K48*K$10,2)</f>
        <v>49351.85</v>
      </c>
      <c r="L51" s="13">
        <f>ROUND('B&amp;A+DSM - Fuel and % Riders'!L48*L$10,2)</f>
        <v>43978.13</v>
      </c>
      <c r="M51" s="13">
        <f>ROUND('B&amp;A+DSM - Fuel and % Riders'!M48*M$10,2)</f>
        <v>42144.29</v>
      </c>
      <c r="N51" s="13">
        <f>ROUND('B&amp;A+DSM - Fuel and % Riders'!N48*N$10,2)</f>
        <v>28523.759999999998</v>
      </c>
      <c r="O51" s="13">
        <f>ROUND('B&amp;A+DSM - Fuel and % Riders'!O48*O$10,2)</f>
        <v>60074.080000000002</v>
      </c>
      <c r="P51" s="13">
        <f t="shared" ref="P51" si="18">SUM(D51:O51)</f>
        <v>548647.49</v>
      </c>
      <c r="R51" s="26" t="s">
        <v>5</v>
      </c>
      <c r="S51" s="26">
        <v>48</v>
      </c>
    </row>
    <row r="52" spans="1:19" x14ac:dyDescent="0.25">
      <c r="A52" s="24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S52" s="26">
        <v>49</v>
      </c>
    </row>
    <row r="53" spans="1:19" x14ac:dyDescent="0.25">
      <c r="A53" s="24" t="s">
        <v>4</v>
      </c>
      <c r="B53" s="13">
        <f>ROUND('B&amp;A+DSM - Fuel and % Riders'!B50*B$10,2)</f>
        <v>0</v>
      </c>
      <c r="C53" s="13">
        <f>ROUND('B&amp;A+DSM - Fuel and % Riders'!C50*C$10,2)</f>
        <v>0</v>
      </c>
      <c r="D53" s="13">
        <f>ROUND('B&amp;A+DSM - Fuel and % Riders'!D50*D$10,2)</f>
        <v>4305.8500000000004</v>
      </c>
      <c r="E53" s="13">
        <f>ROUND('B&amp;A+DSM - Fuel and % Riders'!E50*E$10,2)</f>
        <v>6188.33</v>
      </c>
      <c r="F53" s="13">
        <f>ROUND('B&amp;A+DSM - Fuel and % Riders'!F50*F$10,2)</f>
        <v>9447.42</v>
      </c>
      <c r="G53" s="13">
        <f>ROUND('B&amp;A+DSM - Fuel and % Riders'!G50*G$10,2)</f>
        <v>5912.23</v>
      </c>
      <c r="H53" s="13">
        <f>ROUND('B&amp;A+DSM - Fuel and % Riders'!H50*H$10,2)</f>
        <v>-2320.92</v>
      </c>
      <c r="I53" s="13">
        <f>ROUND('B&amp;A+DSM - Fuel and % Riders'!I50*I$10,2)</f>
        <v>4012.47</v>
      </c>
      <c r="J53" s="13">
        <f>ROUND('B&amp;A+DSM - Fuel and % Riders'!J50*J$10,2)</f>
        <v>3809.45</v>
      </c>
      <c r="K53" s="13">
        <f>ROUND('B&amp;A+DSM - Fuel and % Riders'!K50*K$10,2)</f>
        <v>3660.17</v>
      </c>
      <c r="L53" s="13">
        <f>ROUND('B&amp;A+DSM - Fuel and % Riders'!L50*L$10,2)</f>
        <v>2712.73</v>
      </c>
      <c r="M53" s="13">
        <f>ROUND('B&amp;A+DSM - Fuel and % Riders'!M50*M$10,2)</f>
        <v>2898.37</v>
      </c>
      <c r="N53" s="13">
        <f>ROUND('B&amp;A+DSM - Fuel and % Riders'!N50*N$10,2)</f>
        <v>882.45</v>
      </c>
      <c r="O53" s="13">
        <f>ROUND('B&amp;A+DSM - Fuel and % Riders'!O50*O$10,2)</f>
        <v>4791.5</v>
      </c>
      <c r="P53" s="13">
        <f t="shared" ref="P53" si="19">SUM(D53:O53)</f>
        <v>46300.05</v>
      </c>
      <c r="R53" s="26" t="s">
        <v>4</v>
      </c>
      <c r="S53" s="26">
        <v>50</v>
      </c>
    </row>
    <row r="54" spans="1:19" x14ac:dyDescent="0.25">
      <c r="A54" s="24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S54" s="26">
        <v>51</v>
      </c>
    </row>
    <row r="55" spans="1:19" x14ac:dyDescent="0.25">
      <c r="A55" s="24" t="s">
        <v>3</v>
      </c>
      <c r="B55" s="13">
        <f>ROUND('B&amp;A+DSM - Fuel and % Riders'!B52*B$10,2)</f>
        <v>0</v>
      </c>
      <c r="C55" s="13">
        <f>ROUND('B&amp;A+DSM - Fuel and % Riders'!C52*C$10,2)</f>
        <v>0</v>
      </c>
      <c r="D55" s="13">
        <f>ROUND('B&amp;A+DSM - Fuel and % Riders'!D52*D$10,2)</f>
        <v>0</v>
      </c>
      <c r="E55" s="13">
        <f>ROUND('B&amp;A+DSM - Fuel and % Riders'!E52*E$10,2)</f>
        <v>0</v>
      </c>
      <c r="F55" s="13">
        <f>ROUND('B&amp;A+DSM - Fuel and % Riders'!F52*F$10,2)</f>
        <v>0</v>
      </c>
      <c r="G55" s="13">
        <f>ROUND('B&amp;A+DSM - Fuel and % Riders'!G52*G$10,2)</f>
        <v>0</v>
      </c>
      <c r="H55" s="13">
        <f>ROUND('B&amp;A+DSM - Fuel and % Riders'!H52*H$10,2)</f>
        <v>0</v>
      </c>
      <c r="I55" s="13">
        <f>ROUND('B&amp;A+DSM - Fuel and % Riders'!I52*I$10,2)</f>
        <v>0</v>
      </c>
      <c r="J55" s="13">
        <f>ROUND('B&amp;A+DSM - Fuel and % Riders'!J52*J$10,2)</f>
        <v>0</v>
      </c>
      <c r="K55" s="13">
        <f>ROUND('B&amp;A+DSM - Fuel and % Riders'!K52*K$10,2)</f>
        <v>0</v>
      </c>
      <c r="L55" s="13">
        <f>ROUND('B&amp;A+DSM - Fuel and % Riders'!L52*L$10,2)</f>
        <v>0</v>
      </c>
      <c r="M55" s="13">
        <f>ROUND('B&amp;A+DSM - Fuel and % Riders'!M52*M$10,2)</f>
        <v>0</v>
      </c>
      <c r="N55" s="13">
        <f>ROUND('B&amp;A+DSM - Fuel and % Riders'!N52*N$10,2)</f>
        <v>0</v>
      </c>
      <c r="O55" s="13">
        <f>ROUND('B&amp;A+DSM - Fuel and % Riders'!O52*O$10,2)</f>
        <v>0</v>
      </c>
      <c r="P55" s="13">
        <f t="shared" ref="P55" si="20">SUM(D55:O55)</f>
        <v>0</v>
      </c>
      <c r="R55" s="26" t="s">
        <v>3</v>
      </c>
      <c r="S55" s="26">
        <v>52</v>
      </c>
    </row>
    <row r="56" spans="1:19" x14ac:dyDescent="0.25">
      <c r="A56" s="24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S56" s="26">
        <v>53</v>
      </c>
    </row>
    <row r="57" spans="1:19" x14ac:dyDescent="0.25">
      <c r="A57" s="24" t="s">
        <v>119</v>
      </c>
      <c r="B57" s="13">
        <f>ROUND('B&amp;A+DSM - Fuel and % Riders'!B54*B$10,2)</f>
        <v>0</v>
      </c>
      <c r="C57" s="13">
        <f>ROUND('B&amp;A+DSM - Fuel and % Riders'!C54*C$10,2)</f>
        <v>0</v>
      </c>
      <c r="D57" s="13">
        <f>ROUND('B&amp;A+DSM - Fuel and % Riders'!D54*D$10,2)</f>
        <v>54006.559999999998</v>
      </c>
      <c r="E57" s="13">
        <f>ROUND('B&amp;A+DSM - Fuel and % Riders'!E54*E$10,2)</f>
        <v>64261.27</v>
      </c>
      <c r="F57" s="13">
        <f>ROUND('B&amp;A+DSM - Fuel and % Riders'!F54*F$10,2)</f>
        <v>59230.3</v>
      </c>
      <c r="G57" s="13">
        <f>ROUND('B&amp;A+DSM - Fuel and % Riders'!G54*G$10,2)</f>
        <v>45077.7</v>
      </c>
      <c r="H57" s="13">
        <f>ROUND('B&amp;A+DSM - Fuel and % Riders'!H54*H$10,2)</f>
        <v>52000.59</v>
      </c>
      <c r="I57" s="13">
        <f>ROUND('B&amp;A+DSM - Fuel and % Riders'!I54*I$10,2)</f>
        <v>61388.23</v>
      </c>
      <c r="J57" s="13">
        <f>ROUND('B&amp;A+DSM - Fuel and % Riders'!J54*J$10,2)</f>
        <v>62775.63</v>
      </c>
      <c r="K57" s="13">
        <f>ROUND('B&amp;A+DSM - Fuel and % Riders'!K54*K$10,2)</f>
        <v>54939.09</v>
      </c>
      <c r="L57" s="13">
        <f>ROUND('B&amp;A+DSM - Fuel and % Riders'!L54*L$10,2)</f>
        <v>53736.83</v>
      </c>
      <c r="M57" s="13">
        <f>ROUND('B&amp;A+DSM - Fuel and % Riders'!M54*M$10,2)</f>
        <v>47375.26</v>
      </c>
      <c r="N57" s="13">
        <f>ROUND('B&amp;A+DSM - Fuel and % Riders'!N54*N$10,2)</f>
        <v>34211.43</v>
      </c>
      <c r="O57" s="13">
        <f>ROUND('B&amp;A+DSM - Fuel and % Riders'!O54*O$10,2)</f>
        <v>65275.3</v>
      </c>
      <c r="P57" s="13">
        <f t="shared" ref="P57" si="21">SUM(D57:O57)</f>
        <v>654278.19000000006</v>
      </c>
      <c r="R57" s="26" t="s">
        <v>119</v>
      </c>
      <c r="S57" s="26">
        <v>54</v>
      </c>
    </row>
    <row r="58" spans="1:19" x14ac:dyDescent="0.25">
      <c r="A58" s="24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S58" s="26">
        <v>55</v>
      </c>
    </row>
    <row r="59" spans="1:19" x14ac:dyDescent="0.25">
      <c r="A59" s="24" t="s">
        <v>120</v>
      </c>
      <c r="B59" s="13" t="e">
        <f>ROUND('B&amp;A+DSM - Fuel and % Riders'!B56*B$10,2)</f>
        <v>#REF!</v>
      </c>
      <c r="C59" s="13" t="e">
        <f>ROUND('B&amp;A+DSM - Fuel and % Riders'!C56*C$10,2)</f>
        <v>#REF!</v>
      </c>
      <c r="D59" s="13">
        <f>ROUND('B&amp;A+DSM - Fuel and % Riders'!D56*D$10,2)</f>
        <v>764.36</v>
      </c>
      <c r="E59" s="13">
        <f>ROUND('B&amp;A+DSM - Fuel and % Riders'!E56*E$10,2)</f>
        <v>835.25</v>
      </c>
      <c r="F59" s="13">
        <f>ROUND('B&amp;A+DSM - Fuel and % Riders'!F56*F$10,2)</f>
        <v>952.86</v>
      </c>
      <c r="G59" s="13">
        <f>ROUND('B&amp;A+DSM - Fuel and % Riders'!G56*G$10,2)</f>
        <v>711.49</v>
      </c>
      <c r="H59" s="13">
        <f>ROUND('B&amp;A+DSM - Fuel and % Riders'!H56*H$10,2)</f>
        <v>705.46</v>
      </c>
      <c r="I59" s="13">
        <f>ROUND('B&amp;A+DSM - Fuel and % Riders'!I56*I$10,2)</f>
        <v>958.42</v>
      </c>
      <c r="J59" s="13">
        <f>ROUND('B&amp;A+DSM - Fuel and % Riders'!J56*J$10,2)</f>
        <v>1050.68</v>
      </c>
      <c r="K59" s="13">
        <f>ROUND('B&amp;A+DSM - Fuel and % Riders'!K56*K$10,2)</f>
        <v>1003.36</v>
      </c>
      <c r="L59" s="13">
        <f>ROUND('B&amp;A+DSM - Fuel and % Riders'!L56*L$10,2)</f>
        <v>849.67</v>
      </c>
      <c r="M59" s="13">
        <f>ROUND('B&amp;A+DSM - Fuel and % Riders'!M56*M$10,2)</f>
        <v>1065.8499999999999</v>
      </c>
      <c r="N59" s="13">
        <f>ROUND('B&amp;A+DSM - Fuel and % Riders'!N56*N$10,2)</f>
        <v>531.11</v>
      </c>
      <c r="O59" s="13">
        <f>ROUND('B&amp;A+DSM - Fuel and % Riders'!O56*O$10,2)</f>
        <v>1043.23</v>
      </c>
      <c r="P59" s="13">
        <f t="shared" ref="P59" si="22">SUM(D59:O59)</f>
        <v>10471.74</v>
      </c>
      <c r="R59" s="26" t="s">
        <v>120</v>
      </c>
      <c r="S59" s="26">
        <v>56</v>
      </c>
    </row>
    <row r="60" spans="1:19" x14ac:dyDescent="0.25">
      <c r="A60" s="24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S60" s="26">
        <v>57</v>
      </c>
    </row>
    <row r="61" spans="1:19" x14ac:dyDescent="0.25">
      <c r="A61" s="24" t="s">
        <v>242</v>
      </c>
      <c r="B61" s="13" t="e">
        <f>ROUND('B&amp;A+DSM - Fuel and % Riders'!B58*B$10,2)</f>
        <v>#REF!</v>
      </c>
      <c r="C61" s="13" t="e">
        <f>ROUND('B&amp;A+DSM - Fuel and % Riders'!C58*C$10,2)</f>
        <v>#REF!</v>
      </c>
      <c r="D61" s="13">
        <f>ROUND('B&amp;A+DSM - Fuel and % Riders'!D58*D$10,2)</f>
        <v>14052.71</v>
      </c>
      <c r="E61" s="13">
        <f>ROUND('B&amp;A+DSM - Fuel and % Riders'!E58*E$10,2)</f>
        <v>19074.09</v>
      </c>
      <c r="F61" s="13">
        <f>ROUND('B&amp;A+DSM - Fuel and % Riders'!F58*F$10,2)</f>
        <v>13660.07</v>
      </c>
      <c r="G61" s="13">
        <f>ROUND('B&amp;A+DSM - Fuel and % Riders'!G58*G$10,2)</f>
        <v>14786.73</v>
      </c>
      <c r="H61" s="13">
        <f>ROUND('B&amp;A+DSM - Fuel and % Riders'!H58*H$10,2)</f>
        <v>18209.45</v>
      </c>
      <c r="I61" s="13">
        <f>ROUND('B&amp;A+DSM - Fuel and % Riders'!I58*I$10,2)</f>
        <v>14195.69</v>
      </c>
      <c r="J61" s="13">
        <f>ROUND('B&amp;A+DSM - Fuel and % Riders'!J58*J$10,2)</f>
        <v>16820.53</v>
      </c>
      <c r="K61" s="13">
        <f>ROUND('B&amp;A+DSM - Fuel and % Riders'!K58*K$10,2)</f>
        <v>14868.95</v>
      </c>
      <c r="L61" s="13">
        <f>ROUND('B&amp;A+DSM - Fuel and % Riders'!L58*L$10,2)</f>
        <v>13980.86</v>
      </c>
      <c r="M61" s="13">
        <f>ROUND('B&amp;A+DSM - Fuel and % Riders'!M58*M$10,2)</f>
        <v>9714.41</v>
      </c>
      <c r="N61" s="13">
        <f>ROUND('B&amp;A+DSM - Fuel and % Riders'!N58*N$10,2)</f>
        <v>11197.03</v>
      </c>
      <c r="O61" s="13">
        <f>ROUND('B&amp;A+DSM - Fuel and % Riders'!O58*O$10,2)</f>
        <v>12877.84</v>
      </c>
      <c r="P61" s="13">
        <f t="shared" ref="P61" si="23">SUM(D61:O61)</f>
        <v>173438.36000000002</v>
      </c>
      <c r="R61" s="26" t="s">
        <v>242</v>
      </c>
      <c r="S61" s="26">
        <v>58</v>
      </c>
    </row>
    <row r="62" spans="1:19" x14ac:dyDescent="0.25">
      <c r="A62" s="2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S62" s="26">
        <v>59</v>
      </c>
    </row>
    <row r="63" spans="1:19" x14ac:dyDescent="0.25">
      <c r="A63" s="24" t="s">
        <v>122</v>
      </c>
      <c r="B63" s="13">
        <f>ROUND('B&amp;A+DSM - Fuel and % Riders'!B60*B$10,2)</f>
        <v>0</v>
      </c>
      <c r="C63" s="13">
        <f>ROUND('B&amp;A+DSM - Fuel and % Riders'!C60*C$10,2)</f>
        <v>0</v>
      </c>
      <c r="D63" s="13">
        <f>IF('B&amp;A+DSM - Fuel and % Riders'!D60&gt;0,ROUND('B&amp;A+DSM - Fuel and % Riders'!D60*D$10,2),0)</f>
        <v>10199.049999999999</v>
      </c>
      <c r="E63" s="13">
        <f>IF('B&amp;A+DSM - Fuel and % Riders'!E60&gt;0,ROUND('B&amp;A+DSM - Fuel and % Riders'!E60*E$10,2),0)</f>
        <v>7209.06</v>
      </c>
      <c r="F63" s="13">
        <f>IF('B&amp;A+DSM - Fuel and % Riders'!F60&gt;0,ROUND('B&amp;A+DSM - Fuel and % Riders'!F60*F$10,2),0)</f>
        <v>0</v>
      </c>
      <c r="G63" s="13">
        <f>IF('B&amp;A+DSM - Fuel and % Riders'!G60&gt;0,ROUND('B&amp;A+DSM - Fuel and % Riders'!G60*G$10,2),0)</f>
        <v>0</v>
      </c>
      <c r="H63" s="13">
        <f>IF('B&amp;A+DSM - Fuel and % Riders'!H60&gt;0,ROUND('B&amp;A+DSM - Fuel and % Riders'!H60*H$10,2),0)</f>
        <v>0</v>
      </c>
      <c r="I63" s="13">
        <f>IF('B&amp;A+DSM - Fuel and % Riders'!I60&gt;0,ROUND('B&amp;A+DSM - Fuel and % Riders'!I60*I$10,2),0)</f>
        <v>7554.58</v>
      </c>
      <c r="J63" s="13">
        <f>IF('B&amp;A+DSM - Fuel and % Riders'!J60&gt;0,ROUND('B&amp;A+DSM - Fuel and % Riders'!J60*J$10,2),0)</f>
        <v>0</v>
      </c>
      <c r="K63" s="13">
        <f>IF('B&amp;A+DSM - Fuel and % Riders'!K60&gt;0,ROUND('B&amp;A+DSM - Fuel and % Riders'!K60*K$10,2),0)</f>
        <v>0</v>
      </c>
      <c r="L63" s="13">
        <f>IF('B&amp;A+DSM - Fuel and % Riders'!L60&gt;0,ROUND('B&amp;A+DSM - Fuel and % Riders'!L60*L$10,2),0)</f>
        <v>0</v>
      </c>
      <c r="M63" s="13">
        <f>IF('B&amp;A+DSM - Fuel and % Riders'!M60&gt;0,ROUND('B&amp;A+DSM - Fuel and % Riders'!M60*M$10,2),0)</f>
        <v>0</v>
      </c>
      <c r="N63" s="13">
        <f>IF('B&amp;A+DSM - Fuel and % Riders'!N60&gt;0,ROUND('B&amp;A+DSM - Fuel and % Riders'!N60*N$10,2),0)</f>
        <v>0</v>
      </c>
      <c r="O63" s="13">
        <f>IF('B&amp;A+DSM - Fuel and % Riders'!O60&gt;0,ROUND('B&amp;A+DSM - Fuel and % Riders'!O60*O$10,2),0)</f>
        <v>23742.54</v>
      </c>
      <c r="P63" s="13">
        <f t="shared" ref="P63" si="24">SUM(D63:O63)</f>
        <v>48705.23</v>
      </c>
      <c r="R63" s="26" t="s">
        <v>122</v>
      </c>
      <c r="S63" s="26">
        <v>60</v>
      </c>
    </row>
    <row r="64" spans="1:19" x14ac:dyDescent="0.25">
      <c r="A64" s="24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S64" s="26">
        <v>61</v>
      </c>
    </row>
    <row r="65" spans="1:19" x14ac:dyDescent="0.25">
      <c r="A65" s="24" t="s">
        <v>243</v>
      </c>
      <c r="B65" s="13">
        <f>ROUND('B&amp;A+DSM - Fuel and % Riders'!B62*B$10,2)</f>
        <v>0</v>
      </c>
      <c r="C65" s="13">
        <f>ROUND('B&amp;A+DSM - Fuel and % Riders'!C62*C$10,2)</f>
        <v>0</v>
      </c>
      <c r="D65" s="13">
        <f>ROUND('B&amp;A+DSM - Fuel and % Riders'!D62*D$10,2)</f>
        <v>4846.41</v>
      </c>
      <c r="E65" s="13">
        <f>ROUND('B&amp;A+DSM - Fuel and % Riders'!E62*E$10,2)</f>
        <v>5262.29</v>
      </c>
      <c r="F65" s="13">
        <f>ROUND('B&amp;A+DSM - Fuel and % Riders'!F62*F$10,2)</f>
        <v>4806.63</v>
      </c>
      <c r="G65" s="13">
        <f>ROUND('B&amp;A+DSM - Fuel and % Riders'!G62*G$10,2)</f>
        <v>4681.68</v>
      </c>
      <c r="H65" s="13">
        <f>ROUND('B&amp;A+DSM - Fuel and % Riders'!H62*H$10,2)</f>
        <v>5477.04</v>
      </c>
      <c r="I65" s="13">
        <f>ROUND('B&amp;A+DSM - Fuel and % Riders'!I62*I$10,2)</f>
        <v>4664.4399999999996</v>
      </c>
      <c r="J65" s="13">
        <f>ROUND('B&amp;A+DSM - Fuel and % Riders'!J62*J$10,2)</f>
        <v>5387.53</v>
      </c>
      <c r="K65" s="13">
        <f>ROUND('B&amp;A+DSM - Fuel and % Riders'!K62*K$10,2)</f>
        <v>4505.99</v>
      </c>
      <c r="L65" s="13">
        <f>ROUND('B&amp;A+DSM - Fuel and % Riders'!L62*L$10,2)</f>
        <v>4621.5200000000004</v>
      </c>
      <c r="M65" s="13">
        <f>ROUND('B&amp;A+DSM - Fuel and % Riders'!M62*M$10,2)</f>
        <v>4230.2</v>
      </c>
      <c r="N65" s="13">
        <f>ROUND('B&amp;A+DSM - Fuel and % Riders'!N62*N$10,2)</f>
        <v>4501.95</v>
      </c>
      <c r="O65" s="13">
        <f>ROUND('B&amp;A+DSM - Fuel and % Riders'!O62*O$10,2)</f>
        <v>5253</v>
      </c>
      <c r="P65" s="13">
        <f t="shared" ref="P65" si="25">SUM(D65:O65)</f>
        <v>58238.679999999993</v>
      </c>
      <c r="R65" s="26" t="s">
        <v>243</v>
      </c>
      <c r="S65" s="26">
        <v>62</v>
      </c>
    </row>
    <row r="66" spans="1:19" x14ac:dyDescent="0.25">
      <c r="A66" s="24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S66" s="26">
        <v>63</v>
      </c>
    </row>
    <row r="67" spans="1:19" x14ac:dyDescent="0.25">
      <c r="A67" s="24" t="s">
        <v>244</v>
      </c>
      <c r="B67" s="13">
        <f>ROUND('B&amp;A+DSM - Fuel and % Riders'!B64*B$10,2)</f>
        <v>0</v>
      </c>
      <c r="C67" s="13">
        <f>ROUND('B&amp;A+DSM - Fuel and % Riders'!C64*C$10,2)</f>
        <v>0</v>
      </c>
      <c r="D67" s="13">
        <f>ROUND('B&amp;A+DSM - Fuel and % Riders'!D64*D$10,2)</f>
        <v>11061.63</v>
      </c>
      <c r="E67" s="13">
        <f>ROUND('B&amp;A+DSM - Fuel and % Riders'!E64*E$10,2)</f>
        <v>12794.52</v>
      </c>
      <c r="F67" s="13">
        <f>ROUND('B&amp;A+DSM - Fuel and % Riders'!F64*F$10,2)</f>
        <v>6048.91</v>
      </c>
      <c r="G67" s="13">
        <f>ROUND('B&amp;A+DSM - Fuel and % Riders'!G64*G$10,2)</f>
        <v>13422.68</v>
      </c>
      <c r="H67" s="13">
        <f>ROUND('B&amp;A+DSM - Fuel and % Riders'!H64*H$10,2)</f>
        <v>12072.6</v>
      </c>
      <c r="I67" s="13">
        <f>ROUND('B&amp;A+DSM - Fuel and % Riders'!I64*I$10,2)</f>
        <v>11279.28</v>
      </c>
      <c r="J67" s="13">
        <f>ROUND('B&amp;A+DSM - Fuel and % Riders'!J64*J$10,2)</f>
        <v>11972.83</v>
      </c>
      <c r="K67" s="13">
        <f>ROUND('B&amp;A+DSM - Fuel and % Riders'!K64*K$10,2)</f>
        <v>12207.95</v>
      </c>
      <c r="L67" s="13">
        <f>ROUND('B&amp;A+DSM - Fuel and % Riders'!L64*L$10,2)</f>
        <v>7641.69</v>
      </c>
      <c r="M67" s="13">
        <f>ROUND('B&amp;A+DSM - Fuel and % Riders'!M64*M$10,2)</f>
        <v>10635.75</v>
      </c>
      <c r="N67" s="13">
        <f>ROUND('B&amp;A+DSM - Fuel and % Riders'!N64*N$10,2)</f>
        <v>6981.57</v>
      </c>
      <c r="O67" s="13">
        <f>ROUND('B&amp;A+DSM - Fuel and % Riders'!O64*O$10,2)</f>
        <v>11278.23</v>
      </c>
      <c r="P67" s="13">
        <f t="shared" ref="P67" si="26">SUM(D67:O67)</f>
        <v>127397.64</v>
      </c>
      <c r="R67" s="26" t="s">
        <v>244</v>
      </c>
      <c r="S67" s="26">
        <v>64</v>
      </c>
    </row>
    <row r="68" spans="1:19" x14ac:dyDescent="0.25">
      <c r="A68" s="24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S68" s="26">
        <v>65</v>
      </c>
    </row>
    <row r="69" spans="1:19" x14ac:dyDescent="0.25">
      <c r="A69" s="24" t="s">
        <v>123</v>
      </c>
      <c r="B69" s="13">
        <f>ROUND('B&amp;A+DSM - Fuel and % Riders'!B66*B$10,2)</f>
        <v>0</v>
      </c>
      <c r="C69" s="13">
        <f>ROUND('B&amp;A+DSM - Fuel and % Riders'!C66*C$10,2)</f>
        <v>0</v>
      </c>
      <c r="D69" s="13">
        <f>ROUND('B&amp;A+DSM - Fuel and % Riders'!D66*D$10,2)</f>
        <v>6013.6</v>
      </c>
      <c r="E69" s="13">
        <f>ROUND('B&amp;A+DSM - Fuel and % Riders'!E66*E$10,2)</f>
        <v>7381.03</v>
      </c>
      <c r="F69" s="13">
        <f>ROUND('B&amp;A+DSM - Fuel and % Riders'!F66*F$10,2)</f>
        <v>6723.64</v>
      </c>
      <c r="G69" s="13">
        <f>ROUND('B&amp;A+DSM - Fuel and % Riders'!G66*G$10,2)</f>
        <v>5596.22</v>
      </c>
      <c r="H69" s="13">
        <f>ROUND('B&amp;A+DSM - Fuel and % Riders'!H66*H$10,2)</f>
        <v>6171.95</v>
      </c>
      <c r="I69" s="13">
        <f>ROUND('B&amp;A+DSM - Fuel and % Riders'!I66*I$10,2)</f>
        <v>6548.73</v>
      </c>
      <c r="J69" s="13">
        <f>ROUND('B&amp;A+DSM - Fuel and % Riders'!J66*J$10,2)</f>
        <v>7169.69</v>
      </c>
      <c r="K69" s="13">
        <f>ROUND('B&amp;A+DSM - Fuel and % Riders'!K66*K$10,2)</f>
        <v>6589.9</v>
      </c>
      <c r="L69" s="13">
        <f>ROUND('B&amp;A+DSM - Fuel and % Riders'!L66*L$10,2)</f>
        <v>5106.04</v>
      </c>
      <c r="M69" s="13">
        <f>ROUND('B&amp;A+DSM - Fuel and % Riders'!M66*M$10,2)</f>
        <v>6211.54</v>
      </c>
      <c r="N69" s="13">
        <f>ROUND('B&amp;A+DSM - Fuel and % Riders'!N66*N$10,2)</f>
        <v>3317.55</v>
      </c>
      <c r="O69" s="13">
        <f>ROUND('B&amp;A+DSM - Fuel and % Riders'!O66*O$10,2)</f>
        <v>7557.87</v>
      </c>
      <c r="P69" s="13">
        <f t="shared" ref="P69" si="27">SUM(D69:O69)</f>
        <v>74387.759999999995</v>
      </c>
      <c r="R69" s="26" t="s">
        <v>123</v>
      </c>
      <c r="S69" s="26">
        <v>66</v>
      </c>
    </row>
    <row r="70" spans="1:19" x14ac:dyDescent="0.25">
      <c r="A70" s="24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S70" s="26">
        <v>67</v>
      </c>
    </row>
    <row r="71" spans="1:19" x14ac:dyDescent="0.25">
      <c r="A71" s="24" t="s">
        <v>124</v>
      </c>
      <c r="B71" s="13">
        <f>ROUND('B&amp;A+DSM - Fuel and % Riders'!B68*B$10,2)</f>
        <v>0</v>
      </c>
      <c r="C71" s="13">
        <f>ROUND('B&amp;A+DSM - Fuel and % Riders'!C68*C$10,2)</f>
        <v>0</v>
      </c>
      <c r="D71" s="13">
        <f>ROUND('B&amp;A+DSM - Fuel and % Riders'!D68*D$10,2)</f>
        <v>108819.8</v>
      </c>
      <c r="E71" s="13">
        <f>ROUND('B&amp;A+DSM - Fuel and % Riders'!E68*E$10,2)</f>
        <v>154596.18</v>
      </c>
      <c r="F71" s="13">
        <f>ROUND('B&amp;A+DSM - Fuel and % Riders'!F68*F$10,2)</f>
        <v>91164.64</v>
      </c>
      <c r="G71" s="13">
        <f>ROUND('B&amp;A+DSM - Fuel and % Riders'!G68*G$10,2)</f>
        <v>116554.58</v>
      </c>
      <c r="H71" s="13">
        <f>ROUND('B&amp;A+DSM - Fuel and % Riders'!H68*H$10,2)</f>
        <v>105269.26</v>
      </c>
      <c r="I71" s="13">
        <f>ROUND('B&amp;A+DSM - Fuel and % Riders'!I68*I$10,2)</f>
        <v>110235.34</v>
      </c>
      <c r="J71" s="13">
        <f>ROUND('B&amp;A+DSM - Fuel and % Riders'!J68*J$10,2)</f>
        <v>124030.19</v>
      </c>
      <c r="K71" s="13">
        <f>ROUND('B&amp;A+DSM - Fuel and % Riders'!K68*K$10,2)</f>
        <v>117112.87</v>
      </c>
      <c r="L71" s="13">
        <f>ROUND('B&amp;A+DSM - Fuel and % Riders'!L68*L$10,2)</f>
        <v>90672.98</v>
      </c>
      <c r="M71" s="13">
        <f>ROUND('B&amp;A+DSM - Fuel and % Riders'!M68*M$10,2)</f>
        <v>95406.28</v>
      </c>
      <c r="N71" s="13">
        <f>ROUND('B&amp;A+DSM - Fuel and % Riders'!N68*N$10,2)</f>
        <v>74720.66</v>
      </c>
      <c r="O71" s="13">
        <f>ROUND('B&amp;A+DSM - Fuel and % Riders'!O68*O$10,2)</f>
        <v>144738.68</v>
      </c>
      <c r="P71" s="13">
        <f t="shared" ref="P71" si="28">SUM(D71:O71)</f>
        <v>1333321.4599999997</v>
      </c>
      <c r="R71" s="26" t="s">
        <v>124</v>
      </c>
      <c r="S71" s="26">
        <v>68</v>
      </c>
    </row>
    <row r="72" spans="1:19" x14ac:dyDescent="0.25">
      <c r="A72" s="24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S72" s="26">
        <v>69</v>
      </c>
    </row>
    <row r="73" spans="1:19" x14ac:dyDescent="0.25">
      <c r="A73" s="24" t="s">
        <v>125</v>
      </c>
      <c r="B73" s="13">
        <f>ROUND('B&amp;A+DSM - Fuel and % Riders'!B70*B$10,2)</f>
        <v>0</v>
      </c>
      <c r="C73" s="13">
        <f>ROUND('B&amp;A+DSM - Fuel and % Riders'!C70*C$10,2)</f>
        <v>0</v>
      </c>
      <c r="D73" s="13">
        <f>ROUND('B&amp;A+DSM - Fuel and % Riders'!D70*D$10,2)</f>
        <v>278124.23</v>
      </c>
      <c r="E73" s="13">
        <f>ROUND('B&amp;A+DSM - Fuel and % Riders'!E70*E$10,2)</f>
        <v>280336.09999999998</v>
      </c>
      <c r="F73" s="13">
        <f>ROUND('B&amp;A+DSM - Fuel and % Riders'!F70*F$10,2)</f>
        <v>346917.65</v>
      </c>
      <c r="G73" s="13">
        <f>ROUND('B&amp;A+DSM - Fuel and % Riders'!G70*G$10,2)</f>
        <v>274630.58</v>
      </c>
      <c r="H73" s="13">
        <f>ROUND('B&amp;A+DSM - Fuel and % Riders'!H70*H$10,2)</f>
        <v>226758.62</v>
      </c>
      <c r="I73" s="13">
        <f>ROUND('B&amp;A+DSM - Fuel and % Riders'!I70*I$10,2)</f>
        <v>433546.89</v>
      </c>
      <c r="J73" s="13">
        <f>ROUND('B&amp;A+DSM - Fuel and % Riders'!J70*J$10,2)</f>
        <v>116082.57</v>
      </c>
      <c r="K73" s="13">
        <f>ROUND('B&amp;A+DSM - Fuel and % Riders'!K70*K$10,2)</f>
        <v>266945.51</v>
      </c>
      <c r="L73" s="13">
        <f>ROUND('B&amp;A+DSM - Fuel and % Riders'!L70*L$10,2)</f>
        <v>349842.57</v>
      </c>
      <c r="M73" s="13">
        <f>ROUND('B&amp;A+DSM - Fuel and % Riders'!M70*M$10,2)</f>
        <v>208859.27</v>
      </c>
      <c r="N73" s="13">
        <f>ROUND('B&amp;A+DSM - Fuel and % Riders'!N70*N$10,2)</f>
        <v>211923.65</v>
      </c>
      <c r="O73" s="13">
        <f>ROUND('B&amp;A+DSM - Fuel and % Riders'!O70*O$10,2)</f>
        <v>251300.53</v>
      </c>
      <c r="P73" s="13">
        <f t="shared" ref="P73:P79" si="29">SUM(D73:O73)</f>
        <v>3245268.17</v>
      </c>
      <c r="R73" s="26" t="s">
        <v>125</v>
      </c>
      <c r="S73" s="26">
        <v>70</v>
      </c>
    </row>
    <row r="74" spans="1:19" x14ac:dyDescent="0.25">
      <c r="A74" s="24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S74" s="26">
        <v>71</v>
      </c>
    </row>
    <row r="75" spans="1:19" x14ac:dyDescent="0.25">
      <c r="A75" s="24" t="s">
        <v>126</v>
      </c>
      <c r="B75" s="13"/>
      <c r="C75" s="13"/>
      <c r="D75" s="13">
        <f>ROUND('B&amp;A+DSM - Fuel and % Riders'!D72*D$10,2)</f>
        <v>44553.38</v>
      </c>
      <c r="E75" s="13">
        <f>ROUND('B&amp;A+DSM - Fuel and % Riders'!E72*E$10,2)</f>
        <v>55456.33</v>
      </c>
      <c r="F75" s="13">
        <f>ROUND('B&amp;A+DSM - Fuel and % Riders'!F72*F$10,2)</f>
        <v>52833.919999999998</v>
      </c>
      <c r="G75" s="13">
        <f>ROUND('B&amp;A+DSM - Fuel and % Riders'!G72*G$10,2)</f>
        <v>48316.3</v>
      </c>
      <c r="H75" s="13">
        <f>ROUND('B&amp;A+DSM - Fuel and % Riders'!H72*H$10,2)</f>
        <v>32729.439999999999</v>
      </c>
      <c r="I75" s="13">
        <f>ROUND('B&amp;A+DSM - Fuel and % Riders'!I72*I$10,2)</f>
        <v>33990.94</v>
      </c>
      <c r="J75" s="13">
        <f>ROUND('B&amp;A+DSM - Fuel and % Riders'!J72*J$10,2)</f>
        <v>70433.58</v>
      </c>
      <c r="K75" s="13">
        <f>ROUND('B&amp;A+DSM - Fuel and % Riders'!K72*K$10,2)</f>
        <v>59060.74</v>
      </c>
      <c r="L75" s="13">
        <f>ROUND('B&amp;A+DSM - Fuel and % Riders'!L72*L$10,2)</f>
        <v>26941.85</v>
      </c>
      <c r="M75" s="13">
        <f>ROUND('B&amp;A+DSM - Fuel and % Riders'!M72*M$10,2)</f>
        <v>23058.32</v>
      </c>
      <c r="N75" s="13">
        <f>ROUND('B&amp;A+DSM - Fuel and % Riders'!N72*N$10,2)</f>
        <v>-12975.72</v>
      </c>
      <c r="O75" s="13">
        <f>ROUND('B&amp;A+DSM - Fuel and % Riders'!O72*O$10,2)</f>
        <v>93981.32</v>
      </c>
      <c r="P75" s="13">
        <f t="shared" si="29"/>
        <v>528380.4</v>
      </c>
      <c r="R75" s="26" t="s">
        <v>126</v>
      </c>
      <c r="S75" s="26">
        <v>72</v>
      </c>
    </row>
    <row r="76" spans="1:19" x14ac:dyDescent="0.25">
      <c r="A76" s="24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S76" s="26">
        <v>73</v>
      </c>
    </row>
    <row r="77" spans="1:19" x14ac:dyDescent="0.25">
      <c r="A77" s="24" t="s">
        <v>2</v>
      </c>
      <c r="B77" s="13"/>
      <c r="C77" s="13"/>
      <c r="D77" s="13">
        <f>ROUND('B&amp;A+DSM - Fuel and % Riders'!D74*D$10,2)</f>
        <v>8948.94</v>
      </c>
      <c r="E77" s="13">
        <f>ROUND('B&amp;A+DSM - Fuel and % Riders'!E74*E$10,2)</f>
        <v>8971.99</v>
      </c>
      <c r="F77" s="13">
        <f>ROUND('B&amp;A+DSM - Fuel and % Riders'!F74*F$10,2)</f>
        <v>8994.2199999999993</v>
      </c>
      <c r="G77" s="13">
        <f>ROUND('B&amp;A+DSM - Fuel and % Riders'!G74*G$10,2)</f>
        <v>9122.31</v>
      </c>
      <c r="H77" s="13">
        <f>ROUND('B&amp;A+DSM - Fuel and % Riders'!H74*H$10,2)</f>
        <v>8882.09</v>
      </c>
      <c r="I77" s="13">
        <f>ROUND('B&amp;A+DSM - Fuel and % Riders'!I74*I$10,2)</f>
        <v>8825.99</v>
      </c>
      <c r="J77" s="13">
        <f>ROUND('B&amp;A+DSM - Fuel and % Riders'!J74*J$10,2)</f>
        <v>8301.0300000000007</v>
      </c>
      <c r="K77" s="13">
        <f>ROUND('B&amp;A+DSM - Fuel and % Riders'!K74*K$10,2)</f>
        <v>8629.31</v>
      </c>
      <c r="L77" s="13">
        <f>ROUND('B&amp;A+DSM - Fuel and % Riders'!L74*L$10,2)</f>
        <v>8348.01</v>
      </c>
      <c r="M77" s="13">
        <f>ROUND('B&amp;A+DSM - Fuel and % Riders'!M74*M$10,2)</f>
        <v>8192.4699999999993</v>
      </c>
      <c r="N77" s="13">
        <f>ROUND('B&amp;A+DSM - Fuel and % Riders'!N74*N$10,2)</f>
        <v>8339.68</v>
      </c>
      <c r="O77" s="13">
        <f>ROUND('B&amp;A+DSM - Fuel and % Riders'!O74*O$10,2)</f>
        <v>8397.82</v>
      </c>
      <c r="P77" s="13">
        <f t="shared" si="29"/>
        <v>103953.86000000002</v>
      </c>
      <c r="R77" s="26" t="s">
        <v>2</v>
      </c>
      <c r="S77" s="26">
        <v>74</v>
      </c>
    </row>
    <row r="78" spans="1:19" x14ac:dyDescent="0.25">
      <c r="A78" s="24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S78" s="26">
        <v>75</v>
      </c>
    </row>
    <row r="79" spans="1:19" ht="36.75" customHeight="1" x14ac:dyDescent="0.25">
      <c r="A79" s="158" t="s">
        <v>1</v>
      </c>
      <c r="B79" s="27"/>
      <c r="C79" s="27"/>
      <c r="D79" s="13">
        <f>ROUND('B&amp;A+DSM - Fuel and % Riders'!D76*D$10,2)</f>
        <v>921.57</v>
      </c>
      <c r="E79" s="13">
        <f>ROUND('B&amp;A+DSM - Fuel and % Riders'!E76*E$10,2)</f>
        <v>1142.8699999999999</v>
      </c>
      <c r="F79" s="13">
        <f>ROUND('B&amp;A+DSM - Fuel and % Riders'!F76*F$10,2)</f>
        <v>1162.22</v>
      </c>
      <c r="G79" s="13">
        <f>ROUND('B&amp;A+DSM - Fuel and % Riders'!G76*G$10,2)</f>
        <v>959.85</v>
      </c>
      <c r="H79" s="13">
        <f>ROUND('B&amp;A+DSM - Fuel and % Riders'!H76*H$10,2)</f>
        <v>828.05</v>
      </c>
      <c r="I79" s="13">
        <f>ROUND('B&amp;A+DSM - Fuel and % Riders'!I76*I$10,2)</f>
        <v>970.22</v>
      </c>
      <c r="J79" s="13">
        <f>ROUND('B&amp;A+DSM - Fuel and % Riders'!J76*J$10,2)</f>
        <v>1187.01</v>
      </c>
      <c r="K79" s="13">
        <f>ROUND('B&amp;A+DSM - Fuel and % Riders'!K76*K$10,2)</f>
        <v>940.77</v>
      </c>
      <c r="L79" s="13">
        <f>ROUND('B&amp;A+DSM - Fuel and % Riders'!L76*L$10,2)</f>
        <v>858.48</v>
      </c>
      <c r="M79" s="13">
        <f>ROUND('B&amp;A+DSM - Fuel and % Riders'!M76*M$10,2)</f>
        <v>755.72</v>
      </c>
      <c r="N79" s="13">
        <f>ROUND('B&amp;A+DSM - Fuel and % Riders'!N76*N$10,2)</f>
        <v>331.97</v>
      </c>
      <c r="O79" s="13">
        <f>ROUND('B&amp;A+DSM - Fuel and % Riders'!O76*O$10,2)</f>
        <v>1135.6300000000001</v>
      </c>
      <c r="P79" s="13">
        <f t="shared" si="29"/>
        <v>11194.36</v>
      </c>
      <c r="R79" s="26" t="s">
        <v>1</v>
      </c>
      <c r="S79" s="26">
        <v>76</v>
      </c>
    </row>
    <row r="80" spans="1:19" x14ac:dyDescent="0.25">
      <c r="A80" s="26" t="s">
        <v>0</v>
      </c>
      <c r="B80" s="13" t="e">
        <f>SUM(B13:B73)</f>
        <v>#REF!</v>
      </c>
      <c r="C80" s="13" t="e">
        <f t="shared" ref="C80" si="30">SUM(C13:C73)</f>
        <v>#REF!</v>
      </c>
      <c r="D80" s="44">
        <f>SUM(D13:D79)-D21</f>
        <v>2377590.1999999997</v>
      </c>
      <c r="E80" s="44">
        <f t="shared" ref="E80:O80" si="31">SUM(E13:E79)-E21</f>
        <v>2470696.4500000011</v>
      </c>
      <c r="F80" s="44">
        <f t="shared" si="31"/>
        <v>2679990.2099999995</v>
      </c>
      <c r="G80" s="44">
        <f t="shared" si="31"/>
        <v>2799723.2600000016</v>
      </c>
      <c r="H80" s="44">
        <f t="shared" si="31"/>
        <v>2589087.5699999998</v>
      </c>
      <c r="I80" s="44">
        <f t="shared" si="31"/>
        <v>2446100.0200000005</v>
      </c>
      <c r="J80" s="44">
        <f t="shared" si="31"/>
        <v>2117194.5899999994</v>
      </c>
      <c r="K80" s="44">
        <f t="shared" si="31"/>
        <v>2505013.89</v>
      </c>
      <c r="L80" s="44">
        <f t="shared" si="31"/>
        <v>2659970.6699999985</v>
      </c>
      <c r="M80" s="44">
        <f t="shared" si="31"/>
        <v>2490095.8000000003</v>
      </c>
      <c r="N80" s="44">
        <f t="shared" si="31"/>
        <v>1712987.9299999995</v>
      </c>
      <c r="O80" s="44">
        <f t="shared" si="31"/>
        <v>2162036.81</v>
      </c>
      <c r="P80" s="44">
        <f>SUM(D80:O80)</f>
        <v>29010487.399999999</v>
      </c>
    </row>
    <row r="81" spans="4:16" x14ac:dyDescent="0.25">
      <c r="P81" s="13">
        <f>SUM(P13:P79)-P20</f>
        <v>29010487.399999999</v>
      </c>
    </row>
    <row r="82" spans="4:16" x14ac:dyDescent="0.25">
      <c r="D82" s="159"/>
      <c r="E82" s="159"/>
      <c r="F82" s="159"/>
      <c r="G82" s="159"/>
      <c r="H82" s="159"/>
      <c r="I82" s="159"/>
      <c r="J82" s="159"/>
      <c r="K82" s="159"/>
      <c r="L82" s="159"/>
      <c r="M82" s="159"/>
    </row>
  </sheetData>
  <pageMargins left="0.7" right="0.36" top="0.75" bottom="0.75" header="0.3" footer="0.3"/>
  <pageSetup scale="43" orientation="portrait" r:id="rId1"/>
  <headerFooter>
    <oddFooter>&amp;L&amp;F
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P86"/>
  <sheetViews>
    <sheetView zoomScale="90" zoomScaleNormal="90" workbookViewId="0">
      <pane xSplit="1" ySplit="19" topLeftCell="E20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ColWidth="9.140625" defaultRowHeight="15.75" outlineLevelCol="1" x14ac:dyDescent="0.25"/>
  <cols>
    <col min="1" max="1" width="18.42578125" style="3" bestFit="1" customWidth="1"/>
    <col min="2" max="3" width="1.7109375" style="3" customWidth="1" outlineLevel="1"/>
    <col min="4" max="4" width="13.7109375" style="3" customWidth="1" outlineLevel="1"/>
    <col min="5" max="5" width="12.7109375" style="3" customWidth="1" outlineLevel="1"/>
    <col min="6" max="7" width="13.5703125" style="3" customWidth="1" outlineLevel="1"/>
    <col min="8" max="8" width="15" style="3" bestFit="1" customWidth="1" outlineLevel="1"/>
    <col min="9" max="13" width="14.28515625" style="3" bestFit="1" customWidth="1" outlineLevel="1"/>
    <col min="14" max="15" width="14.28515625" style="3" customWidth="1" outlineLevel="1"/>
    <col min="16" max="16" width="15.42578125" style="3" bestFit="1" customWidth="1"/>
    <col min="17" max="16384" width="9.140625" style="3"/>
  </cols>
  <sheetData>
    <row r="1" spans="1:16" x14ac:dyDescent="0.25">
      <c r="A1" s="3" t="s">
        <v>70</v>
      </c>
      <c r="D1" s="4"/>
    </row>
    <row r="2" spans="1:16" x14ac:dyDescent="0.25">
      <c r="A2" s="3" t="s">
        <v>71</v>
      </c>
    </row>
    <row r="3" spans="1:16" x14ac:dyDescent="0.25">
      <c r="A3" s="3" t="str">
        <f>'B&amp;A kWh'!B3</f>
        <v>TEST YEAR ENDED March 31, 2023</v>
      </c>
    </row>
    <row r="4" spans="1:16" x14ac:dyDescent="0.25">
      <c r="A4" s="3" t="s">
        <v>81</v>
      </c>
    </row>
    <row r="5" spans="1:16" x14ac:dyDescent="0.25">
      <c r="A5" s="3" t="s">
        <v>142</v>
      </c>
    </row>
    <row r="6" spans="1:16" x14ac:dyDescent="0.25">
      <c r="A6" s="15" t="s">
        <v>131</v>
      </c>
    </row>
    <row r="7" spans="1:16" x14ac:dyDescent="0.25">
      <c r="D7" s="3">
        <v>2016</v>
      </c>
      <c r="N7" s="3">
        <v>2017</v>
      </c>
      <c r="P7" s="21" t="s">
        <v>169</v>
      </c>
    </row>
    <row r="8" spans="1:16" x14ac:dyDescent="0.25">
      <c r="A8" s="2" t="s">
        <v>22</v>
      </c>
      <c r="B8" s="5" t="s">
        <v>106</v>
      </c>
      <c r="C8" s="5" t="s">
        <v>107</v>
      </c>
      <c r="D8" s="5" t="s">
        <v>108</v>
      </c>
      <c r="E8" s="5" t="s">
        <v>109</v>
      </c>
      <c r="F8" s="5" t="s">
        <v>110</v>
      </c>
      <c r="G8" s="5" t="s">
        <v>111</v>
      </c>
      <c r="H8" s="5" t="s">
        <v>112</v>
      </c>
      <c r="I8" s="5" t="s">
        <v>113</v>
      </c>
      <c r="J8" s="5" t="s">
        <v>114</v>
      </c>
      <c r="K8" s="5" t="s">
        <v>115</v>
      </c>
      <c r="L8" s="5" t="s">
        <v>116</v>
      </c>
      <c r="M8" s="5" t="s">
        <v>117</v>
      </c>
      <c r="N8" s="5" t="s">
        <v>106</v>
      </c>
      <c r="O8" s="5" t="s">
        <v>107</v>
      </c>
      <c r="P8" s="6" t="s">
        <v>0</v>
      </c>
    </row>
    <row r="9" spans="1:16" x14ac:dyDescent="0.25">
      <c r="A9" s="12" t="s">
        <v>138</v>
      </c>
      <c r="B9" s="7">
        <v>3.3E-3</v>
      </c>
      <c r="C9" s="7">
        <v>3.3E-3</v>
      </c>
      <c r="D9" s="7">
        <v>3.3E-3</v>
      </c>
      <c r="E9" s="7">
        <v>3.3E-3</v>
      </c>
      <c r="F9" s="7">
        <v>3.3E-3</v>
      </c>
      <c r="G9" s="7">
        <v>3.3E-3</v>
      </c>
      <c r="H9" s="7">
        <v>3.3E-3</v>
      </c>
      <c r="I9" s="7">
        <v>5.7999999999999996E-3</v>
      </c>
      <c r="J9" s="7">
        <v>5.7999999999999996E-3</v>
      </c>
      <c r="K9" s="7">
        <v>5.7999999999999996E-3</v>
      </c>
      <c r="L9" s="7">
        <v>5.7999999999999996E-3</v>
      </c>
      <c r="M9" s="7">
        <v>5.7999999999999996E-3</v>
      </c>
      <c r="N9" s="7">
        <v>5.7999999999999996E-3</v>
      </c>
      <c r="O9" s="7">
        <v>5.7999999999999996E-3</v>
      </c>
    </row>
    <row r="10" spans="1:16" x14ac:dyDescent="0.25">
      <c r="A10" s="3" t="s">
        <v>140</v>
      </c>
      <c r="B10" s="3">
        <v>2.7200000000000002E-3</v>
      </c>
      <c r="C10" s="3">
        <v>2.7200000000000002E-3</v>
      </c>
      <c r="D10" s="3">
        <v>2.7200000000000002E-3</v>
      </c>
      <c r="E10" s="3">
        <v>2.7200000000000002E-3</v>
      </c>
      <c r="F10" s="3">
        <v>2.7200000000000002E-3</v>
      </c>
      <c r="G10" s="3">
        <v>2.7200000000000002E-3</v>
      </c>
      <c r="H10" s="3">
        <v>2.7200000000000002E-3</v>
      </c>
      <c r="I10" s="3">
        <v>4.4600000000000004E-3</v>
      </c>
      <c r="J10" s="3">
        <v>4.4600000000000004E-3</v>
      </c>
      <c r="K10" s="3">
        <v>4.4600000000000004E-3</v>
      </c>
      <c r="L10" s="3">
        <v>4.4600000000000004E-3</v>
      </c>
      <c r="M10" s="3">
        <v>4.4600000000000004E-3</v>
      </c>
      <c r="N10" s="3">
        <v>4.4600000000000004E-3</v>
      </c>
      <c r="O10" s="3">
        <v>4.4600000000000004E-3</v>
      </c>
    </row>
    <row r="11" spans="1:16" x14ac:dyDescent="0.25">
      <c r="A11" s="3" t="s">
        <v>132</v>
      </c>
      <c r="B11" s="3">
        <v>1.41E-3</v>
      </c>
      <c r="C11" s="3">
        <v>1.41E-3</v>
      </c>
      <c r="D11" s="3">
        <v>1.41E-3</v>
      </c>
      <c r="E11" s="3">
        <v>1.41E-3</v>
      </c>
      <c r="F11" s="3">
        <v>1.41E-3</v>
      </c>
      <c r="G11" s="3">
        <v>1.41E-3</v>
      </c>
      <c r="H11" s="3">
        <v>1.41E-3</v>
      </c>
      <c r="I11" s="3">
        <v>1.42E-3</v>
      </c>
      <c r="J11" s="3">
        <v>1.42E-3</v>
      </c>
      <c r="K11" s="3">
        <v>1.42E-3</v>
      </c>
      <c r="L11" s="3">
        <v>1.42E-3</v>
      </c>
      <c r="M11" s="3">
        <v>1.42E-3</v>
      </c>
      <c r="N11" s="3">
        <v>1.42E-3</v>
      </c>
      <c r="O11" s="3">
        <v>1.42E-3</v>
      </c>
    </row>
    <row r="12" spans="1:16" x14ac:dyDescent="0.25">
      <c r="A12" s="3" t="s">
        <v>137</v>
      </c>
      <c r="B12" s="3">
        <v>2.8300000000000001E-3</v>
      </c>
      <c r="C12" s="3">
        <v>2.8300000000000001E-3</v>
      </c>
      <c r="D12" s="3">
        <v>2.8300000000000001E-3</v>
      </c>
      <c r="E12" s="3">
        <v>2.8300000000000001E-3</v>
      </c>
      <c r="F12" s="3">
        <v>2.8300000000000001E-3</v>
      </c>
      <c r="G12" s="3">
        <v>2.8300000000000001E-3</v>
      </c>
      <c r="H12" s="3">
        <v>2.8300000000000001E-3</v>
      </c>
      <c r="I12" s="3">
        <v>4.7099999999999998E-3</v>
      </c>
      <c r="J12" s="3">
        <v>4.7099999999999998E-3</v>
      </c>
      <c r="K12" s="3">
        <v>4.7099999999999998E-3</v>
      </c>
      <c r="L12" s="3">
        <v>4.7099999999999998E-3</v>
      </c>
      <c r="M12" s="3">
        <v>4.7099999999999998E-3</v>
      </c>
      <c r="N12" s="3">
        <v>4.7099999999999998E-3</v>
      </c>
      <c r="O12" s="3">
        <v>4.7099999999999998E-3</v>
      </c>
    </row>
    <row r="13" spans="1:16" x14ac:dyDescent="0.25">
      <c r="A13" s="3" t="s">
        <v>139</v>
      </c>
      <c r="B13" s="3">
        <v>1.39E-3</v>
      </c>
      <c r="C13" s="3">
        <v>1.39E-3</v>
      </c>
      <c r="D13" s="3">
        <v>1.39E-3</v>
      </c>
      <c r="E13" s="3">
        <v>1.39E-3</v>
      </c>
      <c r="F13" s="3">
        <v>1.39E-3</v>
      </c>
      <c r="G13" s="3">
        <v>1.39E-3</v>
      </c>
      <c r="H13" s="3">
        <v>1.39E-3</v>
      </c>
      <c r="I13" s="3">
        <v>1.42E-3</v>
      </c>
      <c r="J13" s="3">
        <v>1.42E-3</v>
      </c>
      <c r="K13" s="3">
        <v>1.42E-3</v>
      </c>
      <c r="L13" s="3">
        <v>1.42E-3</v>
      </c>
      <c r="M13" s="3">
        <v>1.42E-3</v>
      </c>
      <c r="N13" s="3">
        <v>1.42E-3</v>
      </c>
      <c r="O13" s="3">
        <v>1.42E-3</v>
      </c>
    </row>
    <row r="14" spans="1:16" x14ac:dyDescent="0.25">
      <c r="A14" s="3" t="s">
        <v>133</v>
      </c>
      <c r="B14" s="3">
        <v>1.39E-3</v>
      </c>
      <c r="C14" s="3">
        <v>1.39E-3</v>
      </c>
      <c r="D14" s="3">
        <v>1.39E-3</v>
      </c>
      <c r="E14" s="3">
        <v>1.39E-3</v>
      </c>
      <c r="F14" s="3">
        <v>1.39E-3</v>
      </c>
      <c r="G14" s="3">
        <v>1.39E-3</v>
      </c>
      <c r="H14" s="3">
        <v>1.39E-3</v>
      </c>
      <c r="I14" s="3">
        <v>1.42E-3</v>
      </c>
      <c r="J14" s="3">
        <v>1.42E-3</v>
      </c>
      <c r="K14" s="3">
        <v>1.42E-3</v>
      </c>
      <c r="L14" s="3">
        <v>1.42E-3</v>
      </c>
      <c r="M14" s="3">
        <v>1.42E-3</v>
      </c>
      <c r="N14" s="3">
        <v>1.42E-3</v>
      </c>
      <c r="O14" s="3">
        <v>1.42E-3</v>
      </c>
    </row>
    <row r="15" spans="1:16" x14ac:dyDescent="0.25">
      <c r="A15" s="3" t="s">
        <v>134</v>
      </c>
      <c r="B15" s="3">
        <v>2.7599999999999999E-3</v>
      </c>
      <c r="C15" s="3">
        <v>2.7599999999999999E-3</v>
      </c>
      <c r="D15" s="3">
        <v>2.7599999999999999E-3</v>
      </c>
      <c r="E15" s="3">
        <v>2.7599999999999999E-3</v>
      </c>
      <c r="F15" s="3">
        <v>2.7599999999999999E-3</v>
      </c>
      <c r="G15" s="3">
        <v>2.7599999999999999E-3</v>
      </c>
      <c r="H15" s="3">
        <v>2.7599999999999999E-3</v>
      </c>
      <c r="I15" s="3">
        <v>4.5599999999999998E-3</v>
      </c>
      <c r="J15" s="3">
        <v>4.5599999999999998E-3</v>
      </c>
      <c r="K15" s="3">
        <v>4.5599999999999998E-3</v>
      </c>
      <c r="L15" s="3">
        <v>4.5599999999999998E-3</v>
      </c>
      <c r="M15" s="3">
        <v>4.5599999999999998E-3</v>
      </c>
      <c r="N15" s="3">
        <v>4.5599999999999998E-3</v>
      </c>
      <c r="O15" s="3">
        <v>4.5599999999999998E-3</v>
      </c>
    </row>
    <row r="16" spans="1:16" x14ac:dyDescent="0.25">
      <c r="A16" s="3" t="s">
        <v>141</v>
      </c>
      <c r="B16" s="3">
        <v>1.39E-3</v>
      </c>
      <c r="C16" s="3">
        <v>1.39E-3</v>
      </c>
      <c r="D16" s="3">
        <v>1.39E-3</v>
      </c>
      <c r="E16" s="3">
        <v>1.39E-3</v>
      </c>
      <c r="F16" s="3">
        <v>1.39E-3</v>
      </c>
      <c r="G16" s="3">
        <v>1.39E-3</v>
      </c>
      <c r="H16" s="3">
        <v>1.39E-3</v>
      </c>
      <c r="I16" s="3">
        <v>1.41E-3</v>
      </c>
      <c r="J16" s="3">
        <v>1.41E-3</v>
      </c>
      <c r="K16" s="3">
        <v>1.41E-3</v>
      </c>
      <c r="L16" s="3">
        <v>1.41E-3</v>
      </c>
      <c r="M16" s="3">
        <v>1.41E-3</v>
      </c>
      <c r="N16" s="3">
        <v>1.41E-3</v>
      </c>
      <c r="O16" s="3">
        <v>1.41E-3</v>
      </c>
    </row>
    <row r="17" spans="1:16" x14ac:dyDescent="0.25">
      <c r="A17" s="3" t="s">
        <v>135</v>
      </c>
      <c r="B17" s="3">
        <v>2.48E-3</v>
      </c>
      <c r="C17" s="3">
        <v>2.48E-3</v>
      </c>
      <c r="D17" s="3">
        <v>2.48E-3</v>
      </c>
      <c r="E17" s="3">
        <v>2.48E-3</v>
      </c>
      <c r="F17" s="3">
        <v>2.48E-3</v>
      </c>
      <c r="G17" s="3">
        <v>2.48E-3</v>
      </c>
      <c r="H17" s="3">
        <v>2.48E-3</v>
      </c>
      <c r="I17" s="14">
        <v>3.8999999999999998E-3</v>
      </c>
      <c r="J17" s="14">
        <v>3.8999999999999998E-3</v>
      </c>
      <c r="K17" s="14">
        <v>3.8999999999999998E-3</v>
      </c>
      <c r="L17" s="14">
        <v>3.8999999999999998E-3</v>
      </c>
      <c r="M17" s="14">
        <v>3.8999999999999998E-3</v>
      </c>
      <c r="N17" s="14">
        <v>3.8999999999999998E-3</v>
      </c>
      <c r="O17" s="14">
        <v>3.8999999999999998E-3</v>
      </c>
    </row>
    <row r="18" spans="1:16" x14ac:dyDescent="0.25">
      <c r="A18" s="3" t="s">
        <v>18</v>
      </c>
      <c r="B18" s="3">
        <v>1.47E-3</v>
      </c>
      <c r="C18" s="3">
        <v>1.47E-3</v>
      </c>
      <c r="D18" s="3">
        <v>1.47E-3</v>
      </c>
      <c r="E18" s="3">
        <v>1.47E-3</v>
      </c>
      <c r="F18" s="3">
        <v>1.47E-3</v>
      </c>
      <c r="G18" s="3">
        <v>1.47E-3</v>
      </c>
      <c r="H18" s="3">
        <v>1.47E-3</v>
      </c>
      <c r="I18" s="3">
        <v>1.5900000000000001E-3</v>
      </c>
      <c r="J18" s="3">
        <v>1.5900000000000001E-3</v>
      </c>
      <c r="K18" s="3">
        <v>1.5900000000000001E-3</v>
      </c>
      <c r="L18" s="3">
        <v>1.5900000000000001E-3</v>
      </c>
      <c r="M18" s="3">
        <v>1.5900000000000001E-3</v>
      </c>
      <c r="N18" s="3">
        <v>1.5900000000000001E-3</v>
      </c>
      <c r="O18" s="3">
        <v>1.5900000000000001E-3</v>
      </c>
    </row>
    <row r="19" spans="1:16" x14ac:dyDescent="0.25">
      <c r="A19" s="3" t="s">
        <v>136</v>
      </c>
      <c r="B19" s="3">
        <v>1.47E-3</v>
      </c>
      <c r="C19" s="3">
        <v>1.47E-3</v>
      </c>
      <c r="D19" s="3">
        <v>1.47E-3</v>
      </c>
      <c r="E19" s="3">
        <v>1.47E-3</v>
      </c>
      <c r="F19" s="3">
        <v>1.47E-3</v>
      </c>
      <c r="G19" s="3">
        <v>1.47E-3</v>
      </c>
      <c r="H19" s="3">
        <v>1.47E-3</v>
      </c>
      <c r="I19" s="14">
        <v>1.6000000000000001E-3</v>
      </c>
      <c r="J19" s="14">
        <v>1.6000000000000001E-3</v>
      </c>
      <c r="K19" s="14">
        <v>1.6000000000000001E-3</v>
      </c>
      <c r="L19" s="14">
        <v>1.6000000000000001E-3</v>
      </c>
      <c r="M19" s="14">
        <v>1.6000000000000001E-3</v>
      </c>
      <c r="N19" s="14">
        <v>1.6000000000000001E-3</v>
      </c>
      <c r="O19" s="14">
        <v>1.6000000000000001E-3</v>
      </c>
    </row>
    <row r="21" spans="1:16" x14ac:dyDescent="0.25">
      <c r="A21" s="1" t="s">
        <v>21</v>
      </c>
      <c r="B21" s="8">
        <f>ROUND(B$9*'B&amp;A kWh'!C10,2)</f>
        <v>0</v>
      </c>
      <c r="C21" s="8">
        <f>ROUND(C$9*'B&amp;A kWh'!D10,2)</f>
        <v>0</v>
      </c>
      <c r="D21" s="8">
        <f>ROUND(D$9*'B&amp;A kWh'!E10,2)</f>
        <v>414410.91</v>
      </c>
      <c r="E21" s="8">
        <f>ROUND(E$9*'B&amp;A kWh'!F10,2)</f>
        <v>375083.27</v>
      </c>
      <c r="F21" s="8">
        <f>ROUND(F$9*'B&amp;A kWh'!G10,2)</f>
        <v>471129.23</v>
      </c>
      <c r="G21" s="8">
        <f>ROUND(G$9*'B&amp;A kWh'!H10,2)</f>
        <v>543334.72</v>
      </c>
      <c r="H21" s="8">
        <f>ROUND(H$9*'B&amp;A kWh'!I10,2)</f>
        <v>532868.51</v>
      </c>
      <c r="I21" s="8">
        <f>ROUND(I$9*'B&amp;A kWh'!J10,2)</f>
        <v>699092.7</v>
      </c>
      <c r="J21" s="8">
        <f>ROUND(J$9*'B&amp;A kWh'!K10,2)</f>
        <v>667353.42000000004</v>
      </c>
      <c r="K21" s="8">
        <f>ROUND(K$9*'B&amp;A kWh'!L10,2)</f>
        <v>849250.93</v>
      </c>
      <c r="L21" s="8">
        <f>ROUND(L$9*'B&amp;A kWh'!M10,2)</f>
        <v>1286045.3799999999</v>
      </c>
      <c r="M21" s="8">
        <f>ROUND(M$9*'B&amp;A kWh'!N10,2)</f>
        <v>1244196.74</v>
      </c>
      <c r="N21" s="8">
        <f>ROUND(N$9*'B&amp;A kWh'!O10,2)</f>
        <v>931431.63</v>
      </c>
      <c r="O21" s="8">
        <f>ROUND(O$9*'B&amp;A kWh'!P10,2)</f>
        <v>883783.36</v>
      </c>
      <c r="P21" s="8">
        <f>SUM(D21:O21)</f>
        <v>8897980.7999999989</v>
      </c>
    </row>
    <row r="22" spans="1:16" x14ac:dyDescent="0.25">
      <c r="A22" s="1"/>
    </row>
    <row r="23" spans="1:16" x14ac:dyDescent="0.25">
      <c r="A23" s="1" t="s">
        <v>20</v>
      </c>
      <c r="B23" s="8">
        <f>ROUND(B$9*'B&amp;A kWh'!C12,2)</f>
        <v>0</v>
      </c>
      <c r="C23" s="8">
        <f>ROUND(C$9*'B&amp;A kWh'!D12,2)</f>
        <v>0</v>
      </c>
      <c r="D23" s="8">
        <f>ROUND(D$9*'B&amp;A kWh'!E12,2)</f>
        <v>582.73</v>
      </c>
      <c r="E23" s="8">
        <f>ROUND(E$9*'B&amp;A kWh'!F12,2)</f>
        <v>525.49</v>
      </c>
      <c r="F23" s="8">
        <f>ROUND(F$9*'B&amp;A kWh'!G12,2)</f>
        <v>661.76</v>
      </c>
      <c r="G23" s="8">
        <f>ROUND(G$9*'B&amp;A kWh'!H12,2)</f>
        <v>798.23</v>
      </c>
      <c r="H23" s="8">
        <f>ROUND(H$9*'B&amp;A kWh'!I12,2)</f>
        <v>758.63</v>
      </c>
      <c r="I23" s="8">
        <f>ROUND(I$9*'B&amp;A kWh'!J12,2)</f>
        <v>1096.55</v>
      </c>
      <c r="J23" s="8">
        <f>ROUND(J$9*'B&amp;A kWh'!K12,2)</f>
        <v>931.72</v>
      </c>
      <c r="K23" s="8">
        <f>ROUND(K$9*'B&amp;A kWh'!L12,2)</f>
        <v>1160.25</v>
      </c>
      <c r="L23" s="8">
        <f>ROUND(L$9*'B&amp;A kWh'!M12,2)</f>
        <v>2096.9699999999998</v>
      </c>
      <c r="M23" s="8">
        <f>ROUND(M$9*'B&amp;A kWh'!N12,2)</f>
        <v>2204.96</v>
      </c>
      <c r="N23" s="8">
        <f>ROUND(N$9*'B&amp;A kWh'!O12,2)</f>
        <v>1402.28</v>
      </c>
      <c r="O23" s="8">
        <f>ROUND(O$9*'B&amp;A kWh'!P12,2)</f>
        <v>1234.83</v>
      </c>
      <c r="P23" s="8">
        <f t="shared" ref="P23" si="0">SUM(D23:O23)</f>
        <v>13454.400000000001</v>
      </c>
    </row>
    <row r="24" spans="1:16" x14ac:dyDescent="0.25">
      <c r="A24" s="1"/>
    </row>
    <row r="25" spans="1:16" x14ac:dyDescent="0.25">
      <c r="A25" s="1" t="s">
        <v>19</v>
      </c>
      <c r="B25" s="8">
        <f>ROUND(B$9*'B&amp;A kWh'!C14,2)</f>
        <v>0</v>
      </c>
      <c r="C25" s="8">
        <f>ROUND(C$9*'B&amp;A kWh'!D14,2)</f>
        <v>0</v>
      </c>
      <c r="D25" s="8">
        <f>ROUND(D$9*'B&amp;A kWh'!E14,2)</f>
        <v>17.440000000000001</v>
      </c>
      <c r="E25" s="8">
        <f>ROUND(E$9*'B&amp;A kWh'!F14,2)</f>
        <v>15.45</v>
      </c>
      <c r="F25" s="8">
        <f>ROUND(F$9*'B&amp;A kWh'!G14,2)</f>
        <v>21.9</v>
      </c>
      <c r="G25" s="8">
        <f>ROUND(G$9*'B&amp;A kWh'!H14,2)</f>
        <v>25.42</v>
      </c>
      <c r="H25" s="8">
        <f>ROUND(H$9*'B&amp;A kWh'!I14,2)</f>
        <v>30.2</v>
      </c>
      <c r="I25" s="8">
        <f>ROUND(I$9*'B&amp;A kWh'!J14,2)</f>
        <v>45.67</v>
      </c>
      <c r="J25" s="8">
        <f>ROUND(J$9*'B&amp;A kWh'!K14,2)</f>
        <v>44.04</v>
      </c>
      <c r="K25" s="8">
        <f>ROUND(K$9*'B&amp;A kWh'!L14,2)</f>
        <v>25.82</v>
      </c>
      <c r="L25" s="8">
        <f>ROUND(L$9*'B&amp;A kWh'!M14,2)</f>
        <v>96.67</v>
      </c>
      <c r="M25" s="8">
        <f>ROUND(M$9*'B&amp;A kWh'!N14,2)</f>
        <v>103.12</v>
      </c>
      <c r="N25" s="8">
        <f>ROUND(N$9*'B&amp;A kWh'!O14,2)</f>
        <v>70.430000000000007</v>
      </c>
      <c r="O25" s="8">
        <f>ROUND(O$9*'B&amp;A kWh'!P14,2)</f>
        <v>58.29</v>
      </c>
      <c r="P25" s="8">
        <f t="shared" ref="P25" si="1">SUM(D25:O25)</f>
        <v>554.45000000000005</v>
      </c>
    </row>
    <row r="26" spans="1:16" x14ac:dyDescent="0.25">
      <c r="A26" s="1"/>
    </row>
    <row r="27" spans="1:16" x14ac:dyDescent="0.25">
      <c r="A27" s="23" t="s">
        <v>172</v>
      </c>
      <c r="D27" s="8">
        <f>ROUND(D$18*'B&amp;A kWh'!E16,2)</f>
        <v>0</v>
      </c>
      <c r="E27" s="8">
        <f>ROUND(E$18*'B&amp;A kWh'!F16,2)</f>
        <v>0</v>
      </c>
      <c r="F27" s="8">
        <f>ROUND(F$18*'B&amp;A kWh'!G16,2)</f>
        <v>0</v>
      </c>
      <c r="G27" s="8">
        <f>ROUND(G$18*'B&amp;A kWh'!H16,2)</f>
        <v>0</v>
      </c>
      <c r="H27" s="8">
        <f>ROUND(H$18*'B&amp;A kWh'!I16,2)</f>
        <v>0</v>
      </c>
      <c r="I27" s="8">
        <f>ROUND(I$18*'B&amp;A kWh'!J16,2)</f>
        <v>0</v>
      </c>
      <c r="J27" s="8">
        <f>ROUND(J$18*'B&amp;A kWh'!K16,2)</f>
        <v>0</v>
      </c>
      <c r="K27" s="8">
        <f>ROUND(K$18*'B&amp;A kWh'!L16,2)</f>
        <v>0</v>
      </c>
      <c r="L27" s="8">
        <f>ROUND(L$18*'B&amp;A kWh'!M16,2)</f>
        <v>0</v>
      </c>
      <c r="M27" s="8">
        <f>ROUND(M$18*'B&amp;A kWh'!N16,2)</f>
        <v>0</v>
      </c>
      <c r="N27" s="8">
        <f>ROUND(N$18*'B&amp;A kWh'!O16,2)</f>
        <v>0</v>
      </c>
      <c r="O27" s="8">
        <f>ROUND(O$18*'B&amp;A kWh'!P16,2)</f>
        <v>0</v>
      </c>
      <c r="P27" s="8">
        <f t="shared" ref="P27:P29" si="2">SUM(D27:O27)</f>
        <v>0</v>
      </c>
    </row>
    <row r="28" spans="1:16" x14ac:dyDescent="0.25">
      <c r="A28" s="23" t="s">
        <v>174</v>
      </c>
      <c r="D28" s="8">
        <f>D29-D27</f>
        <v>3981.86</v>
      </c>
      <c r="E28" s="8">
        <f t="shared" ref="E28:O28" si="3">E29-E27</f>
        <v>4033.41</v>
      </c>
      <c r="F28" s="8">
        <f t="shared" si="3"/>
        <v>3313.06</v>
      </c>
      <c r="G28" s="8">
        <f t="shared" si="3"/>
        <v>3536.46</v>
      </c>
      <c r="H28" s="8">
        <f t="shared" si="3"/>
        <v>4390.7</v>
      </c>
      <c r="I28" s="8">
        <f t="shared" si="3"/>
        <v>4638.92</v>
      </c>
      <c r="J28" s="8">
        <f t="shared" si="3"/>
        <v>6700.84</v>
      </c>
      <c r="K28" s="8">
        <f t="shared" si="3"/>
        <v>7259.54</v>
      </c>
      <c r="L28" s="8">
        <f t="shared" si="3"/>
        <v>5960.42</v>
      </c>
      <c r="M28" s="8">
        <f t="shared" si="3"/>
        <v>4638.71</v>
      </c>
      <c r="N28" s="8">
        <f t="shared" si="3"/>
        <v>4434.5600000000004</v>
      </c>
      <c r="O28" s="8">
        <f t="shared" si="3"/>
        <v>5751.44</v>
      </c>
      <c r="P28" s="8">
        <f t="shared" si="2"/>
        <v>58639.92</v>
      </c>
    </row>
    <row r="29" spans="1:16" x14ac:dyDescent="0.25">
      <c r="A29" s="1" t="s">
        <v>18</v>
      </c>
      <c r="B29" s="8">
        <f>ROUND(B$18*'B&amp;A kWh'!C18,2)</f>
        <v>0</v>
      </c>
      <c r="C29" s="8">
        <f>ROUND(C$18*'B&amp;A kWh'!D18,2)</f>
        <v>0</v>
      </c>
      <c r="D29" s="8">
        <f>ROUND(D$18*'B&amp;A kWh'!E18,2)</f>
        <v>3981.86</v>
      </c>
      <c r="E29" s="8">
        <f>ROUND(E$18*'B&amp;A kWh'!F18,2)</f>
        <v>4033.41</v>
      </c>
      <c r="F29" s="8">
        <f>ROUND(F$18*'B&amp;A kWh'!G18,2)</f>
        <v>3313.06</v>
      </c>
      <c r="G29" s="8">
        <f>ROUND(G$18*'B&amp;A kWh'!H18,2)</f>
        <v>3536.46</v>
      </c>
      <c r="H29" s="8">
        <f>ROUND(H$18*'B&amp;A kWh'!I18,2)</f>
        <v>4390.7</v>
      </c>
      <c r="I29" s="8">
        <f>ROUND(I$18*'B&amp;A kWh'!J18,2)</f>
        <v>4638.92</v>
      </c>
      <c r="J29" s="8">
        <f>ROUND(J$18*'B&amp;A kWh'!K18,2)</f>
        <v>6700.84</v>
      </c>
      <c r="K29" s="8">
        <f>ROUND(K$18*'B&amp;A kWh'!L18,2)</f>
        <v>7259.54</v>
      </c>
      <c r="L29" s="8">
        <f>ROUND(L$18*'B&amp;A kWh'!M18,2)</f>
        <v>5960.42</v>
      </c>
      <c r="M29" s="8">
        <f>ROUND(M$18*'B&amp;A kWh'!N18,2)</f>
        <v>4638.71</v>
      </c>
      <c r="N29" s="8">
        <f>ROUND(N$18*'B&amp;A kWh'!O18,2)</f>
        <v>4434.5600000000004</v>
      </c>
      <c r="O29" s="8">
        <f>ROUND(O$18*'B&amp;A kWh'!P18,2)</f>
        <v>5751.44</v>
      </c>
      <c r="P29" s="8">
        <f t="shared" si="2"/>
        <v>58639.92</v>
      </c>
    </row>
    <row r="30" spans="1:16" x14ac:dyDescent="0.25">
      <c r="A30" s="1"/>
    </row>
    <row r="31" spans="1:16" x14ac:dyDescent="0.25">
      <c r="A31" s="1" t="s">
        <v>17</v>
      </c>
      <c r="B31" s="8">
        <f>ROUND(B$10*'B&amp;A kWh'!C20,2)</f>
        <v>0</v>
      </c>
      <c r="C31" s="8">
        <f>ROUND(C$10*'B&amp;A kWh'!D20,2)</f>
        <v>0</v>
      </c>
      <c r="D31" s="8">
        <f>ROUND(D$10*'B&amp;A kWh'!E20,2)</f>
        <v>26557.759999999998</v>
      </c>
      <c r="E31" s="8">
        <f>ROUND(E$10*'B&amp;A kWh'!F20,2)</f>
        <v>27478.880000000001</v>
      </c>
      <c r="F31" s="8">
        <f>ROUND(F$10*'B&amp;A kWh'!G20,2)</f>
        <v>31723.19</v>
      </c>
      <c r="G31" s="8">
        <f>ROUND(G$10*'B&amp;A kWh'!H20,2)</f>
        <v>33424.68</v>
      </c>
      <c r="H31" s="8">
        <f>ROUND(H$10*'B&amp;A kWh'!I20,2)</f>
        <v>33334.21</v>
      </c>
      <c r="I31" s="8">
        <f>ROUND(I$10*'B&amp;A kWh'!J20,2)</f>
        <v>45968.56</v>
      </c>
      <c r="J31" s="8">
        <f>ROUND(J$10*'B&amp;A kWh'!K20,2)</f>
        <v>45219.519999999997</v>
      </c>
      <c r="K31" s="8">
        <f>ROUND(K$10*'B&amp;A kWh'!L20,2)</f>
        <v>49589.34</v>
      </c>
      <c r="L31" s="8">
        <f>ROUND(L$10*'B&amp;A kWh'!M20,2)</f>
        <v>64705.07</v>
      </c>
      <c r="M31" s="8">
        <f>ROUND(M$10*'B&amp;A kWh'!N20,2)</f>
        <v>63434.239999999998</v>
      </c>
      <c r="N31" s="8">
        <f>ROUND(N$10*'B&amp;A kWh'!O20,2)</f>
        <v>51887.56</v>
      </c>
      <c r="O31" s="8">
        <f>ROUND(O$10*'B&amp;A kWh'!P20,2)</f>
        <v>53196.35</v>
      </c>
      <c r="P31" s="8">
        <f t="shared" ref="P31" si="4">SUM(D31:O31)</f>
        <v>526519.36</v>
      </c>
    </row>
    <row r="32" spans="1:16" x14ac:dyDescent="0.25">
      <c r="A32" s="1"/>
    </row>
    <row r="33" spans="1:16" x14ac:dyDescent="0.25">
      <c r="A33" s="1" t="s">
        <v>16</v>
      </c>
      <c r="B33" s="8">
        <f>ROUND(B$10*'B&amp;A kWh'!C22,2)</f>
        <v>0</v>
      </c>
      <c r="C33" s="8">
        <f>ROUND(C$10*'B&amp;A kWh'!D22,2)</f>
        <v>0</v>
      </c>
      <c r="D33" s="8">
        <f>ROUND(D$10*'B&amp;A kWh'!E22,2)</f>
        <v>203.78</v>
      </c>
      <c r="E33" s="8">
        <f>ROUND(E$10*'B&amp;A kWh'!F22,2)</f>
        <v>205.45</v>
      </c>
      <c r="F33" s="8">
        <f>ROUND(F$10*'B&amp;A kWh'!G22,2)</f>
        <v>210.29</v>
      </c>
      <c r="G33" s="8">
        <f>ROUND(G$10*'B&amp;A kWh'!H22,2)</f>
        <v>189.2</v>
      </c>
      <c r="H33" s="8">
        <f>ROUND(H$10*'B&amp;A kWh'!I22,2)</f>
        <v>183.95</v>
      </c>
      <c r="I33" s="8">
        <f>ROUND(I$10*'B&amp;A kWh'!J22,2)</f>
        <v>314.04000000000002</v>
      </c>
      <c r="J33" s="8">
        <f>ROUND(J$10*'B&amp;A kWh'!K22,2)</f>
        <v>352.44</v>
      </c>
      <c r="K33" s="8">
        <f>ROUND(K$10*'B&amp;A kWh'!L22,2)</f>
        <v>358.91</v>
      </c>
      <c r="L33" s="8">
        <f>ROUND(L$10*'B&amp;A kWh'!M22,2)</f>
        <v>325.57</v>
      </c>
      <c r="M33" s="8">
        <f>ROUND(M$10*'B&amp;A kWh'!N22,2)</f>
        <v>307.52999999999997</v>
      </c>
      <c r="N33" s="8">
        <f>ROUND(N$10*'B&amp;A kWh'!O22,2)</f>
        <v>294.67</v>
      </c>
      <c r="O33" s="8">
        <f>ROUND(O$10*'B&amp;A kWh'!P22,2)</f>
        <v>341.91</v>
      </c>
      <c r="P33" s="8">
        <f t="shared" ref="P33" si="5">SUM(D33:O33)</f>
        <v>3287.74</v>
      </c>
    </row>
    <row r="34" spans="1:16" x14ac:dyDescent="0.25">
      <c r="A34" s="1"/>
    </row>
    <row r="35" spans="1:16" x14ac:dyDescent="0.25">
      <c r="A35" s="1" t="s">
        <v>15</v>
      </c>
      <c r="B35" s="8">
        <f>ROUND(B$10*'B&amp;A kWh'!C24,2)</f>
        <v>0</v>
      </c>
      <c r="C35" s="8">
        <f>ROUND(C$10*'B&amp;A kWh'!D24,2)</f>
        <v>0</v>
      </c>
      <c r="D35" s="8">
        <f>ROUND(D$10*'B&amp;A kWh'!E24,2)</f>
        <v>1801.69</v>
      </c>
      <c r="E35" s="8">
        <f>ROUND(E$10*'B&amp;A kWh'!F24,2)</f>
        <v>2082.09</v>
      </c>
      <c r="F35" s="8">
        <f>ROUND(F$10*'B&amp;A kWh'!G24,2)</f>
        <v>2137.5700000000002</v>
      </c>
      <c r="G35" s="8">
        <f>ROUND(G$10*'B&amp;A kWh'!H24,2)</f>
        <v>1759.08</v>
      </c>
      <c r="H35" s="8">
        <f>ROUND(H$10*'B&amp;A kWh'!I24,2)</f>
        <v>1880.66</v>
      </c>
      <c r="I35" s="8">
        <f>ROUND(I$10*'B&amp;A kWh'!J24,2)</f>
        <v>2749.48</v>
      </c>
      <c r="J35" s="8">
        <f>ROUND(J$10*'B&amp;A kWh'!K24,2)</f>
        <v>3091.65</v>
      </c>
      <c r="K35" s="8">
        <f>ROUND(K$10*'B&amp;A kWh'!L24,2)</f>
        <v>3145.45</v>
      </c>
      <c r="L35" s="8">
        <f>ROUND(L$10*'B&amp;A kWh'!M24,2)</f>
        <v>2820.18</v>
      </c>
      <c r="M35" s="8">
        <f>ROUND(M$10*'B&amp;A kWh'!N24,2)</f>
        <v>2459.08</v>
      </c>
      <c r="N35" s="8">
        <f>ROUND(N$10*'B&amp;A kWh'!O24,2)</f>
        <v>2386.39</v>
      </c>
      <c r="O35" s="8">
        <f>ROUND(O$10*'B&amp;A kWh'!P24,2)</f>
        <v>2959</v>
      </c>
      <c r="P35" s="8">
        <f t="shared" ref="P35" si="6">SUM(D35:O35)</f>
        <v>29272.32</v>
      </c>
    </row>
    <row r="36" spans="1:16" x14ac:dyDescent="0.25">
      <c r="A36" s="1"/>
    </row>
    <row r="37" spans="1:16" x14ac:dyDescent="0.25">
      <c r="A37" s="1" t="s">
        <v>14</v>
      </c>
      <c r="B37" s="8">
        <f>ROUND(B$10*'B&amp;A kWh'!C26,2)</f>
        <v>0</v>
      </c>
      <c r="C37" s="8">
        <f>ROUND(C$10*'B&amp;A kWh'!D26,2)</f>
        <v>0</v>
      </c>
      <c r="D37" s="8">
        <f>ROUND(D$10*'B&amp;A kWh'!E26,2)</f>
        <v>664.56</v>
      </c>
      <c r="E37" s="8">
        <f>ROUND(E$10*'B&amp;A kWh'!F26,2)</f>
        <v>748.88</v>
      </c>
      <c r="F37" s="8">
        <f>ROUND(F$10*'B&amp;A kWh'!G26,2)</f>
        <v>687.06</v>
      </c>
      <c r="G37" s="8">
        <f>ROUND(G$10*'B&amp;A kWh'!H26,2)</f>
        <v>645.58000000000004</v>
      </c>
      <c r="H37" s="8">
        <f>ROUND(H$10*'B&amp;A kWh'!I26,2)</f>
        <v>658.54</v>
      </c>
      <c r="I37" s="8">
        <f>ROUND(I$10*'B&amp;A kWh'!J26,2)</f>
        <v>996.34</v>
      </c>
      <c r="J37" s="8">
        <f>ROUND(J$10*'B&amp;A kWh'!K26,2)</f>
        <v>1243.9100000000001</v>
      </c>
      <c r="K37" s="8">
        <f>ROUND(K$10*'B&amp;A kWh'!L26,2)</f>
        <v>1283.1099999999999</v>
      </c>
      <c r="L37" s="8">
        <f>ROUND(L$10*'B&amp;A kWh'!M26,2)</f>
        <v>1391.39</v>
      </c>
      <c r="M37" s="8">
        <f>ROUND(M$10*'B&amp;A kWh'!N26,2)</f>
        <v>2080.31</v>
      </c>
      <c r="N37" s="8">
        <f>ROUND(N$10*'B&amp;A kWh'!O26,2)</f>
        <v>343.88</v>
      </c>
      <c r="O37" s="8">
        <f>ROUND(O$10*'B&amp;A kWh'!P26,2)</f>
        <v>1192.98</v>
      </c>
      <c r="P37" s="8">
        <f t="shared" ref="P37" si="7">SUM(D37:O37)</f>
        <v>11936.539999999997</v>
      </c>
    </row>
    <row r="38" spans="1:16" x14ac:dyDescent="0.25">
      <c r="A38" s="1"/>
    </row>
    <row r="39" spans="1:16" x14ac:dyDescent="0.25">
      <c r="A39" s="1" t="s">
        <v>13</v>
      </c>
      <c r="B39" s="8">
        <f>ROUND(B$12*'B&amp;A kWh'!C28,2)</f>
        <v>0</v>
      </c>
      <c r="C39" s="8">
        <f>ROUND(C$12*'B&amp;A kWh'!D28,2)</f>
        <v>0</v>
      </c>
      <c r="D39" s="8">
        <f>ROUND(D$12*'B&amp;A kWh'!E28,2)</f>
        <v>523.39</v>
      </c>
      <c r="E39" s="8">
        <f>ROUND(E$12*'B&amp;A kWh'!F28,2)</f>
        <v>383.26</v>
      </c>
      <c r="F39" s="8">
        <f>ROUND(F$12*'B&amp;A kWh'!G28,2)</f>
        <v>213.72</v>
      </c>
      <c r="G39" s="8">
        <f>ROUND(G$12*'B&amp;A kWh'!H28,2)</f>
        <v>179.2</v>
      </c>
      <c r="H39" s="8">
        <f>ROUND(H$12*'B&amp;A kWh'!I28,2)</f>
        <v>238.81</v>
      </c>
      <c r="I39" s="8">
        <f>ROUND(I$12*'B&amp;A kWh'!J28,2)</f>
        <v>426.45</v>
      </c>
      <c r="J39" s="8">
        <f>ROUND(J$12*'B&amp;A kWh'!K28,2)</f>
        <v>628.24</v>
      </c>
      <c r="K39" s="8">
        <f>ROUND(K$12*'B&amp;A kWh'!L28,2)</f>
        <v>602.77</v>
      </c>
      <c r="L39" s="8">
        <f>ROUND(L$12*'B&amp;A kWh'!M28,2)</f>
        <v>540.94000000000005</v>
      </c>
      <c r="M39" s="8">
        <f>ROUND(M$12*'B&amp;A kWh'!N28,2)</f>
        <v>514.97</v>
      </c>
      <c r="N39" s="8">
        <f>ROUND(N$12*'B&amp;A kWh'!O28,2)</f>
        <v>535.77</v>
      </c>
      <c r="O39" s="8">
        <f>ROUND(O$12*'B&amp;A kWh'!P28,2)</f>
        <v>779.36</v>
      </c>
      <c r="P39" s="8">
        <f t="shared" ref="P39" si="8">SUM(D39:O39)</f>
        <v>5566.88</v>
      </c>
    </row>
    <row r="40" spans="1:16" x14ac:dyDescent="0.25">
      <c r="A40" s="1"/>
    </row>
    <row r="41" spans="1:16" x14ac:dyDescent="0.25">
      <c r="A41" s="1" t="s">
        <v>12</v>
      </c>
      <c r="B41" s="8">
        <f>ROUND(B$12*'B&amp;A kWh'!C30,2)</f>
        <v>0</v>
      </c>
      <c r="C41" s="8">
        <f>ROUND(C$11*'B&amp;A kWh'!D30,2)</f>
        <v>0</v>
      </c>
      <c r="D41" s="8">
        <f>ROUND(D$11*'B&amp;A kWh'!E30,2)</f>
        <v>43133.440000000002</v>
      </c>
      <c r="E41" s="8">
        <f>ROUND(E$11*'B&amp;A kWh'!F30,2)</f>
        <v>48636.27</v>
      </c>
      <c r="F41" s="8">
        <f>ROUND(F$11*'B&amp;A kWh'!G30,2)</f>
        <v>57718.23</v>
      </c>
      <c r="G41" s="8">
        <f>ROUND(G$11*'B&amp;A kWh'!H30,2)</f>
        <v>57351.82</v>
      </c>
      <c r="H41" s="8">
        <f>ROUND(H$11*'B&amp;A kWh'!I30,2)</f>
        <v>59035.02</v>
      </c>
      <c r="I41" s="8">
        <f>ROUND(I$11*'B&amp;A kWh'!J30,2)</f>
        <v>49619.57</v>
      </c>
      <c r="J41" s="8">
        <f>ROUND(J$11*'B&amp;A kWh'!K30,2)</f>
        <v>48389.11</v>
      </c>
      <c r="K41" s="8">
        <f>ROUND(K$11*'B&amp;A kWh'!L30,2)</f>
        <v>48264.800000000003</v>
      </c>
      <c r="L41" s="8">
        <f>ROUND(L$11*'B&amp;A kWh'!M30,2)</f>
        <v>57490.46</v>
      </c>
      <c r="M41" s="8">
        <f>ROUND(M$11*'B&amp;A kWh'!N30,2)</f>
        <v>53524.38</v>
      </c>
      <c r="N41" s="8">
        <f>ROUND(N$11*'B&amp;A kWh'!O30,2)</f>
        <v>47921.74</v>
      </c>
      <c r="O41" s="8">
        <f>ROUND(O$11*'B&amp;A kWh'!P30,2)</f>
        <v>50433.13</v>
      </c>
      <c r="P41" s="8">
        <f t="shared" ref="P41" si="9">SUM(D41:O41)</f>
        <v>621517.97000000009</v>
      </c>
    </row>
    <row r="42" spans="1:16" x14ac:dyDescent="0.25">
      <c r="A42" s="1"/>
    </row>
    <row r="43" spans="1:16" x14ac:dyDescent="0.25">
      <c r="A43" s="1" t="s">
        <v>11</v>
      </c>
      <c r="B43" s="8">
        <f>ROUND(B$12*'B&amp;A kWh'!C32,2)</f>
        <v>0</v>
      </c>
      <c r="C43" s="8">
        <f>ROUND(C$12*'B&amp;A kWh'!D32,2)</f>
        <v>0</v>
      </c>
      <c r="D43" s="8">
        <f>ROUND(D$12*'B&amp;A kWh'!E32,2)</f>
        <v>155.08000000000001</v>
      </c>
      <c r="E43" s="8">
        <f>ROUND(E$12*'B&amp;A kWh'!F32,2)</f>
        <v>86.33</v>
      </c>
      <c r="F43" s="8">
        <f>ROUND(F$12*'B&amp;A kWh'!G32,2)</f>
        <v>145.63</v>
      </c>
      <c r="G43" s="8">
        <f>ROUND(G$12*'B&amp;A kWh'!H32,2)</f>
        <v>185.65</v>
      </c>
      <c r="H43" s="8">
        <f>ROUND(H$12*'B&amp;A kWh'!I32,2)</f>
        <v>172.87</v>
      </c>
      <c r="I43" s="8">
        <f>ROUND(I$12*'B&amp;A kWh'!J32,2)</f>
        <v>277.69</v>
      </c>
      <c r="J43" s="8">
        <f>ROUND(J$12*'B&amp;A kWh'!K32,2)</f>
        <v>108.47</v>
      </c>
      <c r="K43" s="8">
        <f>ROUND(K$12*'B&amp;A kWh'!L32,2)</f>
        <v>310.48</v>
      </c>
      <c r="L43" s="8">
        <f>ROUND(L$12*'B&amp;A kWh'!M32,2)</f>
        <v>541.98</v>
      </c>
      <c r="M43" s="8">
        <f>ROUND(M$12*'B&amp;A kWh'!N32,2)</f>
        <v>563.54999999999995</v>
      </c>
      <c r="N43" s="8">
        <f>ROUND(N$12*'B&amp;A kWh'!O32,2)</f>
        <v>351.29</v>
      </c>
      <c r="O43" s="8">
        <f>ROUND(O$12*'B&amp;A kWh'!P32,2)</f>
        <v>277.37</v>
      </c>
      <c r="P43" s="8">
        <f t="shared" ref="P43" si="10">SUM(D43:O43)</f>
        <v>3176.39</v>
      </c>
    </row>
    <row r="44" spans="1:16" x14ac:dyDescent="0.25">
      <c r="A44" s="1"/>
    </row>
    <row r="45" spans="1:16" x14ac:dyDescent="0.25">
      <c r="A45" s="1" t="s">
        <v>10</v>
      </c>
      <c r="B45" s="8">
        <f>ROUND(B$12*'B&amp;A kWh'!C34,2)</f>
        <v>0</v>
      </c>
      <c r="C45" s="8">
        <f>ROUND(C$12*'B&amp;A kWh'!D34,2)</f>
        <v>0</v>
      </c>
      <c r="D45" s="8">
        <f>ROUND(D$12*'B&amp;A kWh'!E34,2)</f>
        <v>1659.56</v>
      </c>
      <c r="E45" s="8">
        <f>ROUND(E$12*'B&amp;A kWh'!F34,2)</f>
        <v>1886.5</v>
      </c>
      <c r="F45" s="8">
        <f>ROUND(F$12*'B&amp;A kWh'!G34,2)</f>
        <v>2067.6799999999998</v>
      </c>
      <c r="G45" s="8">
        <f>ROUND(G$12*'B&amp;A kWh'!H34,2)</f>
        <v>2046.02</v>
      </c>
      <c r="H45" s="8">
        <f>ROUND(H$12*'B&amp;A kWh'!I34,2)</f>
        <v>1968.92</v>
      </c>
      <c r="I45" s="8">
        <f>ROUND(I$12*'B&amp;A kWh'!J34,2)</f>
        <v>3099.08</v>
      </c>
      <c r="J45" s="8">
        <f>ROUND(J$12*'B&amp;A kWh'!K34,2)</f>
        <v>3169.23</v>
      </c>
      <c r="K45" s="8">
        <f>ROUND(K$12*'B&amp;A kWh'!L34,2)</f>
        <v>3401.4</v>
      </c>
      <c r="L45" s="8">
        <f>ROUND(L$12*'B&amp;A kWh'!M34,2)</f>
        <v>3772.59</v>
      </c>
      <c r="M45" s="8">
        <f>ROUND(M$12*'B&amp;A kWh'!N34,2)</f>
        <v>3732.8</v>
      </c>
      <c r="N45" s="8">
        <f>ROUND(N$12*'B&amp;A kWh'!O34,2)</f>
        <v>2785.98</v>
      </c>
      <c r="O45" s="8">
        <f>ROUND(O$12*'B&amp;A kWh'!P34,2)</f>
        <v>3271.78</v>
      </c>
      <c r="P45" s="8">
        <f t="shared" ref="P45" si="11">SUM(D45:O45)</f>
        <v>32861.54</v>
      </c>
    </row>
    <row r="46" spans="1:16" x14ac:dyDescent="0.25">
      <c r="A46" s="1"/>
    </row>
    <row r="47" spans="1:16" x14ac:dyDescent="0.25">
      <c r="A47" s="1" t="s">
        <v>9</v>
      </c>
      <c r="B47" s="8">
        <f>ROUND(B$11*'B&amp;A kWh'!C36,2)</f>
        <v>0</v>
      </c>
      <c r="C47" s="8">
        <f>ROUND(C$11*'B&amp;A kWh'!D36,2)</f>
        <v>0</v>
      </c>
      <c r="D47" s="8">
        <f>ROUND(D$11*'B&amp;A kWh'!E36,2)</f>
        <v>1013.08</v>
      </c>
      <c r="E47" s="8">
        <f>ROUND(E$11*'B&amp;A kWh'!F36,2)</f>
        <v>1065.6400000000001</v>
      </c>
      <c r="F47" s="8">
        <f>ROUND(F$11*'B&amp;A kWh'!G36,2)</f>
        <v>930.97</v>
      </c>
      <c r="G47" s="8">
        <f>ROUND(G$11*'B&amp;A kWh'!H36,2)</f>
        <v>678.66</v>
      </c>
      <c r="H47" s="8">
        <f>ROUND(H$11*'B&amp;A kWh'!I36,2)</f>
        <v>763.5</v>
      </c>
      <c r="I47" s="8">
        <f>ROUND(I$11*'B&amp;A kWh'!J36,2)</f>
        <v>685.06</v>
      </c>
      <c r="J47" s="8">
        <f>ROUND(J$11*'B&amp;A kWh'!K36,2)</f>
        <v>1056.3</v>
      </c>
      <c r="K47" s="8">
        <f>ROUND(K$11*'B&amp;A kWh'!L36,2)</f>
        <v>1236.23</v>
      </c>
      <c r="L47" s="8">
        <f>ROUND(L$11*'B&amp;A kWh'!M36,2)</f>
        <v>1219.3599999999999</v>
      </c>
      <c r="M47" s="8">
        <f>ROUND(M$11*'B&amp;A kWh'!N36,2)</f>
        <v>949.06</v>
      </c>
      <c r="N47" s="8">
        <f>ROUND(N$11*'B&amp;A kWh'!O36,2)</f>
        <v>1143.47</v>
      </c>
      <c r="O47" s="8">
        <f>ROUND(O$11*'B&amp;A kWh'!P36,2)</f>
        <v>802.31</v>
      </c>
      <c r="P47" s="8">
        <f t="shared" ref="P47" si="12">SUM(D47:O47)</f>
        <v>11543.64</v>
      </c>
    </row>
    <row r="48" spans="1:16" x14ac:dyDescent="0.25">
      <c r="A48" s="1"/>
    </row>
    <row r="49" spans="1:16" x14ac:dyDescent="0.25">
      <c r="A49" s="1" t="s">
        <v>8</v>
      </c>
      <c r="B49" s="8">
        <f>ROUND(B$11*'B&amp;A kWh'!C38,2)</f>
        <v>0</v>
      </c>
      <c r="C49" s="8">
        <f>ROUND(C$11*'B&amp;A kWh'!D38,2)</f>
        <v>0</v>
      </c>
      <c r="D49" s="8">
        <f>ROUND(D$11*'B&amp;A kWh'!E38,2)</f>
        <v>82.43</v>
      </c>
      <c r="E49" s="8">
        <f>ROUND(E$11*'B&amp;A kWh'!F38,2)</f>
        <v>55.26</v>
      </c>
      <c r="F49" s="8">
        <f>ROUND(F$11*'B&amp;A kWh'!G38,2)</f>
        <v>80.650000000000006</v>
      </c>
      <c r="G49" s="8">
        <f>ROUND(G$11*'B&amp;A kWh'!H38,2)</f>
        <v>18.45</v>
      </c>
      <c r="H49" s="8">
        <f>ROUND(H$11*'B&amp;A kWh'!I38,2)</f>
        <v>43.3</v>
      </c>
      <c r="I49" s="8">
        <f>ROUND(I$11*'B&amp;A kWh'!J38,2)</f>
        <v>62.64</v>
      </c>
      <c r="J49" s="8">
        <f>ROUND(J$11*'B&amp;A kWh'!K38,2)</f>
        <v>19.87</v>
      </c>
      <c r="K49" s="8">
        <f>ROUND(K$11*'B&amp;A kWh'!L38,2)</f>
        <v>45.77</v>
      </c>
      <c r="L49" s="8">
        <f>ROUND(L$11*'B&amp;A kWh'!M38,2)</f>
        <v>72.84</v>
      </c>
      <c r="M49" s="8">
        <f>ROUND(M$11*'B&amp;A kWh'!N38,2)</f>
        <v>44.5</v>
      </c>
      <c r="N49" s="8">
        <f>ROUND(N$11*'B&amp;A kWh'!O38,2)</f>
        <v>18.2</v>
      </c>
      <c r="O49" s="8">
        <f>ROUND(O$11*'B&amp;A kWh'!P38,2)</f>
        <v>39.479999999999997</v>
      </c>
      <c r="P49" s="8">
        <f t="shared" ref="P49" si="13">SUM(D49:O49)</f>
        <v>583.39</v>
      </c>
    </row>
    <row r="50" spans="1:16" x14ac:dyDescent="0.25">
      <c r="A50" s="1"/>
    </row>
    <row r="51" spans="1:16" x14ac:dyDescent="0.25">
      <c r="A51" s="1" t="s">
        <v>7</v>
      </c>
      <c r="B51" s="8">
        <f>ROUND(B$13*'B&amp;A kWh'!C40,2)</f>
        <v>0</v>
      </c>
      <c r="C51" s="8">
        <f>ROUND(C$13*'B&amp;A kWh'!D40,2)</f>
        <v>0</v>
      </c>
      <c r="D51" s="8">
        <f>ROUND(D$13*'B&amp;A kWh'!E40,2)</f>
        <v>30533.93</v>
      </c>
      <c r="E51" s="8">
        <f>ROUND(E$13*'B&amp;A kWh'!F40,2)</f>
        <v>35487.83</v>
      </c>
      <c r="F51" s="8">
        <f>ROUND(F$13*'B&amp;A kWh'!G40,2)</f>
        <v>37345.53</v>
      </c>
      <c r="G51" s="8">
        <f>ROUND(G$13*'B&amp;A kWh'!H40,2)</f>
        <v>35422.160000000003</v>
      </c>
      <c r="H51" s="8">
        <f>ROUND(H$13*'B&amp;A kWh'!I40,2)</f>
        <v>36859.760000000002</v>
      </c>
      <c r="I51" s="8">
        <f>ROUND(I$13*'B&amp;A kWh'!J40,2)</f>
        <v>32888.36</v>
      </c>
      <c r="J51" s="8">
        <f>ROUND(J$13*'B&amp;A kWh'!K40,2)</f>
        <v>35954.61</v>
      </c>
      <c r="K51" s="8">
        <f>ROUND(K$13*'B&amp;A kWh'!L40,2)</f>
        <v>36431.980000000003</v>
      </c>
      <c r="L51" s="8">
        <f>ROUND(L$13*'B&amp;A kWh'!M40,2)</f>
        <v>36067.15</v>
      </c>
      <c r="M51" s="8">
        <f>ROUND(M$13*'B&amp;A kWh'!N40,2)</f>
        <v>32100.94</v>
      </c>
      <c r="N51" s="8">
        <f>ROUND(N$13*'B&amp;A kWh'!O40,2)</f>
        <v>31624.04</v>
      </c>
      <c r="O51" s="8">
        <f>ROUND(O$13*'B&amp;A kWh'!P40,2)</f>
        <v>35553.199999999997</v>
      </c>
      <c r="P51" s="8">
        <f t="shared" ref="P51" si="14">SUM(D51:O51)</f>
        <v>416269.49</v>
      </c>
    </row>
    <row r="52" spans="1:16" x14ac:dyDescent="0.25">
      <c r="A52" s="1"/>
    </row>
    <row r="53" spans="1:16" x14ac:dyDescent="0.25">
      <c r="A53" s="1" t="s">
        <v>6</v>
      </c>
      <c r="B53" s="8">
        <f>ROUND(B$15*'B&amp;A kWh'!C42,2)</f>
        <v>0</v>
      </c>
      <c r="C53" s="8">
        <f>ROUND(C$15*'B&amp;A kWh'!D42,2)</f>
        <v>0</v>
      </c>
      <c r="D53" s="8">
        <f>ROUND(D$15*'B&amp;A kWh'!E42,2)</f>
        <v>195.98</v>
      </c>
      <c r="E53" s="8">
        <f>ROUND(E$15*'B&amp;A kWh'!F42,2)</f>
        <v>398.98</v>
      </c>
      <c r="F53" s="8">
        <f>ROUND(F$15*'B&amp;A kWh'!G42,2)</f>
        <v>224.2</v>
      </c>
      <c r="G53" s="8">
        <f>ROUND(G$15*'B&amp;A kWh'!H42,2)</f>
        <v>443.62</v>
      </c>
      <c r="H53" s="8">
        <f>ROUND(H$15*'B&amp;A kWh'!I42,2)</f>
        <v>414.34</v>
      </c>
      <c r="I53" s="8">
        <f>ROUND(I$15*'B&amp;A kWh'!J42,2)</f>
        <v>753.84</v>
      </c>
      <c r="J53" s="8">
        <f>ROUND(J$15*'B&amp;A kWh'!K42,2)</f>
        <v>1129.3499999999999</v>
      </c>
      <c r="K53" s="8">
        <f>ROUND(K$15*'B&amp;A kWh'!L42,2)</f>
        <v>1196.5999999999999</v>
      </c>
      <c r="L53" s="8">
        <f>ROUND(L$15*'B&amp;A kWh'!M42,2)</f>
        <v>1062.26</v>
      </c>
      <c r="M53" s="8">
        <f>ROUND(M$15*'B&amp;A kWh'!N42,2)</f>
        <v>583.13</v>
      </c>
      <c r="N53" s="8">
        <f>ROUND(N$15*'B&amp;A kWh'!O42,2)</f>
        <v>110.11</v>
      </c>
      <c r="O53" s="8">
        <f>ROUND(O$15*'B&amp;A kWh'!P42,2)</f>
        <v>340.86</v>
      </c>
      <c r="P53" s="8">
        <f t="shared" ref="P53" si="15">SUM(D53:O53)</f>
        <v>6853.2699999999995</v>
      </c>
    </row>
    <row r="54" spans="1:16" x14ac:dyDescent="0.25">
      <c r="A54" s="1"/>
    </row>
    <row r="55" spans="1:16" x14ac:dyDescent="0.25">
      <c r="A55" s="18" t="s">
        <v>118</v>
      </c>
      <c r="B55" s="8">
        <f>ROUND(B$13*'B&amp;A kWh'!C44,2)</f>
        <v>0</v>
      </c>
      <c r="C55" s="8">
        <f>ROUND(C$13*'B&amp;A kWh'!D44,2)</f>
        <v>0</v>
      </c>
      <c r="D55" s="8">
        <f>ROUND(D$13*'B&amp;A kWh'!E44,2)</f>
        <v>316.23</v>
      </c>
      <c r="E55" s="8">
        <f>ROUND(E$13*'B&amp;A kWh'!F44,2)</f>
        <v>863.1</v>
      </c>
      <c r="F55" s="8">
        <f>ROUND(F$13*'B&amp;A kWh'!G44,2)</f>
        <v>593.23</v>
      </c>
      <c r="G55" s="8">
        <f>ROUND(G$13*'B&amp;A kWh'!H44,2)</f>
        <v>528.87</v>
      </c>
      <c r="H55" s="8">
        <f>ROUND(H$13*'B&amp;A kWh'!I44,2)</f>
        <v>567.95000000000005</v>
      </c>
      <c r="I55" s="8">
        <f>ROUND(I$13*'B&amp;A kWh'!J44,2)</f>
        <v>575.57000000000005</v>
      </c>
      <c r="J55" s="8">
        <f>ROUND(J$13*'B&amp;A kWh'!K44,2)</f>
        <v>632.75</v>
      </c>
      <c r="K55" s="8">
        <f>ROUND(K$13*'B&amp;A kWh'!L44,2)</f>
        <v>651.48</v>
      </c>
      <c r="L55" s="8">
        <f>ROUND(L$13*'B&amp;A kWh'!M44,2)</f>
        <v>607.62</v>
      </c>
      <c r="M55" s="8">
        <f>ROUND(M$13*'B&amp;A kWh'!N44,2)</f>
        <v>534.94000000000005</v>
      </c>
      <c r="N55" s="8">
        <f>ROUND(N$13*'B&amp;A kWh'!O44,2)</f>
        <v>533.71</v>
      </c>
      <c r="O55" s="8">
        <f>ROUND(O$13*'B&amp;A kWh'!P44,2)</f>
        <v>681.79</v>
      </c>
      <c r="P55" s="8">
        <f t="shared" ref="P55" si="16">SUM(D55:O55)</f>
        <v>7087.24</v>
      </c>
    </row>
    <row r="56" spans="1:16" x14ac:dyDescent="0.25">
      <c r="A56" s="1"/>
    </row>
    <row r="57" spans="1:16" x14ac:dyDescent="0.25">
      <c r="A57" s="1" t="s">
        <v>5</v>
      </c>
      <c r="B57" s="8">
        <f>ROUND(B$13*'B&amp;A kWh'!C48,2)</f>
        <v>0</v>
      </c>
      <c r="C57" s="8">
        <f>ROUND(C$13*'B&amp;A kWh'!D48,2)</f>
        <v>0</v>
      </c>
      <c r="D57" s="8">
        <f>ROUND(D$13*'B&amp;A kWh'!E48,2)</f>
        <v>8265.6200000000008</v>
      </c>
      <c r="E57" s="8">
        <f>ROUND(E$13*'B&amp;A kWh'!F48,2)</f>
        <v>10229.34</v>
      </c>
      <c r="F57" s="8">
        <f>ROUND(F$13*'B&amp;A kWh'!G48,2)</f>
        <v>8751.4500000000007</v>
      </c>
      <c r="G57" s="8">
        <f>ROUND(G$13*'B&amp;A kWh'!H48,2)</f>
        <v>8447.5300000000007</v>
      </c>
      <c r="H57" s="8">
        <f>ROUND(H$13*'B&amp;A kWh'!I48,2)</f>
        <v>9237.86</v>
      </c>
      <c r="I57" s="8">
        <f>ROUND(I$13*'B&amp;A kWh'!J48,2)</f>
        <v>8766.36</v>
      </c>
      <c r="J57" s="8">
        <f>ROUND(J$13*'B&amp;A kWh'!K48,2)</f>
        <v>9840.15</v>
      </c>
      <c r="K57" s="8">
        <f>ROUND(K$13*'B&amp;A kWh'!L48,2)</f>
        <v>10387.969999999999</v>
      </c>
      <c r="L57" s="8">
        <f>ROUND(L$13*'B&amp;A kWh'!M48,2)</f>
        <v>10446.19</v>
      </c>
      <c r="M57" s="8">
        <f>ROUND(M$13*'B&amp;A kWh'!N48,2)</f>
        <v>9448.99</v>
      </c>
      <c r="N57" s="8">
        <f>ROUND(N$13*'B&amp;A kWh'!O48,2)</f>
        <v>10192.06</v>
      </c>
      <c r="O57" s="8">
        <f>ROUND(O$13*'B&amp;A kWh'!P48,2)</f>
        <v>11100.36</v>
      </c>
      <c r="P57" s="8">
        <f t="shared" ref="P57" si="17">SUM(D57:O57)</f>
        <v>115113.88</v>
      </c>
    </row>
    <row r="58" spans="1:16" x14ac:dyDescent="0.25">
      <c r="A58" s="1"/>
    </row>
    <row r="59" spans="1:16" x14ac:dyDescent="0.25">
      <c r="A59" s="1" t="s">
        <v>4</v>
      </c>
      <c r="B59" s="8">
        <f>ROUND(B$13*'B&amp;A kWh'!C50,2)</f>
        <v>0</v>
      </c>
      <c r="C59" s="8">
        <f>ROUND(C$13*'B&amp;A kWh'!D50,2)</f>
        <v>0</v>
      </c>
      <c r="D59" s="8">
        <f>ROUND(D$13*'B&amp;A kWh'!E50,2)</f>
        <v>1038.4000000000001</v>
      </c>
      <c r="E59" s="8">
        <f>ROUND(E$13*'B&amp;A kWh'!F50,2)</f>
        <v>1934.61</v>
      </c>
      <c r="F59" s="8">
        <f>ROUND(F$13*'B&amp;A kWh'!G50,2)</f>
        <v>3999.05</v>
      </c>
      <c r="G59" s="8">
        <f>ROUND(G$13*'B&amp;A kWh'!H50,2)</f>
        <v>79.44</v>
      </c>
      <c r="H59" s="8">
        <f>ROUND(H$13*'B&amp;A kWh'!I50,2)</f>
        <v>1631.55</v>
      </c>
      <c r="I59" s="8">
        <f>ROUND(I$13*'B&amp;A kWh'!J50,2)</f>
        <v>1473.86</v>
      </c>
      <c r="J59" s="8">
        <f>ROUND(J$13*'B&amp;A kWh'!K50,2)</f>
        <v>1319.46</v>
      </c>
      <c r="K59" s="8">
        <f>ROUND(K$13*'B&amp;A kWh'!L50,2)</f>
        <v>1505.08</v>
      </c>
      <c r="L59" s="8">
        <f>ROUND(L$13*'B&amp;A kWh'!M50,2)</f>
        <v>1244.81</v>
      </c>
      <c r="M59" s="8">
        <f>ROUND(M$13*'B&amp;A kWh'!N50,2)</f>
        <v>1207.6600000000001</v>
      </c>
      <c r="N59" s="8">
        <f>ROUND(N$13*'B&amp;A kWh'!O50,2)</f>
        <v>1268.03</v>
      </c>
      <c r="O59" s="8">
        <f>ROUND(O$13*'B&amp;A kWh'!P50,2)</f>
        <v>1537.16</v>
      </c>
      <c r="P59" s="8">
        <f t="shared" ref="P59" si="18">SUM(D59:O59)</f>
        <v>18239.109999999997</v>
      </c>
    </row>
    <row r="60" spans="1:16" x14ac:dyDescent="0.25">
      <c r="A60" s="1"/>
    </row>
    <row r="61" spans="1:16" x14ac:dyDescent="0.25">
      <c r="A61" s="1" t="s">
        <v>3</v>
      </c>
      <c r="B61" s="8">
        <f>ROUND(B$13*'B&amp;A kWh'!C52,2)</f>
        <v>0</v>
      </c>
      <c r="C61" s="8">
        <f>ROUND(C$13*'B&amp;A kWh'!D52,2)</f>
        <v>0</v>
      </c>
      <c r="D61" s="8">
        <f>ROUND(D$13*'B&amp;A kWh'!E52,2)</f>
        <v>0</v>
      </c>
      <c r="E61" s="8">
        <f>ROUND(E$13*'B&amp;A kWh'!F52,2)</f>
        <v>0</v>
      </c>
      <c r="F61" s="8">
        <f>ROUND(F$13*'B&amp;A kWh'!G52,2)</f>
        <v>0</v>
      </c>
      <c r="G61" s="8">
        <f>ROUND(G$13*'B&amp;A kWh'!H52,2)</f>
        <v>0</v>
      </c>
      <c r="H61" s="8">
        <f>ROUND(H$13*'B&amp;A kWh'!I52,2)</f>
        <v>0</v>
      </c>
      <c r="I61" s="8">
        <f>ROUND(I$13*'B&amp;A kWh'!J52,2)</f>
        <v>0</v>
      </c>
      <c r="J61" s="8">
        <f>ROUND(J$13*'B&amp;A kWh'!K52,2)</f>
        <v>0</v>
      </c>
      <c r="K61" s="8">
        <f>ROUND(K$13*'B&amp;A kWh'!L52,2)</f>
        <v>0</v>
      </c>
      <c r="L61" s="8">
        <f>ROUND(L$13*'B&amp;A kWh'!M52,2)</f>
        <v>0</v>
      </c>
      <c r="M61" s="8">
        <f>ROUND(M$13*'B&amp;A kWh'!N52,2)</f>
        <v>0</v>
      </c>
      <c r="N61" s="8">
        <f>ROUND(N$13*'B&amp;A kWh'!O52,2)</f>
        <v>0</v>
      </c>
      <c r="O61" s="8">
        <f>ROUND(O$13*'B&amp;A kWh'!P52,2)</f>
        <v>0</v>
      </c>
      <c r="P61" s="8">
        <f t="shared" ref="P61" si="19">SUM(D61:O61)</f>
        <v>0</v>
      </c>
    </row>
    <row r="62" spans="1:16" x14ac:dyDescent="0.25">
      <c r="A62" s="1"/>
    </row>
    <row r="63" spans="1:16" x14ac:dyDescent="0.25">
      <c r="A63" s="18" t="s">
        <v>119</v>
      </c>
      <c r="B63" s="8">
        <f>ROUND(B$14*'B&amp;A kWh'!C54,2)</f>
        <v>0</v>
      </c>
      <c r="C63" s="8">
        <f>ROUND(C$14*'B&amp;A kWh'!D54,2)</f>
        <v>0</v>
      </c>
      <c r="D63" s="8">
        <f>ROUND(D$14*'B&amp;A kWh'!E54,2)</f>
        <v>8783.7099999999991</v>
      </c>
      <c r="E63" s="8">
        <f>ROUND(E$14*'B&amp;A kWh'!F54,2)</f>
        <v>10355.459999999999</v>
      </c>
      <c r="F63" s="8">
        <f>ROUND(F$14*'B&amp;A kWh'!G54,2)</f>
        <v>10538.67</v>
      </c>
      <c r="G63" s="8">
        <f>ROUND(G$14*'B&amp;A kWh'!H54,2)</f>
        <v>8127.65</v>
      </c>
      <c r="H63" s="8">
        <f>ROUND(H$14*'B&amp;A kWh'!I54,2)</f>
        <v>9924.76</v>
      </c>
      <c r="I63" s="8">
        <f>ROUND(I$14*'B&amp;A kWh'!J54,2)</f>
        <v>10877.88</v>
      </c>
      <c r="J63" s="8">
        <f>ROUND(J$14*'B&amp;A kWh'!K54,2)</f>
        <v>10649.68</v>
      </c>
      <c r="K63" s="8">
        <f>ROUND(K$14*'B&amp;A kWh'!L54,2)</f>
        <v>9539.27</v>
      </c>
      <c r="L63" s="8">
        <f>ROUND(L$14*'B&amp;A kWh'!M54,2)</f>
        <v>11032.42</v>
      </c>
      <c r="M63" s="8">
        <f>ROUND(M$14*'B&amp;A kWh'!N54,2)</f>
        <v>9784.74</v>
      </c>
      <c r="N63" s="8">
        <f>ROUND(N$14*'B&amp;A kWh'!O54,2)</f>
        <v>9492.31</v>
      </c>
      <c r="O63" s="8">
        <f>ROUND(O$14*'B&amp;A kWh'!P54,2)</f>
        <v>10490.38</v>
      </c>
      <c r="P63" s="8">
        <f t="shared" ref="P63" si="20">SUM(D63:O63)</f>
        <v>119596.93000000001</v>
      </c>
    </row>
    <row r="64" spans="1:16" x14ac:dyDescent="0.25">
      <c r="A64" s="1"/>
    </row>
    <row r="65" spans="1:16" x14ac:dyDescent="0.25">
      <c r="A65" s="18" t="s">
        <v>120</v>
      </c>
      <c r="B65" s="8">
        <f>ROUND(B$14*'B&amp;A kWh'!C56,2)</f>
        <v>0</v>
      </c>
      <c r="C65" s="8">
        <f>ROUND(C$14*'B&amp;A kWh'!D56,2)</f>
        <v>0</v>
      </c>
      <c r="D65" s="8">
        <f>ROUND(D$14*'B&amp;A kWh'!E56,2)</f>
        <v>149.86000000000001</v>
      </c>
      <c r="E65" s="8">
        <f>ROUND(E$14*'B&amp;A kWh'!F56,2)</f>
        <v>159.86000000000001</v>
      </c>
      <c r="F65" s="8">
        <f>ROUND(F$14*'B&amp;A kWh'!G56,2)</f>
        <v>185.62</v>
      </c>
      <c r="G65" s="8">
        <f>ROUND(G$14*'B&amp;A kWh'!H56,2)</f>
        <v>150.68</v>
      </c>
      <c r="H65" s="8">
        <f>ROUND(H$14*'B&amp;A kWh'!I56,2)</f>
        <v>168.21</v>
      </c>
      <c r="I65" s="8">
        <f>ROUND(I$14*'B&amp;A kWh'!J56,2)</f>
        <v>184.86</v>
      </c>
      <c r="J65" s="8">
        <f>ROUND(J$14*'B&amp;A kWh'!K56,2)</f>
        <v>190.76</v>
      </c>
      <c r="K65" s="8">
        <f>ROUND(K$14*'B&amp;A kWh'!L56,2)</f>
        <v>201.91</v>
      </c>
      <c r="L65" s="8">
        <f>ROUND(L$14*'B&amp;A kWh'!M56,2)</f>
        <v>260.54000000000002</v>
      </c>
      <c r="M65" s="8">
        <f>ROUND(M$14*'B&amp;A kWh'!N56,2)</f>
        <v>277.93</v>
      </c>
      <c r="N65" s="8">
        <f>ROUND(N$14*'B&amp;A kWh'!O56,2)</f>
        <v>254.11</v>
      </c>
      <c r="O65" s="8">
        <f>ROUND(O$14*'B&amp;A kWh'!P56,2)</f>
        <v>186.62</v>
      </c>
      <c r="P65" s="8">
        <f t="shared" ref="P65" si="21">SUM(D65:O65)</f>
        <v>2370.96</v>
      </c>
    </row>
    <row r="66" spans="1:16" x14ac:dyDescent="0.25">
      <c r="A66" s="1"/>
    </row>
    <row r="67" spans="1:16" x14ac:dyDescent="0.25">
      <c r="A67" s="18" t="s">
        <v>121</v>
      </c>
      <c r="B67" s="8">
        <f>ROUND(B$16*'B&amp;A kWh'!C58,2)</f>
        <v>0</v>
      </c>
      <c r="C67" s="8">
        <f>ROUND(C$16*'B&amp;A kWh'!D58,2)</f>
        <v>0</v>
      </c>
      <c r="D67" s="8">
        <f>ROUND(D$16*'B&amp;A kWh'!E58,2)</f>
        <v>3005.65</v>
      </c>
      <c r="E67" s="8">
        <f>ROUND(E$16*'B&amp;A kWh'!F58,2)</f>
        <v>3184.55</v>
      </c>
      <c r="F67" s="8">
        <f>ROUND(F$16*'B&amp;A kWh'!G58,2)</f>
        <v>2833.37</v>
      </c>
      <c r="G67" s="8">
        <f>ROUND(G$16*'B&amp;A kWh'!H58,2)</f>
        <v>3121.48</v>
      </c>
      <c r="H67" s="8">
        <f>ROUND(H$16*'B&amp;A kWh'!I58,2)</f>
        <v>3340</v>
      </c>
      <c r="I67" s="8">
        <f>ROUND(I$16*'B&amp;A kWh'!J58,2)</f>
        <v>2986.97</v>
      </c>
      <c r="J67" s="8">
        <f>ROUND(J$16*'B&amp;A kWh'!K58,2)</f>
        <v>3301.69</v>
      </c>
      <c r="K67" s="8">
        <f>ROUND(K$16*'B&amp;A kWh'!L58,2)</f>
        <v>3893.07</v>
      </c>
      <c r="L67" s="8">
        <f>ROUND(L$16*'B&amp;A kWh'!M58,2)</f>
        <v>3216.53</v>
      </c>
      <c r="M67" s="8">
        <f>ROUND(M$16*'B&amp;A kWh'!N58,2)</f>
        <v>2591.73</v>
      </c>
      <c r="N67" s="8">
        <f>ROUND(N$16*'B&amp;A kWh'!O58,2)</f>
        <v>2720.73</v>
      </c>
      <c r="O67" s="8">
        <f>ROUND(O$16*'B&amp;A kWh'!P58,2)</f>
        <v>2724.38</v>
      </c>
      <c r="P67" s="8">
        <f t="shared" ref="P67" si="22">SUM(D67:O67)</f>
        <v>36920.149999999994</v>
      </c>
    </row>
    <row r="68" spans="1:16" x14ac:dyDescent="0.25">
      <c r="A68" s="1"/>
    </row>
    <row r="69" spans="1:16" x14ac:dyDescent="0.25">
      <c r="A69" s="18" t="s">
        <v>122</v>
      </c>
      <c r="B69" s="8">
        <f>ROUND(B$16*'B&amp;A kWh'!C60,2)</f>
        <v>0</v>
      </c>
      <c r="C69" s="8">
        <f>ROUND(C$16*'B&amp;A kWh'!D60,2)</f>
        <v>0</v>
      </c>
      <c r="D69" s="8">
        <f>ROUND(D$16*'B&amp;A kWh'!E60,2)</f>
        <v>16646.64</v>
      </c>
      <c r="E69" s="8">
        <f>ROUND(E$16*'B&amp;A kWh'!F60,2)</f>
        <v>17413.919999999998</v>
      </c>
      <c r="F69" s="8">
        <f>ROUND(F$16*'B&amp;A kWh'!G60,2)</f>
        <v>14444.88</v>
      </c>
      <c r="G69" s="8">
        <f>ROUND(G$16*'B&amp;A kWh'!H60,2)</f>
        <v>16479.84</v>
      </c>
      <c r="H69" s="8">
        <f>ROUND(H$16*'B&amp;A kWh'!I60,2)</f>
        <v>16880.16</v>
      </c>
      <c r="I69" s="8">
        <f>ROUND(I$16*'B&amp;A kWh'!J60,2)</f>
        <v>14652.72</v>
      </c>
      <c r="J69" s="8">
        <f>ROUND(J$16*'B&amp;A kWh'!K60,2)</f>
        <v>16378.56</v>
      </c>
      <c r="K69" s="8">
        <f>ROUND(K$16*'B&amp;A kWh'!L60,2)</f>
        <v>13772.88</v>
      </c>
      <c r="L69" s="8">
        <f>ROUND(L$16*'B&amp;A kWh'!M60,2)</f>
        <v>16683.12</v>
      </c>
      <c r="M69" s="8">
        <f>ROUND(M$16*'B&amp;A kWh'!N60,2)</f>
        <v>16750.8</v>
      </c>
      <c r="N69" s="8">
        <f>ROUND(N$16*'B&amp;A kWh'!O60,2)</f>
        <v>14652.72</v>
      </c>
      <c r="O69" s="8">
        <f>ROUND(O$16*'B&amp;A kWh'!P60,2)</f>
        <v>15194.16</v>
      </c>
      <c r="P69" s="8">
        <f t="shared" ref="P69" si="23">SUM(D69:O69)</f>
        <v>189950.4</v>
      </c>
    </row>
    <row r="70" spans="1:16" x14ac:dyDescent="0.25">
      <c r="A70" s="1"/>
    </row>
    <row r="71" spans="1:16" x14ac:dyDescent="0.25">
      <c r="A71" s="18" t="s">
        <v>123</v>
      </c>
      <c r="B71" s="8">
        <f>ROUND(B$16*'B&amp;A kWh'!C66,2)</f>
        <v>0</v>
      </c>
      <c r="C71" s="8">
        <f>ROUND(C$16*'B&amp;A kWh'!D66,2)</f>
        <v>0</v>
      </c>
      <c r="D71" s="8">
        <f>ROUND(D$16*'B&amp;A kWh'!E66,2)</f>
        <v>1721.68</v>
      </c>
      <c r="E71" s="8">
        <f>ROUND(E$16*'B&amp;A kWh'!F66,2)</f>
        <v>1747.93</v>
      </c>
      <c r="F71" s="8">
        <f>ROUND(F$16*'B&amp;A kWh'!G66,2)</f>
        <v>1772.99</v>
      </c>
      <c r="G71" s="8">
        <f>ROUND(G$16*'B&amp;A kWh'!H66,2)</f>
        <v>1661.38</v>
      </c>
      <c r="H71" s="8">
        <f>ROUND(H$16*'B&amp;A kWh'!I66,2)</f>
        <v>1743</v>
      </c>
      <c r="I71" s="8">
        <f>ROUND(I$16*'B&amp;A kWh'!J66,2)</f>
        <v>1677.63</v>
      </c>
      <c r="J71" s="8">
        <f>ROUND(J$16*'B&amp;A kWh'!K66,2)</f>
        <v>1951.47</v>
      </c>
      <c r="K71" s="8">
        <f>ROUND(K$16*'B&amp;A kWh'!L66,2)</f>
        <v>2005.07</v>
      </c>
      <c r="L71" s="8">
        <f>ROUND(L$16*'B&amp;A kWh'!M66,2)</f>
        <v>2069.98</v>
      </c>
      <c r="M71" s="8">
        <f>ROUND(M$16*'B&amp;A kWh'!N66,2)</f>
        <v>1902.53</v>
      </c>
      <c r="N71" s="8">
        <f>ROUND(N$16*'B&amp;A kWh'!O66,2)</f>
        <v>1784.68</v>
      </c>
      <c r="O71" s="8">
        <f>ROUND(O$16*'B&amp;A kWh'!P66,2)</f>
        <v>1942.89</v>
      </c>
      <c r="P71" s="8">
        <f t="shared" ref="P71" si="24">SUM(D71:O71)</f>
        <v>21981.23</v>
      </c>
    </row>
    <row r="72" spans="1:16" x14ac:dyDescent="0.25">
      <c r="A72" s="1"/>
    </row>
    <row r="73" spans="1:16" x14ac:dyDescent="0.25">
      <c r="A73" s="18" t="s">
        <v>124</v>
      </c>
      <c r="B73" s="8">
        <f>ROUND(B$16*'B&amp;A kWh'!C68,2)</f>
        <v>0</v>
      </c>
      <c r="C73" s="8">
        <f>ROUND(C$16*'B&amp;A kWh'!D68,2)</f>
        <v>0</v>
      </c>
      <c r="D73" s="8">
        <f>ROUND(D$16*'B&amp;A kWh'!E68,2)</f>
        <v>31192.1</v>
      </c>
      <c r="E73" s="8">
        <f>ROUND(E$16*'B&amp;A kWh'!F68,2)</f>
        <v>35220.6</v>
      </c>
      <c r="F73" s="8">
        <f>ROUND(F$16*'B&amp;A kWh'!G68,2)</f>
        <v>35350.080000000002</v>
      </c>
      <c r="G73" s="8">
        <f>ROUND(G$16*'B&amp;A kWh'!H68,2)</f>
        <v>32251.39</v>
      </c>
      <c r="H73" s="8">
        <f>ROUND(H$16*'B&amp;A kWh'!I68,2)</f>
        <v>33372.370000000003</v>
      </c>
      <c r="I73" s="8">
        <f>ROUND(I$16*'B&amp;A kWh'!J68,2)</f>
        <v>31009.01</v>
      </c>
      <c r="J73" s="8">
        <f>ROUND(J$16*'B&amp;A kWh'!K68,2)</f>
        <v>35845.919999999998</v>
      </c>
      <c r="K73" s="8">
        <f>ROUND(K$16*'B&amp;A kWh'!L68,2)</f>
        <v>33594.65</v>
      </c>
      <c r="L73" s="8">
        <f>ROUND(L$16*'B&amp;A kWh'!M68,2)</f>
        <v>30753.53</v>
      </c>
      <c r="M73" s="8">
        <f>ROUND(M$16*'B&amp;A kWh'!N68,2)</f>
        <v>27605.45</v>
      </c>
      <c r="N73" s="8">
        <f>ROUND(N$16*'B&amp;A kWh'!O68,2)</f>
        <v>29370.85</v>
      </c>
      <c r="O73" s="8">
        <f>ROUND(O$16*'B&amp;A kWh'!P68,2)</f>
        <v>34936.53</v>
      </c>
      <c r="P73" s="8">
        <f t="shared" ref="P73" si="25">SUM(D73:O73)</f>
        <v>390502.48</v>
      </c>
    </row>
    <row r="74" spans="1:16" x14ac:dyDescent="0.25">
      <c r="A74" s="1"/>
    </row>
    <row r="75" spans="1:16" x14ac:dyDescent="0.25">
      <c r="A75" s="18" t="s">
        <v>125</v>
      </c>
      <c r="B75" s="8">
        <f>ROUND(B$16*'B&amp;A kWh'!C70,2)</f>
        <v>0</v>
      </c>
      <c r="C75" s="8">
        <f>ROUND(C$16*'B&amp;A kWh'!D70,2)</f>
        <v>0</v>
      </c>
      <c r="D75" s="8">
        <f>ROUND(D$16*'B&amp;A kWh'!E70,2)</f>
        <v>151888.01999999999</v>
      </c>
      <c r="E75" s="8">
        <f>ROUND(E$16*'B&amp;A kWh'!F70,2)</f>
        <v>237450.43</v>
      </c>
      <c r="F75" s="8">
        <f>ROUND(F$16*'B&amp;A kWh'!G70,2)</f>
        <v>119928.51</v>
      </c>
      <c r="G75" s="8">
        <f>ROUND(G$16*'B&amp;A kWh'!H70,2)</f>
        <v>198883.27</v>
      </c>
      <c r="H75" s="8">
        <f>ROUND(H$16*'B&amp;A kWh'!I70,2)</f>
        <v>200529.02</v>
      </c>
      <c r="I75" s="8">
        <f>ROUND(I$16*'B&amp;A kWh'!J70,2)</f>
        <v>180865.03</v>
      </c>
      <c r="J75" s="8">
        <f>ROUND(J$16*'B&amp;A kWh'!K70,2)</f>
        <v>197007.39</v>
      </c>
      <c r="K75" s="8">
        <f>ROUND(K$16*'B&amp;A kWh'!L70,2)</f>
        <v>186942.34</v>
      </c>
      <c r="L75" s="8">
        <f>ROUND(L$16*'B&amp;A kWh'!M70,2)</f>
        <v>182377.27</v>
      </c>
      <c r="M75" s="8">
        <f>ROUND(M$16*'B&amp;A kWh'!N70,2)</f>
        <v>186317.13</v>
      </c>
      <c r="N75" s="8">
        <f>ROUND(N$16*'B&amp;A kWh'!O70,2)</f>
        <v>153865.17000000001</v>
      </c>
      <c r="O75" s="8">
        <f>ROUND(O$16*'B&amp;A kWh'!P70,2)</f>
        <v>186358.67</v>
      </c>
      <c r="P75" s="8">
        <f t="shared" ref="P75" si="26">SUM(D75:O75)</f>
        <v>2182412.25</v>
      </c>
    </row>
    <row r="76" spans="1:16" x14ac:dyDescent="0.25">
      <c r="A76" s="1"/>
    </row>
    <row r="77" spans="1:16" x14ac:dyDescent="0.25">
      <c r="A77" s="18" t="s">
        <v>126</v>
      </c>
      <c r="B77" s="8">
        <f>ROUND(B$16*'B&amp;A kWh'!C72,2)</f>
        <v>0</v>
      </c>
      <c r="C77" s="8">
        <f>ROUND(C$16*'B&amp;A kWh'!D72,2)</f>
        <v>0</v>
      </c>
      <c r="D77" s="8">
        <f>ROUND(D$16*'B&amp;A kWh'!E72,2)</f>
        <v>26347.37</v>
      </c>
      <c r="E77" s="8">
        <f>ROUND(E$16*'B&amp;A kWh'!F72,2)</f>
        <v>26267.01</v>
      </c>
      <c r="F77" s="8">
        <f>ROUND(F$16*'B&amp;A kWh'!G72,2)</f>
        <v>34705.65</v>
      </c>
      <c r="G77" s="8">
        <f>ROUND(G$16*'B&amp;A kWh'!H72,2)</f>
        <v>26716.59</v>
      </c>
      <c r="H77" s="8">
        <f>ROUND(H$16*'B&amp;A kWh'!I72,2)</f>
        <v>23573.54</v>
      </c>
      <c r="I77" s="8">
        <f>ROUND(I$16*'B&amp;A kWh'!J72,2)</f>
        <v>24238.77</v>
      </c>
      <c r="J77" s="8">
        <f>ROUND(J$16*'B&amp;A kWh'!K72,2)</f>
        <v>30624.560000000001</v>
      </c>
      <c r="K77" s="8">
        <f>ROUND(K$16*'B&amp;A kWh'!L72,2)</f>
        <v>19534.12</v>
      </c>
      <c r="L77" s="8">
        <f>ROUND(L$16*'B&amp;A kWh'!M72,2)</f>
        <v>31817.55</v>
      </c>
      <c r="M77" s="8">
        <f>ROUND(M$16*'B&amp;A kWh'!N72,2)</f>
        <v>20954.96</v>
      </c>
      <c r="N77" s="8">
        <f>ROUND(N$16*'B&amp;A kWh'!O72,2)</f>
        <v>24384.45</v>
      </c>
      <c r="O77" s="8">
        <f>ROUND(O$16*'B&amp;A kWh'!P72,2)</f>
        <v>36332.65</v>
      </c>
      <c r="P77" s="8">
        <f t="shared" ref="P77" si="27">SUM(D77:O77)</f>
        <v>325497.22000000003</v>
      </c>
    </row>
    <row r="78" spans="1:16" x14ac:dyDescent="0.25">
      <c r="A78" s="1"/>
    </row>
    <row r="79" spans="1:16" x14ac:dyDescent="0.25">
      <c r="A79" s="1" t="s">
        <v>2</v>
      </c>
      <c r="B79" s="8">
        <f>ROUND(B$19*'B&amp;A kWh'!C74,2)</f>
        <v>0</v>
      </c>
      <c r="C79" s="8">
        <f>ROUND(C$19*'B&amp;A kWh'!D74,2)</f>
        <v>0</v>
      </c>
      <c r="D79" s="8">
        <f>ROUND(D$19*'B&amp;A kWh'!E74,2)</f>
        <v>937.49</v>
      </c>
      <c r="E79" s="8">
        <f>ROUND(E$19*'B&amp;A kWh'!F74,2)</f>
        <v>823.9</v>
      </c>
      <c r="F79" s="8">
        <f>ROUND(F$19*'B&amp;A kWh'!G74,2)</f>
        <v>743.65</v>
      </c>
      <c r="G79" s="8">
        <f>ROUND(G$19*'B&amp;A kWh'!H74,2)</f>
        <v>804.5</v>
      </c>
      <c r="H79" s="8">
        <f>ROUND(H$19*'B&amp;A kWh'!I74,2)</f>
        <v>894.69</v>
      </c>
      <c r="I79" s="8">
        <f>ROUND(I$19*'B&amp;A kWh'!J74,2)</f>
        <v>1067.27</v>
      </c>
      <c r="J79" s="8">
        <f>ROUND(J$19*'B&amp;A kWh'!K74,2)</f>
        <v>1246.5999999999999</v>
      </c>
      <c r="K79" s="8">
        <f>ROUND(K$19*'B&amp;A kWh'!L74,2)</f>
        <v>1364.03</v>
      </c>
      <c r="L79" s="8">
        <f>ROUND(L$19*'B&amp;A kWh'!M74,2)</f>
        <v>1454.79</v>
      </c>
      <c r="M79" s="8">
        <f>ROUND(M$19*'B&amp;A kWh'!N74,2)</f>
        <v>1400.01</v>
      </c>
      <c r="N79" s="8">
        <f>ROUND(N$19*'B&amp;A kWh'!O74,2)</f>
        <v>1185.8800000000001</v>
      </c>
      <c r="O79" s="8">
        <f>ROUND(O$19*'B&amp;A kWh'!P74,2)</f>
        <v>1187.9000000000001</v>
      </c>
      <c r="P79" s="8">
        <f t="shared" ref="P79" si="28">SUM(D79:O79)</f>
        <v>13110.710000000001</v>
      </c>
    </row>
    <row r="80" spans="1:16" x14ac:dyDescent="0.25">
      <c r="A80" s="1"/>
    </row>
    <row r="81" spans="1:16" x14ac:dyDescent="0.25">
      <c r="A81" s="1" t="s">
        <v>1</v>
      </c>
      <c r="B81" s="8">
        <f>ROUND(B$17*'B&amp;A kWh'!C76,2)</f>
        <v>0</v>
      </c>
      <c r="C81" s="8">
        <f>ROUND(C$17*'B&amp;A kWh'!D76,2)</f>
        <v>0</v>
      </c>
      <c r="D81" s="8">
        <f>ROUND(D$17*'B&amp;A kWh'!E76,2)</f>
        <v>329.14</v>
      </c>
      <c r="E81" s="8">
        <f>ROUND(E$17*'B&amp;A kWh'!F76,2)</f>
        <v>385.08</v>
      </c>
      <c r="F81" s="8">
        <f>ROUND(F$17*'B&amp;A kWh'!G76,2)</f>
        <v>427.67</v>
      </c>
      <c r="G81" s="8">
        <f>ROUND(G$17*'B&amp;A kWh'!H76,2)</f>
        <v>360.58</v>
      </c>
      <c r="H81" s="8">
        <f>ROUND(H$17*'B&amp;A kWh'!I76,2)</f>
        <v>373.46</v>
      </c>
      <c r="I81" s="8">
        <f>ROUND(I$17*'B&amp;A kWh'!J76,2)</f>
        <v>520.66999999999996</v>
      </c>
      <c r="J81" s="8">
        <f>ROUND(J$17*'B&amp;A kWh'!K76,2)</f>
        <v>657.86</v>
      </c>
      <c r="K81" s="8">
        <f>ROUND(K$17*'B&amp;A kWh'!L76,2)</f>
        <v>544.32000000000005</v>
      </c>
      <c r="L81" s="8">
        <f>ROUND(L$17*'B&amp;A kWh'!M76,2)</f>
        <v>588.33000000000004</v>
      </c>
      <c r="M81" s="8">
        <f>ROUND(M$17*'B&amp;A kWh'!N76,2)</f>
        <v>485.5</v>
      </c>
      <c r="N81" s="8">
        <f>ROUND(N$17*'B&amp;A kWh'!O76,2)</f>
        <v>530.5</v>
      </c>
      <c r="O81" s="8">
        <f>ROUND(O$17*'B&amp;A kWh'!P76,2)</f>
        <v>602.20000000000005</v>
      </c>
      <c r="P81" s="8">
        <f t="shared" ref="P81" si="29">SUM(D81:O81)</f>
        <v>5805.31</v>
      </c>
    </row>
    <row r="82" spans="1:16" x14ac:dyDescent="0.25">
      <c r="A82" s="10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22"/>
    </row>
    <row r="83" spans="1:16" x14ac:dyDescent="0.25">
      <c r="A83" s="3" t="s">
        <v>0</v>
      </c>
      <c r="B83" s="8">
        <f>SUM(B21:B81)</f>
        <v>0</v>
      </c>
      <c r="C83" s="8">
        <f t="shared" ref="C83" si="30">SUM(C21:C81)</f>
        <v>0</v>
      </c>
      <c r="D83" s="8">
        <f t="shared" ref="D83" si="31">SUM(D21:D81)-D29</f>
        <v>776139.53</v>
      </c>
      <c r="E83" s="8">
        <f>SUM(E21:E81)-E29</f>
        <v>844208.78000000014</v>
      </c>
      <c r="F83" s="8">
        <f t="shared" ref="F83:O83" si="32">SUM(F21:F81)-F29</f>
        <v>842885.49</v>
      </c>
      <c r="G83" s="8">
        <f t="shared" si="32"/>
        <v>977652.14999999979</v>
      </c>
      <c r="H83" s="8">
        <f t="shared" si="32"/>
        <v>975838.49</v>
      </c>
      <c r="I83" s="8">
        <f t="shared" si="32"/>
        <v>1121611.5499999998</v>
      </c>
      <c r="J83" s="8">
        <f t="shared" si="32"/>
        <v>1125039.5700000003</v>
      </c>
      <c r="K83" s="8">
        <f t="shared" si="32"/>
        <v>1287499.57</v>
      </c>
      <c r="L83" s="8">
        <f t="shared" si="32"/>
        <v>1756761.9100000001</v>
      </c>
      <c r="M83" s="8">
        <f t="shared" si="32"/>
        <v>1690700.39</v>
      </c>
      <c r="N83" s="8">
        <f t="shared" si="32"/>
        <v>1326977.2000000004</v>
      </c>
      <c r="O83" s="8">
        <f t="shared" si="32"/>
        <v>1343291.3399999994</v>
      </c>
      <c r="P83" s="8">
        <f>SUM(D83:O83)</f>
        <v>14068605.970000001</v>
      </c>
    </row>
    <row r="86" spans="1:16" x14ac:dyDescent="0.25">
      <c r="P86" s="8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zExNzM1PC9Vc2VyTmFtZT48RGF0ZVRpbWU+MTIvNy8yMDIyIDU6Mzk6MTY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640fb8-5a34-41c1-9307-1b790ff29a8b">
      <Terms xmlns="http://schemas.microsoft.com/office/infopath/2007/PartnerControls"/>
    </lcf76f155ced4ddcb4097134ff3c332f>
    <TaxCatchAll xmlns="51831b8d-857f-44dd-949b-652450d1a5df" xsi:nil="true"/>
    <Operating_x0020_Company xmlns="a1040523-5304-4b09-b6d4-64a124c994e2">AEP Ohio</Operating_x0020_Company>
    <_Flow_SignoffStatus xmlns="5b640fb8-5a34-41c1-9307-1b790ff29a8b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CBA2148-84D7-4025-858D-803737D596BC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E5DA8851-C09F-467A-BFF7-88C0D2AC2C26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40D0B236-9F5F-4ACF-9A62-585A50146EE7}"/>
</file>

<file path=customXml/itemProps4.xml><?xml version="1.0" encoding="utf-8"?>
<ds:datastoreItem xmlns:ds="http://schemas.openxmlformats.org/officeDocument/2006/customXml" ds:itemID="{DE05CDEA-5E53-46E0-AF5B-8517EE83D9DB}"/>
</file>

<file path=customXml/itemProps5.xml><?xml version="1.0" encoding="utf-8"?>
<ds:datastoreItem xmlns:ds="http://schemas.openxmlformats.org/officeDocument/2006/customXml" ds:itemID="{E6165893-886D-41EB-8110-E85674D9AC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FAC</vt:lpstr>
      <vt:lpstr>System Sales</vt:lpstr>
      <vt:lpstr>Capacity Charge</vt:lpstr>
      <vt:lpstr>Environmental</vt:lpstr>
      <vt:lpstr>PPA</vt:lpstr>
      <vt:lpstr>PPA KW</vt:lpstr>
      <vt:lpstr>DSM</vt:lpstr>
      <vt:lpstr>Decommissioning rider</vt:lpstr>
      <vt:lpstr>BS1OR kwh</vt:lpstr>
      <vt:lpstr>BS1OR kw</vt:lpstr>
      <vt:lpstr>Residential Energy Assistance</vt:lpstr>
      <vt:lpstr>Ken Economic Dev.</vt:lpstr>
      <vt:lpstr>Federal tax cut</vt:lpstr>
      <vt:lpstr>B&amp;A kWh</vt:lpstr>
      <vt:lpstr>B&amp;A KW</vt:lpstr>
      <vt:lpstr>Comm kWh (DSM)</vt:lpstr>
      <vt:lpstr>B&amp;A $</vt:lpstr>
      <vt:lpstr>B&amp;A+DSM $</vt:lpstr>
      <vt:lpstr>B&amp;A+DSM - Fuel and % Riders</vt:lpstr>
      <vt:lpstr> B&amp;A+DSM - % Riders</vt:lpstr>
      <vt:lpstr>B&amp;A customer by month</vt:lpstr>
      <vt:lpstr>Template</vt:lpstr>
      <vt:lpstr>'PPA KW'!Print_Area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M Stegall</dc:creator>
  <cp:keywords/>
  <cp:lastModifiedBy>s251635</cp:lastModifiedBy>
  <cp:lastPrinted>2020-05-12T17:22:40Z</cp:lastPrinted>
  <dcterms:created xsi:type="dcterms:W3CDTF">2014-10-07T13:23:10Z</dcterms:created>
  <dcterms:modified xsi:type="dcterms:W3CDTF">2023-07-07T19:14:09Z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b7181520-de47-4e9f-b6ff-2bb39a7d59b5</vt:lpwstr>
  </property>
  <property fmtid="{D5CDD505-2E9C-101B-9397-08002B2CF9AE}" pid="3" name="bjSaver">
    <vt:lpwstr>MQfcAhQ8E7BpJjT05HGV6wJ4xMWAiB3x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{6CBA2148-84D7-4025-858D-803737D596BC}</vt:lpwstr>
  </property>
  <property fmtid="{D5CDD505-2E9C-101B-9397-08002B2CF9AE}" pid="12" name="{A44787D4-0540-4523-9961-78E4036D8C6D}">
    <vt:lpwstr>{ECF06712-8E54-4291-AD84-CC5AE386C1E0}</vt:lpwstr>
  </property>
  <property fmtid="{D5CDD505-2E9C-101B-9397-08002B2CF9AE}" pid="13" name="ContentTypeId">
    <vt:lpwstr>0x01010001136CE24ED5F449BD16740FFC7FAF6F</vt:lpwstr>
  </property>
</Properties>
</file>