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aepenergy.sharepoint.com/sites/regsvcs/Regulatory Base Cases/Kentucky Power/2023-00159 Base Case/07 Discovery/Staff/2nd Set/Attachments/"/>
    </mc:Choice>
  </mc:AlternateContent>
  <xr:revisionPtr revIDLastSave="50" documentId="8_{1026F684-B4D1-4C5D-ABD4-CEAA3D7D7C2A}" xr6:coauthVersionLast="47" xr6:coauthVersionMax="47" xr10:uidLastSave="{3A026F29-C087-4002-A23F-EB66EB1B7981}"/>
  <bookViews>
    <workbookView xWindow="28680" yWindow="-120" windowWidth="29040" windowHeight="15840" tabRatio="787" firstSheet="1" activeTab="10" xr2:uid="{00000000-000D-0000-FFFF-FFFF00000000}"/>
  </bookViews>
  <sheets>
    <sheet name="Assumptions and Inputs" sheetId="12" r:id="rId1"/>
    <sheet name="Results" sheetId="4" r:id="rId2"/>
    <sheet name="Conventional Big Sandy" sheetId="1" r:id="rId3"/>
    <sheet name="Conventional All Other" sheetId="14" r:id="rId4"/>
    <sheet name="Upfront &amp; Ongoing Costs" sheetId="25" r:id="rId5"/>
    <sheet name="20 Yr Securitization" sheetId="6" r:id="rId6"/>
    <sheet name="LDS" sheetId="28" r:id="rId7"/>
    <sheet name="ADIT Offset -WACC " sheetId="27" r:id="rId8"/>
    <sheet name="ADIT Offset -Secur" sheetId="21" r:id="rId9"/>
    <sheet name="Pre-Tax WACC" sheetId="22" r:id="rId10"/>
    <sheet name="Summary" sheetId="26" r:id="rId11"/>
  </sheets>
  <externalReferences>
    <externalReference r:id="rId12"/>
    <externalReference r:id="rId13"/>
  </externalReferences>
  <definedNames>
    <definedName name="AllocFactors">[1]Table!$G$6:$H$13</definedName>
    <definedName name="Begin_Print1">'[2]Big Sandy Detail'!#REF!</definedName>
    <definedName name="Begin_Print2">'[2]Big Sandy Detail'!#REF!</definedName>
    <definedName name="End_of_Report">'[2]Big Sandy Detail'!#REF!</definedName>
    <definedName name="End_Print1">'[2]Big Sandy Detail'!#REF!</definedName>
    <definedName name="End_Print2">'[2]Big Sandy Detail'!#REF!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45097.7714814815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vsASD">"V2013-03-31"</definedName>
    <definedName name="NvsAutoDrillOk">"VN"</definedName>
    <definedName name="NvsElapsedTime">0.000115740738692693</definedName>
    <definedName name="NvsEndTime">41370.633587963</definedName>
    <definedName name="NvsInstanceHook">"""nvsMacro"""</definedName>
    <definedName name="NvsInstLang">"VENG"</definedName>
    <definedName name="NvsInstSpec">"%,FBUSINESS_UNIT,V117"</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"%,X,RZF.ACCOUNT.,CNF.."</definedName>
    <definedName name="NvsPanelBusUnit">"V100"</definedName>
    <definedName name="NvsPanelEffdt">"V2099-01-01"</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_xlnm.Print_Area" localSheetId="1">Results!$A$4:$G$12</definedName>
    <definedName name="_xlnm.Print_Area" localSheetId="4">'Upfront &amp; Ongoing Costs'!$A$1:$D$34</definedName>
    <definedName name="_xlnm.Print_Titles" localSheetId="3">'Conventional All Other'!$7:$10</definedName>
    <definedName name="_xlnm.Print_Titles" localSheetId="2">'Conventional Big Sandy'!$7:$10</definedName>
    <definedName name="search_directory_name">"R:\fcm90prd\nvision\rpts\Fin_Reports\"</definedName>
    <definedName name="solver_adj" localSheetId="3" hidden="1">'Conventional All Other'!$D$14</definedName>
    <definedName name="solver_adj" localSheetId="2" hidden="1">'Conventional Big Sandy'!$D$14</definedName>
    <definedName name="solver_adj" localSheetId="6" hidden="1">LDS!$M$4</definedName>
    <definedName name="solver_cvg" localSheetId="3" hidden="1">0.0001</definedName>
    <definedName name="solver_cvg" localSheetId="2" hidden="1">0.0001</definedName>
    <definedName name="solver_cvg" localSheetId="6" hidden="1">0.0001</definedName>
    <definedName name="solver_drv" localSheetId="3" hidden="1">1</definedName>
    <definedName name="solver_drv" localSheetId="2" hidden="1">1</definedName>
    <definedName name="solver_drv" localSheetId="6" hidden="1">1</definedName>
    <definedName name="solver_eng" localSheetId="3" hidden="1">1</definedName>
    <definedName name="solver_eng" localSheetId="2" hidden="1">1</definedName>
    <definedName name="solver_eng" localSheetId="6" hidden="1">1</definedName>
    <definedName name="solver_est" localSheetId="3" hidden="1">1</definedName>
    <definedName name="solver_est" localSheetId="2" hidden="1">1</definedName>
    <definedName name="solver_est" localSheetId="6" hidden="1">1</definedName>
    <definedName name="solver_itr" localSheetId="3" hidden="1">2147483647</definedName>
    <definedName name="solver_itr" localSheetId="2" hidden="1">2147483647</definedName>
    <definedName name="solver_itr" localSheetId="6" hidden="1">2147483647</definedName>
    <definedName name="solver_lhs1" localSheetId="6" hidden="1">LDS!$M$5</definedName>
    <definedName name="solver_lhs2" localSheetId="6" hidden="1">LDS!$M$8</definedName>
    <definedName name="solver_lhs3" localSheetId="6" hidden="1">LDS!$M$8</definedName>
    <definedName name="solver_mip" localSheetId="3" hidden="1">2147483647</definedName>
    <definedName name="solver_mip" localSheetId="2" hidden="1">2147483647</definedName>
    <definedName name="solver_mip" localSheetId="6" hidden="1">2147483647</definedName>
    <definedName name="solver_mni" localSheetId="3" hidden="1">30</definedName>
    <definedName name="solver_mni" localSheetId="2" hidden="1">30</definedName>
    <definedName name="solver_mni" localSheetId="6" hidden="1">30</definedName>
    <definedName name="solver_mrt" localSheetId="3" hidden="1">0.075</definedName>
    <definedName name="solver_mrt" localSheetId="2" hidden="1">0.075</definedName>
    <definedName name="solver_mrt" localSheetId="6" hidden="1">0.075</definedName>
    <definedName name="solver_msl" localSheetId="3" hidden="1">2</definedName>
    <definedName name="solver_msl" localSheetId="2" hidden="1">2</definedName>
    <definedName name="solver_msl" localSheetId="6" hidden="1">2</definedName>
    <definedName name="solver_neg" localSheetId="3" hidden="1">1</definedName>
    <definedName name="solver_neg" localSheetId="2" hidden="1">1</definedName>
    <definedName name="solver_neg" localSheetId="6" hidden="1">1</definedName>
    <definedName name="solver_nod" localSheetId="3" hidden="1">2147483647</definedName>
    <definedName name="solver_nod" localSheetId="2" hidden="1">2147483647</definedName>
    <definedName name="solver_nod" localSheetId="6" hidden="1">2147483647</definedName>
    <definedName name="solver_num" localSheetId="3" hidden="1">0</definedName>
    <definedName name="solver_num" localSheetId="2" hidden="1">0</definedName>
    <definedName name="solver_num" localSheetId="6" hidden="1">1</definedName>
    <definedName name="solver_nwt" localSheetId="3" hidden="1">1</definedName>
    <definedName name="solver_nwt" localSheetId="2" hidden="1">1</definedName>
    <definedName name="solver_nwt" localSheetId="6" hidden="1">1</definedName>
    <definedName name="solver_opt" localSheetId="3" hidden="1">'Conventional All Other'!#REF!</definedName>
    <definedName name="solver_opt" localSheetId="2" hidden="1">'Conventional Big Sandy'!$E$85</definedName>
    <definedName name="solver_opt" localSheetId="6" hidden="1">LDS!$M$8</definedName>
    <definedName name="solver_pre" localSheetId="3" hidden="1">0.000001</definedName>
    <definedName name="solver_pre" localSheetId="2" hidden="1">0.000001</definedName>
    <definedName name="solver_pre" localSheetId="6" hidden="1">0.000001</definedName>
    <definedName name="solver_rbv" localSheetId="3" hidden="1">1</definedName>
    <definedName name="solver_rbv" localSheetId="2" hidden="1">1</definedName>
    <definedName name="solver_rbv" localSheetId="6" hidden="1">1</definedName>
    <definedName name="solver_rel1" localSheetId="6" hidden="1">2</definedName>
    <definedName name="solver_rel2" localSheetId="6" hidden="1">3</definedName>
    <definedName name="solver_rel3" localSheetId="6" hidden="1">3</definedName>
    <definedName name="solver_rhs1" localSheetId="6" hidden="1">0</definedName>
    <definedName name="solver_rhs2" localSheetId="6" hidden="1">0</definedName>
    <definedName name="solver_rhs3" localSheetId="6" hidden="1">0</definedName>
    <definedName name="solver_rlx" localSheetId="3" hidden="1">2</definedName>
    <definedName name="solver_rlx" localSheetId="2" hidden="1">2</definedName>
    <definedName name="solver_rlx" localSheetId="6" hidden="1">2</definedName>
    <definedName name="solver_rsd" localSheetId="3" hidden="1">0</definedName>
    <definedName name="solver_rsd" localSheetId="2" hidden="1">0</definedName>
    <definedName name="solver_rsd" localSheetId="6" hidden="1">0</definedName>
    <definedName name="solver_scl" localSheetId="3" hidden="1">1</definedName>
    <definedName name="solver_scl" localSheetId="2" hidden="1">1</definedName>
    <definedName name="solver_scl" localSheetId="6" hidden="1">1</definedName>
    <definedName name="solver_sho" localSheetId="3" hidden="1">2</definedName>
    <definedName name="solver_sho" localSheetId="2" hidden="1">2</definedName>
    <definedName name="solver_sho" localSheetId="6" hidden="1">2</definedName>
    <definedName name="solver_ssz" localSheetId="3" hidden="1">100</definedName>
    <definedName name="solver_ssz" localSheetId="2" hidden="1">100</definedName>
    <definedName name="solver_ssz" localSheetId="6" hidden="1">100</definedName>
    <definedName name="solver_tim" localSheetId="3" hidden="1">2147483647</definedName>
    <definedName name="solver_tim" localSheetId="2" hidden="1">2147483647</definedName>
    <definedName name="solver_tim" localSheetId="6" hidden="1">2147483647</definedName>
    <definedName name="solver_tol" localSheetId="3" hidden="1">0.01</definedName>
    <definedName name="solver_tol" localSheetId="2" hidden="1">0.01</definedName>
    <definedName name="solver_tol" localSheetId="6" hidden="1">0.01</definedName>
    <definedName name="solver_typ" localSheetId="3" hidden="1">3</definedName>
    <definedName name="solver_typ" localSheetId="2" hidden="1">3</definedName>
    <definedName name="solver_typ" localSheetId="6" hidden="1">2</definedName>
    <definedName name="solver_val" localSheetId="3" hidden="1">0</definedName>
    <definedName name="solver_val" localSheetId="2" hidden="1">0</definedName>
    <definedName name="solver_val" localSheetId="6" hidden="1">1</definedName>
    <definedName name="solver_ver" localSheetId="3" hidden="1">3</definedName>
    <definedName name="solver_ver" localSheetId="2" hidden="1">3</definedName>
    <definedName name="solver_ver" localSheetId="6" hidden="1">3</definedName>
    <definedName name="tim" localSheetId="7">#REF!</definedName>
    <definedName name="tim">#REF!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 r="D16" i="28"/>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F15" i="28"/>
  <c r="F16" i="28" s="1"/>
  <c r="F17" i="28" s="1"/>
  <c r="F18" i="28" s="1"/>
  <c r="F19" i="28" s="1"/>
  <c r="F20" i="28" s="1"/>
  <c r="F21" i="28" s="1"/>
  <c r="F22" i="28" s="1"/>
  <c r="F23" i="28" s="1"/>
  <c r="F24" i="28" s="1"/>
  <c r="F25" i="28" s="1"/>
  <c r="F26" i="28" s="1"/>
  <c r="F27" i="28" s="1"/>
  <c r="F28" i="28" s="1"/>
  <c r="F29" i="28" s="1"/>
  <c r="F30" i="28" s="1"/>
  <c r="F31" i="28" s="1"/>
  <c r="F32" i="28" s="1"/>
  <c r="F33" i="28" s="1"/>
  <c r="F34" i="28" s="1"/>
  <c r="F12" i="28"/>
  <c r="G12" i="28" s="1"/>
  <c r="H12" i="28" s="1"/>
  <c r="I12" i="28" s="1"/>
  <c r="J12" i="28" s="1"/>
  <c r="K12" i="28" s="1"/>
  <c r="L12" i="28" s="1"/>
  <c r="M12" i="28" s="1"/>
  <c r="N12" i="28" s="1"/>
  <c r="O12" i="28" s="1"/>
  <c r="P12" i="28" s="1"/>
  <c r="Q12" i="28" s="1"/>
  <c r="R12" i="28" s="1"/>
  <c r="S12" i="28" s="1"/>
  <c r="T12" i="28" s="1"/>
  <c r="C9" i="28"/>
  <c r="G6" i="28" s="1"/>
  <c r="I6" i="28"/>
  <c r="P15" i="28" s="1"/>
  <c r="H6" i="28"/>
  <c r="M15" i="28" s="1"/>
  <c r="H11" i="28" s="1"/>
  <c r="F6" i="28"/>
  <c r="G15" i="28" s="1"/>
  <c r="E2" i="28"/>
  <c r="J6" i="28" l="1"/>
  <c r="J7" i="28" s="1"/>
  <c r="J15" i="28"/>
  <c r="G11" i="28" s="1"/>
  <c r="I11" i="28"/>
  <c r="F35" i="28"/>
  <c r="F36" i="28" s="1"/>
  <c r="E34" i="28"/>
  <c r="E16" i="28"/>
  <c r="E17" i="28"/>
  <c r="E18" i="28"/>
  <c r="E19" i="28"/>
  <c r="E20" i="28"/>
  <c r="E21" i="28"/>
  <c r="E22" i="28"/>
  <c r="E23" i="28"/>
  <c r="E24" i="28"/>
  <c r="E25" i="28"/>
  <c r="E26" i="28"/>
  <c r="E27" i="28"/>
  <c r="E28" i="28"/>
  <c r="E29" i="28"/>
  <c r="E30" i="28"/>
  <c r="E31" i="28"/>
  <c r="E32" i="28"/>
  <c r="E33" i="28"/>
  <c r="L16" i="28" l="1"/>
  <c r="K6" i="28"/>
  <c r="I16" i="28"/>
  <c r="O16" i="28"/>
  <c r="R16" i="28"/>
  <c r="E36" i="28"/>
  <c r="F37" i="28"/>
  <c r="E35" i="28"/>
  <c r="F38" i="28" l="1"/>
  <c r="E37" i="28"/>
  <c r="H16" i="28"/>
  <c r="F39" i="28" l="1"/>
  <c r="E38" i="28"/>
  <c r="K16" i="28"/>
  <c r="G16" i="28"/>
  <c r="I17" i="28" l="1"/>
  <c r="N16" i="28"/>
  <c r="J16" i="28"/>
  <c r="F40" i="28"/>
  <c r="E39" i="28"/>
  <c r="L17" i="28" l="1"/>
  <c r="F41" i="28"/>
  <c r="E40" i="28"/>
  <c r="Q16" i="28"/>
  <c r="T16" i="28" s="1"/>
  <c r="M16" i="28"/>
  <c r="F42" i="28" l="1"/>
  <c r="E41" i="28"/>
  <c r="O17" i="28"/>
  <c r="P16" i="28"/>
  <c r="F43" i="28" l="1"/>
  <c r="E42" i="28"/>
  <c r="R17" i="28"/>
  <c r="H17" i="28" s="1"/>
  <c r="K17" i="28" l="1"/>
  <c r="G17" i="28"/>
  <c r="F44" i="28"/>
  <c r="E43" i="28"/>
  <c r="F45" i="28" l="1"/>
  <c r="E44" i="28"/>
  <c r="I18" i="28"/>
  <c r="N17" i="28"/>
  <c r="J17" i="28"/>
  <c r="Q17" i="28" l="1"/>
  <c r="T17" i="28" s="1"/>
  <c r="M17" i="28"/>
  <c r="F46" i="28"/>
  <c r="E45" i="28"/>
  <c r="L18" i="28"/>
  <c r="O18" i="28" l="1"/>
  <c r="F47" i="28"/>
  <c r="E46" i="28"/>
  <c r="P17" i="28"/>
  <c r="R18" i="28" l="1"/>
  <c r="H18" i="28" s="1"/>
  <c r="F48" i="28"/>
  <c r="E47" i="28"/>
  <c r="K18" i="28" l="1"/>
  <c r="G18" i="28"/>
  <c r="F49" i="28"/>
  <c r="E48" i="28"/>
  <c r="N18" i="28" l="1"/>
  <c r="J18" i="28"/>
  <c r="F50" i="28"/>
  <c r="E49" i="28"/>
  <c r="I19" i="28"/>
  <c r="Q18" i="28" l="1"/>
  <c r="M18" i="28"/>
  <c r="F51" i="28"/>
  <c r="E50" i="28"/>
  <c r="L19" i="28"/>
  <c r="O19" i="28" l="1"/>
  <c r="F52" i="28"/>
  <c r="E51" i="28"/>
  <c r="P18" i="28"/>
  <c r="T18" i="28"/>
  <c r="R19" i="28" l="1"/>
  <c r="H19" i="28" s="1"/>
  <c r="F53" i="28"/>
  <c r="E52" i="28"/>
  <c r="K19" i="28" l="1"/>
  <c r="G19" i="28"/>
  <c r="F54" i="28"/>
  <c r="E53" i="28"/>
  <c r="F55" i="28" l="1"/>
  <c r="E54" i="28"/>
  <c r="I20" i="28"/>
  <c r="N19" i="28"/>
  <c r="J19" i="28"/>
  <c r="Q19" i="28" l="1"/>
  <c r="M19" i="28"/>
  <c r="L20" i="28"/>
  <c r="F56" i="28"/>
  <c r="E55" i="28"/>
  <c r="P19" i="28" l="1"/>
  <c r="T19" i="28"/>
  <c r="F57" i="28"/>
  <c r="E56" i="28"/>
  <c r="I56" i="28" s="1"/>
  <c r="O20" i="28"/>
  <c r="F58" i="28" l="1"/>
  <c r="E57" i="28"/>
  <c r="I57" i="28" s="1"/>
  <c r="R20" i="28"/>
  <c r="H20" i="28" s="1"/>
  <c r="K20" i="28" l="1"/>
  <c r="G20" i="28"/>
  <c r="F59" i="28"/>
  <c r="E58" i="28"/>
  <c r="I58" i="28" s="1"/>
  <c r="F60" i="28" l="1"/>
  <c r="E59" i="28"/>
  <c r="I59" i="28" s="1"/>
  <c r="I21" i="28"/>
  <c r="N20" i="28"/>
  <c r="J20" i="28"/>
  <c r="L21" i="28" l="1"/>
  <c r="Q20" i="28"/>
  <c r="M20" i="28"/>
  <c r="F61" i="28"/>
  <c r="E60" i="28"/>
  <c r="I60" i="28" s="1"/>
  <c r="O21" i="28" l="1"/>
  <c r="P20" i="28"/>
  <c r="F62" i="28"/>
  <c r="E61" i="28"/>
  <c r="I61" i="28" s="1"/>
  <c r="T20" i="28"/>
  <c r="F63" i="28" l="1"/>
  <c r="E62" i="28"/>
  <c r="I62" i="28" s="1"/>
  <c r="R21" i="28"/>
  <c r="H21" i="28" s="1"/>
  <c r="F64" i="28" l="1"/>
  <c r="E63" i="28"/>
  <c r="I63" i="28" s="1"/>
  <c r="K21" i="28"/>
  <c r="G21" i="28"/>
  <c r="F65" i="28" l="1"/>
  <c r="E64" i="28"/>
  <c r="I64" i="28" s="1"/>
  <c r="I22" i="28"/>
  <c r="N21" i="28"/>
  <c r="J21" i="28"/>
  <c r="L22" i="28" l="1"/>
  <c r="Q21" i="28"/>
  <c r="P21" i="28" s="1"/>
  <c r="M21" i="28"/>
  <c r="F66" i="28"/>
  <c r="E65" i="28"/>
  <c r="I65" i="28" s="1"/>
  <c r="R22" i="28" l="1"/>
  <c r="F67" i="28"/>
  <c r="E66" i="28"/>
  <c r="I66" i="28" s="1"/>
  <c r="O22" i="28"/>
  <c r="T21" i="28"/>
  <c r="H22" i="28" l="1"/>
  <c r="K22" i="28" s="1"/>
  <c r="F68" i="28"/>
  <c r="E67" i="28"/>
  <c r="I67" i="28" s="1"/>
  <c r="G22" i="28" l="1"/>
  <c r="I23" i="28" s="1"/>
  <c r="F69" i="28"/>
  <c r="E68" i="28"/>
  <c r="I68" i="28" s="1"/>
  <c r="N22" i="28"/>
  <c r="J22" i="28"/>
  <c r="L23" i="28" l="1"/>
  <c r="Q22" i="28"/>
  <c r="P22" i="28" s="1"/>
  <c r="M22" i="28"/>
  <c r="F70" i="28"/>
  <c r="E69" i="28"/>
  <c r="I69" i="28" s="1"/>
  <c r="T22" i="28"/>
  <c r="F71" i="28" l="1"/>
  <c r="E70" i="28"/>
  <c r="I70" i="28" s="1"/>
  <c r="O23" i="28"/>
  <c r="R23" i="28"/>
  <c r="H23" i="28" l="1"/>
  <c r="K23" i="28" s="1"/>
  <c r="F72" i="28"/>
  <c r="E71" i="28"/>
  <c r="I71" i="28" s="1"/>
  <c r="G23" i="28" l="1"/>
  <c r="I24" i="28" s="1"/>
  <c r="E72" i="28"/>
  <c r="I72" i="28" s="1"/>
  <c r="F73" i="28"/>
  <c r="N23" i="28"/>
  <c r="J23" i="28"/>
  <c r="Q23" i="28" l="1"/>
  <c r="P23" i="28" s="1"/>
  <c r="M23" i="28"/>
  <c r="E73" i="28"/>
  <c r="I73" i="28" s="1"/>
  <c r="F74" i="28"/>
  <c r="L24" i="28"/>
  <c r="T23" i="28" l="1"/>
  <c r="F75" i="28"/>
  <c r="E75" i="28" s="1"/>
  <c r="E74" i="28"/>
  <c r="I74" i="28" s="1"/>
  <c r="O24" i="28"/>
  <c r="R24" i="28"/>
  <c r="H24" i="28" l="1"/>
  <c r="I75" i="28"/>
  <c r="K24" i="28" l="1"/>
  <c r="G24" i="28"/>
  <c r="I25" i="28" l="1"/>
  <c r="N24" i="28"/>
  <c r="J24" i="28"/>
  <c r="L25" i="28" l="1"/>
  <c r="Q24" i="28"/>
  <c r="M24" i="28"/>
  <c r="O25" i="28" l="1"/>
  <c r="P24" i="28"/>
  <c r="T24" i="28"/>
  <c r="R25" i="28" l="1"/>
  <c r="H25" i="28" s="1"/>
  <c r="K25" i="28" l="1"/>
  <c r="G25" i="28"/>
  <c r="I26" i="28" l="1"/>
  <c r="N25" i="28"/>
  <c r="J25" i="28"/>
  <c r="L26" i="28" l="1"/>
  <c r="Q25" i="28"/>
  <c r="M25" i="28"/>
  <c r="P25" i="28" l="1"/>
  <c r="T25" i="28"/>
  <c r="O26" i="28"/>
  <c r="R26" i="28" l="1"/>
  <c r="H26" i="28" s="1"/>
  <c r="K26" i="28" l="1"/>
  <c r="G26" i="28"/>
  <c r="I27" i="28" l="1"/>
  <c r="N26" i="28"/>
  <c r="J26" i="28"/>
  <c r="L27" i="28" l="1"/>
  <c r="Q26" i="28"/>
  <c r="P26" i="28" s="1"/>
  <c r="M26" i="28"/>
  <c r="O27" i="28" l="1"/>
  <c r="R27" i="28"/>
  <c r="T26" i="28"/>
  <c r="H27" i="28" l="1"/>
  <c r="K27" i="28" l="1"/>
  <c r="G27" i="28"/>
  <c r="I28" i="28" l="1"/>
  <c r="N27" i="28"/>
  <c r="J27" i="28"/>
  <c r="L28" i="28" l="1"/>
  <c r="Q27" i="28"/>
  <c r="P27" i="28" s="1"/>
  <c r="M27" i="28"/>
  <c r="T27" i="28" l="1"/>
  <c r="O28" i="28"/>
  <c r="R28" i="28"/>
  <c r="H28" i="28" l="1"/>
  <c r="K28" i="28" l="1"/>
  <c r="G28" i="28"/>
  <c r="N28" i="28" l="1"/>
  <c r="J28" i="28"/>
  <c r="I29" i="28"/>
  <c r="L29" i="28" l="1"/>
  <c r="Q28" i="28"/>
  <c r="M28" i="28"/>
  <c r="O29" i="28" l="1"/>
  <c r="P28" i="28"/>
  <c r="T28" i="28"/>
  <c r="R29" i="28" l="1"/>
  <c r="H29" i="28" s="1"/>
  <c r="K29" i="28" l="1"/>
  <c r="G29" i="28"/>
  <c r="I30" i="28" l="1"/>
  <c r="N29" i="28"/>
  <c r="J29" i="28"/>
  <c r="L30" i="28" l="1"/>
  <c r="Q29" i="28"/>
  <c r="P29" i="28" s="1"/>
  <c r="M29" i="28"/>
  <c r="R30" i="28" l="1"/>
  <c r="O30" i="28"/>
  <c r="T29" i="28"/>
  <c r="H30" i="28" l="1"/>
  <c r="K30" i="28" s="1"/>
  <c r="G30" i="28" l="1"/>
  <c r="I31" i="28" s="1"/>
  <c r="N30" i="28"/>
  <c r="J30" i="28"/>
  <c r="L31" i="28" l="1"/>
  <c r="Q30" i="28"/>
  <c r="P30" i="28" s="1"/>
  <c r="M30" i="28"/>
  <c r="T30" i="28" l="1"/>
  <c r="R31" i="28"/>
  <c r="O31" i="28"/>
  <c r="H31" i="28" s="1"/>
  <c r="K31" i="28" l="1"/>
  <c r="G31" i="28"/>
  <c r="I32" i="28" l="1"/>
  <c r="N31" i="28"/>
  <c r="J31" i="28"/>
  <c r="Q31" i="28" l="1"/>
  <c r="P31" i="28" s="1"/>
  <c r="M31" i="28"/>
  <c r="L32" i="28"/>
  <c r="T31" i="28" l="1"/>
  <c r="O32" i="28"/>
  <c r="R32" i="28"/>
  <c r="H32" i="28" l="1"/>
  <c r="K32" i="28" l="1"/>
  <c r="G32" i="28"/>
  <c r="I33" i="28" l="1"/>
  <c r="N32" i="28"/>
  <c r="J32" i="28"/>
  <c r="L33" i="28" l="1"/>
  <c r="Q32" i="28"/>
  <c r="M32" i="28"/>
  <c r="O33" i="28" l="1"/>
  <c r="P32" i="28"/>
  <c r="T32" i="28"/>
  <c r="R33" i="28" l="1"/>
  <c r="H33" i="28" s="1"/>
  <c r="K33" i="28" l="1"/>
  <c r="G33" i="28"/>
  <c r="I34" i="28" l="1"/>
  <c r="N33" i="28"/>
  <c r="J33" i="28"/>
  <c r="L34" i="28" l="1"/>
  <c r="Q33" i="28"/>
  <c r="P33" i="28" s="1"/>
  <c r="M33" i="28"/>
  <c r="T33" i="28" l="1"/>
  <c r="O34" i="28"/>
  <c r="R34" i="28"/>
  <c r="H34" i="28" l="1"/>
  <c r="K34" i="28" l="1"/>
  <c r="G34" i="28"/>
  <c r="N34" i="28" l="1"/>
  <c r="J34" i="28"/>
  <c r="I35" i="28"/>
  <c r="L35" i="28" l="1"/>
  <c r="Q34" i="28"/>
  <c r="M34" i="28"/>
  <c r="O35" i="28" l="1"/>
  <c r="P34" i="28"/>
  <c r="T34" i="28"/>
  <c r="R35" i="28" l="1"/>
  <c r="H35" i="28" s="1"/>
  <c r="K35" i="28" l="1"/>
  <c r="G35" i="28"/>
  <c r="N35" i="28" l="1"/>
  <c r="J35" i="28"/>
  <c r="I36" i="28"/>
  <c r="L36" i="28" l="1"/>
  <c r="Q35" i="28"/>
  <c r="M35" i="28"/>
  <c r="O36" i="28" l="1"/>
  <c r="P35" i="28"/>
  <c r="T35" i="28"/>
  <c r="R36" i="28" l="1"/>
  <c r="H36" i="28" s="1"/>
  <c r="K36" i="28" l="1"/>
  <c r="G36" i="28"/>
  <c r="N36" i="28" l="1"/>
  <c r="J36" i="28"/>
  <c r="I37" i="28"/>
  <c r="L37" i="28" l="1"/>
  <c r="Q36" i="28"/>
  <c r="P36" i="28" s="1"/>
  <c r="M36" i="28"/>
  <c r="T36" i="28" l="1"/>
  <c r="O37" i="28"/>
  <c r="R37" i="28"/>
  <c r="H37" i="28" l="1"/>
  <c r="K37" i="28"/>
  <c r="G37" i="28"/>
  <c r="I38" i="28" l="1"/>
  <c r="N37" i="28"/>
  <c r="J37" i="28"/>
  <c r="L38" i="28" l="1"/>
  <c r="Q37" i="28"/>
  <c r="P37" i="28" s="1"/>
  <c r="M37" i="28"/>
  <c r="O38" i="28" l="1"/>
  <c r="R38" i="28"/>
  <c r="T37" i="28"/>
  <c r="H38" i="28" l="1"/>
  <c r="K38" i="28" s="1"/>
  <c r="G38" i="28" l="1"/>
  <c r="I39" i="28"/>
  <c r="N38" i="28"/>
  <c r="J38" i="28"/>
  <c r="Q38" i="28" l="1"/>
  <c r="P38" i="28" s="1"/>
  <c r="M38" i="28"/>
  <c r="L39" i="28"/>
  <c r="T38" i="28" l="1"/>
  <c r="O39" i="28"/>
  <c r="R39" i="28"/>
  <c r="H39" i="28" l="1"/>
  <c r="K39" i="28" s="1"/>
  <c r="G39" i="28" l="1"/>
  <c r="I40" i="28"/>
  <c r="N39" i="28"/>
  <c r="J39" i="28"/>
  <c r="L40" i="28" l="1"/>
  <c r="Q39" i="28"/>
  <c r="M39" i="28"/>
  <c r="O40" i="28" l="1"/>
  <c r="P39" i="28"/>
  <c r="T39" i="28"/>
  <c r="R40" i="28" l="1"/>
  <c r="H40" i="28" s="1"/>
  <c r="K40" i="28" l="1"/>
  <c r="G40" i="28"/>
  <c r="N40" i="28" l="1"/>
  <c r="J40" i="28"/>
  <c r="I41" i="28"/>
  <c r="L41" i="28" l="1"/>
  <c r="Q40" i="28"/>
  <c r="M40" i="28"/>
  <c r="O41" i="28" l="1"/>
  <c r="P40" i="28"/>
  <c r="T40" i="28"/>
  <c r="R41" i="28" l="1"/>
  <c r="H41" i="28" s="1"/>
  <c r="K41" i="28" l="1"/>
  <c r="G41" i="28"/>
  <c r="I42" i="28" l="1"/>
  <c r="N41" i="28"/>
  <c r="J41" i="28"/>
  <c r="L42" i="28" l="1"/>
  <c r="Q41" i="28"/>
  <c r="M41" i="28"/>
  <c r="O42" i="28" l="1"/>
  <c r="P41" i="28"/>
  <c r="T41" i="28"/>
  <c r="R42" i="28" l="1"/>
  <c r="H42" i="28" s="1"/>
  <c r="K42" i="28" l="1"/>
  <c r="G42" i="28"/>
  <c r="N42" i="28" l="1"/>
  <c r="J42" i="28"/>
  <c r="I43" i="28"/>
  <c r="Q42" i="28" l="1"/>
  <c r="P42" i="28" s="1"/>
  <c r="M42" i="28"/>
  <c r="L43" i="28"/>
  <c r="R43" i="28" l="1"/>
  <c r="T42" i="28"/>
  <c r="O43" i="28"/>
  <c r="H43" i="28" s="1"/>
  <c r="K43" i="28" l="1"/>
  <c r="G43" i="28"/>
  <c r="I44" i="28" l="1"/>
  <c r="N43" i="28"/>
  <c r="J43" i="28"/>
  <c r="L44" i="28" l="1"/>
  <c r="Q43" i="28"/>
  <c r="P43" i="28" s="1"/>
  <c r="M43" i="28"/>
  <c r="T43" i="28" l="1"/>
  <c r="O44" i="28"/>
  <c r="R44" i="28"/>
  <c r="H44" i="28" l="1"/>
  <c r="K44" i="28" l="1"/>
  <c r="G44" i="28"/>
  <c r="N44" i="28" l="1"/>
  <c r="J44" i="28"/>
  <c r="I45" i="28"/>
  <c r="L45" i="28" l="1"/>
  <c r="Q44" i="28"/>
  <c r="M44" i="28"/>
  <c r="P44" i="28" l="1"/>
  <c r="T44" i="28"/>
  <c r="O45" i="28"/>
  <c r="R45" i="28" l="1"/>
  <c r="H45" i="28" s="1"/>
  <c r="K45" i="28" l="1"/>
  <c r="G45" i="28"/>
  <c r="I46" i="28" l="1"/>
  <c r="N45" i="28"/>
  <c r="J45" i="28"/>
  <c r="L46" i="28" l="1"/>
  <c r="Q45" i="28"/>
  <c r="M45" i="28"/>
  <c r="P45" i="28" l="1"/>
  <c r="T45" i="28"/>
  <c r="O46" i="28"/>
  <c r="R46" i="28" l="1"/>
  <c r="H46" i="28" s="1"/>
  <c r="K46" i="28" l="1"/>
  <c r="G46" i="28"/>
  <c r="N46" i="28" l="1"/>
  <c r="J46" i="28"/>
  <c r="I47" i="28"/>
  <c r="L47" i="28" l="1"/>
  <c r="Q46" i="28"/>
  <c r="M46" i="28"/>
  <c r="O47" i="28" l="1"/>
  <c r="P46" i="28"/>
  <c r="T46" i="28"/>
  <c r="R47" i="28" l="1"/>
  <c r="H47" i="28" s="1"/>
  <c r="K47" i="28" l="1"/>
  <c r="G47" i="28"/>
  <c r="N47" i="28" l="1"/>
  <c r="J47" i="28"/>
  <c r="I48" i="28"/>
  <c r="L48" i="28" l="1"/>
  <c r="Q47" i="28"/>
  <c r="M47" i="28"/>
  <c r="O48" i="28" l="1"/>
  <c r="P47" i="28"/>
  <c r="T47" i="28"/>
  <c r="R48" i="28" l="1"/>
  <c r="H48" i="28"/>
  <c r="K48" i="28" l="1"/>
  <c r="G48" i="28"/>
  <c r="I49" i="28" l="1"/>
  <c r="N48" i="28"/>
  <c r="J48" i="28"/>
  <c r="Q48" i="28" l="1"/>
  <c r="P48" i="28" s="1"/>
  <c r="M48" i="28"/>
  <c r="L49" i="28"/>
  <c r="T48" i="28" l="1"/>
  <c r="O49" i="28"/>
  <c r="R49" i="28"/>
  <c r="H49" i="28" l="1"/>
  <c r="K49" i="28" l="1"/>
  <c r="G49" i="28"/>
  <c r="I50" i="28" l="1"/>
  <c r="N49" i="28"/>
  <c r="J49" i="28"/>
  <c r="Q49" i="28" l="1"/>
  <c r="P49" i="28" s="1"/>
  <c r="M49" i="28"/>
  <c r="T49" i="28"/>
  <c r="L50" i="28"/>
  <c r="O50" i="28" l="1"/>
  <c r="R50" i="28"/>
  <c r="H50" i="28" l="1"/>
  <c r="K50" i="28" l="1"/>
  <c r="G50" i="28"/>
  <c r="N50" i="28" l="1"/>
  <c r="J50" i="28"/>
  <c r="I51" i="28"/>
  <c r="L51" i="28" l="1"/>
  <c r="Q50" i="28"/>
  <c r="M50" i="28"/>
  <c r="P50" i="28" l="1"/>
  <c r="T50" i="28"/>
  <c r="O51" i="28"/>
  <c r="R51" i="28" l="1"/>
  <c r="H51" i="28" s="1"/>
  <c r="K51" i="28" l="1"/>
  <c r="G51" i="28"/>
  <c r="I52" i="28" l="1"/>
  <c r="N51" i="28"/>
  <c r="J51" i="28"/>
  <c r="Q51" i="28" l="1"/>
  <c r="P51" i="28" s="1"/>
  <c r="M51" i="28"/>
  <c r="L52" i="28"/>
  <c r="T51" i="28" l="1"/>
  <c r="O52" i="28"/>
  <c r="R52" i="28"/>
  <c r="H52" i="28" l="1"/>
  <c r="K52" i="28" l="1"/>
  <c r="G52" i="28"/>
  <c r="I53" i="28" l="1"/>
  <c r="N52" i="28"/>
  <c r="J52" i="28"/>
  <c r="L53" i="28" l="1"/>
  <c r="Q52" i="28"/>
  <c r="P52" i="28" s="1"/>
  <c r="M52" i="28"/>
  <c r="O53" i="28" l="1"/>
  <c r="R53" i="28"/>
  <c r="T52" i="28"/>
  <c r="H53" i="28" l="1"/>
  <c r="K53" i="28" s="1"/>
  <c r="G53" i="28" l="1"/>
  <c r="N53" i="28"/>
  <c r="J53" i="28"/>
  <c r="I54" i="28"/>
  <c r="L54" i="28" l="1"/>
  <c r="Q53" i="28"/>
  <c r="M53" i="28"/>
  <c r="O54" i="28" l="1"/>
  <c r="P53" i="28"/>
  <c r="T53" i="28"/>
  <c r="R54" i="28" l="1"/>
  <c r="H54" i="28"/>
  <c r="K54" i="28" l="1"/>
  <c r="G54" i="28"/>
  <c r="I55" i="28" l="1"/>
  <c r="N54" i="28"/>
  <c r="J54" i="28"/>
  <c r="L55" i="28" l="1"/>
  <c r="Q54" i="28"/>
  <c r="M54" i="28"/>
  <c r="O55" i="28" l="1"/>
  <c r="P54" i="28"/>
  <c r="T54" i="28"/>
  <c r="R55" i="28" l="1"/>
  <c r="H55" i="28" s="1"/>
  <c r="K55" i="28" l="1"/>
  <c r="G55" i="28"/>
  <c r="N55" i="28" l="1"/>
  <c r="J55" i="28"/>
  <c r="L56" i="28" l="1"/>
  <c r="Q55" i="28"/>
  <c r="M55" i="28"/>
  <c r="O56" i="28" l="1"/>
  <c r="P55" i="28"/>
  <c r="M5" i="28" s="1"/>
  <c r="T55" i="28"/>
  <c r="M8" i="28" s="1"/>
  <c r="R56" i="28" l="1"/>
  <c r="H56" i="28" s="1"/>
  <c r="K56" i="28" l="1"/>
  <c r="G56" i="28"/>
  <c r="N56" i="28" l="1"/>
  <c r="J56" i="28"/>
  <c r="L57" i="28" l="1"/>
  <c r="Q56" i="28"/>
  <c r="M56" i="28"/>
  <c r="O57" i="28" l="1"/>
  <c r="P56" i="28"/>
  <c r="T56" i="28"/>
  <c r="R57" i="28" l="1"/>
  <c r="H57" i="28" s="1"/>
  <c r="K57" i="28" l="1"/>
  <c r="G57" i="28"/>
  <c r="N57" i="28" l="1"/>
  <c r="J57" i="28"/>
  <c r="L58" i="28" l="1"/>
  <c r="Q57" i="28"/>
  <c r="M57" i="28"/>
  <c r="O58" i="28" l="1"/>
  <c r="P57" i="28"/>
  <c r="T57" i="28"/>
  <c r="R58" i="28" l="1"/>
  <c r="H58" i="28" s="1"/>
  <c r="K58" i="28" l="1"/>
  <c r="G58" i="28"/>
  <c r="N58" i="28" l="1"/>
  <c r="J58" i="28"/>
  <c r="L59" i="28" l="1"/>
  <c r="Q58" i="28"/>
  <c r="M58" i="28"/>
  <c r="O59" i="28" l="1"/>
  <c r="P58" i="28"/>
  <c r="T58" i="28"/>
  <c r="R59" i="28" l="1"/>
  <c r="H59" i="28" s="1"/>
  <c r="K59" i="28" l="1"/>
  <c r="G59" i="28"/>
  <c r="N59" i="28" l="1"/>
  <c r="J59" i="28"/>
  <c r="L60" i="28" l="1"/>
  <c r="Q59" i="28"/>
  <c r="M59" i="28"/>
  <c r="O60" i="28" l="1"/>
  <c r="P59" i="28"/>
  <c r="T59" i="28"/>
  <c r="R60" i="28" l="1"/>
  <c r="H60" i="28" s="1"/>
  <c r="K60" i="28" l="1"/>
  <c r="G60" i="28"/>
  <c r="N60" i="28" l="1"/>
  <c r="J60" i="28"/>
  <c r="L61" i="28" l="1"/>
  <c r="Q60" i="28"/>
  <c r="M60" i="28"/>
  <c r="O61" i="28" l="1"/>
  <c r="P60" i="28"/>
  <c r="T60" i="28"/>
  <c r="R61" i="28" l="1"/>
  <c r="H61" i="28" s="1"/>
  <c r="K61" i="28" l="1"/>
  <c r="G61" i="28"/>
  <c r="N61" i="28" l="1"/>
  <c r="J61" i="28"/>
  <c r="L62" i="28" l="1"/>
  <c r="Q61" i="28"/>
  <c r="M61" i="28"/>
  <c r="O62" i="28" l="1"/>
  <c r="P61" i="28"/>
  <c r="T61" i="28"/>
  <c r="R62" i="28" l="1"/>
  <c r="H62" i="28" s="1"/>
  <c r="K62" i="28" l="1"/>
  <c r="G62" i="28"/>
  <c r="N62" i="28" l="1"/>
  <c r="J62" i="28"/>
  <c r="L63" i="28" l="1"/>
  <c r="Q62" i="28"/>
  <c r="P62" i="28" s="1"/>
  <c r="M62" i="28"/>
  <c r="T62" i="28" l="1"/>
  <c r="O63" i="28"/>
  <c r="R63" i="28"/>
  <c r="H63" i="28" s="1"/>
  <c r="K63" i="28" l="1"/>
  <c r="G63" i="28"/>
  <c r="N63" i="28" l="1"/>
  <c r="J63" i="28"/>
  <c r="L64" i="28" l="1"/>
  <c r="Q63" i="28"/>
  <c r="P63" i="28" s="1"/>
  <c r="M63" i="28"/>
  <c r="O64" i="28" l="1"/>
  <c r="R64" i="28"/>
  <c r="H64" i="28" s="1"/>
  <c r="T63" i="28"/>
  <c r="K64" i="28" l="1"/>
  <c r="G64" i="28"/>
  <c r="N64" i="28" l="1"/>
  <c r="J64" i="28"/>
  <c r="L65" i="28" l="1"/>
  <c r="Q64" i="28"/>
  <c r="M64" i="28"/>
  <c r="O65" i="28" l="1"/>
  <c r="P64" i="28"/>
  <c r="T64" i="28"/>
  <c r="R65" i="28" l="1"/>
  <c r="H65" i="28" s="1"/>
  <c r="K65" i="28" l="1"/>
  <c r="G65" i="28"/>
  <c r="N65" i="28" l="1"/>
  <c r="J65" i="28"/>
  <c r="Q65" i="28" l="1"/>
  <c r="P65" i="28" s="1"/>
  <c r="M65" i="28"/>
  <c r="L66" i="28"/>
  <c r="T65" i="28" l="1"/>
  <c r="O66" i="28"/>
  <c r="R66" i="28"/>
  <c r="H66" i="28" l="1"/>
  <c r="K66" i="28" s="1"/>
  <c r="G66" i="28"/>
  <c r="N66" i="28" l="1"/>
  <c r="J66" i="28"/>
  <c r="L67" i="28" l="1"/>
  <c r="Q66" i="28"/>
  <c r="M66" i="28"/>
  <c r="O67" i="28" l="1"/>
  <c r="P66" i="28"/>
  <c r="T66" i="28"/>
  <c r="R67" i="28" l="1"/>
  <c r="H67" i="28" s="1"/>
  <c r="K67" i="28" l="1"/>
  <c r="G67" i="28"/>
  <c r="N67" i="28" l="1"/>
  <c r="J67" i="28"/>
  <c r="L68" i="28" l="1"/>
  <c r="Q67" i="28"/>
  <c r="M67" i="28"/>
  <c r="O68" i="28" l="1"/>
  <c r="P67" i="28"/>
  <c r="T67" i="28"/>
  <c r="R68" i="28" l="1"/>
  <c r="H68" i="28" s="1"/>
  <c r="K68" i="28" l="1"/>
  <c r="G68" i="28"/>
  <c r="N68" i="28" l="1"/>
  <c r="J68" i="28"/>
  <c r="L69" i="28" l="1"/>
  <c r="Q68" i="28"/>
  <c r="M68" i="28"/>
  <c r="P68" i="28" l="1"/>
  <c r="T68" i="28"/>
  <c r="O69" i="28"/>
  <c r="R69" i="28" l="1"/>
  <c r="H69" i="28" s="1"/>
  <c r="K69" i="28" l="1"/>
  <c r="G69" i="28"/>
  <c r="N69" i="28" l="1"/>
  <c r="J69" i="28"/>
  <c r="L70" i="28" l="1"/>
  <c r="Q69" i="28"/>
  <c r="M69" i="28"/>
  <c r="P69" i="28" l="1"/>
  <c r="T69" i="28"/>
  <c r="O70" i="28"/>
  <c r="R70" i="28" l="1"/>
  <c r="H70" i="28" s="1"/>
  <c r="K70" i="28" l="1"/>
  <c r="G70" i="28"/>
  <c r="N70" i="28" l="1"/>
  <c r="J70" i="28"/>
  <c r="L71" i="28" l="1"/>
  <c r="Q70" i="28"/>
  <c r="M70" i="28"/>
  <c r="P70" i="28" l="1"/>
  <c r="T70" i="28"/>
  <c r="O71" i="28"/>
  <c r="R71" i="28" l="1"/>
  <c r="H71" i="28" s="1"/>
  <c r="K71" i="28" l="1"/>
  <c r="G71" i="28"/>
  <c r="N71" i="28" l="1"/>
  <c r="J71" i="28"/>
  <c r="L72" i="28" l="1"/>
  <c r="Q71" i="28"/>
  <c r="M71" i="28"/>
  <c r="O72" i="28" l="1"/>
  <c r="P71" i="28"/>
  <c r="T71" i="28"/>
  <c r="R72" i="28" l="1"/>
  <c r="H72" i="28" s="1"/>
  <c r="K72" i="28" l="1"/>
  <c r="G72" i="28"/>
  <c r="N72" i="28" l="1"/>
  <c r="J72" i="28"/>
  <c r="L73" i="28" l="1"/>
  <c r="Q72" i="28"/>
  <c r="M72" i="28"/>
  <c r="P72" i="28" l="1"/>
  <c r="T72" i="28"/>
  <c r="O73" i="28"/>
  <c r="R73" i="28" l="1"/>
  <c r="H73" i="28" s="1"/>
  <c r="K73" i="28" l="1"/>
  <c r="G73" i="28"/>
  <c r="N73" i="28" l="1"/>
  <c r="J73" i="28"/>
  <c r="L74" i="28" l="1"/>
  <c r="Q73" i="28"/>
  <c r="M73" i="28"/>
  <c r="P73" i="28" l="1"/>
  <c r="T73" i="28"/>
  <c r="O74" i="28"/>
  <c r="R74" i="28" l="1"/>
  <c r="H74" i="28" s="1"/>
  <c r="K74" i="28" l="1"/>
  <c r="G74" i="28"/>
  <c r="N74" i="28" l="1"/>
  <c r="J74" i="28"/>
  <c r="L75" i="28" l="1"/>
  <c r="Q74" i="28"/>
  <c r="M74" i="28"/>
  <c r="P74" i="28" l="1"/>
  <c r="T74" i="28"/>
  <c r="O75" i="28"/>
  <c r="R75" i="28" l="1"/>
  <c r="H75" i="28" s="1"/>
  <c r="K75" i="28" l="1"/>
  <c r="F4" i="28"/>
  <c r="G75" i="28"/>
  <c r="F11" i="28" s="1"/>
  <c r="F5" i="28" l="1"/>
  <c r="F8" i="28"/>
  <c r="G10" i="28"/>
  <c r="F10" i="28"/>
  <c r="N75" i="28"/>
  <c r="G4" i="28"/>
  <c r="J75" i="28"/>
  <c r="G5" i="28" l="1"/>
  <c r="G8" i="28"/>
  <c r="Q75" i="28"/>
  <c r="H4" i="28"/>
  <c r="H5" i="28" s="1" a="1"/>
  <c r="H5" i="28" s="1"/>
  <c r="H10" i="28"/>
  <c r="M75" i="28"/>
  <c r="F9" i="28"/>
  <c r="H8" i="28" l="1"/>
  <c r="H9" i="28"/>
  <c r="I4" i="28"/>
  <c r="I5" i="28" s="1" a="1"/>
  <c r="I5" i="28" s="1"/>
  <c r="I10" i="28"/>
  <c r="P75" i="28"/>
  <c r="T75" i="28"/>
  <c r="G9" i="28"/>
  <c r="I8" i="28" l="1"/>
  <c r="I9" i="28" s="1"/>
  <c r="J4" i="28"/>
  <c r="J8" i="28" l="1"/>
  <c r="J9" i="28"/>
  <c r="M9" i="28"/>
  <c r="G10" i="25" l="1"/>
  <c r="F10" i="25"/>
  <c r="B15" i="25"/>
  <c r="B14" i="25"/>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G11" i="27"/>
  <c r="I6" i="27"/>
  <c r="B11" i="27"/>
  <c r="H11" i="27" l="1"/>
  <c r="G12" i="27" s="1"/>
  <c r="H12" i="27" s="1"/>
  <c r="G13" i="27" s="1"/>
  <c r="C11" i="27"/>
  <c r="D6" i="27"/>
  <c r="B12" i="27" s="1"/>
  <c r="H13" i="27" l="1"/>
  <c r="G14" i="27" s="1"/>
  <c r="C12" i="27"/>
  <c r="B13" i="27" s="1"/>
  <c r="H14" i="27" l="1"/>
  <c r="G15" i="27" s="1"/>
  <c r="C13" i="27"/>
  <c r="B14" i="27" s="1"/>
  <c r="C14" i="27" l="1"/>
  <c r="B15" i="27" s="1"/>
  <c r="H15" i="27"/>
  <c r="G16" i="27" s="1"/>
  <c r="H16" i="27" l="1"/>
  <c r="G17" i="27" s="1"/>
  <c r="C15" i="27"/>
  <c r="B16" i="27" s="1"/>
  <c r="C16" i="27" l="1"/>
  <c r="B17" i="27" s="1"/>
  <c r="H17" i="27"/>
  <c r="G18" i="27"/>
  <c r="H18" i="27" l="1"/>
  <c r="G19" i="27" s="1"/>
  <c r="C17" i="27"/>
  <c r="B18" i="27" s="1"/>
  <c r="H19" i="27" l="1"/>
  <c r="G20" i="27" s="1"/>
  <c r="C18" i="27"/>
  <c r="B19" i="27" s="1"/>
  <c r="H20" i="27" l="1"/>
  <c r="G21" i="27" s="1"/>
  <c r="C19" i="27"/>
  <c r="B20" i="27" s="1"/>
  <c r="H21" i="27" l="1"/>
  <c r="G22" i="27" s="1"/>
  <c r="C20" i="27"/>
  <c r="B21" i="27" s="1"/>
  <c r="H22" i="27" l="1"/>
  <c r="G23" i="27" s="1"/>
  <c r="C21" i="27"/>
  <c r="B22" i="27" s="1"/>
  <c r="H23" i="27" l="1"/>
  <c r="G24" i="27" s="1"/>
  <c r="C22" i="27"/>
  <c r="B23" i="27" s="1"/>
  <c r="H24" i="27" l="1"/>
  <c r="G25" i="27" s="1"/>
  <c r="C23" i="27"/>
  <c r="B24" i="27" s="1"/>
  <c r="H25" i="27" l="1"/>
  <c r="G26" i="27" s="1"/>
  <c r="C24" i="27"/>
  <c r="B25" i="27" s="1"/>
  <c r="C25" i="27" l="1"/>
  <c r="B26" i="27"/>
  <c r="H26" i="27"/>
  <c r="G27" i="27" s="1"/>
  <c r="H27" i="27" l="1"/>
  <c r="G28" i="27" s="1"/>
  <c r="C26" i="27"/>
  <c r="B27" i="27" s="1"/>
  <c r="H28" i="27" l="1"/>
  <c r="G29" i="27" s="1"/>
  <c r="C27" i="27"/>
  <c r="B28" i="27" s="1"/>
  <c r="H29" i="27" l="1"/>
  <c r="G30" i="27" s="1"/>
  <c r="C28" i="27"/>
  <c r="B29" i="27" s="1"/>
  <c r="C29" i="27" l="1"/>
  <c r="B30" i="27" s="1"/>
  <c r="H30" i="27"/>
  <c r="G31" i="27" s="1"/>
  <c r="C30" i="27" l="1"/>
  <c r="B31" i="27" s="1"/>
  <c r="H31" i="27"/>
  <c r="G32" i="27"/>
  <c r="C31" i="27" l="1"/>
  <c r="B32" i="27" s="1"/>
  <c r="H32" i="27"/>
  <c r="G33" i="27" s="1"/>
  <c r="H33" i="27" l="1"/>
  <c r="G34" i="27" s="1"/>
  <c r="C32" i="27"/>
  <c r="B33" i="27"/>
  <c r="C33" i="27" l="1"/>
  <c r="B34" i="27" s="1"/>
  <c r="H34" i="27"/>
  <c r="G35" i="27" s="1"/>
  <c r="H35" i="27" l="1"/>
  <c r="G36" i="27" s="1"/>
  <c r="C34" i="27"/>
  <c r="B35" i="27" s="1"/>
  <c r="C35" i="27" l="1"/>
  <c r="B36" i="27" s="1"/>
  <c r="H36" i="27"/>
  <c r="G37" i="27" s="1"/>
  <c r="H37" i="27" l="1"/>
  <c r="G38" i="27" s="1"/>
  <c r="C36" i="27"/>
  <c r="B37" i="27" s="1"/>
  <c r="C37" i="27" l="1"/>
  <c r="B38" i="27" s="1"/>
  <c r="H38" i="27"/>
  <c r="G39" i="27" s="1"/>
  <c r="H39" i="27" l="1"/>
  <c r="G40" i="27" s="1"/>
  <c r="C38" i="27"/>
  <c r="B39" i="27"/>
  <c r="H40" i="27" l="1"/>
  <c r="G41" i="27" s="1"/>
  <c r="C39" i="27"/>
  <c r="B40" i="27" s="1"/>
  <c r="C40" i="27" l="1"/>
  <c r="B41" i="27" s="1"/>
  <c r="H41" i="27"/>
  <c r="G42" i="27" s="1"/>
  <c r="H42" i="27" l="1"/>
  <c r="G43" i="27" s="1"/>
  <c r="C41" i="27"/>
  <c r="B42" i="27" s="1"/>
  <c r="C42" i="27" l="1"/>
  <c r="B43" i="27" s="1"/>
  <c r="H43" i="27"/>
  <c r="G44" i="27" s="1"/>
  <c r="H44" i="27" l="1"/>
  <c r="G45" i="27"/>
  <c r="C43" i="27"/>
  <c r="B44" i="27" s="1"/>
  <c r="C44" i="27" l="1"/>
  <c r="B45" i="27" s="1"/>
  <c r="H45" i="27"/>
  <c r="G46" i="27" s="1"/>
  <c r="H46" i="27" l="1"/>
  <c r="G47" i="27" s="1"/>
  <c r="C45" i="27"/>
  <c r="B46" i="27" s="1"/>
  <c r="C46" i="27" l="1"/>
  <c r="B47" i="27" s="1"/>
  <c r="H47" i="27"/>
  <c r="G48" i="27"/>
  <c r="H48" i="27" l="1"/>
  <c r="G49" i="27" s="1"/>
  <c r="C47" i="27"/>
  <c r="B48" i="27" s="1"/>
  <c r="C48" i="27" l="1"/>
  <c r="B49" i="27" s="1"/>
  <c r="H49" i="27"/>
  <c r="G50" i="27"/>
  <c r="H50" i="27" l="1"/>
  <c r="G51" i="27" s="1"/>
  <c r="C49" i="27"/>
  <c r="B50" i="27" s="1"/>
  <c r="C50" i="27" l="1"/>
  <c r="B51" i="27" s="1"/>
  <c r="H51" i="27"/>
  <c r="G52" i="27" s="1"/>
  <c r="H52" i="27" l="1"/>
  <c r="G53" i="27" s="1"/>
  <c r="C51" i="27"/>
  <c r="B52" i="27" s="1"/>
  <c r="C52" i="27" l="1"/>
  <c r="B53" i="27" s="1"/>
  <c r="H53" i="27"/>
  <c r="G54" i="27" s="1"/>
  <c r="H54" i="27" l="1"/>
  <c r="G55" i="27"/>
  <c r="C53" i="27"/>
  <c r="B54" i="27" s="1"/>
  <c r="H55" i="27" l="1"/>
  <c r="G56" i="27" s="1"/>
  <c r="C54" i="27"/>
  <c r="B55" i="27" s="1"/>
  <c r="C55" i="27" l="1"/>
  <c r="B56" i="27" s="1"/>
  <c r="H56" i="27"/>
  <c r="G57" i="27" s="1"/>
  <c r="H57" i="27" l="1"/>
  <c r="G58" i="27"/>
  <c r="C56" i="27"/>
  <c r="B57" i="27" s="1"/>
  <c r="C57" i="27" l="1"/>
  <c r="B58" i="27" s="1"/>
  <c r="H58" i="27"/>
  <c r="G59" i="27" s="1"/>
  <c r="H59" i="27" l="1"/>
  <c r="G60" i="27" s="1"/>
  <c r="C58" i="27"/>
  <c r="B59" i="27" s="1"/>
  <c r="C59" i="27" l="1"/>
  <c r="B60" i="27" s="1"/>
  <c r="H60" i="27"/>
  <c r="G61" i="27"/>
  <c r="H61" i="27" l="1"/>
  <c r="G62" i="27" s="1"/>
  <c r="C60" i="27"/>
  <c r="B61" i="27" s="1"/>
  <c r="C61" i="27" l="1"/>
  <c r="B62" i="27" s="1"/>
  <c r="H62" i="27"/>
  <c r="G63" i="27" s="1"/>
  <c r="C62" i="27" l="1"/>
  <c r="B63" i="27" s="1"/>
  <c r="H63" i="27"/>
  <c r="G64" i="27" s="1"/>
  <c r="H64" i="27" l="1"/>
  <c r="G65" i="27" s="1"/>
  <c r="H65" i="27" s="1"/>
  <c r="I7" i="27" s="1"/>
  <c r="C11" i="12" s="1"/>
  <c r="B33" i="4" s="1"/>
  <c r="C63" i="27"/>
  <c r="B64" i="27" s="1"/>
  <c r="C64" i="27" l="1"/>
  <c r="B65" i="27" s="1"/>
  <c r="C65" i="27" l="1"/>
  <c r="B66" i="27" s="1"/>
  <c r="C66" i="27" l="1"/>
  <c r="B67" i="27" s="1"/>
  <c r="C67" i="27" l="1"/>
  <c r="B68" i="27" s="1"/>
  <c r="C68" i="27" l="1"/>
  <c r="B69" i="27" s="1"/>
  <c r="C69" i="27" l="1"/>
  <c r="B70" i="27" s="1"/>
  <c r="C70" i="27" l="1"/>
  <c r="B71" i="27" s="1"/>
  <c r="C71" i="27" l="1"/>
  <c r="B72" i="27" s="1"/>
  <c r="C72" i="27" l="1"/>
  <c r="B73" i="27" s="1"/>
  <c r="C73" i="27" l="1"/>
  <c r="B74" i="27" s="1"/>
  <c r="C74" i="27" l="1"/>
  <c r="B75" i="27" s="1"/>
  <c r="C75" i="27" l="1"/>
  <c r="B76" i="27" s="1"/>
  <c r="C76" i="27" l="1"/>
  <c r="B77" i="27" s="1"/>
  <c r="C77" i="27" l="1"/>
  <c r="B78" i="27" s="1"/>
  <c r="C78" i="27" l="1"/>
  <c r="B79" i="27" s="1"/>
  <c r="C79" i="27" l="1"/>
  <c r="B80" i="27" s="1"/>
  <c r="C80" i="27" l="1"/>
  <c r="B81" i="27" s="1"/>
  <c r="C81" i="27" l="1"/>
  <c r="B82" i="27" s="1"/>
  <c r="C82" i="27" l="1"/>
  <c r="B83" i="27" s="1"/>
  <c r="C83" i="27" l="1"/>
  <c r="B84" i="27" s="1"/>
  <c r="C84" i="27" l="1"/>
  <c r="B85" i="27" s="1"/>
  <c r="C85" i="27" l="1"/>
  <c r="B86" i="27" s="1"/>
  <c r="C86" i="27" l="1"/>
  <c r="B87" i="27" s="1"/>
  <c r="C87" i="27" l="1"/>
  <c r="B88" i="27" s="1"/>
  <c r="C88" i="27" l="1"/>
  <c r="B89" i="27" s="1"/>
  <c r="C89" i="27" l="1"/>
  <c r="B90" i="27" s="1"/>
  <c r="C90" i="27" l="1"/>
  <c r="B91" i="27" s="1"/>
  <c r="C91" i="27" l="1"/>
  <c r="B92" i="27" s="1"/>
  <c r="C92" i="27" l="1"/>
  <c r="B93" i="27" s="1"/>
  <c r="C93" i="27" l="1"/>
  <c r="B94" i="27" s="1"/>
  <c r="C94" i="27" l="1"/>
  <c r="B95" i="27" s="1"/>
  <c r="C95" i="27" l="1"/>
  <c r="B96" i="27" s="1"/>
  <c r="C96" i="27" l="1"/>
  <c r="B97" i="27" s="1"/>
  <c r="C97" i="27" l="1"/>
  <c r="B98" i="27" s="1"/>
  <c r="C98" i="27" l="1"/>
  <c r="B99" i="27" s="1"/>
  <c r="C99" i="27" l="1"/>
  <c r="B100" i="27" s="1"/>
  <c r="C100" i="27" l="1"/>
  <c r="B101" i="27" s="1"/>
  <c r="C101" i="27" l="1"/>
  <c r="B102" i="27" s="1"/>
  <c r="C102" i="27" l="1"/>
  <c r="B103" i="27" s="1"/>
  <c r="C103" i="27" l="1"/>
  <c r="B104" i="27" s="1"/>
  <c r="C104" i="27" l="1"/>
  <c r="B105" i="27" s="1"/>
  <c r="C105" i="27" l="1"/>
  <c r="B106" i="27" s="1"/>
  <c r="C106" i="27" l="1"/>
  <c r="B107" i="27" s="1"/>
  <c r="C107" i="27" l="1"/>
  <c r="B108" i="27" s="1"/>
  <c r="C108" i="27" l="1"/>
  <c r="B109" i="27" s="1"/>
  <c r="C109" i="27" l="1"/>
  <c r="B110" i="27" s="1"/>
  <c r="C110" i="27" l="1"/>
  <c r="B111" i="27" s="1"/>
  <c r="C111" i="27" l="1"/>
  <c r="B112" i="27" s="1"/>
  <c r="C112" i="27" l="1"/>
  <c r="B113" i="27" s="1"/>
  <c r="C113" i="27" l="1"/>
  <c r="B114" i="27" s="1"/>
  <c r="C114" i="27" l="1"/>
  <c r="B115" i="27" s="1"/>
  <c r="C115" i="27" l="1"/>
  <c r="B116" i="27" s="1"/>
  <c r="C116" i="27" l="1"/>
  <c r="B117" i="27" s="1"/>
  <c r="C117" i="27" l="1"/>
  <c r="B118" i="27" s="1"/>
  <c r="C118" i="27" l="1"/>
  <c r="B119" i="27" s="1"/>
  <c r="C119" i="27" l="1"/>
  <c r="B120" i="27" s="1"/>
  <c r="C120" i="27" l="1"/>
  <c r="B121" i="27" s="1"/>
  <c r="C121" i="27" l="1"/>
  <c r="B122" i="27" s="1"/>
  <c r="C122" i="27" l="1"/>
  <c r="B123" i="27" s="1"/>
  <c r="C123" i="27" l="1"/>
  <c r="B124" i="27" s="1"/>
  <c r="C124" i="27" l="1"/>
  <c r="B125" i="27"/>
  <c r="C125" i="27" l="1"/>
  <c r="B126" i="27"/>
  <c r="C126" i="27" l="1"/>
  <c r="B127" i="27" s="1"/>
  <c r="C127" i="27" l="1"/>
  <c r="B128" i="27" s="1"/>
  <c r="C128" i="27" l="1"/>
  <c r="B129" i="27" s="1"/>
  <c r="C129" i="27" l="1"/>
  <c r="B130" i="27" s="1"/>
  <c r="C130" i="27" l="1"/>
  <c r="B131" i="27" s="1"/>
  <c r="C131" i="27" l="1"/>
  <c r="B132" i="27" s="1"/>
  <c r="C132" i="27" l="1"/>
  <c r="B133" i="27" s="1"/>
  <c r="C133" i="27" l="1"/>
  <c r="B134" i="27" s="1"/>
  <c r="C134" i="27" l="1"/>
  <c r="B135" i="27" s="1"/>
  <c r="C135" i="27" l="1"/>
  <c r="B136" i="27" s="1"/>
  <c r="C136" i="27" l="1"/>
  <c r="B137" i="27" s="1"/>
  <c r="C137" i="27" l="1"/>
  <c r="B138" i="27" s="1"/>
  <c r="C138" i="27" l="1"/>
  <c r="B139" i="27" s="1"/>
  <c r="C139" i="27" l="1"/>
  <c r="B140" i="27" s="1"/>
  <c r="C140" i="27" l="1"/>
  <c r="B141" i="27" s="1"/>
  <c r="C141" i="27" l="1"/>
  <c r="B142" i="27" s="1"/>
  <c r="C142" i="27" l="1"/>
  <c r="B143" i="27" s="1"/>
  <c r="C143" i="27" l="1"/>
  <c r="B144" i="27" s="1"/>
  <c r="C144" i="27" l="1"/>
  <c r="B145" i="27" s="1"/>
  <c r="C145" i="27" l="1"/>
  <c r="B146" i="27" s="1"/>
  <c r="C146" i="27" l="1"/>
  <c r="B147" i="27" s="1"/>
  <c r="C147" i="27" l="1"/>
  <c r="B148" i="27" s="1"/>
  <c r="C148" i="27" l="1"/>
  <c r="B149" i="27" s="1"/>
  <c r="C149" i="27" l="1"/>
  <c r="B150" i="27" s="1"/>
  <c r="C150" i="27" l="1"/>
  <c r="B151" i="27" s="1"/>
  <c r="C151" i="27" l="1"/>
  <c r="B152" i="27" s="1"/>
  <c r="C152" i="27" l="1"/>
  <c r="B153" i="27" s="1"/>
  <c r="C153" i="27" l="1"/>
  <c r="B154" i="27" s="1"/>
  <c r="C154" i="27" l="1"/>
  <c r="B155" i="27" s="1"/>
  <c r="C155" i="27" l="1"/>
  <c r="B156" i="27" s="1"/>
  <c r="C156" i="27" l="1"/>
  <c r="B157" i="27" s="1"/>
  <c r="C157" i="27" l="1"/>
  <c r="B158" i="27" s="1"/>
  <c r="C158" i="27" l="1"/>
  <c r="B159" i="27" s="1"/>
  <c r="C159" i="27" l="1"/>
  <c r="B160" i="27" s="1"/>
  <c r="C160" i="27" l="1"/>
  <c r="B161" i="27" s="1"/>
  <c r="C161" i="27" l="1"/>
  <c r="B162" i="27" s="1"/>
  <c r="C162" i="27" l="1"/>
  <c r="B163" i="27" s="1"/>
  <c r="C163" i="27" l="1"/>
  <c r="B164" i="27" s="1"/>
  <c r="C164" i="27" l="1"/>
  <c r="B165" i="27" s="1"/>
  <c r="C165" i="27" l="1"/>
  <c r="B166" i="27" s="1"/>
  <c r="C166" i="27" l="1"/>
  <c r="B167" i="27" s="1"/>
  <c r="C167" i="27" l="1"/>
  <c r="B168" i="27" s="1"/>
  <c r="C168" i="27" l="1"/>
  <c r="B169" i="27" s="1"/>
  <c r="C169" i="27" l="1"/>
  <c r="B170" i="27" s="1"/>
  <c r="C170" i="27" l="1"/>
  <c r="B171" i="27" s="1"/>
  <c r="C171" i="27" l="1"/>
  <c r="B172" i="27" s="1"/>
  <c r="C172" i="27" l="1"/>
  <c r="B173" i="27"/>
  <c r="C173" i="27" l="1"/>
  <c r="B174" i="27" s="1"/>
  <c r="C174" i="27" l="1"/>
  <c r="B175" i="27" s="1"/>
  <c r="C175" i="27" l="1"/>
  <c r="B176" i="27" s="1"/>
  <c r="C176" i="27" l="1"/>
  <c r="B177" i="27" s="1"/>
  <c r="C177" i="27" l="1"/>
  <c r="B178" i="27" s="1"/>
  <c r="C178" i="27" l="1"/>
  <c r="B179" i="27" s="1"/>
  <c r="C179" i="27" l="1"/>
  <c r="B180" i="27" s="1"/>
  <c r="C180" i="27" l="1"/>
  <c r="B181" i="27" s="1"/>
  <c r="C181" i="27" l="1"/>
  <c r="B182" i="27" s="1"/>
  <c r="C182" i="27" l="1"/>
  <c r="B183" i="27" s="1"/>
  <c r="C183" i="27" l="1"/>
  <c r="B184" i="27" s="1"/>
  <c r="C184" i="27" l="1"/>
  <c r="B185" i="27" s="1"/>
  <c r="C185" i="27" l="1"/>
  <c r="B186" i="27" s="1"/>
  <c r="C186" i="27" l="1"/>
  <c r="B187" i="27" s="1"/>
  <c r="C187" i="27" l="1"/>
  <c r="B188" i="27" s="1"/>
  <c r="C188" i="27" l="1"/>
  <c r="B189" i="27"/>
  <c r="C189" i="27" l="1"/>
  <c r="B190" i="27" s="1"/>
  <c r="C190" i="27" l="1"/>
  <c r="B191" i="27" s="1"/>
  <c r="C191" i="27" l="1"/>
  <c r="B192" i="27" s="1"/>
  <c r="C192" i="27" l="1"/>
  <c r="B193" i="27" s="1"/>
  <c r="C193" i="27" l="1"/>
  <c r="B194" i="27" s="1"/>
  <c r="C194" i="27" l="1"/>
  <c r="B195" i="27" s="1"/>
  <c r="C195" i="27" l="1"/>
  <c r="B196" i="27" s="1"/>
  <c r="C196" i="27" l="1"/>
  <c r="B197" i="27" s="1"/>
  <c r="C197" i="27" l="1"/>
  <c r="B198" i="27" s="1"/>
  <c r="C198" i="27" l="1"/>
  <c r="B199" i="27" s="1"/>
  <c r="C199" i="27" l="1"/>
  <c r="B200" i="27" s="1"/>
  <c r="C200" i="27" l="1"/>
  <c r="B201" i="27" s="1"/>
  <c r="C201" i="27" l="1"/>
  <c r="B202" i="27" s="1"/>
  <c r="C202" i="27" l="1"/>
  <c r="B203" i="27" s="1"/>
  <c r="C203" i="27" l="1"/>
  <c r="B204" i="27" s="1"/>
  <c r="C204" i="27" l="1"/>
  <c r="B205" i="27" s="1"/>
  <c r="C205" i="27" l="1"/>
  <c r="B206" i="27"/>
  <c r="C206" i="27" l="1"/>
  <c r="B207" i="27" s="1"/>
  <c r="C207" i="27" l="1"/>
  <c r="B208" i="27" s="1"/>
  <c r="C208" i="27" l="1"/>
  <c r="B209" i="27" s="1"/>
  <c r="C209" i="27" l="1"/>
  <c r="B210" i="27" s="1"/>
  <c r="C210" i="27" l="1"/>
  <c r="B211" i="27" s="1"/>
  <c r="C211" i="27" l="1"/>
  <c r="B212" i="27" s="1"/>
  <c r="C212" i="27" l="1"/>
  <c r="B213" i="27" s="1"/>
  <c r="C213" i="27" l="1"/>
  <c r="B214" i="27" s="1"/>
  <c r="C214" i="27" l="1"/>
  <c r="B215" i="27" s="1"/>
  <c r="C215" i="27" s="1"/>
  <c r="D7" i="27" s="1"/>
  <c r="C10" i="12" s="1"/>
  <c r="B28" i="4" l="1"/>
  <c r="D3" i="21"/>
  <c r="J3" i="21"/>
  <c r="C8" i="12"/>
  <c r="E33" i="26"/>
  <c r="E35" i="26" s="1"/>
  <c r="E26" i="26"/>
  <c r="E28" i="26" s="1"/>
  <c r="E20" i="26"/>
  <c r="E22" i="26" s="1"/>
  <c r="E14" i="26"/>
  <c r="E16" i="26" s="1"/>
  <c r="A4" i="26"/>
  <c r="A5" i="26" s="1"/>
  <c r="A6" i="26" s="1"/>
  <c r="A7" i="26" s="1"/>
  <c r="A8" i="26" s="1"/>
  <c r="A10" i="26" s="1"/>
  <c r="A11" i="26" s="1"/>
  <c r="A12" i="26" s="1"/>
  <c r="A13" i="26" s="1"/>
  <c r="A14" i="26" s="1"/>
  <c r="A15" i="26" s="1"/>
  <c r="A16" i="26" s="1"/>
  <c r="A18" i="26" s="1"/>
  <c r="A19" i="26" s="1"/>
  <c r="A20" i="26" s="1"/>
  <c r="A21" i="26" s="1"/>
  <c r="A22" i="26" s="1"/>
  <c r="A24" i="26" s="1"/>
  <c r="A25" i="26" s="1"/>
  <c r="A26" i="26" s="1"/>
  <c r="A27" i="26" s="1"/>
  <c r="A28" i="26" s="1"/>
  <c r="A30" i="26" s="1"/>
  <c r="A31" i="26" s="1"/>
  <c r="A32" i="26" s="1"/>
  <c r="A33" i="26" s="1"/>
  <c r="A34" i="26" s="1"/>
  <c r="A35" i="26" s="1"/>
  <c r="A37" i="26" s="1"/>
  <c r="A39" i="26" s="1"/>
  <c r="A41" i="26" s="1"/>
  <c r="C9" i="12" l="1"/>
  <c r="B20" i="4" s="1"/>
  <c r="B16" i="4"/>
  <c r="B27" i="4"/>
  <c r="E41" i="26"/>
  <c r="B6" i="4"/>
  <c r="B7" i="4" l="1"/>
  <c r="E8" i="12"/>
  <c r="B32" i="4"/>
  <c r="B34" i="4" s="1"/>
  <c r="G7" i="6"/>
  <c r="E18" i="22" l="1"/>
  <c r="G12" i="22" s="1"/>
  <c r="K12" i="22" s="1"/>
  <c r="C28" i="22"/>
  <c r="M28" i="22" s="1"/>
  <c r="A32" i="22"/>
  <c r="A33" i="22" s="1"/>
  <c r="A35" i="22" s="1"/>
  <c r="A37" i="22" s="1"/>
  <c r="A40" i="22" s="1"/>
  <c r="A42" i="22" s="1"/>
  <c r="A44" i="22" s="1"/>
  <c r="A46" i="22" s="1"/>
  <c r="M35" i="22"/>
  <c r="M37" i="22" s="1"/>
  <c r="B11" i="21"/>
  <c r="H11" i="21"/>
  <c r="J4"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G12" i="21"/>
  <c r="G13" i="21" s="1"/>
  <c r="G14" i="21" s="1"/>
  <c r="G15" i="21" s="1"/>
  <c r="G16" i="21" s="1"/>
  <c r="G17" i="21" s="1"/>
  <c r="G18" i="21" s="1"/>
  <c r="G19" i="21" s="1"/>
  <c r="G20" i="21" s="1"/>
  <c r="G21" i="21" s="1"/>
  <c r="G22" i="21" s="1"/>
  <c r="G23" i="21" s="1"/>
  <c r="G24" i="21" s="1"/>
  <c r="G25" i="21" s="1"/>
  <c r="G26" i="21" s="1"/>
  <c r="G27" i="21" s="1"/>
  <c r="G28" i="21" s="1"/>
  <c r="G29" i="21" s="1"/>
  <c r="G30" i="21" s="1"/>
  <c r="G31" i="21" s="1"/>
  <c r="G32" i="21" s="1"/>
  <c r="G33" i="21" s="1"/>
  <c r="G34" i="21" s="1"/>
  <c r="G35" i="21" s="1"/>
  <c r="G36" i="21" s="1"/>
  <c r="G37" i="21" s="1"/>
  <c r="G38" i="21" s="1"/>
  <c r="G39" i="21" s="1"/>
  <c r="G40" i="21" s="1"/>
  <c r="G41" i="21" s="1"/>
  <c r="G42" i="21" s="1"/>
  <c r="G43" i="21" s="1"/>
  <c r="G44" i="21" s="1"/>
  <c r="G45" i="21" s="1"/>
  <c r="G46" i="21" s="1"/>
  <c r="G47" i="21" s="1"/>
  <c r="G48" i="21" s="1"/>
  <c r="G49" i="21" s="1"/>
  <c r="G50" i="21" s="1"/>
  <c r="G51" i="21" s="1"/>
  <c r="G52" i="21" s="1"/>
  <c r="G53" i="21" s="1"/>
  <c r="G54" i="21" s="1"/>
  <c r="G55" i="21" s="1"/>
  <c r="G56" i="21" s="1"/>
  <c r="G57" i="21" s="1"/>
  <c r="G58" i="21" s="1"/>
  <c r="G59" i="21" s="1"/>
  <c r="G60" i="21" s="1"/>
  <c r="G61" i="21" s="1"/>
  <c r="G62" i="21" s="1"/>
  <c r="G63" i="21" s="1"/>
  <c r="G64" i="21" s="1"/>
  <c r="G65" i="21" s="1"/>
  <c r="G66" i="21" s="1"/>
  <c r="G67" i="21" s="1"/>
  <c r="G68" i="21" s="1"/>
  <c r="G69" i="21" s="1"/>
  <c r="G70" i="21" s="1"/>
  <c r="G71" i="21" s="1"/>
  <c r="G72" i="21" s="1"/>
  <c r="G73" i="21" s="1"/>
  <c r="G74" i="21" s="1"/>
  <c r="G75" i="21" s="1"/>
  <c r="G76" i="21" s="1"/>
  <c r="G77" i="21" s="1"/>
  <c r="G78" i="21" s="1"/>
  <c r="G79" i="21" s="1"/>
  <c r="G80" i="21" s="1"/>
  <c r="G81" i="21" s="1"/>
  <c r="G82" i="21" s="1"/>
  <c r="G83" i="21" s="1"/>
  <c r="G84" i="21" s="1"/>
  <c r="G85" i="21" s="1"/>
  <c r="G86" i="21" s="1"/>
  <c r="G87" i="21" s="1"/>
  <c r="G88" i="21" s="1"/>
  <c r="G89" i="21" s="1"/>
  <c r="G90" i="21" s="1"/>
  <c r="G91" i="21" s="1"/>
  <c r="G92" i="21" s="1"/>
  <c r="G93" i="21" s="1"/>
  <c r="G94" i="21" s="1"/>
  <c r="G95" i="21" s="1"/>
  <c r="G96" i="21" s="1"/>
  <c r="G97" i="21" s="1"/>
  <c r="G98" i="21" s="1"/>
  <c r="G99" i="21" s="1"/>
  <c r="G100" i="21" s="1"/>
  <c r="G101" i="21" s="1"/>
  <c r="G102" i="21" s="1"/>
  <c r="G103" i="21" s="1"/>
  <c r="G104" i="21" s="1"/>
  <c r="G105" i="21" s="1"/>
  <c r="G106" i="21" s="1"/>
  <c r="G107" i="21" s="1"/>
  <c r="G108" i="21" s="1"/>
  <c r="G109" i="21" s="1"/>
  <c r="G110" i="21" s="1"/>
  <c r="G111" i="21" s="1"/>
  <c r="G112" i="21" s="1"/>
  <c r="G113" i="21" s="1"/>
  <c r="G114" i="21" s="1"/>
  <c r="G115" i="21" s="1"/>
  <c r="G116" i="21" s="1"/>
  <c r="G117" i="21" s="1"/>
  <c r="G118" i="21" s="1"/>
  <c r="G119" i="21" s="1"/>
  <c r="G120" i="21" s="1"/>
  <c r="G121" i="21" s="1"/>
  <c r="G122" i="21" s="1"/>
  <c r="G123" i="21" s="1"/>
  <c r="G124" i="21" s="1"/>
  <c r="G125" i="21" s="1"/>
  <c r="G126" i="21" s="1"/>
  <c r="G127" i="21" s="1"/>
  <c r="G128" i="21" s="1"/>
  <c r="G129" i="21" s="1"/>
  <c r="G130" i="21" s="1"/>
  <c r="G131" i="21" s="1"/>
  <c r="G132" i="21" s="1"/>
  <c r="G133" i="21" s="1"/>
  <c r="G134" i="21" s="1"/>
  <c r="G135" i="21" s="1"/>
  <c r="G136" i="21" s="1"/>
  <c r="G137" i="21" s="1"/>
  <c r="G138" i="21" s="1"/>
  <c r="G139" i="21" s="1"/>
  <c r="G140" i="21" s="1"/>
  <c r="G141" i="21" s="1"/>
  <c r="G142" i="21" s="1"/>
  <c r="G143" i="21" s="1"/>
  <c r="G144" i="21" s="1"/>
  <c r="G145" i="21" s="1"/>
  <c r="G146" i="21" s="1"/>
  <c r="G147" i="21" s="1"/>
  <c r="G148" i="21" s="1"/>
  <c r="G149" i="21" s="1"/>
  <c r="G150" i="21" s="1"/>
  <c r="G151" i="21" s="1"/>
  <c r="G152" i="21" s="1"/>
  <c r="G153" i="21" s="1"/>
  <c r="G154" i="21" s="1"/>
  <c r="G155" i="21" s="1"/>
  <c r="G156" i="21" s="1"/>
  <c r="G157" i="21" s="1"/>
  <c r="G158" i="21" s="1"/>
  <c r="G159" i="21" s="1"/>
  <c r="G160" i="21" s="1"/>
  <c r="G161" i="21" s="1"/>
  <c r="G162" i="21" s="1"/>
  <c r="G163" i="21" s="1"/>
  <c r="G164" i="21" s="1"/>
  <c r="G165" i="21" s="1"/>
  <c r="G166" i="21" s="1"/>
  <c r="G167" i="21" s="1"/>
  <c r="G168" i="21" s="1"/>
  <c r="G169" i="21" s="1"/>
  <c r="G170" i="21" s="1"/>
  <c r="G171" i="21" s="1"/>
  <c r="G172" i="21" s="1"/>
  <c r="G173" i="21" s="1"/>
  <c r="G174" i="21" s="1"/>
  <c r="G175" i="21" s="1"/>
  <c r="G176" i="21" s="1"/>
  <c r="G177" i="21" s="1"/>
  <c r="G178" i="21" s="1"/>
  <c r="G179" i="21" s="1"/>
  <c r="G180" i="21" s="1"/>
  <c r="G181" i="21" s="1"/>
  <c r="G182" i="21" s="1"/>
  <c r="G183" i="21" s="1"/>
  <c r="G184" i="21" s="1"/>
  <c r="G185" i="21" s="1"/>
  <c r="G186" i="21" s="1"/>
  <c r="G187" i="21" s="1"/>
  <c r="G188" i="21" s="1"/>
  <c r="G189" i="21" s="1"/>
  <c r="G190" i="21" s="1"/>
  <c r="G191" i="21" s="1"/>
  <c r="G192" i="21" s="1"/>
  <c r="G193" i="21" s="1"/>
  <c r="G194" i="21" s="1"/>
  <c r="G195" i="21" s="1"/>
  <c r="G196" i="21" s="1"/>
  <c r="G197" i="21" s="1"/>
  <c r="G198" i="21" s="1"/>
  <c r="G199" i="21" s="1"/>
  <c r="G200" i="21" s="1"/>
  <c r="G201" i="21" s="1"/>
  <c r="G202" i="21" s="1"/>
  <c r="G203" i="21" s="1"/>
  <c r="G204" i="21" s="1"/>
  <c r="G205" i="21" s="1"/>
  <c r="G206" i="21" s="1"/>
  <c r="G207" i="21" s="1"/>
  <c r="G208" i="21" s="1"/>
  <c r="G209" i="21" s="1"/>
  <c r="G210" i="21" s="1"/>
  <c r="G211" i="21" s="1"/>
  <c r="G212" i="21" s="1"/>
  <c r="G213" i="21" s="1"/>
  <c r="G214" i="21" s="1"/>
  <c r="G215" i="21" s="1"/>
  <c r="G216" i="21" s="1"/>
  <c r="G217" i="21" s="1"/>
  <c r="G218" i="21" s="1"/>
  <c r="G219" i="21" s="1"/>
  <c r="G220" i="21" s="1"/>
  <c r="G221" i="21" s="1"/>
  <c r="G222" i="21" s="1"/>
  <c r="G223" i="21" s="1"/>
  <c r="G224" i="21" s="1"/>
  <c r="G225" i="21" s="1"/>
  <c r="G226" i="21" s="1"/>
  <c r="G227" i="21" s="1"/>
  <c r="G228" i="21" s="1"/>
  <c r="G229" i="21" s="1"/>
  <c r="G230" i="21" s="1"/>
  <c r="G231" i="21" s="1"/>
  <c r="G232" i="21" s="1"/>
  <c r="G233" i="21" s="1"/>
  <c r="G234" i="21" s="1"/>
  <c r="G235" i="21" s="1"/>
  <c r="G236" i="21" s="1"/>
  <c r="G237" i="21" s="1"/>
  <c r="G238" i="21" s="1"/>
  <c r="G239" i="21" s="1"/>
  <c r="G240" i="21" s="1"/>
  <c r="G241" i="21" s="1"/>
  <c r="G242" i="21" s="1"/>
  <c r="G243" i="21" s="1"/>
  <c r="G244" i="21" s="1"/>
  <c r="G245" i="21" s="1"/>
  <c r="G246" i="21" s="1"/>
  <c r="G247" i="21" s="1"/>
  <c r="G248" i="21" s="1"/>
  <c r="G249" i="21" s="1"/>
  <c r="G250" i="21" s="1"/>
  <c r="G251" i="21" s="1"/>
  <c r="G16" i="22" l="1"/>
  <c r="K16" i="22" s="1"/>
  <c r="G14" i="22"/>
  <c r="K14" i="22" s="1"/>
  <c r="O14" i="22" s="1"/>
  <c r="O12" i="22"/>
  <c r="M40" i="22"/>
  <c r="G8" i="6"/>
  <c r="K18" i="22" l="1"/>
  <c r="C6" i="12" s="1"/>
  <c r="G18" i="22"/>
  <c r="D5" i="21"/>
  <c r="M42" i="22"/>
  <c r="M44" i="22" s="1"/>
  <c r="M46" i="22" s="1"/>
  <c r="M16" i="22" s="1"/>
  <c r="O16" i="22" s="1"/>
  <c r="O18" i="22" s="1"/>
  <c r="C7" i="12" s="1"/>
  <c r="B6" i="1" l="1"/>
  <c r="F13" i="1" s="1"/>
  <c r="B6" i="14"/>
  <c r="F13" i="14" s="1"/>
  <c r="J5" i="21"/>
  <c r="C11" i="21"/>
  <c r="D6" i="21"/>
  <c r="B8" i="4"/>
  <c r="B12" i="21" l="1"/>
  <c r="C12" i="21" s="1"/>
  <c r="B13" i="21" s="1"/>
  <c r="J6" i="21"/>
  <c r="I11" i="21"/>
  <c r="C13" i="21"/>
  <c r="H12" i="21" l="1"/>
  <c r="I12" i="21" s="1"/>
  <c r="H13" i="21" s="1"/>
  <c r="I13" i="21" s="1"/>
  <c r="H14" i="21" s="1"/>
  <c r="B14" i="21"/>
  <c r="I14" i="21" l="1"/>
  <c r="H15" i="21" s="1"/>
  <c r="C14" i="21"/>
  <c r="B15" i="21" s="1"/>
  <c r="I15" i="21" l="1"/>
  <c r="H16" i="21" s="1"/>
  <c r="C15" i="21"/>
  <c r="B16" i="21" s="1"/>
  <c r="C16" i="21" l="1"/>
  <c r="B17" i="21" s="1"/>
  <c r="I16" i="21"/>
  <c r="H17" i="21" s="1"/>
  <c r="I17" i="21" l="1"/>
  <c r="H18" i="21" s="1"/>
  <c r="C17" i="21"/>
  <c r="B18" i="21" s="1"/>
  <c r="I18" i="21" l="1"/>
  <c r="H19" i="21" s="1"/>
  <c r="C18" i="21"/>
  <c r="B19" i="21" s="1"/>
  <c r="C19" i="21" l="1"/>
  <c r="B20" i="21" s="1"/>
  <c r="I19" i="21"/>
  <c r="H20" i="21" s="1"/>
  <c r="I20" i="21" l="1"/>
  <c r="H21" i="21" s="1"/>
  <c r="C20" i="21"/>
  <c r="B21" i="21"/>
  <c r="I21" i="21" l="1"/>
  <c r="H22" i="21" s="1"/>
  <c r="C21" i="21"/>
  <c r="B22" i="21" s="1"/>
  <c r="C22" i="21" l="1"/>
  <c r="B23" i="21" s="1"/>
  <c r="I22" i="21"/>
  <c r="H23" i="21" s="1"/>
  <c r="I23" i="21" l="1"/>
  <c r="H24" i="21" s="1"/>
  <c r="C23" i="21"/>
  <c r="B24" i="21" s="1"/>
  <c r="I24" i="21" l="1"/>
  <c r="H25" i="21" s="1"/>
  <c r="C24" i="21"/>
  <c r="B25" i="21" s="1"/>
  <c r="C25" i="21" l="1"/>
  <c r="B26" i="21" s="1"/>
  <c r="I25" i="21"/>
  <c r="H26" i="21" s="1"/>
  <c r="I26" i="21" l="1"/>
  <c r="H27" i="21" s="1"/>
  <c r="C26" i="21"/>
  <c r="B27" i="21" s="1"/>
  <c r="C27" i="21" l="1"/>
  <c r="B28" i="21" s="1"/>
  <c r="I27" i="21"/>
  <c r="H28" i="21" s="1"/>
  <c r="I28" i="21" l="1"/>
  <c r="H29" i="21" s="1"/>
  <c r="C28" i="21"/>
  <c r="B29" i="21" s="1"/>
  <c r="C29" i="21" l="1"/>
  <c r="B30" i="21" s="1"/>
  <c r="I29" i="21"/>
  <c r="H30" i="21" s="1"/>
  <c r="I30" i="21" l="1"/>
  <c r="H31" i="21" s="1"/>
  <c r="C30" i="21"/>
  <c r="B31" i="21"/>
  <c r="I31" i="21" l="1"/>
  <c r="H32" i="21" s="1"/>
  <c r="C31" i="21"/>
  <c r="B32" i="21" s="1"/>
  <c r="C32" i="21" l="1"/>
  <c r="B33" i="21" s="1"/>
  <c r="I32" i="21"/>
  <c r="H33" i="21" s="1"/>
  <c r="I33" i="21" l="1"/>
  <c r="H34" i="21" s="1"/>
  <c r="C33" i="21"/>
  <c r="B34" i="21" s="1"/>
  <c r="C34" i="21" l="1"/>
  <c r="B35" i="21" s="1"/>
  <c r="I34" i="21"/>
  <c r="H35" i="21" s="1"/>
  <c r="I35" i="21" l="1"/>
  <c r="H36" i="21" s="1"/>
  <c r="C35" i="21"/>
  <c r="B36" i="21" s="1"/>
  <c r="C36" i="21" l="1"/>
  <c r="B37" i="21" s="1"/>
  <c r="I36" i="21"/>
  <c r="H37" i="21" s="1"/>
  <c r="I37" i="21" l="1"/>
  <c r="H38" i="21" s="1"/>
  <c r="C37" i="21"/>
  <c r="B38" i="21" s="1"/>
  <c r="C38" i="21" l="1"/>
  <c r="B39" i="21" s="1"/>
  <c r="I38" i="21"/>
  <c r="H39" i="21" s="1"/>
  <c r="I39" i="21" l="1"/>
  <c r="H40" i="21" s="1"/>
  <c r="C39" i="21"/>
  <c r="B40" i="21" s="1"/>
  <c r="C40" i="21" l="1"/>
  <c r="B41" i="21" s="1"/>
  <c r="I40" i="21"/>
  <c r="H41" i="21" s="1"/>
  <c r="I41" i="21" l="1"/>
  <c r="H42" i="21" s="1"/>
  <c r="C41" i="21"/>
  <c r="B42" i="21" s="1"/>
  <c r="C42" i="21" l="1"/>
  <c r="B43" i="21" s="1"/>
  <c r="I42" i="21"/>
  <c r="H43" i="21" s="1"/>
  <c r="I43" i="21" l="1"/>
  <c r="H44" i="21" s="1"/>
  <c r="C43" i="21"/>
  <c r="B44" i="21" s="1"/>
  <c r="I44" i="21" l="1"/>
  <c r="H45" i="21" s="1"/>
  <c r="C44" i="21"/>
  <c r="B45" i="21" s="1"/>
  <c r="I45" i="21" l="1"/>
  <c r="H46" i="21" s="1"/>
  <c r="C45" i="21"/>
  <c r="B46" i="21" s="1"/>
  <c r="C46" i="21" l="1"/>
  <c r="B47" i="21" s="1"/>
  <c r="I46" i="21"/>
  <c r="H47" i="21" s="1"/>
  <c r="I47" i="21" l="1"/>
  <c r="H48" i="21" s="1"/>
  <c r="C47" i="21"/>
  <c r="B48" i="21" s="1"/>
  <c r="I48" i="21" l="1"/>
  <c r="H49" i="21" s="1"/>
  <c r="C48" i="21"/>
  <c r="B49" i="21" s="1"/>
  <c r="I49" i="21" l="1"/>
  <c r="H50" i="21" s="1"/>
  <c r="C49" i="21"/>
  <c r="B50" i="21" s="1"/>
  <c r="C50" i="21" l="1"/>
  <c r="B51" i="21" s="1"/>
  <c r="I50" i="21"/>
  <c r="H51" i="21" s="1"/>
  <c r="I51" i="21" l="1"/>
  <c r="H52" i="21" s="1"/>
  <c r="C51" i="21"/>
  <c r="B52" i="21" s="1"/>
  <c r="C52" i="21" l="1"/>
  <c r="B53" i="21" s="1"/>
  <c r="I52" i="21"/>
  <c r="H53" i="21" s="1"/>
  <c r="I53" i="21" l="1"/>
  <c r="H54" i="21" s="1"/>
  <c r="C53" i="21"/>
  <c r="B54" i="21" s="1"/>
  <c r="C54" i="21" l="1"/>
  <c r="B55" i="21" s="1"/>
  <c r="I54" i="21"/>
  <c r="H55" i="21" s="1"/>
  <c r="I55" i="21" l="1"/>
  <c r="H56" i="21" s="1"/>
  <c r="C55" i="21"/>
  <c r="B56" i="21" s="1"/>
  <c r="I56" i="21" l="1"/>
  <c r="H57" i="21" s="1"/>
  <c r="C56" i="21"/>
  <c r="B57" i="21" s="1"/>
  <c r="I57" i="21" l="1"/>
  <c r="H58" i="21" s="1"/>
  <c r="C57" i="21"/>
  <c r="B58" i="21" s="1"/>
  <c r="C58" i="21" l="1"/>
  <c r="B59" i="21" s="1"/>
  <c r="I58" i="21"/>
  <c r="H59" i="21" s="1"/>
  <c r="I59" i="21" l="1"/>
  <c r="H60" i="21" s="1"/>
  <c r="C59" i="21"/>
  <c r="B60" i="21" s="1"/>
  <c r="I60" i="21" l="1"/>
  <c r="H61" i="21" s="1"/>
  <c r="C60" i="21"/>
  <c r="B61" i="21"/>
  <c r="I61" i="21" l="1"/>
  <c r="H62" i="21" s="1"/>
  <c r="C61" i="21"/>
  <c r="B62" i="21" s="1"/>
  <c r="C62" i="21" l="1"/>
  <c r="B63" i="21" s="1"/>
  <c r="I62" i="21"/>
  <c r="H63" i="21" s="1"/>
  <c r="I63" i="21" l="1"/>
  <c r="H64" i="21" s="1"/>
  <c r="C63" i="21"/>
  <c r="B64" i="21" s="1"/>
  <c r="I64" i="21" l="1"/>
  <c r="H65" i="21" s="1"/>
  <c r="C64" i="21"/>
  <c r="B65" i="21" s="1"/>
  <c r="I65" i="21" l="1"/>
  <c r="H66" i="21" s="1"/>
  <c r="C65" i="21"/>
  <c r="B66" i="21" s="1"/>
  <c r="I66" i="21" l="1"/>
  <c r="H67" i="21" s="1"/>
  <c r="C66" i="21"/>
  <c r="B67" i="21" s="1"/>
  <c r="I67" i="21" l="1"/>
  <c r="H68" i="21" s="1"/>
  <c r="C67" i="21"/>
  <c r="B68" i="21" s="1"/>
  <c r="C68" i="21" l="1"/>
  <c r="B69" i="21" s="1"/>
  <c r="I68" i="21"/>
  <c r="H69" i="21" s="1"/>
  <c r="I69" i="21" l="1"/>
  <c r="H70" i="21" s="1"/>
  <c r="C69" i="21"/>
  <c r="B70" i="21" s="1"/>
  <c r="C70" i="21" l="1"/>
  <c r="B71" i="21" s="1"/>
  <c r="I70" i="21"/>
  <c r="H71" i="21" s="1"/>
  <c r="I71" i="21" l="1"/>
  <c r="H72" i="21" s="1"/>
  <c r="C71" i="21"/>
  <c r="B72" i="21" s="1"/>
  <c r="I72" i="21" l="1"/>
  <c r="H73" i="21" s="1"/>
  <c r="C72" i="21"/>
  <c r="B73" i="21" s="1"/>
  <c r="I73" i="21" l="1"/>
  <c r="H74" i="21" s="1"/>
  <c r="C73" i="21"/>
  <c r="B74" i="21" s="1"/>
  <c r="C74" i="21" l="1"/>
  <c r="B75" i="21" s="1"/>
  <c r="I74" i="21"/>
  <c r="H75" i="21" s="1"/>
  <c r="I75" i="21" l="1"/>
  <c r="H76" i="21" s="1"/>
  <c r="C75" i="21"/>
  <c r="B76" i="21" s="1"/>
  <c r="I76" i="21" l="1"/>
  <c r="H77" i="21" s="1"/>
  <c r="C76" i="21"/>
  <c r="B77" i="21" s="1"/>
  <c r="C77" i="21" l="1"/>
  <c r="B78" i="21" s="1"/>
  <c r="I77" i="21"/>
  <c r="H78" i="21" s="1"/>
  <c r="C78" i="21" l="1"/>
  <c r="B79" i="21" s="1"/>
  <c r="I78" i="21"/>
  <c r="H79" i="21" s="1"/>
  <c r="I79" i="21" l="1"/>
  <c r="H80" i="21" s="1"/>
  <c r="C79" i="21"/>
  <c r="B80" i="21" s="1"/>
  <c r="I80" i="21" l="1"/>
  <c r="H81" i="21" s="1"/>
  <c r="C80" i="21"/>
  <c r="B81" i="21" s="1"/>
  <c r="I81" i="21" l="1"/>
  <c r="H82" i="21" s="1"/>
  <c r="C81" i="21"/>
  <c r="B82" i="21" s="1"/>
  <c r="C82" i="21" l="1"/>
  <c r="B83" i="21" s="1"/>
  <c r="I82" i="21"/>
  <c r="H83" i="21" s="1"/>
  <c r="I83" i="21" l="1"/>
  <c r="H84" i="21" s="1"/>
  <c r="C83" i="21"/>
  <c r="B84" i="21" s="1"/>
  <c r="I84" i="21" l="1"/>
  <c r="H85" i="21" s="1"/>
  <c r="C84" i="21"/>
  <c r="B85" i="21"/>
  <c r="I85" i="21" l="1"/>
  <c r="H86" i="21" s="1"/>
  <c r="C85" i="21"/>
  <c r="B86" i="21" s="1"/>
  <c r="C86" i="21" l="1"/>
  <c r="B87" i="21" s="1"/>
  <c r="I86" i="21"/>
  <c r="H87" i="21" s="1"/>
  <c r="I87" i="21" l="1"/>
  <c r="H88" i="21" s="1"/>
  <c r="C87" i="21"/>
  <c r="B88" i="21" s="1"/>
  <c r="C88" i="21" l="1"/>
  <c r="B89" i="21" s="1"/>
  <c r="I88" i="21"/>
  <c r="H89" i="21" s="1"/>
  <c r="I89" i="21" l="1"/>
  <c r="H90" i="21" s="1"/>
  <c r="C89" i="21"/>
  <c r="B90" i="21" s="1"/>
  <c r="C90" i="21" l="1"/>
  <c r="B91" i="21" s="1"/>
  <c r="I90" i="21"/>
  <c r="H91" i="21" s="1"/>
  <c r="I91" i="21" l="1"/>
  <c r="H92" i="21" s="1"/>
  <c r="C91" i="21"/>
  <c r="B92" i="21" s="1"/>
  <c r="C92" i="21" l="1"/>
  <c r="B93" i="21" s="1"/>
  <c r="I92" i="21"/>
  <c r="H93" i="21" s="1"/>
  <c r="I93" i="21" l="1"/>
  <c r="H94" i="21" s="1"/>
  <c r="C93" i="21"/>
  <c r="B94" i="21" s="1"/>
  <c r="C94" i="21" l="1"/>
  <c r="B95" i="21"/>
  <c r="I94" i="21"/>
  <c r="H95" i="21" s="1"/>
  <c r="I95" i="21" l="1"/>
  <c r="H96" i="21" s="1"/>
  <c r="C95" i="21"/>
  <c r="B96" i="21" s="1"/>
  <c r="I96" i="21" l="1"/>
  <c r="H97" i="21" s="1"/>
  <c r="C96" i="21"/>
  <c r="B97" i="21" s="1"/>
  <c r="I97" i="21" l="1"/>
  <c r="H98" i="21" s="1"/>
  <c r="C97" i="21"/>
  <c r="B98" i="21" s="1"/>
  <c r="I98" i="21" l="1"/>
  <c r="H99" i="21" s="1"/>
  <c r="C98" i="21"/>
  <c r="B99" i="21" s="1"/>
  <c r="I99" i="21" l="1"/>
  <c r="H100" i="21" s="1"/>
  <c r="C99" i="21"/>
  <c r="B100" i="21" s="1"/>
  <c r="I100" i="21" l="1"/>
  <c r="H101" i="21" s="1"/>
  <c r="C100" i="21"/>
  <c r="B101" i="21" s="1"/>
  <c r="C101" i="21" l="1"/>
  <c r="B102" i="21" s="1"/>
  <c r="I101" i="21"/>
  <c r="H102" i="21" s="1"/>
  <c r="I102" i="21" l="1"/>
  <c r="H103" i="21" s="1"/>
  <c r="C102" i="21"/>
  <c r="B103" i="21"/>
  <c r="I103" i="21" l="1"/>
  <c r="H104" i="21" s="1"/>
  <c r="C103" i="21"/>
  <c r="B104" i="21" s="1"/>
  <c r="C104" i="21" l="1"/>
  <c r="B105" i="21" s="1"/>
  <c r="I104" i="21"/>
  <c r="H105" i="21" s="1"/>
  <c r="I105" i="21" l="1"/>
  <c r="H106" i="21" s="1"/>
  <c r="C105" i="21"/>
  <c r="B106" i="21" s="1"/>
  <c r="C106" i="21" l="1"/>
  <c r="B107" i="21" s="1"/>
  <c r="I106" i="21"/>
  <c r="H107" i="21" s="1"/>
  <c r="I107" i="21" l="1"/>
  <c r="H108" i="21" s="1"/>
  <c r="C107" i="21"/>
  <c r="B108" i="21" s="1"/>
  <c r="C108" i="21" l="1"/>
  <c r="B109" i="21" s="1"/>
  <c r="I108" i="21"/>
  <c r="H109" i="21" s="1"/>
  <c r="I109" i="21" l="1"/>
  <c r="H110" i="21" s="1"/>
  <c r="C109" i="21"/>
  <c r="B110" i="21" s="1"/>
  <c r="C110" i="21" l="1"/>
  <c r="B111" i="21" s="1"/>
  <c r="I110" i="21"/>
  <c r="H111" i="21" s="1"/>
  <c r="I111" i="21" l="1"/>
  <c r="H112" i="21" s="1"/>
  <c r="C111" i="21"/>
  <c r="B112" i="21" s="1"/>
  <c r="C112" i="21" l="1"/>
  <c r="B113" i="21" s="1"/>
  <c r="I112" i="21"/>
  <c r="H113" i="21" s="1"/>
  <c r="I113" i="21" l="1"/>
  <c r="H114" i="21" s="1"/>
  <c r="C113" i="21"/>
  <c r="B114" i="21" s="1"/>
  <c r="C114" i="21" l="1"/>
  <c r="B115" i="21" s="1"/>
  <c r="I114" i="21"/>
  <c r="H115" i="21" s="1"/>
  <c r="I115" i="21" l="1"/>
  <c r="H116" i="21" s="1"/>
  <c r="C115" i="21"/>
  <c r="B116" i="21" s="1"/>
  <c r="C116" i="21" l="1"/>
  <c r="B117" i="21" s="1"/>
  <c r="I116" i="21"/>
  <c r="H117" i="21"/>
  <c r="C117" i="21" l="1"/>
  <c r="B118" i="21" s="1"/>
  <c r="I117" i="21"/>
  <c r="H118" i="21" s="1"/>
  <c r="C118" i="21" l="1"/>
  <c r="B119" i="21" s="1"/>
  <c r="I118" i="21"/>
  <c r="H119" i="21" s="1"/>
  <c r="I119" i="21" l="1"/>
  <c r="H120" i="21" s="1"/>
  <c r="C119" i="21"/>
  <c r="B120" i="21" s="1"/>
  <c r="I120" i="21" l="1"/>
  <c r="H121" i="21" s="1"/>
  <c r="C120" i="21"/>
  <c r="B121" i="21" s="1"/>
  <c r="C121" i="21" l="1"/>
  <c r="B122" i="21" s="1"/>
  <c r="I121" i="21"/>
  <c r="H122" i="21" s="1"/>
  <c r="C122" i="21" l="1"/>
  <c r="B123" i="21" s="1"/>
  <c r="I122" i="21"/>
  <c r="H123" i="21" s="1"/>
  <c r="I123" i="21" l="1"/>
  <c r="H124" i="21" s="1"/>
  <c r="C123" i="21"/>
  <c r="B124" i="21" s="1"/>
  <c r="C124" i="21" l="1"/>
  <c r="B125" i="21" s="1"/>
  <c r="I124" i="21"/>
  <c r="H125" i="21" s="1"/>
  <c r="C125" i="21" l="1"/>
  <c r="B126" i="21" s="1"/>
  <c r="I125" i="21"/>
  <c r="H126" i="21" s="1"/>
  <c r="C126" i="21" l="1"/>
  <c r="B127" i="21" s="1"/>
  <c r="I126" i="21"/>
  <c r="H127" i="21" s="1"/>
  <c r="I127" i="21" l="1"/>
  <c r="H128" i="21" s="1"/>
  <c r="C127" i="21"/>
  <c r="B128" i="21" s="1"/>
  <c r="I128" i="21" l="1"/>
  <c r="H129" i="21" s="1"/>
  <c r="C128" i="21"/>
  <c r="B129" i="21" s="1"/>
  <c r="C129" i="21" l="1"/>
  <c r="B130" i="21" s="1"/>
  <c r="I129" i="21"/>
  <c r="H130" i="21" s="1"/>
  <c r="I130" i="21" l="1"/>
  <c r="H131" i="21" s="1"/>
  <c r="C130" i="21"/>
  <c r="B131" i="21" s="1"/>
  <c r="C131" i="21" l="1"/>
  <c r="B132" i="21" s="1"/>
  <c r="I131" i="21"/>
  <c r="H132" i="21" s="1"/>
  <c r="I132" i="21" l="1"/>
  <c r="H133" i="21" s="1"/>
  <c r="C132" i="21"/>
  <c r="B133" i="21" s="1"/>
  <c r="C133" i="21" l="1"/>
  <c r="B134" i="21" s="1"/>
  <c r="I133" i="21"/>
  <c r="H134" i="21" s="1"/>
  <c r="C134" i="21" l="1"/>
  <c r="B135" i="21" s="1"/>
  <c r="I134" i="21"/>
  <c r="H135" i="21" s="1"/>
  <c r="I135" i="21" l="1"/>
  <c r="H136" i="21" s="1"/>
  <c r="C135" i="21"/>
  <c r="B136" i="21" s="1"/>
  <c r="I136" i="21" l="1"/>
  <c r="H137" i="21"/>
  <c r="C136" i="21"/>
  <c r="B137" i="21" s="1"/>
  <c r="C137" i="21" l="1"/>
  <c r="B138" i="21" s="1"/>
  <c r="I137" i="21"/>
  <c r="H138" i="21" s="1"/>
  <c r="C138" i="21" l="1"/>
  <c r="B139" i="21" s="1"/>
  <c r="I138" i="21"/>
  <c r="H139" i="21" s="1"/>
  <c r="I139" i="21" l="1"/>
  <c r="H140" i="21" s="1"/>
  <c r="C139" i="21"/>
  <c r="B140" i="21" s="1"/>
  <c r="C140" i="21" l="1"/>
  <c r="B141" i="21" s="1"/>
  <c r="I140" i="21"/>
  <c r="H141" i="21" s="1"/>
  <c r="C141" i="21" l="1"/>
  <c r="B142" i="21" s="1"/>
  <c r="I141" i="21"/>
  <c r="H142" i="21"/>
  <c r="C142" i="21" l="1"/>
  <c r="B143" i="21" s="1"/>
  <c r="I142" i="21"/>
  <c r="H143" i="21" s="1"/>
  <c r="I143" i="21" l="1"/>
  <c r="H144" i="21" s="1"/>
  <c r="C143" i="21"/>
  <c r="B144" i="21" s="1"/>
  <c r="I144" i="21" l="1"/>
  <c r="H145" i="21" s="1"/>
  <c r="C144" i="21"/>
  <c r="B145" i="21" s="1"/>
  <c r="C145" i="21" l="1"/>
  <c r="B146" i="21" s="1"/>
  <c r="I145" i="21"/>
  <c r="H146" i="21" s="1"/>
  <c r="C146" i="21" l="1"/>
  <c r="B147" i="21" s="1"/>
  <c r="I146" i="21"/>
  <c r="H147" i="21" s="1"/>
  <c r="I147" i="21" l="1"/>
  <c r="H148" i="21" s="1"/>
  <c r="C147" i="21"/>
  <c r="B148" i="21" s="1"/>
  <c r="C148" i="21" l="1"/>
  <c r="B149" i="21" s="1"/>
  <c r="I148" i="21"/>
  <c r="H149" i="21" s="1"/>
  <c r="C149" i="21" l="1"/>
  <c r="B150" i="21" s="1"/>
  <c r="I149" i="21"/>
  <c r="H150" i="21" s="1"/>
  <c r="C150" i="21" l="1"/>
  <c r="B151" i="21" s="1"/>
  <c r="I150" i="21"/>
  <c r="H151" i="21" s="1"/>
  <c r="C151" i="21" l="1"/>
  <c r="B152" i="21"/>
  <c r="I151" i="21"/>
  <c r="H152" i="21" s="1"/>
  <c r="I152" i="21" l="1"/>
  <c r="H153" i="21" s="1"/>
  <c r="C152" i="21"/>
  <c r="B153" i="21" s="1"/>
  <c r="C153" i="21" l="1"/>
  <c r="B154" i="21" s="1"/>
  <c r="I153" i="21"/>
  <c r="H154" i="21" s="1"/>
  <c r="I154" i="21" l="1"/>
  <c r="H155" i="21" s="1"/>
  <c r="C154" i="21"/>
  <c r="B155" i="21" s="1"/>
  <c r="C155" i="21" l="1"/>
  <c r="B156" i="21" s="1"/>
  <c r="I155" i="21"/>
  <c r="H156" i="21" s="1"/>
  <c r="I156" i="21" l="1"/>
  <c r="H157" i="21" s="1"/>
  <c r="C156" i="21"/>
  <c r="B157" i="21" s="1"/>
  <c r="C157" i="21" l="1"/>
  <c r="B158" i="21" s="1"/>
  <c r="I157" i="21"/>
  <c r="H158" i="21" s="1"/>
  <c r="I158" i="21" l="1"/>
  <c r="H159" i="21" s="1"/>
  <c r="C158" i="21"/>
  <c r="B159" i="21" s="1"/>
  <c r="I159" i="21" l="1"/>
  <c r="H160" i="21" s="1"/>
  <c r="C159" i="21"/>
  <c r="B160" i="21" s="1"/>
  <c r="I160" i="21" l="1"/>
  <c r="H161" i="21" s="1"/>
  <c r="C160" i="21"/>
  <c r="B161" i="21" s="1"/>
  <c r="C161" i="21" l="1"/>
  <c r="B162" i="21" s="1"/>
  <c r="I161" i="21"/>
  <c r="H162" i="21" s="1"/>
  <c r="I162" i="21" l="1"/>
  <c r="H163" i="21" s="1"/>
  <c r="C162" i="21"/>
  <c r="B163" i="21" s="1"/>
  <c r="C163" i="21" l="1"/>
  <c r="B164" i="21" s="1"/>
  <c r="I163" i="21"/>
  <c r="H164" i="21" s="1"/>
  <c r="C164" i="21" l="1"/>
  <c r="B165" i="21" s="1"/>
  <c r="I164" i="21"/>
  <c r="H165" i="21" s="1"/>
  <c r="I165" i="21" l="1"/>
  <c r="H166" i="21" s="1"/>
  <c r="C165" i="21"/>
  <c r="B166" i="21" s="1"/>
  <c r="C166" i="21" l="1"/>
  <c r="B167" i="21" s="1"/>
  <c r="I166" i="21"/>
  <c r="H167" i="21" s="1"/>
  <c r="I167" i="21" l="1"/>
  <c r="H168" i="21" s="1"/>
  <c r="C167" i="21"/>
  <c r="B168" i="21" s="1"/>
  <c r="I168" i="21" l="1"/>
  <c r="H169" i="21" s="1"/>
  <c r="C168" i="21"/>
  <c r="B169" i="21" s="1"/>
  <c r="C169" i="21" l="1"/>
  <c r="B170" i="21" s="1"/>
  <c r="I169" i="21"/>
  <c r="H170" i="21" s="1"/>
  <c r="C170" i="21" l="1"/>
  <c r="B171" i="21" s="1"/>
  <c r="I170" i="21"/>
  <c r="H171" i="21" s="1"/>
  <c r="I171" i="21" l="1"/>
  <c r="H172" i="21" s="1"/>
  <c r="C171" i="21"/>
  <c r="B172" i="21" s="1"/>
  <c r="C172" i="21" l="1"/>
  <c r="B173" i="21" s="1"/>
  <c r="I172" i="21"/>
  <c r="H173" i="21" s="1"/>
  <c r="I173" i="21" l="1"/>
  <c r="H174" i="21" s="1"/>
  <c r="C173" i="21"/>
  <c r="B174" i="21" s="1"/>
  <c r="C174" i="21" l="1"/>
  <c r="B175" i="21" s="1"/>
  <c r="I174" i="21"/>
  <c r="H175" i="21" s="1"/>
  <c r="I175" i="21" l="1"/>
  <c r="H176" i="21" s="1"/>
  <c r="C175" i="21"/>
  <c r="B176" i="21" s="1"/>
  <c r="I176" i="21" l="1"/>
  <c r="H177" i="21" s="1"/>
  <c r="C176" i="21"/>
  <c r="B177" i="21" s="1"/>
  <c r="C177" i="21" l="1"/>
  <c r="B178" i="21" s="1"/>
  <c r="I177" i="21"/>
  <c r="H178" i="21" s="1"/>
  <c r="I178" i="21" l="1"/>
  <c r="H179" i="21" s="1"/>
  <c r="C178" i="21"/>
  <c r="B179" i="21"/>
  <c r="C179" i="21" l="1"/>
  <c r="B180" i="21" s="1"/>
  <c r="I179" i="21"/>
  <c r="H180" i="21" s="1"/>
  <c r="I180" i="21" l="1"/>
  <c r="H181" i="21" s="1"/>
  <c r="C180" i="21"/>
  <c r="B181" i="21" s="1"/>
  <c r="I181" i="21" l="1"/>
  <c r="H182" i="21" s="1"/>
  <c r="C181" i="21"/>
  <c r="B182" i="21" s="1"/>
  <c r="C182" i="21" l="1"/>
  <c r="B183" i="21" s="1"/>
  <c r="I182" i="21"/>
  <c r="H183" i="21" s="1"/>
  <c r="I183" i="21" l="1"/>
  <c r="H184" i="21" s="1"/>
  <c r="C183" i="21"/>
  <c r="B184" i="21" s="1"/>
  <c r="C184" i="21" l="1"/>
  <c r="B185" i="21" s="1"/>
  <c r="I184" i="21"/>
  <c r="H185" i="21"/>
  <c r="I185" i="21" l="1"/>
  <c r="H186" i="21" s="1"/>
  <c r="C185" i="21"/>
  <c r="B186" i="21" s="1"/>
  <c r="C186" i="21" l="1"/>
  <c r="B187" i="21" s="1"/>
  <c r="I186" i="21"/>
  <c r="H187" i="21" s="1"/>
  <c r="C187" i="21" l="1"/>
  <c r="B188" i="21" s="1"/>
  <c r="I187" i="21"/>
  <c r="H188" i="21" s="1"/>
  <c r="I188" i="21" l="1"/>
  <c r="H189" i="21" s="1"/>
  <c r="C188" i="21"/>
  <c r="B189" i="21" s="1"/>
  <c r="I189" i="21" l="1"/>
  <c r="H190" i="21" s="1"/>
  <c r="C189" i="21"/>
  <c r="B190" i="21" s="1"/>
  <c r="C190" i="21" l="1"/>
  <c r="B191" i="21" s="1"/>
  <c r="I190" i="21"/>
  <c r="H191" i="21" s="1"/>
  <c r="I191" i="21" l="1"/>
  <c r="H192" i="21" s="1"/>
  <c r="C191" i="21"/>
  <c r="B192" i="21" s="1"/>
  <c r="I192" i="21" l="1"/>
  <c r="H193" i="21" s="1"/>
  <c r="C192" i="21"/>
  <c r="B193" i="21" s="1"/>
  <c r="C193" i="21" l="1"/>
  <c r="B194" i="21" s="1"/>
  <c r="I193" i="21"/>
  <c r="H194" i="21" s="1"/>
  <c r="C194" i="21" l="1"/>
  <c r="B195" i="21" s="1"/>
  <c r="I194" i="21"/>
  <c r="H195" i="21" s="1"/>
  <c r="I195" i="21" l="1"/>
  <c r="H196" i="21" s="1"/>
  <c r="C195" i="21"/>
  <c r="B196" i="21" s="1"/>
  <c r="I196" i="21" l="1"/>
  <c r="H197" i="21" s="1"/>
  <c r="C196" i="21"/>
  <c r="B197" i="21" s="1"/>
  <c r="C197" i="21" l="1"/>
  <c r="B198" i="21" s="1"/>
  <c r="I197" i="21"/>
  <c r="H198" i="21" s="1"/>
  <c r="I198" i="21" l="1"/>
  <c r="H199" i="21" s="1"/>
  <c r="C198" i="21"/>
  <c r="B199" i="21" s="1"/>
  <c r="C199" i="21" l="1"/>
  <c r="B200" i="21" s="1"/>
  <c r="I199" i="21"/>
  <c r="H200" i="21" s="1"/>
  <c r="I200" i="21" l="1"/>
  <c r="H201" i="21" s="1"/>
  <c r="C200" i="21"/>
  <c r="B201" i="21" s="1"/>
  <c r="C201" i="21" l="1"/>
  <c r="B202" i="21" s="1"/>
  <c r="I201" i="21"/>
  <c r="H202" i="21" s="1"/>
  <c r="I202" i="21" l="1"/>
  <c r="H203" i="21" s="1"/>
  <c r="C202" i="21"/>
  <c r="B203" i="21" s="1"/>
  <c r="C203" i="21" l="1"/>
  <c r="B204" i="21" s="1"/>
  <c r="I203" i="21"/>
  <c r="H204" i="21" s="1"/>
  <c r="I204" i="21" l="1"/>
  <c r="H205" i="21" s="1"/>
  <c r="C204" i="21"/>
  <c r="B205" i="21" s="1"/>
  <c r="I205" i="21" l="1"/>
  <c r="H206" i="21" s="1"/>
  <c r="C205" i="21"/>
  <c r="B206" i="21" s="1"/>
  <c r="I206" i="21" l="1"/>
  <c r="H207" i="21" s="1"/>
  <c r="C206" i="21"/>
  <c r="B207" i="21" s="1"/>
  <c r="C207" i="21" l="1"/>
  <c r="B208" i="21" s="1"/>
  <c r="I207" i="21"/>
  <c r="H208" i="21" s="1"/>
  <c r="I208" i="21" l="1"/>
  <c r="H209" i="21" s="1"/>
  <c r="C208" i="21"/>
  <c r="B209" i="21" s="1"/>
  <c r="C209" i="21" l="1"/>
  <c r="B210" i="21" s="1"/>
  <c r="I209" i="21"/>
  <c r="H210" i="21"/>
  <c r="C210" i="21" l="1"/>
  <c r="B211" i="21" s="1"/>
  <c r="I210" i="21"/>
  <c r="H211" i="21" s="1"/>
  <c r="I211" i="21" l="1"/>
  <c r="H212" i="21" s="1"/>
  <c r="C211" i="21"/>
  <c r="B212" i="21" s="1"/>
  <c r="I212" i="21" l="1"/>
  <c r="H213" i="21" s="1"/>
  <c r="C212" i="21"/>
  <c r="B213" i="21" s="1"/>
  <c r="I213" i="21" l="1"/>
  <c r="H214" i="21" s="1"/>
  <c r="C213" i="21"/>
  <c r="B214" i="21" s="1"/>
  <c r="C214" i="21" l="1"/>
  <c r="B215" i="21" s="1"/>
  <c r="I214" i="21"/>
  <c r="H215" i="21" s="1"/>
  <c r="I215" i="21" l="1"/>
  <c r="H216" i="21" s="1"/>
  <c r="C215" i="21"/>
  <c r="B216" i="21"/>
  <c r="I216" i="21" l="1"/>
  <c r="H217" i="21" s="1"/>
  <c r="C216" i="21"/>
  <c r="B217" i="21" s="1"/>
  <c r="B29" i="4" l="1"/>
  <c r="I217" i="21"/>
  <c r="H218" i="21" s="1"/>
  <c r="C217" i="21"/>
  <c r="B218" i="21" s="1"/>
  <c r="C218" i="21" l="1"/>
  <c r="B219" i="21" s="1"/>
  <c r="I218" i="21"/>
  <c r="H219" i="21" s="1"/>
  <c r="I219" i="21" l="1"/>
  <c r="H220" i="21" s="1"/>
  <c r="C219" i="21"/>
  <c r="B220" i="21" s="1"/>
  <c r="C220" i="21" l="1"/>
  <c r="B221" i="21" s="1"/>
  <c r="I220" i="21"/>
  <c r="H221" i="21" s="1"/>
  <c r="I221" i="21" l="1"/>
  <c r="H222" i="21" s="1"/>
  <c r="C221" i="21"/>
  <c r="B222" i="21" s="1"/>
  <c r="C222" i="21" l="1"/>
  <c r="B223" i="21" s="1"/>
  <c r="I222" i="21"/>
  <c r="H223" i="21" s="1"/>
  <c r="I223" i="21" l="1"/>
  <c r="H224" i="21" s="1"/>
  <c r="C223" i="21"/>
  <c r="B224" i="21" s="1"/>
  <c r="C224" i="21" l="1"/>
  <c r="B225" i="21"/>
  <c r="I224" i="21"/>
  <c r="H225" i="21" s="1"/>
  <c r="I225" i="21" l="1"/>
  <c r="H226" i="21" s="1"/>
  <c r="C225" i="21"/>
  <c r="B226" i="21" s="1"/>
  <c r="I226" i="21" l="1"/>
  <c r="H227" i="21" s="1"/>
  <c r="C226" i="21"/>
  <c r="B227" i="21" s="1"/>
  <c r="C227" i="21" l="1"/>
  <c r="B228" i="21"/>
  <c r="I227" i="21"/>
  <c r="H228" i="21" s="1"/>
  <c r="I228" i="21" l="1"/>
  <c r="H229" i="21" s="1"/>
  <c r="C228" i="21"/>
  <c r="B229" i="21" s="1"/>
  <c r="C229" i="21" l="1"/>
  <c r="B230" i="21" s="1"/>
  <c r="I229" i="21"/>
  <c r="H230" i="21" s="1"/>
  <c r="C230" i="21" l="1"/>
  <c r="B231" i="21" s="1"/>
  <c r="I230" i="21"/>
  <c r="H231" i="21" s="1"/>
  <c r="C231" i="21" l="1"/>
  <c r="B232" i="21" s="1"/>
  <c r="I231" i="21"/>
  <c r="H232" i="21" s="1"/>
  <c r="I232" i="21" l="1"/>
  <c r="H233" i="21" s="1"/>
  <c r="C232" i="21"/>
  <c r="B233" i="21" s="1"/>
  <c r="C233" i="21" l="1"/>
  <c r="B234" i="21"/>
  <c r="I233" i="21"/>
  <c r="H234" i="21" s="1"/>
  <c r="I234" i="21" l="1"/>
  <c r="H235" i="21" s="1"/>
  <c r="C234" i="21"/>
  <c r="B235" i="21" s="1"/>
  <c r="C235" i="21" l="1"/>
  <c r="B236" i="21" s="1"/>
  <c r="I235" i="21"/>
  <c r="H236" i="21" s="1"/>
  <c r="I236" i="21" l="1"/>
  <c r="H237" i="21" s="1"/>
  <c r="C236" i="21"/>
  <c r="B237" i="21" s="1"/>
  <c r="C237" i="21" l="1"/>
  <c r="B238" i="21" s="1"/>
  <c r="I237" i="21"/>
  <c r="H238" i="21" s="1"/>
  <c r="C238" i="21" l="1"/>
  <c r="B239" i="21" s="1"/>
  <c r="I238" i="21"/>
  <c r="H239" i="21" s="1"/>
  <c r="C239" i="21" l="1"/>
  <c r="B240" i="21" s="1"/>
  <c r="I239" i="21"/>
  <c r="H240" i="21" s="1"/>
  <c r="C240" i="21" l="1"/>
  <c r="B241" i="21"/>
  <c r="I240" i="21"/>
  <c r="H241" i="21" s="1"/>
  <c r="I241" i="21" l="1"/>
  <c r="H242" i="21" s="1"/>
  <c r="C241" i="21"/>
  <c r="B242" i="21" s="1"/>
  <c r="C242" i="21" l="1"/>
  <c r="B243" i="21" s="1"/>
  <c r="I242" i="21"/>
  <c r="H243" i="21" s="1"/>
  <c r="I243" i="21" l="1"/>
  <c r="H244" i="21" s="1"/>
  <c r="C243" i="21"/>
  <c r="B244" i="21"/>
  <c r="C244" i="21" l="1"/>
  <c r="B245" i="21" s="1"/>
  <c r="I244" i="21"/>
  <c r="H245" i="21" s="1"/>
  <c r="I245" i="21" l="1"/>
  <c r="H246" i="21" s="1"/>
  <c r="C245" i="21"/>
  <c r="B246" i="21" s="1"/>
  <c r="I246" i="21" l="1"/>
  <c r="H247" i="21" s="1"/>
  <c r="C246" i="21"/>
  <c r="B247" i="21" s="1"/>
  <c r="C247" i="21" l="1"/>
  <c r="B248" i="21" s="1"/>
  <c r="I247" i="21"/>
  <c r="H248" i="21" s="1"/>
  <c r="I248" i="21" l="1"/>
  <c r="H249" i="21" s="1"/>
  <c r="C248" i="21"/>
  <c r="B249" i="21" s="1"/>
  <c r="I249" i="21" l="1"/>
  <c r="H250" i="21" s="1"/>
  <c r="C249" i="21"/>
  <c r="B250" i="21" s="1"/>
  <c r="C250" i="21" l="1"/>
  <c r="D7" i="21" s="1"/>
  <c r="C18" i="12" s="1"/>
  <c r="B17" i="4" s="1"/>
  <c r="I250" i="21"/>
  <c r="J7" i="21" s="1"/>
  <c r="C19" i="12" s="1"/>
  <c r="B21" i="4" s="1"/>
  <c r="B22" i="4" l="1"/>
  <c r="H13" i="14"/>
  <c r="B251" i="21"/>
  <c r="C251" i="21" s="1"/>
  <c r="L7" i="21"/>
  <c r="H251" i="21"/>
  <c r="I251" i="21" s="1"/>
  <c r="B18" i="4" l="1"/>
  <c r="B24" i="4" s="1"/>
  <c r="B10" i="4" s="1"/>
  <c r="H13" i="1"/>
  <c r="A17" i="12"/>
  <c r="A18" i="12" s="1"/>
  <c r="A5" i="12"/>
  <c r="A6" i="12" s="1"/>
  <c r="A7" i="12" s="1"/>
  <c r="A8" i="12" s="1"/>
  <c r="A9" i="12" s="1"/>
  <c r="A10" i="12" s="1"/>
  <c r="A11" i="12" s="1"/>
  <c r="B14" i="14" l="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C14" i="14"/>
  <c r="F5" i="14"/>
  <c r="G6" i="4" l="1"/>
  <c r="F6" i="14" s="1"/>
  <c r="G7" i="4"/>
  <c r="F14" i="14" l="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B7" i="14"/>
  <c r="D14" i="14" s="1"/>
  <c r="E7" i="4" s="1"/>
  <c r="E14" i="14" l="1"/>
  <c r="G14" i="14" s="1"/>
  <c r="H14" i="14" s="1"/>
  <c r="C15" i="14" s="1"/>
  <c r="I14" i="14"/>
  <c r="D15" i="14"/>
  <c r="D16" i="14" l="1"/>
  <c r="I15" i="14"/>
  <c r="E15" i="14"/>
  <c r="G15" i="14" s="1"/>
  <c r="H15" i="14" s="1"/>
  <c r="C16" i="14" s="1"/>
  <c r="E16" i="14" l="1"/>
  <c r="G16" i="14" s="1"/>
  <c r="H16" i="14" s="1"/>
  <c r="C17" i="14" s="1"/>
  <c r="D17" i="14"/>
  <c r="I16" i="14"/>
  <c r="D18" i="14" l="1"/>
  <c r="I17" i="14"/>
  <c r="E17" i="14"/>
  <c r="G17" i="14" s="1"/>
  <c r="H17" i="14" s="1"/>
  <c r="C18" i="14" s="1"/>
  <c r="E18" i="14" l="1"/>
  <c r="G18" i="14" s="1"/>
  <c r="H18" i="14" s="1"/>
  <c r="C19" i="14" s="1"/>
  <c r="I18" i="14"/>
  <c r="D19" i="14"/>
  <c r="E19" i="14" l="1"/>
  <c r="G19" i="14" s="1"/>
  <c r="H19" i="14" s="1"/>
  <c r="C20" i="14" s="1"/>
  <c r="D20" i="14"/>
  <c r="I19" i="14"/>
  <c r="E20" i="14" l="1"/>
  <c r="G20" i="14" s="1"/>
  <c r="H20" i="14" s="1"/>
  <c r="C21" i="14" s="1"/>
  <c r="I20" i="14"/>
  <c r="D21" i="14"/>
  <c r="I21" i="14" l="1"/>
  <c r="D22" i="14"/>
  <c r="E21" i="14"/>
  <c r="G21" i="14" s="1"/>
  <c r="H21" i="14" s="1"/>
  <c r="C22" i="14" s="1"/>
  <c r="E22" i="14" l="1"/>
  <c r="G22" i="14" s="1"/>
  <c r="H22" i="14" s="1"/>
  <c r="C23" i="14" s="1"/>
  <c r="I22" i="14"/>
  <c r="D23" i="14"/>
  <c r="G10" i="6"/>
  <c r="G10" i="4" l="1"/>
  <c r="I23" i="14"/>
  <c r="D24" i="14"/>
  <c r="E23" i="14"/>
  <c r="F5" i="1"/>
  <c r="B7" i="1" s="1"/>
  <c r="G23" i="14" l="1"/>
  <c r="H23" i="14" s="1"/>
  <c r="C24" i="14" s="1"/>
  <c r="E24" i="14" s="1"/>
  <c r="G24" i="14" s="1"/>
  <c r="H24" i="14" s="1"/>
  <c r="C25" i="14" s="1"/>
  <c r="D25" i="14"/>
  <c r="I24" i="14"/>
  <c r="E25" i="14" l="1"/>
  <c r="G25" i="14" s="1"/>
  <c r="H25" i="14" s="1"/>
  <c r="C26" i="14" s="1"/>
  <c r="D26" i="14"/>
  <c r="I25" i="14"/>
  <c r="E26" i="14" l="1"/>
  <c r="G26" i="14" s="1"/>
  <c r="H26" i="14" s="1"/>
  <c r="C27" i="14" s="1"/>
  <c r="D27" i="14"/>
  <c r="I26" i="14"/>
  <c r="B14" i="1"/>
  <c r="B15" i="1" s="1"/>
  <c r="I27" i="14" l="1"/>
  <c r="D28" i="14"/>
  <c r="E27" i="14"/>
  <c r="G27" i="14" s="1"/>
  <c r="H27" i="14" s="1"/>
  <c r="C28" i="14" s="1"/>
  <c r="F6" i="1"/>
  <c r="E28" i="14" l="1"/>
  <c r="G28" i="14" s="1"/>
  <c r="H28" i="14" s="1"/>
  <c r="C29" i="14" s="1"/>
  <c r="D29" i="14"/>
  <c r="I28" i="14"/>
  <c r="F14" i="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E29" i="14" l="1"/>
  <c r="G29" i="14" s="1"/>
  <c r="H29" i="14" s="1"/>
  <c r="C30" i="14" s="1"/>
  <c r="D30" i="14"/>
  <c r="I29" i="14"/>
  <c r="B16" i="1"/>
  <c r="B17" i="1" s="1"/>
  <c r="D31" i="14" l="1"/>
  <c r="I30" i="14"/>
  <c r="E30" i="14"/>
  <c r="G30" i="14" s="1"/>
  <c r="H30" i="14" s="1"/>
  <c r="C31" i="14" s="1"/>
  <c r="E31" i="14" s="1"/>
  <c r="G31" i="14" s="1"/>
  <c r="H31" i="14" s="1"/>
  <c r="C32" i="14" s="1"/>
  <c r="B18" i="1"/>
  <c r="B19" i="1" s="1"/>
  <c r="I31" i="14" l="1"/>
  <c r="D32" i="14"/>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I32" i="14" l="1"/>
  <c r="D33" i="14"/>
  <c r="E32" i="14"/>
  <c r="G32" i="14" s="1"/>
  <c r="H32" i="14" s="1"/>
  <c r="C33" i="14" s="1"/>
  <c r="E33" i="14" s="1"/>
  <c r="G33" i="14" s="1"/>
  <c r="H33" i="14" s="1"/>
  <c r="C34" i="14" s="1"/>
  <c r="B123" i="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D34" i="14" l="1"/>
  <c r="I33" i="14"/>
  <c r="B171" i="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I34" i="14" l="1"/>
  <c r="D35" i="14"/>
  <c r="E34" i="14"/>
  <c r="G34" i="14" s="1"/>
  <c r="H34" i="14" s="1"/>
  <c r="C35" i="14" s="1"/>
  <c r="E35" i="14" l="1"/>
  <c r="G35" i="14" s="1"/>
  <c r="I35" i="14"/>
  <c r="D36" i="14"/>
  <c r="H35" i="14" l="1"/>
  <c r="C36" i="14" s="1"/>
  <c r="E36" i="14" s="1"/>
  <c r="G36" i="14" s="1"/>
  <c r="H36" i="14" s="1"/>
  <c r="C37" i="14" s="1"/>
  <c r="D37" i="14"/>
  <c r="I36" i="14"/>
  <c r="E37" i="14" l="1"/>
  <c r="G37" i="14" s="1"/>
  <c r="H37" i="14" s="1"/>
  <c r="C38" i="14" s="1"/>
  <c r="I37" i="14"/>
  <c r="D38" i="14"/>
  <c r="D39" i="14" l="1"/>
  <c r="I38" i="14"/>
  <c r="E38" i="14"/>
  <c r="G38" i="14" s="1"/>
  <c r="H38" i="14" s="1"/>
  <c r="C39" i="14" s="1"/>
  <c r="E39" i="14" l="1"/>
  <c r="G39" i="14" s="1"/>
  <c r="H39" i="14" s="1"/>
  <c r="C40" i="14" s="1"/>
  <c r="I39" i="14"/>
  <c r="D40" i="14"/>
  <c r="D41" i="14" l="1"/>
  <c r="I40" i="14"/>
  <c r="E40" i="14"/>
  <c r="G40" i="14" s="1"/>
  <c r="H40" i="14" s="1"/>
  <c r="C41" i="14" s="1"/>
  <c r="E41" i="14" l="1"/>
  <c r="G41" i="14" s="1"/>
  <c r="H41" i="14" s="1"/>
  <c r="C42" i="14" s="1"/>
  <c r="I41" i="14"/>
  <c r="D42" i="14"/>
  <c r="I42" i="14" l="1"/>
  <c r="D43" i="14"/>
  <c r="E42" i="14"/>
  <c r="G42" i="14" s="1"/>
  <c r="H42" i="14" s="1"/>
  <c r="C43" i="14" s="1"/>
  <c r="E43" i="14" l="1"/>
  <c r="G43" i="14" s="1"/>
  <c r="H43" i="14" s="1"/>
  <c r="C44" i="14" s="1"/>
  <c r="D44" i="14"/>
  <c r="I43" i="14"/>
  <c r="D45" i="14" l="1"/>
  <c r="I44" i="14"/>
  <c r="E44" i="14"/>
  <c r="G44" i="14" s="1"/>
  <c r="H44" i="14" s="1"/>
  <c r="C45" i="14" s="1"/>
  <c r="E45" i="14" l="1"/>
  <c r="G45" i="14" s="1"/>
  <c r="H45" i="14" s="1"/>
  <c r="C46" i="14" s="1"/>
  <c r="D46" i="14"/>
  <c r="I45" i="14"/>
  <c r="I46" i="14" l="1"/>
  <c r="D47" i="14"/>
  <c r="E46" i="14"/>
  <c r="G46" i="14" s="1"/>
  <c r="H46" i="14" s="1"/>
  <c r="C47" i="14" s="1"/>
  <c r="E47" i="14" l="1"/>
  <c r="G47" i="14" s="1"/>
  <c r="H47" i="14" s="1"/>
  <c r="C48" i="14" s="1"/>
  <c r="I47" i="14"/>
  <c r="D48" i="14"/>
  <c r="D49" i="14" l="1"/>
  <c r="I48" i="14"/>
  <c r="E48" i="14"/>
  <c r="I49" i="14" l="1"/>
  <c r="D50" i="14"/>
  <c r="G48" i="14"/>
  <c r="H48" i="14" s="1"/>
  <c r="C49" i="14" s="1"/>
  <c r="E49" i="14" s="1"/>
  <c r="G49" i="14" s="1"/>
  <c r="H49" i="14" s="1"/>
  <c r="C50" i="14" s="1"/>
  <c r="E50" i="14" l="1"/>
  <c r="G50" i="14" s="1"/>
  <c r="H50" i="14" s="1"/>
  <c r="C51" i="14" s="1"/>
  <c r="D51" i="14"/>
  <c r="I50" i="14"/>
  <c r="E51" i="14" l="1"/>
  <c r="G51" i="14" s="1"/>
  <c r="H51" i="14" s="1"/>
  <c r="C52" i="14" s="1"/>
  <c r="D52" i="14"/>
  <c r="I51" i="14"/>
  <c r="E52" i="14" l="1"/>
  <c r="G52" i="14" s="1"/>
  <c r="H52" i="14" s="1"/>
  <c r="C53" i="14" s="1"/>
  <c r="I52" i="14"/>
  <c r="D53" i="14"/>
  <c r="D54" i="14" l="1"/>
  <c r="I53" i="14"/>
  <c r="E53" i="14"/>
  <c r="G53" i="14" s="1"/>
  <c r="H53" i="14" s="1"/>
  <c r="C54" i="14" s="1"/>
  <c r="D55" i="14" l="1"/>
  <c r="I54" i="14"/>
  <c r="E54" i="14"/>
  <c r="G54" i="14" s="1"/>
  <c r="H54" i="14" s="1"/>
  <c r="C55" i="14" s="1"/>
  <c r="D56" i="14" l="1"/>
  <c r="I55" i="14"/>
  <c r="E55" i="14"/>
  <c r="G55" i="14" s="1"/>
  <c r="H55" i="14" s="1"/>
  <c r="C56" i="14" s="1"/>
  <c r="E56" i="14" s="1"/>
  <c r="G56" i="14" s="1"/>
  <c r="H56" i="14" s="1"/>
  <c r="C57" i="14" s="1"/>
  <c r="D57" i="14" l="1"/>
  <c r="E57" i="14" s="1"/>
  <c r="G57" i="14" s="1"/>
  <c r="H57" i="14" s="1"/>
  <c r="C58" i="14" s="1"/>
  <c r="I56" i="14"/>
  <c r="D58" i="14" l="1"/>
  <c r="E58" i="14" s="1"/>
  <c r="G58" i="14" s="1"/>
  <c r="H58" i="14" s="1"/>
  <c r="C59" i="14" s="1"/>
  <c r="I57" i="14"/>
  <c r="I58" i="14" l="1"/>
  <c r="D59" i="14"/>
  <c r="E59" i="14" s="1"/>
  <c r="G59" i="14" s="1"/>
  <c r="H59" i="14" s="1"/>
  <c r="C60" i="14" s="1"/>
  <c r="D60" i="14" l="1"/>
  <c r="E60" i="14" s="1"/>
  <c r="G60" i="14" s="1"/>
  <c r="H60" i="14" s="1"/>
  <c r="C61" i="14" s="1"/>
  <c r="I59" i="14"/>
  <c r="I60" i="14" l="1"/>
  <c r="D61" i="14"/>
  <c r="D62" i="14" l="1"/>
  <c r="I61" i="14"/>
  <c r="E61" i="14"/>
  <c r="G61" i="14" s="1"/>
  <c r="H61" i="14" s="1"/>
  <c r="C62" i="14" s="1"/>
  <c r="D63" i="14" l="1"/>
  <c r="I62" i="14"/>
  <c r="E62" i="14"/>
  <c r="G62" i="14" s="1"/>
  <c r="H62" i="14" s="1"/>
  <c r="C63" i="14" s="1"/>
  <c r="D64" i="14" l="1"/>
  <c r="I63" i="14"/>
  <c r="E63" i="14"/>
  <c r="G63" i="14" s="1"/>
  <c r="H63" i="14" s="1"/>
  <c r="C64" i="14" s="1"/>
  <c r="D65" i="14" l="1"/>
  <c r="I64" i="14"/>
  <c r="E64" i="14"/>
  <c r="G64" i="14" s="1"/>
  <c r="H64" i="14" s="1"/>
  <c r="C65" i="14" s="1"/>
  <c r="E65" i="14" l="1"/>
  <c r="G65" i="14" s="1"/>
  <c r="H65" i="14" s="1"/>
  <c r="C66" i="14" s="1"/>
  <c r="D66" i="14"/>
  <c r="I65" i="14"/>
  <c r="I66" i="14" l="1"/>
  <c r="D67" i="14"/>
  <c r="E66" i="14"/>
  <c r="G66" i="14" s="1"/>
  <c r="H66" i="14" s="1"/>
  <c r="C67" i="14" s="1"/>
  <c r="E67" i="14" s="1"/>
  <c r="G67" i="14" s="1"/>
  <c r="H67" i="14" s="1"/>
  <c r="C68" i="14" s="1"/>
  <c r="D68" i="14" l="1"/>
  <c r="E68" i="14" s="1"/>
  <c r="G68" i="14" s="1"/>
  <c r="H68" i="14" s="1"/>
  <c r="C69" i="14" s="1"/>
  <c r="I67" i="14"/>
  <c r="I68" i="14" l="1"/>
  <c r="D69" i="14"/>
  <c r="D70" i="14" l="1"/>
  <c r="I69" i="14"/>
  <c r="E69" i="14"/>
  <c r="G69" i="14" s="1"/>
  <c r="H69" i="14" s="1"/>
  <c r="C70" i="14" s="1"/>
  <c r="E70" i="14" l="1"/>
  <c r="G70" i="14" s="1"/>
  <c r="H70" i="14" s="1"/>
  <c r="C71" i="14" s="1"/>
  <c r="I70" i="14"/>
  <c r="D71" i="14"/>
  <c r="D72" i="14" l="1"/>
  <c r="I71" i="14"/>
  <c r="E71" i="14"/>
  <c r="G71" i="14" s="1"/>
  <c r="H71" i="14" s="1"/>
  <c r="C72" i="14" s="1"/>
  <c r="E72" i="14" l="1"/>
  <c r="G72" i="14" s="1"/>
  <c r="H72" i="14" s="1"/>
  <c r="C73" i="14" s="1"/>
  <c r="I72" i="14"/>
  <c r="D73" i="14"/>
  <c r="I73" i="14" l="1"/>
  <c r="E73" i="14"/>
  <c r="G73" i="14" s="1"/>
  <c r="H73" i="14" s="1"/>
  <c r="D14" i="1" l="1"/>
  <c r="E6" i="4" s="1"/>
  <c r="E8" i="4" s="1"/>
  <c r="C14" i="1"/>
  <c r="I14" i="1" l="1"/>
  <c r="D15" i="1"/>
  <c r="E14" i="1"/>
  <c r="I15" i="1" l="1"/>
  <c r="G14" i="1"/>
  <c r="H14" i="1" s="1"/>
  <c r="C15" i="1" s="1"/>
  <c r="E15" i="1" s="1"/>
  <c r="D16" i="1"/>
  <c r="I16" i="1" s="1"/>
  <c r="G15" i="1" l="1"/>
  <c r="H15" i="1" s="1"/>
  <c r="C16" i="1" s="1"/>
  <c r="E16" i="1" s="1"/>
  <c r="G16" i="1" s="1"/>
  <c r="D17" i="1"/>
  <c r="I17" i="1" s="1"/>
  <c r="D18" i="1" l="1"/>
  <c r="I18" i="1" s="1"/>
  <c r="H16" i="1"/>
  <c r="C17" i="1" s="1"/>
  <c r="E17" i="1" l="1"/>
  <c r="G17" i="1" s="1"/>
  <c r="D19" i="1"/>
  <c r="I19" i="1" s="1"/>
  <c r="D20" i="1" l="1"/>
  <c r="I20" i="1" s="1"/>
  <c r="H17" i="1"/>
  <c r="C18" i="1" s="1"/>
  <c r="E18" i="1" l="1"/>
  <c r="G18" i="1" s="1"/>
  <c r="D21" i="1"/>
  <c r="I21" i="1" s="1"/>
  <c r="D22" i="1" l="1"/>
  <c r="I22" i="1" s="1"/>
  <c r="H18" i="1"/>
  <c r="C19" i="1" s="1"/>
  <c r="E19" i="1" l="1"/>
  <c r="G19" i="1" s="1"/>
  <c r="D23" i="1"/>
  <c r="I23" i="1" s="1"/>
  <c r="D24" i="1" l="1"/>
  <c r="I24" i="1" s="1"/>
  <c r="H19" i="1"/>
  <c r="C20" i="1" s="1"/>
  <c r="E20" i="1" l="1"/>
  <c r="D25" i="1"/>
  <c r="I25" i="1" s="1"/>
  <c r="G20" i="1" l="1"/>
  <c r="H20" i="1" s="1"/>
  <c r="C21" i="1" s="1"/>
  <c r="E21" i="1" s="1"/>
  <c r="G21" i="1" s="1"/>
  <c r="D26" i="1"/>
  <c r="I26" i="1" s="1"/>
  <c r="D27" i="1" l="1"/>
  <c r="I27" i="1" s="1"/>
  <c r="H21" i="1"/>
  <c r="C22" i="1" s="1"/>
  <c r="E22" i="1" l="1"/>
  <c r="G22" i="1" s="1"/>
  <c r="D28" i="1"/>
  <c r="I28" i="1" s="1"/>
  <c r="H22" i="1" l="1"/>
  <c r="C23" i="1" s="1"/>
  <c r="E23" i="1" s="1"/>
  <c r="D29" i="1"/>
  <c r="I29" i="1" s="1"/>
  <c r="G23" i="1" l="1"/>
  <c r="H23" i="1" s="1"/>
  <c r="C24" i="1" s="1"/>
  <c r="E24" i="1" s="1"/>
  <c r="D30" i="1"/>
  <c r="I30" i="1" s="1"/>
  <c r="G24" i="1" l="1"/>
  <c r="H24" i="1" s="1"/>
  <c r="C25" i="1" s="1"/>
  <c r="E25" i="1" s="1"/>
  <c r="G25" i="1" s="1"/>
  <c r="D31" i="1"/>
  <c r="I31" i="1" s="1"/>
  <c r="H25" i="1" l="1"/>
  <c r="C26" i="1" s="1"/>
  <c r="E26" i="1" s="1"/>
  <c r="G26" i="1" s="1"/>
  <c r="D32" i="1"/>
  <c r="I32" i="1" s="1"/>
  <c r="H26" i="1" l="1"/>
  <c r="C27" i="1" s="1"/>
  <c r="E27" i="1" s="1"/>
  <c r="G27" i="1" s="1"/>
  <c r="D33" i="1"/>
  <c r="I33" i="1" s="1"/>
  <c r="H27" i="1" l="1"/>
  <c r="C28" i="1" s="1"/>
  <c r="E28" i="1" s="1"/>
  <c r="G28" i="1" s="1"/>
  <c r="D34" i="1"/>
  <c r="I34" i="1" s="1"/>
  <c r="D35" i="1" l="1"/>
  <c r="I35" i="1" s="1"/>
  <c r="H28" i="1"/>
  <c r="C29" i="1" s="1"/>
  <c r="E29" i="1" l="1"/>
  <c r="G29" i="1" s="1"/>
  <c r="D36" i="1"/>
  <c r="I36" i="1" s="1"/>
  <c r="D37" i="1" l="1"/>
  <c r="I37" i="1" s="1"/>
  <c r="H29" i="1"/>
  <c r="C30" i="1" s="1"/>
  <c r="E30" i="1" l="1"/>
  <c r="G30" i="1" s="1"/>
  <c r="D38" i="1"/>
  <c r="I38" i="1" s="1"/>
  <c r="D39" i="1" l="1"/>
  <c r="I39" i="1" s="1"/>
  <c r="H30" i="1"/>
  <c r="C31" i="1" s="1"/>
  <c r="E31" i="1" l="1"/>
  <c r="G31" i="1" s="1"/>
  <c r="D40" i="1"/>
  <c r="I40" i="1" s="1"/>
  <c r="H31" i="1" l="1"/>
  <c r="C32" i="1" s="1"/>
  <c r="E32" i="1" s="1"/>
  <c r="G32" i="1" s="1"/>
  <c r="D41" i="1"/>
  <c r="I41" i="1" s="1"/>
  <c r="H32" i="1" l="1"/>
  <c r="C33" i="1" s="1"/>
  <c r="E33" i="1" s="1"/>
  <c r="G33" i="1" s="1"/>
  <c r="D42" i="1"/>
  <c r="I42" i="1" s="1"/>
  <c r="H33" i="1" l="1"/>
  <c r="C34" i="1" s="1"/>
  <c r="D43" i="1"/>
  <c r="I43" i="1" s="1"/>
  <c r="E34" i="1" l="1"/>
  <c r="D44" i="1"/>
  <c r="I44" i="1" s="1"/>
  <c r="G34" i="1" l="1"/>
  <c r="H34" i="1" s="1"/>
  <c r="C35" i="1" s="1"/>
  <c r="E35" i="1" s="1"/>
  <c r="G35" i="1" s="1"/>
  <c r="D45" i="1"/>
  <c r="I45" i="1" s="1"/>
  <c r="H35" i="1" l="1"/>
  <c r="C36" i="1" s="1"/>
  <c r="D46" i="1"/>
  <c r="I46" i="1" s="1"/>
  <c r="D47" i="1" l="1"/>
  <c r="I47" i="1" s="1"/>
  <c r="E36" i="1"/>
  <c r="G36" i="1" s="1"/>
  <c r="H36" i="1" l="1"/>
  <c r="C37" i="1" s="1"/>
  <c r="E37" i="1" s="1"/>
  <c r="G37" i="1" s="1"/>
  <c r="D48" i="1"/>
  <c r="I48" i="1" s="1"/>
  <c r="H37" i="1" l="1"/>
  <c r="C38" i="1" s="1"/>
  <c r="E38" i="1" s="1"/>
  <c r="G38" i="1" s="1"/>
  <c r="D49" i="1"/>
  <c r="I49" i="1" s="1"/>
  <c r="H38" i="1" l="1"/>
  <c r="C39" i="1" s="1"/>
  <c r="E39" i="1" s="1"/>
  <c r="D50" i="1"/>
  <c r="I50" i="1" s="1"/>
  <c r="G39" i="1" l="1"/>
  <c r="H39" i="1" s="1"/>
  <c r="C40" i="1" s="1"/>
  <c r="E40" i="1" s="1"/>
  <c r="G40" i="1" s="1"/>
  <c r="D51" i="1"/>
  <c r="I51" i="1" s="1"/>
  <c r="H40" i="1" l="1"/>
  <c r="C41" i="1" s="1"/>
  <c r="E41" i="1" s="1"/>
  <c r="G41" i="1" s="1"/>
  <c r="D52" i="1"/>
  <c r="I52" i="1" s="1"/>
  <c r="H41" i="1" l="1"/>
  <c r="C42" i="1" s="1"/>
  <c r="D53" i="1"/>
  <c r="I53" i="1" s="1"/>
  <c r="E42" i="1" l="1"/>
  <c r="G42" i="1" s="1"/>
  <c r="D54" i="1"/>
  <c r="I54" i="1" s="1"/>
  <c r="H42" i="1" l="1"/>
  <c r="C43" i="1" s="1"/>
  <c r="E43" i="1" s="1"/>
  <c r="G43" i="1" s="1"/>
  <c r="D55" i="1"/>
  <c r="I55" i="1" s="1"/>
  <c r="H43" i="1" l="1"/>
  <c r="C44" i="1" s="1"/>
  <c r="D56" i="1"/>
  <c r="I56" i="1" s="1"/>
  <c r="E44" i="1" l="1"/>
  <c r="G44" i="1" s="1"/>
  <c r="D57" i="1"/>
  <c r="I57" i="1" s="1"/>
  <c r="H44" i="1" l="1"/>
  <c r="C45" i="1" s="1"/>
  <c r="E45" i="1" s="1"/>
  <c r="G45" i="1" s="1"/>
  <c r="D58" i="1"/>
  <c r="I58" i="1" s="1"/>
  <c r="H45" i="1" l="1"/>
  <c r="C46" i="1" s="1"/>
  <c r="E46" i="1" s="1"/>
  <c r="G46" i="1" s="1"/>
  <c r="D59" i="1"/>
  <c r="I59" i="1" s="1"/>
  <c r="H46" i="1" l="1"/>
  <c r="C47" i="1" s="1"/>
  <c r="E47" i="1" s="1"/>
  <c r="D60" i="1"/>
  <c r="I60" i="1" s="1"/>
  <c r="G47" i="1" l="1"/>
  <c r="H47" i="1" s="1"/>
  <c r="C48" i="1" s="1"/>
  <c r="E48" i="1" s="1"/>
  <c r="D61" i="1"/>
  <c r="I61" i="1" s="1"/>
  <c r="G48" i="1" l="1"/>
  <c r="H48" i="1" s="1"/>
  <c r="C49" i="1" s="1"/>
  <c r="E49" i="1" s="1"/>
  <c r="D62" i="1"/>
  <c r="I62" i="1" s="1"/>
  <c r="G49" i="1" l="1"/>
  <c r="H49" i="1" s="1"/>
  <c r="C50" i="1" s="1"/>
  <c r="E50" i="1" s="1"/>
  <c r="D63" i="1"/>
  <c r="I63" i="1" s="1"/>
  <c r="G50" i="1" l="1"/>
  <c r="H50" i="1" s="1"/>
  <c r="C51" i="1" s="1"/>
  <c r="E51" i="1" s="1"/>
  <c r="G51" i="1" s="1"/>
  <c r="D64" i="1"/>
  <c r="I64" i="1" s="1"/>
  <c r="H51" i="1" l="1"/>
  <c r="C52" i="1" s="1"/>
  <c r="D65" i="1"/>
  <c r="I65" i="1" s="1"/>
  <c r="D66" i="1" l="1"/>
  <c r="I66" i="1" s="1"/>
  <c r="E52" i="1"/>
  <c r="G52" i="1" s="1"/>
  <c r="H52" i="1" l="1"/>
  <c r="C53" i="1" s="1"/>
  <c r="E53" i="1" s="1"/>
  <c r="G53" i="1" s="1"/>
  <c r="D67" i="1"/>
  <c r="I67" i="1" s="1"/>
  <c r="H53" i="1" l="1"/>
  <c r="C54" i="1" s="1"/>
  <c r="E54" i="1" s="1"/>
  <c r="G54" i="1" s="1"/>
  <c r="D68" i="1"/>
  <c r="I68" i="1" s="1"/>
  <c r="H54" i="1" l="1"/>
  <c r="C55" i="1" s="1"/>
  <c r="E55" i="1" s="1"/>
  <c r="G55" i="1" s="1"/>
  <c r="D69" i="1"/>
  <c r="I69" i="1" s="1"/>
  <c r="H55" i="1" l="1"/>
  <c r="C56" i="1" s="1"/>
  <c r="D70" i="1"/>
  <c r="I70" i="1" s="1"/>
  <c r="E56" i="1" l="1"/>
  <c r="D71" i="1"/>
  <c r="I71" i="1" s="1"/>
  <c r="G56" i="1" l="1"/>
  <c r="H56" i="1" s="1"/>
  <c r="C57" i="1" s="1"/>
  <c r="E57" i="1" s="1"/>
  <c r="G57" i="1" s="1"/>
  <c r="D72" i="1"/>
  <c r="I72" i="1" s="1"/>
  <c r="H57" i="1" l="1"/>
  <c r="C58" i="1" s="1"/>
  <c r="D73" i="1"/>
  <c r="I73" i="1" s="1"/>
  <c r="D74" i="1" l="1"/>
  <c r="I74" i="1" s="1"/>
  <c r="E58" i="1"/>
  <c r="G58" i="1" l="1"/>
  <c r="H58" i="1" s="1"/>
  <c r="C59" i="1" s="1"/>
  <c r="E59" i="1" s="1"/>
  <c r="D75" i="1"/>
  <c r="I75" i="1" s="1"/>
  <c r="G59" i="1" l="1"/>
  <c r="H59" i="1" s="1"/>
  <c r="C60" i="1" s="1"/>
  <c r="E60" i="1" s="1"/>
  <c r="G60" i="1" s="1"/>
  <c r="D76" i="1"/>
  <c r="I76" i="1" s="1"/>
  <c r="H60" i="1" l="1"/>
  <c r="C61" i="1" s="1"/>
  <c r="D77" i="1"/>
  <c r="I77" i="1" s="1"/>
  <c r="E61" i="1" l="1"/>
  <c r="D78" i="1"/>
  <c r="I78" i="1" s="1"/>
  <c r="G61" i="1" l="1"/>
  <c r="H61" i="1" s="1"/>
  <c r="C62" i="1" s="1"/>
  <c r="E62" i="1" s="1"/>
  <c r="G62" i="1" s="1"/>
  <c r="D79" i="1"/>
  <c r="I79" i="1" s="1"/>
  <c r="H62" i="1" l="1"/>
  <c r="C63" i="1" s="1"/>
  <c r="D80" i="1"/>
  <c r="I80" i="1" s="1"/>
  <c r="E63" i="1" l="1"/>
  <c r="D81" i="1"/>
  <c r="I81" i="1" s="1"/>
  <c r="G63" i="1" l="1"/>
  <c r="H63" i="1" s="1"/>
  <c r="C64" i="1" s="1"/>
  <c r="E64" i="1" s="1"/>
  <c r="D82" i="1"/>
  <c r="I82" i="1" s="1"/>
  <c r="G64" i="1" l="1"/>
  <c r="H64" i="1" s="1"/>
  <c r="C65" i="1" s="1"/>
  <c r="E65" i="1" s="1"/>
  <c r="D83" i="1"/>
  <c r="I83" i="1" s="1"/>
  <c r="G65" i="1" l="1"/>
  <c r="H65" i="1" s="1"/>
  <c r="C66" i="1" s="1"/>
  <c r="E66" i="1" s="1"/>
  <c r="G66" i="1" s="1"/>
  <c r="D84" i="1"/>
  <c r="I84" i="1" s="1"/>
  <c r="H66" i="1" l="1"/>
  <c r="C67" i="1" s="1"/>
  <c r="D85" i="1"/>
  <c r="I85" i="1" s="1"/>
  <c r="E67" i="1" l="1"/>
  <c r="D86" i="1"/>
  <c r="I86" i="1" s="1"/>
  <c r="G67" i="1" l="1"/>
  <c r="H67" i="1" s="1"/>
  <c r="C68" i="1" s="1"/>
  <c r="E68" i="1" s="1"/>
  <c r="D87" i="1"/>
  <c r="I87" i="1" s="1"/>
  <c r="G68" i="1" l="1"/>
  <c r="H68" i="1" s="1"/>
  <c r="C69" i="1" s="1"/>
  <c r="E69" i="1" s="1"/>
  <c r="G69" i="1" s="1"/>
  <c r="D88" i="1"/>
  <c r="I88" i="1" s="1"/>
  <c r="H69" i="1" l="1"/>
  <c r="C70" i="1" s="1"/>
  <c r="D89" i="1"/>
  <c r="I89" i="1" s="1"/>
  <c r="D90" i="1" l="1"/>
  <c r="I90" i="1" s="1"/>
  <c r="E70" i="1"/>
  <c r="G70" i="1" s="1"/>
  <c r="H70" i="1" l="1"/>
  <c r="C71" i="1" s="1"/>
  <c r="D91" i="1"/>
  <c r="I91" i="1" s="1"/>
  <c r="D92" i="1" l="1"/>
  <c r="I92" i="1" s="1"/>
  <c r="E71" i="1"/>
  <c r="G71" i="1" s="1"/>
  <c r="D93" i="1" l="1"/>
  <c r="I93" i="1" s="1"/>
  <c r="H71" i="1"/>
  <c r="C72" i="1" s="1"/>
  <c r="E72" i="1" l="1"/>
  <c r="D94" i="1"/>
  <c r="I94" i="1" s="1"/>
  <c r="G72" i="1" l="1"/>
  <c r="H72" i="1" s="1"/>
  <c r="C73" i="1" s="1"/>
  <c r="E73" i="1" s="1"/>
  <c r="D95" i="1"/>
  <c r="I95" i="1" s="1"/>
  <c r="G73" i="1" l="1"/>
  <c r="H73" i="1" s="1"/>
  <c r="C74" i="1" s="1"/>
  <c r="E74" i="1" s="1"/>
  <c r="G74" i="1" s="1"/>
  <c r="D96" i="1"/>
  <c r="I96" i="1" s="1"/>
  <c r="H74" i="1" l="1"/>
  <c r="C75" i="1" s="1"/>
  <c r="E75" i="1" s="1"/>
  <c r="G75" i="1" s="1"/>
  <c r="D97" i="1"/>
  <c r="I97" i="1" s="1"/>
  <c r="H75" i="1" l="1"/>
  <c r="C76" i="1" s="1"/>
  <c r="D98" i="1"/>
  <c r="I98" i="1" s="1"/>
  <c r="D99" i="1" l="1"/>
  <c r="I99" i="1" s="1"/>
  <c r="E76" i="1"/>
  <c r="G76" i="1" l="1"/>
  <c r="H76" i="1" s="1"/>
  <c r="C77" i="1" s="1"/>
  <c r="E77" i="1" s="1"/>
  <c r="G77" i="1" s="1"/>
  <c r="D100" i="1"/>
  <c r="I100" i="1" s="1"/>
  <c r="D101" i="1" l="1"/>
  <c r="I101" i="1" s="1"/>
  <c r="H77" i="1"/>
  <c r="C78" i="1" s="1"/>
  <c r="E78" i="1" l="1"/>
  <c r="D102" i="1"/>
  <c r="I102" i="1" s="1"/>
  <c r="G78" i="1" l="1"/>
  <c r="H78" i="1" s="1"/>
  <c r="C79" i="1" s="1"/>
  <c r="E79" i="1" s="1"/>
  <c r="G79" i="1" s="1"/>
  <c r="D103" i="1"/>
  <c r="I103" i="1" s="1"/>
  <c r="H79" i="1" l="1"/>
  <c r="C80" i="1" s="1"/>
  <c r="D104" i="1"/>
  <c r="I104" i="1" s="1"/>
  <c r="D105" i="1" l="1"/>
  <c r="I105" i="1" s="1"/>
  <c r="E80" i="1"/>
  <c r="G80" i="1" s="1"/>
  <c r="H80" i="1" l="1"/>
  <c r="C81" i="1" s="1"/>
  <c r="D106" i="1"/>
  <c r="I106" i="1" s="1"/>
  <c r="D107" i="1" l="1"/>
  <c r="I107" i="1" s="1"/>
  <c r="E81" i="1"/>
  <c r="G81" i="1" l="1"/>
  <c r="H81" i="1" s="1"/>
  <c r="C82" i="1" s="1"/>
  <c r="E82" i="1" s="1"/>
  <c r="G82" i="1" s="1"/>
  <c r="D108" i="1"/>
  <c r="I108" i="1" s="1"/>
  <c r="H82" i="1" l="1"/>
  <c r="C83" i="1" s="1"/>
  <c r="D109" i="1"/>
  <c r="I109" i="1" s="1"/>
  <c r="E83" i="1" l="1"/>
  <c r="D110" i="1"/>
  <c r="I110" i="1" s="1"/>
  <c r="G83" i="1" l="1"/>
  <c r="H83" i="1" s="1"/>
  <c r="C84" i="1" s="1"/>
  <c r="E84" i="1" s="1"/>
  <c r="G84" i="1" s="1"/>
  <c r="D111" i="1"/>
  <c r="I111" i="1" s="1"/>
  <c r="H84" i="1" l="1"/>
  <c r="C85" i="1" s="1"/>
  <c r="E85" i="1" s="1"/>
  <c r="G85" i="1" s="1"/>
  <c r="D112" i="1"/>
  <c r="I112" i="1" s="1"/>
  <c r="H85" i="1" l="1"/>
  <c r="C86" i="1" s="1"/>
  <c r="E86" i="1" s="1"/>
  <c r="G86" i="1" s="1"/>
  <c r="D113" i="1"/>
  <c r="I113" i="1" s="1"/>
  <c r="H86" i="1" l="1"/>
  <c r="C87" i="1" s="1"/>
  <c r="D114" i="1"/>
  <c r="I114" i="1" s="1"/>
  <c r="E87" i="1" l="1"/>
  <c r="G87" i="1" s="1"/>
  <c r="H87" i="1" s="1"/>
  <c r="C88" i="1" s="1"/>
  <c r="D115" i="1"/>
  <c r="I115" i="1" s="1"/>
  <c r="E88" i="1" l="1"/>
  <c r="G88" i="1" s="1"/>
  <c r="D116" i="1"/>
  <c r="I116" i="1" s="1"/>
  <c r="H88" i="1" l="1"/>
  <c r="C89" i="1" s="1"/>
  <c r="D117" i="1"/>
  <c r="I117" i="1" s="1"/>
  <c r="D118" i="1" l="1"/>
  <c r="I118" i="1" s="1"/>
  <c r="E89" i="1"/>
  <c r="G89" i="1" s="1"/>
  <c r="H89" i="1" l="1"/>
  <c r="C90" i="1" s="1"/>
  <c r="E90" i="1" s="1"/>
  <c r="G90" i="1" s="1"/>
  <c r="D119" i="1"/>
  <c r="I119" i="1" s="1"/>
  <c r="H90" i="1" l="1"/>
  <c r="C91" i="1" s="1"/>
  <c r="E91" i="1" s="1"/>
  <c r="G91" i="1" s="1"/>
  <c r="D120" i="1"/>
  <c r="I120" i="1" s="1"/>
  <c r="H91" i="1" l="1"/>
  <c r="C92" i="1" s="1"/>
  <c r="D121" i="1"/>
  <c r="I121" i="1" s="1"/>
  <c r="E92" i="1" l="1"/>
  <c r="G92" i="1" s="1"/>
  <c r="H92" i="1" s="1"/>
  <c r="C93" i="1" s="1"/>
  <c r="E93" i="1" s="1"/>
  <c r="G93" i="1" s="1"/>
  <c r="D122" i="1"/>
  <c r="I122" i="1" s="1"/>
  <c r="H93" i="1" l="1"/>
  <c r="C94" i="1" s="1"/>
  <c r="D123" i="1"/>
  <c r="I123" i="1" s="1"/>
  <c r="D124" i="1" l="1"/>
  <c r="I124" i="1" s="1"/>
  <c r="E94" i="1"/>
  <c r="G94" i="1" s="1"/>
  <c r="H94" i="1" l="1"/>
  <c r="C95" i="1" s="1"/>
  <c r="D125" i="1"/>
  <c r="I125" i="1" s="1"/>
  <c r="D126" i="1" l="1"/>
  <c r="I126" i="1" s="1"/>
  <c r="E95" i="1"/>
  <c r="G95" i="1" s="1"/>
  <c r="H95" i="1" l="1"/>
  <c r="C96" i="1" s="1"/>
  <c r="E96" i="1" s="1"/>
  <c r="D127" i="1"/>
  <c r="I127" i="1" s="1"/>
  <c r="G96" i="1" l="1"/>
  <c r="H96" i="1" s="1"/>
  <c r="C97" i="1" s="1"/>
  <c r="E97" i="1" s="1"/>
  <c r="G97" i="1" s="1"/>
  <c r="D128" i="1"/>
  <c r="I128" i="1" s="1"/>
  <c r="H97" i="1" l="1"/>
  <c r="C98" i="1" s="1"/>
  <c r="E98" i="1" s="1"/>
  <c r="G98" i="1" s="1"/>
  <c r="D129" i="1"/>
  <c r="I129" i="1" s="1"/>
  <c r="H98" i="1" l="1"/>
  <c r="C99" i="1" s="1"/>
  <c r="E99" i="1" s="1"/>
  <c r="D130" i="1"/>
  <c r="I130" i="1" s="1"/>
  <c r="G99" i="1" l="1"/>
  <c r="H99" i="1" s="1"/>
  <c r="C100" i="1" s="1"/>
  <c r="E100" i="1" s="1"/>
  <c r="G100" i="1" s="1"/>
  <c r="D131" i="1"/>
  <c r="I131" i="1" s="1"/>
  <c r="H100" i="1" l="1"/>
  <c r="C101" i="1" s="1"/>
  <c r="D132" i="1"/>
  <c r="I132" i="1" s="1"/>
  <c r="D133" i="1" l="1"/>
  <c r="I133" i="1" s="1"/>
  <c r="E101" i="1"/>
  <c r="G101" i="1" s="1"/>
  <c r="H101" i="1" l="1"/>
  <c r="C102" i="1" s="1"/>
  <c r="D134" i="1"/>
  <c r="I134" i="1" s="1"/>
  <c r="D135" i="1" l="1"/>
  <c r="I135" i="1" s="1"/>
  <c r="E102" i="1"/>
  <c r="G102" i="1" s="1"/>
  <c r="H102" i="1" l="1"/>
  <c r="C103" i="1" s="1"/>
  <c r="D136" i="1"/>
  <c r="I136" i="1" s="1"/>
  <c r="D137" i="1" l="1"/>
  <c r="I137" i="1" s="1"/>
  <c r="E103" i="1"/>
  <c r="G103" i="1" s="1"/>
  <c r="H103" i="1" l="1"/>
  <c r="C104" i="1" s="1"/>
  <c r="E104" i="1" s="1"/>
  <c r="G104" i="1" s="1"/>
  <c r="D138" i="1"/>
  <c r="I138" i="1" s="1"/>
  <c r="H104" i="1" l="1"/>
  <c r="C105" i="1" s="1"/>
  <c r="D139" i="1"/>
  <c r="I139" i="1" s="1"/>
  <c r="D140" i="1" l="1"/>
  <c r="I140" i="1" s="1"/>
  <c r="E105" i="1"/>
  <c r="G105" i="1" s="1"/>
  <c r="H105" i="1" l="1"/>
  <c r="C106" i="1" s="1"/>
  <c r="D141" i="1"/>
  <c r="I141" i="1" s="1"/>
  <c r="D142" i="1" l="1"/>
  <c r="I142" i="1" s="1"/>
  <c r="E106" i="1"/>
  <c r="G106" i="1" s="1"/>
  <c r="H106" i="1" l="1"/>
  <c r="C107" i="1" s="1"/>
  <c r="D143" i="1"/>
  <c r="I143" i="1" s="1"/>
  <c r="D144" i="1" l="1"/>
  <c r="I144" i="1" s="1"/>
  <c r="E107" i="1"/>
  <c r="G107" i="1" s="1"/>
  <c r="H107" i="1" l="1"/>
  <c r="C108" i="1" s="1"/>
  <c r="D145" i="1"/>
  <c r="I145" i="1" s="1"/>
  <c r="D146" i="1" l="1"/>
  <c r="I146" i="1" s="1"/>
  <c r="E108" i="1"/>
  <c r="G108" i="1" s="1"/>
  <c r="D147" i="1" l="1"/>
  <c r="I147" i="1" s="1"/>
  <c r="H108" i="1"/>
  <c r="C109" i="1" s="1"/>
  <c r="E109" i="1" l="1"/>
  <c r="G109" i="1" s="1"/>
  <c r="D148" i="1"/>
  <c r="I148" i="1" s="1"/>
  <c r="D149" i="1" l="1"/>
  <c r="I149" i="1" s="1"/>
  <c r="H109" i="1"/>
  <c r="C110" i="1" s="1"/>
  <c r="D150" i="1" l="1"/>
  <c r="I150" i="1" s="1"/>
  <c r="E110" i="1"/>
  <c r="G110" i="1" s="1"/>
  <c r="H110" i="1" l="1"/>
  <c r="C111" i="1" s="1"/>
  <c r="D151" i="1"/>
  <c r="I151" i="1" s="1"/>
  <c r="D152" i="1" l="1"/>
  <c r="I152" i="1" s="1"/>
  <c r="E111" i="1"/>
  <c r="G111" i="1" s="1"/>
  <c r="H111" i="1" l="1"/>
  <c r="C112" i="1" s="1"/>
  <c r="D153" i="1"/>
  <c r="I153" i="1" s="1"/>
  <c r="D154" i="1" l="1"/>
  <c r="I154" i="1" s="1"/>
  <c r="E112" i="1"/>
  <c r="G112" i="1" s="1"/>
  <c r="H112" i="1" l="1"/>
  <c r="C113" i="1" s="1"/>
  <c r="D155" i="1"/>
  <c r="I155" i="1" s="1"/>
  <c r="D156" i="1" l="1"/>
  <c r="I156" i="1" s="1"/>
  <c r="E113" i="1"/>
  <c r="G113" i="1" s="1"/>
  <c r="H113" i="1" l="1"/>
  <c r="C114" i="1" s="1"/>
  <c r="D157" i="1"/>
  <c r="I157" i="1" s="1"/>
  <c r="E114" i="1" l="1"/>
  <c r="D158" i="1"/>
  <c r="I158" i="1" s="1"/>
  <c r="G114" i="1" l="1"/>
  <c r="H114" i="1" s="1"/>
  <c r="C115" i="1" s="1"/>
  <c r="E115" i="1" s="1"/>
  <c r="D159" i="1"/>
  <c r="I159" i="1" s="1"/>
  <c r="G115" i="1" l="1"/>
  <c r="H115" i="1" s="1"/>
  <c r="C116" i="1" s="1"/>
  <c r="E116" i="1" s="1"/>
  <c r="D160" i="1"/>
  <c r="I160" i="1" s="1"/>
  <c r="G116" i="1" l="1"/>
  <c r="H116" i="1" s="1"/>
  <c r="C117" i="1" s="1"/>
  <c r="E117" i="1" s="1"/>
  <c r="D161" i="1"/>
  <c r="I161" i="1" s="1"/>
  <c r="G117" i="1" l="1"/>
  <c r="H117" i="1" s="1"/>
  <c r="C118" i="1" s="1"/>
  <c r="E118" i="1" s="1"/>
  <c r="G118" i="1" s="1"/>
  <c r="D162" i="1"/>
  <c r="I162" i="1" s="1"/>
  <c r="H118" i="1" l="1"/>
  <c r="C119" i="1" s="1"/>
  <c r="D163" i="1"/>
  <c r="I163" i="1" s="1"/>
  <c r="E119" i="1" l="1"/>
  <c r="D164" i="1"/>
  <c r="I164" i="1" s="1"/>
  <c r="G119" i="1" l="1"/>
  <c r="H119" i="1" s="1"/>
  <c r="C120" i="1" s="1"/>
  <c r="E120" i="1" s="1"/>
  <c r="D165" i="1"/>
  <c r="I165" i="1" s="1"/>
  <c r="G120" i="1" l="1"/>
  <c r="H120" i="1" s="1"/>
  <c r="C121" i="1" s="1"/>
  <c r="E121" i="1" s="1"/>
  <c r="D166" i="1"/>
  <c r="I166" i="1" s="1"/>
  <c r="G121" i="1" l="1"/>
  <c r="H121" i="1" s="1"/>
  <c r="C122" i="1" s="1"/>
  <c r="E122" i="1" s="1"/>
  <c r="D167" i="1"/>
  <c r="I167" i="1" s="1"/>
  <c r="G122" i="1" l="1"/>
  <c r="H122" i="1" s="1"/>
  <c r="C123" i="1" s="1"/>
  <c r="E123" i="1" s="1"/>
  <c r="D168" i="1"/>
  <c r="I168" i="1" s="1"/>
  <c r="G123" i="1" l="1"/>
  <c r="H123" i="1" s="1"/>
  <c r="C124" i="1" s="1"/>
  <c r="E124" i="1" s="1"/>
  <c r="D169" i="1"/>
  <c r="I169" i="1" s="1"/>
  <c r="G124" i="1" l="1"/>
  <c r="H124" i="1" s="1"/>
  <c r="C125" i="1" s="1"/>
  <c r="E125" i="1" s="1"/>
  <c r="G125" i="1" s="1"/>
  <c r="H125" i="1" s="1"/>
  <c r="C126" i="1" s="1"/>
  <c r="E126" i="1" s="1"/>
  <c r="D170" i="1"/>
  <c r="I170" i="1" s="1"/>
  <c r="G126" i="1" l="1"/>
  <c r="H126" i="1" s="1"/>
  <c r="C127" i="1" s="1"/>
  <c r="E127" i="1" s="1"/>
  <c r="G127" i="1" s="1"/>
  <c r="D171" i="1"/>
  <c r="I171" i="1" s="1"/>
  <c r="H127" i="1" l="1"/>
  <c r="C128" i="1" s="1"/>
  <c r="D172" i="1"/>
  <c r="I172" i="1" s="1"/>
  <c r="E128" i="1" l="1"/>
  <c r="G128" i="1" s="1"/>
  <c r="H128" i="1" s="1"/>
  <c r="C129" i="1" s="1"/>
  <c r="D173" i="1"/>
  <c r="I173" i="1" s="1"/>
  <c r="E129" i="1" l="1"/>
  <c r="D174" i="1"/>
  <c r="I174" i="1" s="1"/>
  <c r="G129" i="1" l="1"/>
  <c r="H129" i="1" s="1"/>
  <c r="C130" i="1" s="1"/>
  <c r="E130" i="1" s="1"/>
  <c r="D175" i="1"/>
  <c r="I175" i="1" s="1"/>
  <c r="G130" i="1" l="1"/>
  <c r="H130" i="1" s="1"/>
  <c r="C131" i="1" s="1"/>
  <c r="E131" i="1" s="1"/>
  <c r="D176" i="1"/>
  <c r="I176" i="1" s="1"/>
  <c r="G131" i="1" l="1"/>
  <c r="H131" i="1" s="1"/>
  <c r="C132" i="1" s="1"/>
  <c r="E132" i="1" s="1"/>
  <c r="D177" i="1"/>
  <c r="I177" i="1" s="1"/>
  <c r="G132" i="1" l="1"/>
  <c r="H132" i="1" s="1"/>
  <c r="C133" i="1" s="1"/>
  <c r="E133" i="1" s="1"/>
  <c r="D178" i="1"/>
  <c r="I178" i="1" s="1"/>
  <c r="G133" i="1" l="1"/>
  <c r="H133" i="1" s="1"/>
  <c r="C134" i="1" s="1"/>
  <c r="E134" i="1" s="1"/>
  <c r="D179" i="1"/>
  <c r="I179" i="1" s="1"/>
  <c r="G134" i="1" l="1"/>
  <c r="H134" i="1" s="1"/>
  <c r="C135" i="1" s="1"/>
  <c r="E135" i="1" s="1"/>
  <c r="D180" i="1"/>
  <c r="I180" i="1" s="1"/>
  <c r="G135" i="1" l="1"/>
  <c r="H135" i="1" s="1"/>
  <c r="C136" i="1" s="1"/>
  <c r="E136" i="1" s="1"/>
  <c r="D181" i="1"/>
  <c r="I181" i="1" s="1"/>
  <c r="G136" i="1" l="1"/>
  <c r="H136" i="1" s="1"/>
  <c r="C137" i="1" s="1"/>
  <c r="E137" i="1" s="1"/>
  <c r="D182" i="1"/>
  <c r="I182" i="1" s="1"/>
  <c r="G137" i="1" l="1"/>
  <c r="H137" i="1" s="1"/>
  <c r="C138" i="1" s="1"/>
  <c r="E138" i="1" s="1"/>
  <c r="D183" i="1"/>
  <c r="I183" i="1" s="1"/>
  <c r="G138" i="1" l="1"/>
  <c r="H138" i="1" s="1"/>
  <c r="C139" i="1" s="1"/>
  <c r="E139" i="1" s="1"/>
  <c r="D184" i="1"/>
  <c r="I184" i="1" s="1"/>
  <c r="G139" i="1" l="1"/>
  <c r="H139" i="1" s="1"/>
  <c r="C140" i="1" s="1"/>
  <c r="E140" i="1" s="1"/>
  <c r="D185" i="1"/>
  <c r="I185" i="1" s="1"/>
  <c r="G140" i="1" l="1"/>
  <c r="H140" i="1" s="1"/>
  <c r="C141" i="1" s="1"/>
  <c r="E141" i="1" s="1"/>
  <c r="G141" i="1" s="1"/>
  <c r="D186" i="1"/>
  <c r="I186" i="1" s="1"/>
  <c r="H141" i="1" l="1"/>
  <c r="C142" i="1" s="1"/>
  <c r="D187" i="1"/>
  <c r="I187" i="1" s="1"/>
  <c r="D188" i="1" l="1"/>
  <c r="I188" i="1" s="1"/>
  <c r="E142" i="1"/>
  <c r="G142" i="1" s="1"/>
  <c r="H142" i="1" l="1"/>
  <c r="C143" i="1" s="1"/>
  <c r="D189" i="1"/>
  <c r="I189" i="1" s="1"/>
  <c r="E143" i="1" l="1"/>
  <c r="D190" i="1"/>
  <c r="I190" i="1" s="1"/>
  <c r="G143" i="1" l="1"/>
  <c r="H143" i="1" s="1"/>
  <c r="C144" i="1" s="1"/>
  <c r="E144" i="1" s="1"/>
  <c r="D191" i="1"/>
  <c r="I191" i="1" s="1"/>
  <c r="G144" i="1" l="1"/>
  <c r="H144" i="1" s="1"/>
  <c r="C145" i="1" s="1"/>
  <c r="E145" i="1" s="1"/>
  <c r="D192" i="1"/>
  <c r="I192" i="1" s="1"/>
  <c r="G145" i="1" l="1"/>
  <c r="H145" i="1" s="1"/>
  <c r="C146" i="1" s="1"/>
  <c r="E146" i="1" s="1"/>
  <c r="D193" i="1"/>
  <c r="I193" i="1" s="1"/>
  <c r="G146" i="1" l="1"/>
  <c r="H146" i="1" s="1"/>
  <c r="C147" i="1" s="1"/>
  <c r="E147" i="1" s="1"/>
  <c r="G147" i="1" s="1"/>
  <c r="D194" i="1"/>
  <c r="I194" i="1" s="1"/>
  <c r="H147" i="1" l="1"/>
  <c r="C148" i="1" s="1"/>
  <c r="D195" i="1"/>
  <c r="I195" i="1" s="1"/>
  <c r="E148" i="1" l="1"/>
  <c r="D196" i="1"/>
  <c r="I196" i="1" s="1"/>
  <c r="G148" i="1" l="1"/>
  <c r="H148" i="1" s="1"/>
  <c r="C149" i="1" s="1"/>
  <c r="E149" i="1" s="1"/>
  <c r="D197" i="1"/>
  <c r="I197" i="1" s="1"/>
  <c r="G149" i="1" l="1"/>
  <c r="H149" i="1" s="1"/>
  <c r="C150" i="1" s="1"/>
  <c r="E150" i="1" s="1"/>
  <c r="G150" i="1" s="1"/>
  <c r="D198" i="1"/>
  <c r="I198" i="1" s="1"/>
  <c r="H150" i="1" l="1"/>
  <c r="C151" i="1" s="1"/>
  <c r="D199" i="1"/>
  <c r="I199" i="1" s="1"/>
  <c r="E151" i="1" l="1"/>
  <c r="G151" i="1" s="1"/>
  <c r="D200" i="1"/>
  <c r="I200" i="1" s="1"/>
  <c r="H151" i="1" l="1"/>
  <c r="C152" i="1" s="1"/>
  <c r="D201" i="1"/>
  <c r="I201" i="1" s="1"/>
  <c r="E152" i="1" l="1"/>
  <c r="D202" i="1"/>
  <c r="I202" i="1" s="1"/>
  <c r="G152" i="1" l="1"/>
  <c r="H152" i="1" s="1"/>
  <c r="C153" i="1" s="1"/>
  <c r="E153" i="1" s="1"/>
  <c r="D203" i="1"/>
  <c r="I203" i="1" s="1"/>
  <c r="G153" i="1" l="1"/>
  <c r="H153" i="1" s="1"/>
  <c r="C154" i="1" s="1"/>
  <c r="E154" i="1" s="1"/>
  <c r="D204" i="1"/>
  <c r="I204" i="1" s="1"/>
  <c r="G154" i="1" l="1"/>
  <c r="H154" i="1" s="1"/>
  <c r="C155" i="1" s="1"/>
  <c r="E155" i="1" s="1"/>
  <c r="D205" i="1"/>
  <c r="I205" i="1" s="1"/>
  <c r="G155" i="1" l="1"/>
  <c r="H155" i="1" s="1"/>
  <c r="C156" i="1" s="1"/>
  <c r="E156" i="1" s="1"/>
  <c r="D206" i="1"/>
  <c r="I206" i="1" s="1"/>
  <c r="G156" i="1" l="1"/>
  <c r="H156" i="1" s="1"/>
  <c r="C157" i="1" s="1"/>
  <c r="E157" i="1" s="1"/>
  <c r="D207" i="1"/>
  <c r="I207" i="1" s="1"/>
  <c r="G157" i="1" l="1"/>
  <c r="H157" i="1" s="1"/>
  <c r="C158" i="1" s="1"/>
  <c r="E158" i="1" s="1"/>
  <c r="D208" i="1"/>
  <c r="I208" i="1" s="1"/>
  <c r="G158" i="1" l="1"/>
  <c r="H158" i="1" s="1"/>
  <c r="C159" i="1" s="1"/>
  <c r="E159" i="1" s="1"/>
  <c r="D209" i="1"/>
  <c r="I209" i="1" s="1"/>
  <c r="G159" i="1" l="1"/>
  <c r="H159" i="1" s="1"/>
  <c r="C160" i="1" s="1"/>
  <c r="E160" i="1" s="1"/>
  <c r="D210" i="1"/>
  <c r="I210" i="1" s="1"/>
  <c r="G160" i="1" l="1"/>
  <c r="H160" i="1" s="1"/>
  <c r="C161" i="1" s="1"/>
  <c r="E161" i="1" s="1"/>
  <c r="G161" i="1" s="1"/>
  <c r="D211" i="1"/>
  <c r="I211" i="1" s="1"/>
  <c r="H161" i="1" l="1"/>
  <c r="C162" i="1" s="1"/>
  <c r="D212" i="1"/>
  <c r="I212" i="1" s="1"/>
  <c r="E162" i="1" l="1"/>
  <c r="G162" i="1" s="1"/>
  <c r="D213" i="1"/>
  <c r="I213" i="1" s="1"/>
  <c r="H162" i="1" l="1"/>
  <c r="C163" i="1" s="1"/>
  <c r="D214" i="1"/>
  <c r="I214" i="1" s="1"/>
  <c r="E163" i="1" l="1"/>
  <c r="D215" i="1"/>
  <c r="I215" i="1" s="1"/>
  <c r="G163" i="1" l="1"/>
  <c r="H163" i="1" s="1"/>
  <c r="C164" i="1" s="1"/>
  <c r="E164" i="1" s="1"/>
  <c r="D216" i="1"/>
  <c r="I216" i="1" s="1"/>
  <c r="G164" i="1" l="1"/>
  <c r="H164" i="1" s="1"/>
  <c r="C165" i="1" s="1"/>
  <c r="E165" i="1" s="1"/>
  <c r="D217" i="1"/>
  <c r="I217" i="1" s="1"/>
  <c r="G165" i="1" l="1"/>
  <c r="H165" i="1" s="1"/>
  <c r="C166" i="1" s="1"/>
  <c r="E166" i="1" s="1"/>
  <c r="G166" i="1" s="1"/>
  <c r="H166" i="1" l="1"/>
  <c r="C167" i="1" s="1"/>
  <c r="E167" i="1" l="1"/>
  <c r="G167" i="1" s="1"/>
  <c r="H167" i="1" l="1"/>
  <c r="C168" i="1" s="1"/>
  <c r="E168" i="1" l="1"/>
  <c r="G168" i="1" l="1"/>
  <c r="H168" i="1" s="1"/>
  <c r="C169" i="1" s="1"/>
  <c r="E169" i="1" s="1"/>
  <c r="G169" i="1" l="1"/>
  <c r="H169" i="1" s="1"/>
  <c r="C170" i="1" s="1"/>
  <c r="E170" i="1" s="1"/>
  <c r="G170" i="1" s="1"/>
  <c r="H170" i="1" l="1"/>
  <c r="C171" i="1" s="1"/>
  <c r="E171" i="1" l="1"/>
  <c r="G171" i="1" s="1"/>
  <c r="H171" i="1" l="1"/>
  <c r="C172" i="1" s="1"/>
  <c r="E172" i="1" l="1"/>
  <c r="G172" i="1" l="1"/>
  <c r="H172" i="1" s="1"/>
  <c r="C173" i="1" s="1"/>
  <c r="E173" i="1" s="1"/>
  <c r="G173" i="1" l="1"/>
  <c r="H173" i="1" s="1"/>
  <c r="C174" i="1" s="1"/>
  <c r="E174" i="1" s="1"/>
  <c r="G174" i="1" s="1"/>
  <c r="H174" i="1" l="1"/>
  <c r="C175" i="1" s="1"/>
  <c r="E175" i="1" l="1"/>
  <c r="G175" i="1" l="1"/>
  <c r="H175" i="1" s="1"/>
  <c r="C176" i="1" s="1"/>
  <c r="E176" i="1" s="1"/>
  <c r="G176" i="1" l="1"/>
  <c r="H176" i="1" s="1"/>
  <c r="C177" i="1" s="1"/>
  <c r="E177" i="1" s="1"/>
  <c r="G177" i="1" s="1"/>
  <c r="H177" i="1" l="1"/>
  <c r="C178" i="1" s="1"/>
  <c r="E178" i="1" l="1"/>
  <c r="G178" i="1" s="1"/>
  <c r="H178" i="1" l="1"/>
  <c r="C179" i="1" s="1"/>
  <c r="E179" i="1" l="1"/>
  <c r="G179" i="1" s="1"/>
  <c r="H179" i="1" l="1"/>
  <c r="C180" i="1" s="1"/>
  <c r="E180" i="1" l="1"/>
  <c r="G180" i="1" l="1"/>
  <c r="H180" i="1" s="1"/>
  <c r="C181" i="1" s="1"/>
  <c r="E181" i="1" s="1"/>
  <c r="G181" i="1" s="1"/>
  <c r="H181" i="1" l="1"/>
  <c r="C182" i="1" s="1"/>
  <c r="E182" i="1" l="1"/>
  <c r="G182" i="1" l="1"/>
  <c r="H182" i="1" s="1"/>
  <c r="C183" i="1" s="1"/>
  <c r="E183" i="1" s="1"/>
  <c r="G183" i="1" s="1"/>
  <c r="H183" i="1" l="1"/>
  <c r="C184" i="1" s="1"/>
  <c r="E184" i="1" l="1"/>
  <c r="G184" i="1" s="1"/>
  <c r="H184" i="1" l="1"/>
  <c r="C185" i="1" s="1"/>
  <c r="E185" i="1" l="1"/>
  <c r="G185" i="1" l="1"/>
  <c r="H185" i="1" s="1"/>
  <c r="C186" i="1" s="1"/>
  <c r="E186" i="1" s="1"/>
  <c r="G186" i="1" s="1"/>
  <c r="H186" i="1" l="1"/>
  <c r="C187" i="1" s="1"/>
  <c r="E187" i="1" l="1"/>
  <c r="G187" i="1" s="1"/>
  <c r="H187" i="1" l="1"/>
  <c r="C188" i="1" s="1"/>
  <c r="E188" i="1" l="1"/>
  <c r="G188" i="1" s="1"/>
  <c r="H188" i="1" l="1"/>
  <c r="C189" i="1" s="1"/>
  <c r="E189" i="1" l="1"/>
  <c r="G189" i="1" s="1"/>
  <c r="H189" i="1" l="1"/>
  <c r="C190" i="1" s="1"/>
  <c r="E190" i="1" l="1"/>
  <c r="G190" i="1" l="1"/>
  <c r="H190" i="1" s="1"/>
  <c r="C191" i="1" s="1"/>
  <c r="E191" i="1" s="1"/>
  <c r="G191" i="1" l="1"/>
  <c r="H191" i="1" s="1"/>
  <c r="C192" i="1" s="1"/>
  <c r="E192" i="1" s="1"/>
  <c r="G192" i="1" s="1"/>
  <c r="H192" i="1" l="1"/>
  <c r="C193" i="1" s="1"/>
  <c r="E193" i="1" l="1"/>
  <c r="G193" i="1" l="1"/>
  <c r="H193" i="1" s="1"/>
  <c r="C194" i="1" s="1"/>
  <c r="E194" i="1" s="1"/>
  <c r="G194" i="1" l="1"/>
  <c r="H194" i="1" s="1"/>
  <c r="C195" i="1" s="1"/>
  <c r="E195" i="1" s="1"/>
  <c r="G195" i="1" s="1"/>
  <c r="H195" i="1" l="1"/>
  <c r="C196" i="1" s="1"/>
  <c r="E196" i="1" l="1"/>
  <c r="G196" i="1" l="1"/>
  <c r="H196" i="1" s="1"/>
  <c r="C197" i="1" s="1"/>
  <c r="E197" i="1" s="1"/>
  <c r="G197" i="1" s="1"/>
  <c r="H197" i="1" l="1"/>
  <c r="C198" i="1" s="1"/>
  <c r="E198" i="1" l="1"/>
  <c r="G198" i="1" l="1"/>
  <c r="H198" i="1" s="1"/>
  <c r="C199" i="1" s="1"/>
  <c r="E199" i="1" s="1"/>
  <c r="G199" i="1" s="1"/>
  <c r="H199" i="1" l="1"/>
  <c r="C200" i="1" s="1"/>
  <c r="E200" i="1" l="1"/>
  <c r="G200" i="1" s="1"/>
  <c r="H200" i="1" l="1"/>
  <c r="C201" i="1" s="1"/>
  <c r="E201" i="1" l="1"/>
  <c r="G201" i="1" l="1"/>
  <c r="H201" i="1" s="1"/>
  <c r="C202" i="1" s="1"/>
  <c r="E202" i="1" s="1"/>
  <c r="G202" i="1" l="1"/>
  <c r="H202" i="1" s="1"/>
  <c r="C203" i="1" s="1"/>
  <c r="E203" i="1" s="1"/>
  <c r="G203" i="1" l="1"/>
  <c r="H203" i="1" s="1"/>
  <c r="C204" i="1" s="1"/>
  <c r="E204" i="1" s="1"/>
  <c r="G204" i="1" l="1"/>
  <c r="H204" i="1" s="1"/>
  <c r="C205" i="1" s="1"/>
  <c r="E205" i="1" s="1"/>
  <c r="G205" i="1" s="1"/>
  <c r="H205" i="1" l="1"/>
  <c r="C206" i="1" s="1"/>
  <c r="E206" i="1" l="1"/>
  <c r="G206" i="1" s="1"/>
  <c r="H206" i="1" l="1"/>
  <c r="C207" i="1" s="1"/>
  <c r="E207" i="1" l="1"/>
  <c r="G207" i="1" l="1"/>
  <c r="H207" i="1" s="1"/>
  <c r="C208" i="1" s="1"/>
  <c r="E208" i="1" s="1"/>
  <c r="G208" i="1" s="1"/>
  <c r="H208" i="1" l="1"/>
  <c r="C209" i="1" s="1"/>
  <c r="E209" i="1" l="1"/>
  <c r="G209" i="1" s="1"/>
  <c r="H209" i="1" l="1"/>
  <c r="C210" i="1" s="1"/>
  <c r="E210" i="1" l="1"/>
  <c r="G210" i="1" s="1"/>
  <c r="H210" i="1" l="1"/>
  <c r="C211" i="1" s="1"/>
  <c r="E211" i="1" l="1"/>
  <c r="G211" i="1" l="1"/>
  <c r="H211" i="1" s="1"/>
  <c r="C212" i="1" s="1"/>
  <c r="E212" i="1" s="1"/>
  <c r="D75" i="14" l="1"/>
  <c r="G212" i="1"/>
  <c r="H212" i="1" s="1"/>
  <c r="C213" i="1" s="1"/>
  <c r="E213" i="1" s="1"/>
  <c r="I75" i="14" l="1"/>
  <c r="I11" i="14"/>
  <c r="F7" i="4" s="1"/>
  <c r="G213" i="1"/>
  <c r="H213" i="1" s="1"/>
  <c r="C214" i="1" s="1"/>
  <c r="E214" i="1" s="1"/>
  <c r="G214" i="1" l="1"/>
  <c r="H214" i="1" s="1"/>
  <c r="C215" i="1" s="1"/>
  <c r="E215" i="1" s="1"/>
  <c r="G215" i="1" l="1"/>
  <c r="H215" i="1" s="1"/>
  <c r="C216" i="1" s="1"/>
  <c r="E216" i="1" s="1"/>
  <c r="G216" i="1" s="1"/>
  <c r="H216" i="1" l="1"/>
  <c r="C217" i="1" s="1"/>
  <c r="E217" i="1" l="1"/>
  <c r="G217" i="1" l="1"/>
  <c r="H217" i="1" s="1"/>
  <c r="D219" i="1" l="1"/>
  <c r="I11" i="1" l="1"/>
  <c r="F6" i="4" s="1"/>
  <c r="I219" i="1"/>
  <c r="F8" i="4" l="1"/>
  <c r="H257" i="6" l="1"/>
  <c r="B24" i="25" l="1"/>
  <c r="B10" i="25"/>
  <c r="B17" i="25" s="1"/>
  <c r="C9" i="6" l="1"/>
  <c r="B38" i="4" s="1"/>
  <c r="C20" i="12"/>
  <c r="C21" i="12" s="1"/>
  <c r="C7" i="6" s="1"/>
  <c r="B37" i="4" s="1"/>
  <c r="B39" i="4" s="1"/>
  <c r="B31" i="25"/>
  <c r="B34" i="25" s="1"/>
  <c r="D10" i="4"/>
  <c r="C10" i="6" l="1"/>
  <c r="C19" i="6" s="1"/>
  <c r="H49" i="6"/>
  <c r="I49" i="6" s="1"/>
  <c r="H51" i="6"/>
  <c r="I51" i="6" s="1"/>
  <c r="H44" i="6"/>
  <c r="I44" i="6" s="1"/>
  <c r="H52" i="6"/>
  <c r="I52" i="6" s="1"/>
  <c r="H32" i="6"/>
  <c r="I32" i="6" s="1"/>
  <c r="H24" i="6"/>
  <c r="I24" i="6" s="1"/>
  <c r="H35" i="6"/>
  <c r="I35" i="6" s="1"/>
  <c r="H39" i="6"/>
  <c r="I39" i="6" s="1"/>
  <c r="H27" i="6"/>
  <c r="I27" i="6" s="1"/>
  <c r="H33" i="6"/>
  <c r="I33" i="6" s="1"/>
  <c r="H42" i="6"/>
  <c r="I42" i="6" s="1"/>
  <c r="H23" i="6"/>
  <c r="I23" i="6" s="1"/>
  <c r="H48" i="6"/>
  <c r="I48" i="6" s="1"/>
  <c r="H53" i="6"/>
  <c r="I53" i="6" s="1"/>
  <c r="H19" i="6"/>
  <c r="I19" i="6" s="1"/>
  <c r="H17" i="6"/>
  <c r="I17" i="6" s="1"/>
  <c r="H43" i="6"/>
  <c r="I43" i="6" s="1"/>
  <c r="H54" i="6"/>
  <c r="I54" i="6" s="1"/>
  <c r="H55" i="6"/>
  <c r="I55" i="6" s="1"/>
  <c r="H31" i="6"/>
  <c r="I31" i="6" s="1"/>
  <c r="H46" i="6"/>
  <c r="I46" i="6" s="1"/>
  <c r="H25" i="6"/>
  <c r="I25" i="6" s="1"/>
  <c r="H37" i="6"/>
  <c r="I37" i="6" s="1"/>
  <c r="H41" i="6"/>
  <c r="I41" i="6" s="1"/>
  <c r="H34" i="6"/>
  <c r="I34" i="6" s="1"/>
  <c r="H47" i="6"/>
  <c r="I47" i="6" s="1"/>
  <c r="H16" i="6"/>
  <c r="I16" i="6" s="1"/>
  <c r="H29" i="6"/>
  <c r="I29" i="6" s="1"/>
  <c r="H22" i="6"/>
  <c r="I22" i="6" s="1"/>
  <c r="H26" i="6"/>
  <c r="I26" i="6" s="1"/>
  <c r="H40" i="6"/>
  <c r="I40" i="6" s="1"/>
  <c r="H36" i="6"/>
  <c r="I36" i="6" s="1"/>
  <c r="H20" i="6"/>
  <c r="I20" i="6" s="1"/>
  <c r="H21" i="6"/>
  <c r="I21" i="6" s="1"/>
  <c r="H50" i="6"/>
  <c r="I50" i="6" s="1"/>
  <c r="H45" i="6"/>
  <c r="I45" i="6" s="1"/>
  <c r="H18" i="6"/>
  <c r="I18" i="6" s="1"/>
  <c r="H28" i="6"/>
  <c r="I28" i="6" s="1"/>
  <c r="H30" i="6"/>
  <c r="I30" i="6" s="1"/>
  <c r="H38" i="6"/>
  <c r="I38" i="6" s="1"/>
  <c r="C49" i="6" l="1"/>
  <c r="G49" i="6" s="1"/>
  <c r="C18" i="6"/>
  <c r="G18" i="6" s="1"/>
  <c r="C34" i="6"/>
  <c r="L34" i="6" s="1"/>
  <c r="C51" i="6"/>
  <c r="F2" i="25"/>
  <c r="B19" i="25" s="1"/>
  <c r="C22" i="6"/>
  <c r="L22" i="6" s="1"/>
  <c r="C52" i="6"/>
  <c r="L52" i="6" s="1"/>
  <c r="C36" i="6"/>
  <c r="L36" i="6" s="1"/>
  <c r="C42" i="6"/>
  <c r="L42" i="6" s="1"/>
  <c r="G9" i="6"/>
  <c r="C20" i="6"/>
  <c r="G20" i="6" s="1"/>
  <c r="C45" i="6"/>
  <c r="C24" i="6"/>
  <c r="L24" i="6" s="1"/>
  <c r="C25" i="6"/>
  <c r="L25" i="6" s="1"/>
  <c r="C40" i="6"/>
  <c r="G40" i="6" s="1"/>
  <c r="C37" i="6"/>
  <c r="G37" i="6" s="1"/>
  <c r="C28" i="6"/>
  <c r="L28" i="6" s="1"/>
  <c r="C41" i="6"/>
  <c r="L41" i="6" s="1"/>
  <c r="C31" i="6"/>
  <c r="L31" i="6" s="1"/>
  <c r="C30" i="6"/>
  <c r="G30" i="6" s="1"/>
  <c r="C16" i="6"/>
  <c r="C55" i="6"/>
  <c r="L55" i="6" s="1"/>
  <c r="C17" i="6"/>
  <c r="G17" i="6" s="1"/>
  <c r="C29" i="6"/>
  <c r="G29" i="6" s="1"/>
  <c r="C27" i="6"/>
  <c r="L27" i="6" s="1"/>
  <c r="C53" i="6"/>
  <c r="L53" i="6" s="1"/>
  <c r="C46" i="6"/>
  <c r="G46" i="6" s="1"/>
  <c r="C48" i="6"/>
  <c r="L48" i="6" s="1"/>
  <c r="C26" i="6"/>
  <c r="G26" i="6" s="1"/>
  <c r="C39" i="6"/>
  <c r="G39" i="6" s="1"/>
  <c r="C50" i="6"/>
  <c r="G50" i="6" s="1"/>
  <c r="C23" i="6"/>
  <c r="L23" i="6" s="1"/>
  <c r="C21" i="6"/>
  <c r="G21" i="6" s="1"/>
  <c r="C35" i="6"/>
  <c r="L35" i="6" s="1"/>
  <c r="C32" i="6"/>
  <c r="L32" i="6" s="1"/>
  <c r="C47" i="6"/>
  <c r="G47" i="6" s="1"/>
  <c r="B16" i="6"/>
  <c r="D16" i="6" s="1"/>
  <c r="C38" i="6"/>
  <c r="G38" i="6" s="1"/>
  <c r="C33" i="6"/>
  <c r="G33" i="6" s="1"/>
  <c r="C43" i="6"/>
  <c r="G43" i="6" s="1"/>
  <c r="C54" i="6"/>
  <c r="G54" i="6" s="1"/>
  <c r="C44" i="6"/>
  <c r="G44" i="6" s="1"/>
  <c r="L18" i="6"/>
  <c r="L51" i="6"/>
  <c r="G51" i="6"/>
  <c r="L45" i="6"/>
  <c r="G45" i="6"/>
  <c r="G24" i="6"/>
  <c r="J8" i="6"/>
  <c r="G34" i="6"/>
  <c r="G19" i="6"/>
  <c r="L19" i="6"/>
  <c r="G55" i="6" l="1"/>
  <c r="G25" i="6"/>
  <c r="G52" i="6"/>
  <c r="G22" i="6"/>
  <c r="L49" i="6"/>
  <c r="L17" i="6"/>
  <c r="G42" i="6"/>
  <c r="G28" i="6"/>
  <c r="L40" i="6"/>
  <c r="L50" i="6"/>
  <c r="L37" i="6"/>
  <c r="L29" i="6"/>
  <c r="L21" i="6"/>
  <c r="L54" i="6"/>
  <c r="L20" i="6"/>
  <c r="G23" i="6"/>
  <c r="G36" i="6"/>
  <c r="L43" i="6"/>
  <c r="L33" i="6"/>
  <c r="G41" i="6"/>
  <c r="G53" i="6"/>
  <c r="G35" i="6"/>
  <c r="L44" i="6"/>
  <c r="G27" i="6"/>
  <c r="L46" i="6"/>
  <c r="L38" i="6"/>
  <c r="G31" i="6"/>
  <c r="G32" i="6"/>
  <c r="G48" i="6"/>
  <c r="L47" i="6"/>
  <c r="F16" i="6"/>
  <c r="B17" i="6" s="1"/>
  <c r="D17" i="6" s="1"/>
  <c r="E17" i="6" s="1"/>
  <c r="L30" i="6"/>
  <c r="L39" i="6"/>
  <c r="E16" i="6"/>
  <c r="L26" i="6"/>
  <c r="G16" i="6"/>
  <c r="L16" i="6"/>
  <c r="E10" i="4" s="1"/>
  <c r="J7" i="6" l="1"/>
  <c r="J9" i="6" s="1"/>
  <c r="F17" i="6"/>
  <c r="B18" i="6" s="1"/>
  <c r="F10" i="4" l="1"/>
  <c r="F12" i="4" s="1"/>
  <c r="D18" i="6"/>
  <c r="E18" i="6" s="1"/>
  <c r="F18" i="6" l="1"/>
  <c r="B19" i="6" s="1"/>
  <c r="D19" i="6" l="1"/>
  <c r="E19" i="6" s="1"/>
  <c r="F19" i="6" l="1"/>
  <c r="B20" i="6" s="1"/>
  <c r="D20" i="6" l="1"/>
  <c r="E20" i="6" s="1"/>
  <c r="F20" i="6" l="1"/>
  <c r="B21" i="6" s="1"/>
  <c r="D21" i="6" s="1"/>
  <c r="E21" i="6" s="1"/>
  <c r="F21" i="6" l="1"/>
  <c r="B22" i="6" s="1"/>
  <c r="D22" i="6" l="1"/>
  <c r="E22" i="6" s="1"/>
  <c r="F22" i="6" l="1"/>
  <c r="B23" i="6" s="1"/>
  <c r="D23" i="6" s="1"/>
  <c r="E23" i="6" s="1"/>
  <c r="F23" i="6" l="1"/>
  <c r="B24" i="6" s="1"/>
  <c r="D24" i="6" l="1"/>
  <c r="E24" i="6" s="1"/>
  <c r="F24" i="6" l="1"/>
  <c r="B25" i="6" s="1"/>
  <c r="D25" i="6" s="1"/>
  <c r="E25" i="6" s="1"/>
  <c r="F25" i="6" l="1"/>
  <c r="B26" i="6" s="1"/>
  <c r="D26" i="6" s="1"/>
  <c r="E26" i="6" s="1"/>
  <c r="F26" i="6" l="1"/>
  <c r="B27" i="6" s="1"/>
  <c r="D27" i="6" l="1"/>
  <c r="E27" i="6" s="1"/>
  <c r="F27" i="6" l="1"/>
  <c r="B28" i="6" s="1"/>
  <c r="D28" i="6" l="1"/>
  <c r="E28" i="6" s="1"/>
  <c r="F28" i="6" l="1"/>
  <c r="B29" i="6" s="1"/>
  <c r="D29" i="6" l="1"/>
  <c r="E29" i="6" s="1"/>
  <c r="F29" i="6" l="1"/>
  <c r="B30" i="6" s="1"/>
  <c r="D30" i="6" l="1"/>
  <c r="E30" i="6" s="1"/>
  <c r="F30" i="6" l="1"/>
  <c r="B31" i="6" s="1"/>
  <c r="D31" i="6" l="1"/>
  <c r="E31" i="6" s="1"/>
  <c r="F31" i="6" l="1"/>
  <c r="B32" i="6" s="1"/>
  <c r="D32" i="6" l="1"/>
  <c r="E32" i="6" s="1"/>
  <c r="F32" i="6" l="1"/>
  <c r="B33" i="6" s="1"/>
  <c r="D33" i="6" l="1"/>
  <c r="E33" i="6" s="1"/>
  <c r="F33" i="6" l="1"/>
  <c r="B34" i="6" s="1"/>
  <c r="D34" i="6" l="1"/>
  <c r="E34" i="6" s="1"/>
  <c r="F34" i="6" l="1"/>
  <c r="B35" i="6" s="1"/>
  <c r="D35" i="6" l="1"/>
  <c r="E35" i="6" s="1"/>
  <c r="F35" i="6" l="1"/>
  <c r="B36" i="6" s="1"/>
  <c r="D36" i="6" l="1"/>
  <c r="E36" i="6" s="1"/>
  <c r="F36" i="6" l="1"/>
  <c r="B37" i="6" s="1"/>
  <c r="D37" i="6" s="1"/>
  <c r="E37" i="6" s="1"/>
  <c r="F37" i="6" l="1"/>
  <c r="B38" i="6" s="1"/>
  <c r="D38" i="6" s="1"/>
  <c r="E38" i="6" s="1"/>
  <c r="F38" i="6" l="1"/>
  <c r="B39" i="6" s="1"/>
  <c r="D39" i="6" l="1"/>
  <c r="E39" i="6" s="1"/>
  <c r="F39" i="6" l="1"/>
  <c r="B40" i="6" s="1"/>
  <c r="D40" i="6" s="1"/>
  <c r="E40" i="6" s="1"/>
  <c r="F40" i="6" l="1"/>
  <c r="B41" i="6" s="1"/>
  <c r="D41" i="6" s="1"/>
  <c r="E41" i="6" s="1"/>
  <c r="F41" i="6" l="1"/>
  <c r="B42" i="6" s="1"/>
  <c r="D42" i="6" s="1"/>
  <c r="E42" i="6" s="1"/>
  <c r="F42" i="6" l="1"/>
  <c r="B43" i="6" s="1"/>
  <c r="D43" i="6" l="1"/>
  <c r="E43" i="6" s="1"/>
  <c r="F43" i="6" l="1"/>
  <c r="B44" i="6" s="1"/>
  <c r="D44" i="6" l="1"/>
  <c r="E44" i="6" s="1"/>
  <c r="F44" i="6" l="1"/>
  <c r="B45" i="6" s="1"/>
  <c r="D45" i="6" s="1"/>
  <c r="E45" i="6" s="1"/>
  <c r="F45" i="6" l="1"/>
  <c r="B46" i="6" s="1"/>
  <c r="D46" i="6" s="1"/>
  <c r="E46" i="6" l="1"/>
  <c r="F46" i="6"/>
  <c r="B47" i="6" s="1"/>
  <c r="D47" i="6" l="1"/>
  <c r="E47" i="6" s="1"/>
  <c r="F47" i="6" l="1"/>
  <c r="B48" i="6" s="1"/>
  <c r="D48" i="6" l="1"/>
  <c r="E48" i="6" s="1"/>
  <c r="F48" i="6" l="1"/>
  <c r="B49" i="6" s="1"/>
  <c r="D49" i="6" l="1"/>
  <c r="E49" i="6" s="1"/>
  <c r="F49" i="6" l="1"/>
  <c r="B50" i="6" s="1"/>
  <c r="D50" i="6" l="1"/>
  <c r="E50" i="6" s="1"/>
  <c r="F50" i="6" l="1"/>
  <c r="B51" i="6" s="1"/>
  <c r="D51" i="6" s="1"/>
  <c r="E51" i="6" s="1"/>
  <c r="F51" i="6" l="1"/>
  <c r="B52" i="6" s="1"/>
  <c r="D52" i="6" s="1"/>
  <c r="E52" i="6" s="1"/>
  <c r="F52" i="6" l="1"/>
  <c r="B53" i="6" s="1"/>
  <c r="D53" i="6" s="1"/>
  <c r="E53" i="6" s="1"/>
  <c r="F53" i="6" l="1"/>
  <c r="B54" i="6" s="1"/>
  <c r="D54" i="6" l="1"/>
  <c r="E54" i="6" s="1"/>
  <c r="F54" i="6" l="1"/>
  <c r="B55" i="6" s="1"/>
  <c r="D55" i="6" l="1"/>
  <c r="E55" i="6" s="1"/>
  <c r="F5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s010317</author>
  </authors>
  <commentList>
    <comment ref="A9" authorId="0" shapeId="0" xr:uid="{43F11EC6-801E-499B-A1F6-7D8689D97C16}">
      <text>
        <r>
          <rPr>
            <b/>
            <sz val="9"/>
            <color indexed="81"/>
            <rFont val="Tahoma"/>
            <family val="2"/>
          </rPr>
          <t>s010317:</t>
        </r>
        <r>
          <rPr>
            <sz val="9"/>
            <color indexed="81"/>
            <rFont val="Tahoma"/>
            <family val="2"/>
          </rPr>
          <t xml:space="preserve">
Adjust to get the issuance amount correct.</t>
        </r>
      </text>
    </comment>
  </commentList>
</comments>
</file>

<file path=xl/sharedStrings.xml><?xml version="1.0" encoding="utf-8"?>
<sst xmlns="http://schemas.openxmlformats.org/spreadsheetml/2006/main" count="418" uniqueCount="284">
  <si>
    <t xml:space="preserve"> </t>
  </si>
  <si>
    <t>Cumulative</t>
  </si>
  <si>
    <t xml:space="preserve">Cumulative </t>
  </si>
  <si>
    <t>Over/(Under)</t>
  </si>
  <si>
    <t>Monthly</t>
  </si>
  <si>
    <t>Line</t>
  </si>
  <si>
    <t>Received from</t>
  </si>
  <si>
    <t>Interest</t>
  </si>
  <si>
    <t>Recovery of</t>
  </si>
  <si>
    <t>No.</t>
  </si>
  <si>
    <t>Month</t>
  </si>
  <si>
    <t>Recovery Balance</t>
  </si>
  <si>
    <t>customers</t>
  </si>
  <si>
    <t>Rate</t>
  </si>
  <si>
    <t>Amount</t>
  </si>
  <si>
    <t>NPV</t>
  </si>
  <si>
    <t>Description of Cost items</t>
  </si>
  <si>
    <t>Upfront Costs</t>
  </si>
  <si>
    <t>Based on averages of recent deals for fixed costs</t>
  </si>
  <si>
    <t>Legal Fees/Exp for Company's/Issuer's Counsel</t>
  </si>
  <si>
    <t>Printing/Edgarizing Expenses</t>
  </si>
  <si>
    <t>Miscellaneous Administrative Costs</t>
  </si>
  <si>
    <t>Rating Agency Fees</t>
  </si>
  <si>
    <t>Accountant's Fees</t>
  </si>
  <si>
    <t>Servicer Set-up Costs</t>
  </si>
  <si>
    <t>Trustee's/Trustee's Counsel Fees and Expenses</t>
  </si>
  <si>
    <t>SEC Fees</t>
  </si>
  <si>
    <t>Total Fixed Qualified Costs</t>
  </si>
  <si>
    <t>Monthly WACC</t>
  </si>
  <si>
    <t>Tenor</t>
  </si>
  <si>
    <t>Years</t>
  </si>
  <si>
    <t>Costs as  % of Bonds</t>
  </si>
  <si>
    <t>Annual</t>
  </si>
  <si>
    <t>Ongoing Servicer Fee (AEP as Servicer)</t>
  </si>
  <si>
    <t>Administration Fee</t>
  </si>
  <si>
    <t>Accountants' Fees</t>
  </si>
  <si>
    <t>Legal Fees/Expenses for Company's/Issuer's Counsel</t>
  </si>
  <si>
    <t>Independent Managers' Fee</t>
  </si>
  <si>
    <t>Miscellaneous</t>
  </si>
  <si>
    <t>Discount Rate</t>
  </si>
  <si>
    <t>Net Present Value</t>
  </si>
  <si>
    <t>Number of Months</t>
  </si>
  <si>
    <t>Monthly Charge</t>
  </si>
  <si>
    <t>Securitization Comparison</t>
  </si>
  <si>
    <t>Total Securitized</t>
  </si>
  <si>
    <t>P&amp;I</t>
  </si>
  <si>
    <t>Disc. Rate</t>
  </si>
  <si>
    <t>Regulatory Asset</t>
  </si>
  <si>
    <t>Estimated Upfront Costs</t>
  </si>
  <si>
    <t>Annual Charge</t>
  </si>
  <si>
    <t>After Payment</t>
  </si>
  <si>
    <t xml:space="preserve">Tenor </t>
  </si>
  <si>
    <t>WACC</t>
  </si>
  <si>
    <t>Conventional Recovery</t>
  </si>
  <si>
    <t>Fee for Commission &amp; Company's Financial Advisor</t>
  </si>
  <si>
    <t>S&amp;P - 5.75 bps</t>
  </si>
  <si>
    <t>Moody's - 7.5 bps</t>
  </si>
  <si>
    <t>Fitch - 4 bps</t>
  </si>
  <si>
    <t>Min $200K</t>
  </si>
  <si>
    <t>Max $650K</t>
  </si>
  <si>
    <t>Min $250K</t>
  </si>
  <si>
    <t>Min $205K</t>
  </si>
  <si>
    <t>Max $405K</t>
  </si>
  <si>
    <t>Chg $2B</t>
  </si>
  <si>
    <t>Line No.</t>
  </si>
  <si>
    <t>Regulatory Asset Description</t>
  </si>
  <si>
    <t>Case No.</t>
  </si>
  <si>
    <t>FERC Subaccount(s)</t>
  </si>
  <si>
    <t>Comment</t>
  </si>
  <si>
    <t>Decommissioning Rider Regulatory Asset</t>
  </si>
  <si>
    <t>1823376</t>
  </si>
  <si>
    <t>1823378</t>
  </si>
  <si>
    <t>1823379</t>
  </si>
  <si>
    <t>1823380</t>
  </si>
  <si>
    <t>1823517</t>
  </si>
  <si>
    <t>1823518</t>
  </si>
  <si>
    <t>2020-00368</t>
  </si>
  <si>
    <t>Expected Balance as of June 30, 2023 (No further changes).</t>
  </si>
  <si>
    <t>2021-00135</t>
  </si>
  <si>
    <t>2021-00129</t>
  </si>
  <si>
    <t>2021-00402</t>
  </si>
  <si>
    <t>2022-00293</t>
  </si>
  <si>
    <t>2023-00137</t>
  </si>
  <si>
    <t>Rockport Deferral Regulatory Asset</t>
  </si>
  <si>
    <t>2017-00179
2020-00174
2022-00283</t>
  </si>
  <si>
    <t>1823430
1823431</t>
  </si>
  <si>
    <t>Total Regulatory Assets Requested for Securitization</t>
  </si>
  <si>
    <t>KENTUCKY POWER</t>
  </si>
  <si>
    <t>Value</t>
  </si>
  <si>
    <t>Net Present</t>
  </si>
  <si>
    <t>Kentucky Power Securitization Analysis</t>
  </si>
  <si>
    <t>20-Year Securitization</t>
  </si>
  <si>
    <t>Kentucky Power Securitization Assumptions</t>
  </si>
  <si>
    <t xml:space="preserve">Proposed WACC = </t>
  </si>
  <si>
    <t>KENTUCKY POWER COMPANY</t>
  </si>
  <si>
    <t>TEST YEAR ENDED MARCH 31, 2023</t>
  </si>
  <si>
    <t>Description</t>
  </si>
  <si>
    <t>Reapportioned</t>
  </si>
  <si>
    <t>Weighted</t>
  </si>
  <si>
    <t>Kentucky</t>
  </si>
  <si>
    <t>Percentage</t>
  </si>
  <si>
    <t>Cost</t>
  </si>
  <si>
    <t>Average</t>
  </si>
  <si>
    <t>Jurisdictional</t>
  </si>
  <si>
    <t>of</t>
  </si>
  <si>
    <t>Capital   1/</t>
  </si>
  <si>
    <t>Total</t>
  </si>
  <si>
    <t>Percent</t>
  </si>
  <si>
    <t>(6) = (4) X (5)</t>
  </si>
  <si>
    <t>Long Term Debt</t>
  </si>
  <si>
    <t>2/</t>
  </si>
  <si>
    <t>Short Term Debt</t>
  </si>
  <si>
    <t>3/</t>
  </si>
  <si>
    <t>Common Equity</t>
  </si>
  <si>
    <t>4/</t>
  </si>
  <si>
    <t>-------------------</t>
  </si>
  <si>
    <t>==========</t>
  </si>
  <si>
    <t>1/</t>
  </si>
  <si>
    <t>Grossed Up WACC =</t>
  </si>
  <si>
    <t>Securitization</t>
  </si>
  <si>
    <t xml:space="preserve">Coupon = </t>
  </si>
  <si>
    <t xml:space="preserve">Single tenor years = </t>
  </si>
  <si>
    <t>ADIT related to Tariff DR (Decommissioning Rider)</t>
  </si>
  <si>
    <t>ADIT related to Tariff PPA (Rockport Deferral)</t>
  </si>
  <si>
    <t>June 30, 2023 ADIT Balance (estimated)</t>
  </si>
  <si>
    <t>Term (years)</t>
  </si>
  <si>
    <t>Securitization Interest Rate (estimated)</t>
  </si>
  <si>
    <t>Levelized Payment (interest and balance reduction)</t>
  </si>
  <si>
    <t>NPV Credit for Return/Interest on ADIT</t>
  </si>
  <si>
    <t>Period</t>
  </si>
  <si>
    <t>Beginning</t>
  </si>
  <si>
    <t>ADIT Balance</t>
  </si>
  <si>
    <t>Interest on ADIT</t>
  </si>
  <si>
    <t xml:space="preserve">Securitization Up front cost = </t>
  </si>
  <si>
    <t xml:space="preserve">Net Balance to Securitize = </t>
  </si>
  <si>
    <t>WAL</t>
  </si>
  <si>
    <t xml:space="preserve">               PRE-TAX COST OF CAPITAL           2/</t>
  </si>
  <si>
    <t>Pre-Tax</t>
  </si>
  <si>
    <t>Gross</t>
  </si>
  <si>
    <t>Revenue</t>
  </si>
  <si>
    <t>Conversion</t>
  </si>
  <si>
    <t>Total   1/</t>
  </si>
  <si>
    <t>Rate   1/</t>
  </si>
  <si>
    <t>Percent   1/</t>
  </si>
  <si>
    <t>Factor</t>
  </si>
  <si>
    <t>(7)</t>
  </si>
  <si>
    <t>(8) = (6) X (7)</t>
  </si>
  <si>
    <t>---------------------</t>
  </si>
  <si>
    <t>============</t>
  </si>
  <si>
    <t>Per Section V, Workpaper S-2, Page 1 of 3</t>
  </si>
  <si>
    <t>Per Line 14, Column 3, State and Federal Income Taxes Only</t>
  </si>
  <si>
    <t>COMPUTATION OF THE GROSS REVENUE CONVERSION FACTOR - INCOME TAXES ONLY</t>
  </si>
  <si>
    <t>Line       No.</t>
  </si>
  <si>
    <t xml:space="preserve">Percent of                  Incremental                          Gross Revenues </t>
  </si>
  <si>
    <t>Operating Revenues</t>
  </si>
  <si>
    <t>Less: Uncollectible Accounts Expense</t>
  </si>
  <si>
    <t>KPSC Maintenance Fee</t>
  </si>
  <si>
    <t>Income Before income Taxes</t>
  </si>
  <si>
    <t>Less: State Income Taxes (L9 X 5.0065%)</t>
  </si>
  <si>
    <t>Income Before Federal Income Taxes</t>
  </si>
  <si>
    <t>Less: Federal income Taxes (L11 X 21.00%)</t>
  </si>
  <si>
    <t>Operating Income Percentage</t>
  </si>
  <si>
    <t>Gross Revenue Conversion Factor (100% / L13)</t>
  </si>
  <si>
    <t>===========</t>
  </si>
  <si>
    <t>3/   Values excluded for purposes of Securitization NPV Calculation</t>
  </si>
  <si>
    <t>4/   Per Section V, Workpaper S-2, Page 2, Col 3, Line 5</t>
  </si>
  <si>
    <t xml:space="preserve">Conventional Recovery </t>
  </si>
  <si>
    <t>All Other Regulatory Asset =</t>
  </si>
  <si>
    <t>All Other 5 Years @ WACC</t>
  </si>
  <si>
    <t>All other regulatory assets recovered at proposed WACC over 5 years.</t>
  </si>
  <si>
    <t xml:space="preserve">Conventional Method </t>
  </si>
  <si>
    <t>Return on ADIT</t>
  </si>
  <si>
    <t>NPV Credit for Return on ADIT</t>
  </si>
  <si>
    <t>Levelized Payment (return and balance reduction)</t>
  </si>
  <si>
    <t>Pre-Tax WACC</t>
  </si>
  <si>
    <t>Actual Balance Through May 2023 (Proxy for June 2023 Actual Balance).</t>
  </si>
  <si>
    <t>Assumption</t>
  </si>
  <si>
    <t>Goldman Sachs estimate</t>
  </si>
  <si>
    <t>Heather Whitney</t>
  </si>
  <si>
    <t>Beg. Balance</t>
  </si>
  <si>
    <t>Principal</t>
  </si>
  <si>
    <t>End Balance</t>
  </si>
  <si>
    <t>Payment</t>
  </si>
  <si>
    <t>Payments</t>
  </si>
  <si>
    <t>Securitization 20 Year Semi-Annual</t>
  </si>
  <si>
    <t>Securitization Amount</t>
  </si>
  <si>
    <t>Check</t>
  </si>
  <si>
    <t>Rockport ADIT NPV =</t>
  </si>
  <si>
    <t>For Securitization</t>
  </si>
  <si>
    <t>BS Decommissioning Rider</t>
  </si>
  <si>
    <t xml:space="preserve">NPV of Return on ADIT </t>
  </si>
  <si>
    <t xml:space="preserve">   Balance for Bonds</t>
  </si>
  <si>
    <t>Other</t>
  </si>
  <si>
    <t>For Conventional</t>
  </si>
  <si>
    <t>Estimate based on available information</t>
  </si>
  <si>
    <t xml:space="preserve">Underwriting Fee </t>
  </si>
  <si>
    <t>Return on Capital Account</t>
  </si>
  <si>
    <t>Expected Balance as of 
June 30, 2023</t>
  </si>
  <si>
    <t>Please Refer to Application 
Exhibit 4</t>
  </si>
  <si>
    <t>January 2020 Wind Storm</t>
  </si>
  <si>
    <t>April 2020 Thunderstorm</t>
  </si>
  <si>
    <t>April 2020 Wind Storm</t>
  </si>
  <si>
    <t>December 2020 Snow Storm</t>
  </si>
  <si>
    <t>2020 Storm Incremental O&amp;M</t>
  </si>
  <si>
    <t>Less:  Amount in Base Rates</t>
  </si>
  <si>
    <t>2020 Storm Expense Deferral Regulatory Asset</t>
  </si>
  <si>
    <t>February 2021 Ice and Snow Storms</t>
  </si>
  <si>
    <t>February 2021 Major Flood</t>
  </si>
  <si>
    <t>2021 Storm Incremental O&amp;M</t>
  </si>
  <si>
    <t>2021 Storm Expense Deferral Regulatory Asset</t>
  </si>
  <si>
    <t>June 2022 Thunderstorm and Wind Storm</t>
  </si>
  <si>
    <t>July 2022 Historic Flood</t>
  </si>
  <si>
    <t>2022 Storm Incremental O&amp;M</t>
  </si>
  <si>
    <t>2022 Storm Expense Deferral Regulatory Asset</t>
  </si>
  <si>
    <t>March 2023 Wind Storm (March 3, 2023)</t>
  </si>
  <si>
    <t>Estimated Balance in Application (Exhibit 2) Filed on May 1, 2023 and Approved in Case No. 2021-00137 (Proxy for June 2023 Actual Balance).</t>
  </si>
  <si>
    <t>March 2023 Wind Storm (March 25, 2023)</t>
  </si>
  <si>
    <t>April 2023 Wind Storm</t>
  </si>
  <si>
    <t>2023 Storm Incremental O&amp;M - Estimate</t>
  </si>
  <si>
    <t>2023 Storm Expense Deferral Regulatory Asset - Estimate</t>
  </si>
  <si>
    <t>Tariff P.P.A. Under-Recovery Regulatory Asset
(Under-Recovered Since January 2020)</t>
  </si>
  <si>
    <t>2017-00179
2020-00174 
2022-00416</t>
  </si>
  <si>
    <t>Actual Balance Through May 2023 (Proxy for June 2023 Actual Balance).  Under-recovery balance began accumulating in January 2020.</t>
  </si>
  <si>
    <t>*</t>
  </si>
  <si>
    <t>Because June 2023 Tariff D.R. and Tariff P.P.A. revenues and expenses are not known at the time of this filing, amounts reported for the Decommissioning Rider Regulatory Asset and Tariff P.P.A. Under-Recovery Regulatory Asset represent May 2023 actual balances.</t>
  </si>
  <si>
    <t>**</t>
  </si>
  <si>
    <t>The Company will file its final, actual costs on or before September 30, 2023 in Case No. 2023-00137.  The amount reported represents the estimated regulatory asset balance filed in Exhibit 2 to the Company's application, and approved for deferral, in Case No. 2023-00137.</t>
  </si>
  <si>
    <t>GS Estimate</t>
  </si>
  <si>
    <t>Costs</t>
  </si>
  <si>
    <t>Ongoing</t>
  </si>
  <si>
    <t>NPV Payments</t>
  </si>
  <si>
    <t>NPV Ongoing</t>
  </si>
  <si>
    <t>Interest Rate</t>
  </si>
  <si>
    <t xml:space="preserve">Total Monthly </t>
  </si>
  <si>
    <t>Payment of Debt Service</t>
  </si>
  <si>
    <t>And Ongoing Costs</t>
  </si>
  <si>
    <t xml:space="preserve">Estimated Savings NPV </t>
  </si>
  <si>
    <t>Total for Securitization</t>
  </si>
  <si>
    <t>Kentucky Power Securitization Results</t>
  </si>
  <si>
    <t>NPV of Rockport ADIT =</t>
  </si>
  <si>
    <t>All Other</t>
  </si>
  <si>
    <t>Regulatory Asset (Net of Return on ADIT)</t>
  </si>
  <si>
    <t>Level Debt Service Payment Calculator</t>
  </si>
  <si>
    <t>Class</t>
  </si>
  <si>
    <t>A-1</t>
  </si>
  <si>
    <t>A-2</t>
  </si>
  <si>
    <t>A-3</t>
  </si>
  <si>
    <t>A-4</t>
  </si>
  <si>
    <t>Total / WA</t>
  </si>
  <si>
    <t>Level P&amp;I</t>
  </si>
  <si>
    <t>Closing Date</t>
  </si>
  <si>
    <t>Tsy Tenor</t>
  </si>
  <si>
    <t>Years of Financing</t>
  </si>
  <si>
    <t>Balance</t>
  </si>
  <si>
    <t>Total Deal Size ($)</t>
  </si>
  <si>
    <t>Coupon</t>
  </si>
  <si>
    <t>SOLVE</t>
  </si>
  <si>
    <t>A-1 Size</t>
  </si>
  <si>
    <t>Tsy Spread</t>
  </si>
  <si>
    <t>A-2 Size</t>
  </si>
  <si>
    <t>Target Coupon</t>
  </si>
  <si>
    <t>A-3 Size</t>
  </si>
  <si>
    <t>Prin Window (yr)</t>
  </si>
  <si>
    <t>A-4 Size</t>
  </si>
  <si>
    <t>Exp Final (Yr</t>
  </si>
  <si>
    <t>Tranches</t>
  </si>
  <si>
    <t>Year</t>
  </si>
  <si>
    <t>Date</t>
  </si>
  <si>
    <t>Total P&amp;I</t>
  </si>
  <si>
    <t>As of</t>
  </si>
  <si>
    <t>Treasury Rate</t>
  </si>
  <si>
    <t>Treasury Spreads</t>
  </si>
  <si>
    <t>Estimated Bond Issuance</t>
  </si>
  <si>
    <t xml:space="preserve">Securitization Amount </t>
  </si>
  <si>
    <t>Katharine Walsh</t>
  </si>
  <si>
    <t>Big Sandy Decommissioning Rider recovered at proposed WACC over 17 years.</t>
  </si>
  <si>
    <t>Decommissioning Rider Regulatory Asset =</t>
  </si>
  <si>
    <t>Decommissioning Rider ADIT NPV =</t>
  </si>
  <si>
    <t>NPV of Decommissioning ADIT =</t>
  </si>
  <si>
    <t xml:space="preserve">Decommissioning Rider 17 Years @ WACC </t>
  </si>
  <si>
    <t>Exhibit FDM - 1</t>
  </si>
  <si>
    <t>Total Annual Ongoing Costs</t>
  </si>
  <si>
    <t>Ongoing Costs</t>
  </si>
  <si>
    <t>Exhibit FDM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</si>
</sst>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409]mmm\-yy;@"/>
    <numFmt numFmtId="167" formatCode="0.000%"/>
    <numFmt numFmtId="168" formatCode="0.0000%"/>
    <numFmt numFmtId="169" formatCode="0.0%"/>
    <numFmt numFmtId="170" formatCode="_(* #,##0.0000_);_(* \(#,##0.0000\);_(* &quot;-&quot;??_);_(@_)"/>
    <numFmt numFmtId="171" formatCode="_(&quot;$&quot;* #,##0_);_(&quot;$&quot;* \(#,##0\);_(&quot;$&quot;* &quot;-&quot;??_);_(@_)"/>
    <numFmt numFmtId="172" formatCode="0.00000%"/>
    <numFmt numFmtId="173" formatCode="0_);\(0\)"/>
    <numFmt numFmtId="174" formatCode="#,##0.00000000_);\(#,##0.00000000\)"/>
    <numFmt numFmtId="175" formatCode="0.00000000_);\(0.00000000\)"/>
    <numFmt numFmtId="176" formatCode="#,##0.0000_);\(#,##0.0000\)"/>
    <numFmt numFmtId="177" formatCode="&quot;Tsy+&quot;0"/>
    <numFmt numFmtId="178" formatCode="0.00000"/>
    <numFmt numFmtId="179" formatCode="0.0"/>
  </numFmts>
  <fonts count="50" x14ac:knownFonts="1">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b/>
      <sz val="11"/>
      <name val="Arial"/>
      <family val="2"/>
    </font>
    <font>
      <b/>
      <u/>
      <sz val="10"/>
      <name val="Arial"/>
      <family val="2"/>
    </font>
    <font>
      <sz val="10"/>
      <color indexed="12"/>
      <name val="Arial"/>
      <family val="2"/>
    </font>
    <font>
      <sz val="9"/>
      <name val="Arial"/>
      <family val="2"/>
    </font>
    <font>
      <sz val="10"/>
      <color rgb="FF0000FF"/>
      <name val="Arial"/>
      <family val="2"/>
    </font>
    <font>
      <b/>
      <sz val="10"/>
      <name val="Arial"/>
      <family val="2"/>
    </font>
    <font>
      <b/>
      <sz val="11"/>
      <color theme="1"/>
      <name val="Calibri"/>
      <family val="2"/>
      <scheme val="minor"/>
    </font>
    <font>
      <u/>
      <sz val="11"/>
      <color theme="1"/>
      <name val="Calibri"/>
      <family val="2"/>
      <scheme val="minor"/>
    </font>
    <font>
      <b/>
      <u/>
      <sz val="11"/>
      <color theme="1"/>
      <name val="Calibri"/>
      <family val="2"/>
      <scheme val="minor"/>
    </font>
    <font>
      <sz val="10"/>
      <color theme="1"/>
      <name val="Tahoma"/>
      <family val="2"/>
    </font>
    <font>
      <b/>
      <sz val="11"/>
      <color theme="1"/>
      <name val="Arial"/>
      <family val="2"/>
    </font>
    <font>
      <sz val="11"/>
      <color theme="1"/>
      <name val="Arial"/>
      <family val="2"/>
    </font>
    <font>
      <u/>
      <sz val="10"/>
      <name val="Arial"/>
      <family val="2"/>
    </font>
    <font>
      <b/>
      <u/>
      <sz val="11"/>
      <color theme="1"/>
      <name val="Arial"/>
      <family val="2"/>
    </font>
    <font>
      <sz val="11"/>
      <color theme="1"/>
      <name val="Calibri"/>
      <family val="2"/>
    </font>
    <font>
      <sz val="10"/>
      <name val="Arial"/>
      <family val="2"/>
    </font>
    <font>
      <b/>
      <sz val="11"/>
      <name val="Calibri"/>
      <family val="2"/>
      <scheme val="minor"/>
    </font>
    <font>
      <sz val="11"/>
      <name val="Calibri"/>
      <family val="2"/>
    </font>
    <font>
      <sz val="11"/>
      <name val="Calibri"/>
      <family val="2"/>
      <scheme val="minor"/>
    </font>
    <font>
      <b/>
      <sz val="11"/>
      <color indexed="8"/>
      <name val="Calibri"/>
      <family val="2"/>
      <scheme val="minor"/>
    </font>
    <font>
      <b/>
      <sz val="11"/>
      <color theme="1"/>
      <name val="Calibri"/>
      <family val="2"/>
    </font>
    <font>
      <b/>
      <sz val="11"/>
      <color indexed="8"/>
      <name val="Calibri"/>
      <family val="2"/>
    </font>
    <font>
      <b/>
      <sz val="11"/>
      <name val="Calibri"/>
      <family val="2"/>
    </font>
    <font>
      <b/>
      <sz val="11"/>
      <color rgb="FFFF0000"/>
      <name val="Calibri"/>
      <family val="2"/>
      <scheme val="minor"/>
    </font>
    <font>
      <b/>
      <u val="singleAccounting"/>
      <sz val="11"/>
      <name val="Calibri"/>
      <family val="2"/>
      <scheme val="minor"/>
    </font>
    <font>
      <sz val="9"/>
      <color indexed="81"/>
      <name val="Tahoma"/>
      <family val="2"/>
    </font>
    <font>
      <b/>
      <sz val="9"/>
      <color indexed="81"/>
      <name val="Tahoma"/>
      <family val="2"/>
    </font>
    <font>
      <b/>
      <sz val="10"/>
      <color theme="1"/>
      <name val="Arial"/>
      <family val="2"/>
    </font>
    <font>
      <sz val="10"/>
      <color theme="1"/>
      <name val="Arial"/>
      <family val="2"/>
    </font>
    <font>
      <sz val="10"/>
      <color theme="0" tint="-0.14999847407452621"/>
      <name val="Arial"/>
      <family val="2"/>
    </font>
    <font>
      <b/>
      <sz val="10"/>
      <color theme="6"/>
      <name val="Arial"/>
      <family val="2"/>
    </font>
    <font>
      <b/>
      <sz val="10"/>
      <color theme="0" tint="-0.499984740745262"/>
      <name val="Arial"/>
      <family val="2"/>
    </font>
    <font>
      <b/>
      <sz val="10"/>
      <color rgb="FFFFFFFF"/>
      <name val="Arial"/>
      <family val="2"/>
    </font>
    <font>
      <sz val="9"/>
      <color indexed="8"/>
      <name val="Arial"/>
      <family val="2"/>
    </font>
    <font>
      <sz val="10"/>
      <color theme="9"/>
      <name val="Arial"/>
      <family val="2"/>
    </font>
    <font>
      <sz val="10"/>
      <color theme="3" tint="0.39997558519241921"/>
      <name val="Arial"/>
      <family val="2"/>
    </font>
    <font>
      <i/>
      <sz val="10"/>
      <color theme="1"/>
      <name val="Arial"/>
      <family val="2"/>
    </font>
    <font>
      <sz val="8"/>
      <color theme="1"/>
      <name val="Arial"/>
      <family val="2"/>
    </font>
    <font>
      <b/>
      <sz val="10"/>
      <color theme="3" tint="0.39997558519241921"/>
      <name val="Arial"/>
      <family val="2"/>
    </font>
    <font>
      <b/>
      <sz val="8"/>
      <color theme="1"/>
      <name val="Arial"/>
      <family val="2"/>
    </font>
    <font>
      <sz val="9"/>
      <color rgb="FF0000FF"/>
      <name val="Arial"/>
      <family val="2"/>
    </font>
    <font>
      <i/>
      <sz val="10"/>
      <color theme="0" tint="-0.34998626667073579"/>
      <name val="Arial"/>
      <family val="2"/>
    </font>
    <font>
      <sz val="10"/>
      <color theme="0" tint="-0.34998626667073579"/>
      <name val="Arial"/>
      <family val="2"/>
    </font>
    <font>
      <sz val="13"/>
      <color rgb="FF393B3E"/>
      <name val="Source Sans Pro"/>
      <family val="2"/>
    </font>
    <font>
      <i/>
      <sz val="11"/>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20396D"/>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auto="1"/>
      </right>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44" fontId="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12" applyNumberFormat="0" applyFill="0" applyAlignment="0" applyProtection="0"/>
  </cellStyleXfs>
  <cellXfs count="387">
    <xf numFmtId="0" fontId="0" fillId="0" borderId="0" xfId="0"/>
    <xf numFmtId="43" fontId="1" fillId="0" borderId="0" xfId="1" applyFont="1" applyFill="1"/>
    <xf numFmtId="43" fontId="0" fillId="0" borderId="0" xfId="0" applyNumberFormat="1"/>
    <xf numFmtId="0" fontId="5" fillId="0" borderId="1" xfId="0" applyFont="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xf>
    <xf numFmtId="42" fontId="7" fillId="0" borderId="0" xfId="1" applyNumberFormat="1" applyFont="1"/>
    <xf numFmtId="0" fontId="2" fillId="0" borderId="0" xfId="0" applyFont="1" applyAlignment="1">
      <alignment horizontal="left"/>
    </xf>
    <xf numFmtId="42" fontId="9" fillId="0" borderId="0" xfId="1" applyNumberFormat="1" applyFont="1"/>
    <xf numFmtId="0" fontId="8" fillId="0" borderId="0" xfId="0" quotePrefix="1" applyFont="1" applyAlignment="1">
      <alignment horizontal="center"/>
    </xf>
    <xf numFmtId="0" fontId="10" fillId="0" borderId="0" xfId="0" applyFont="1" applyAlignment="1">
      <alignment horizontal="left"/>
    </xf>
    <xf numFmtId="42" fontId="10" fillId="0" borderId="2" xfId="0" applyNumberFormat="1" applyFont="1" applyBorder="1" applyAlignment="1">
      <alignment vertical="top" wrapText="1"/>
    </xf>
    <xf numFmtId="169" fontId="0" fillId="0" borderId="0" xfId="2" applyNumberFormat="1" applyFont="1"/>
    <xf numFmtId="42" fontId="9" fillId="0" borderId="0" xfId="6" applyNumberFormat="1" applyFont="1" applyFill="1"/>
    <xf numFmtId="0" fontId="10" fillId="0" borderId="0" xfId="6" applyFont="1"/>
    <xf numFmtId="10" fontId="0" fillId="0" borderId="0" xfId="0" applyNumberFormat="1"/>
    <xf numFmtId="43" fontId="0" fillId="0" borderId="0" xfId="1" applyFont="1"/>
    <xf numFmtId="165" fontId="1" fillId="0" borderId="0" xfId="1" applyNumberFormat="1" applyFont="1" applyFill="1"/>
    <xf numFmtId="165" fontId="0" fillId="0" borderId="0" xfId="1" applyNumberFormat="1" applyFont="1"/>
    <xf numFmtId="168" fontId="0" fillId="0" borderId="0" xfId="2" applyNumberFormat="1" applyFont="1"/>
    <xf numFmtId="172" fontId="0" fillId="0" borderId="0" xfId="0" applyNumberFormat="1"/>
    <xf numFmtId="0" fontId="16" fillId="0" borderId="0" xfId="0" applyFont="1"/>
    <xf numFmtId="0" fontId="15" fillId="0" borderId="0" xfId="0" applyFont="1"/>
    <xf numFmtId="0" fontId="16" fillId="0" borderId="0" xfId="0" applyFont="1" applyAlignment="1">
      <alignment horizontal="center"/>
    </xf>
    <xf numFmtId="172" fontId="2" fillId="0" borderId="0" xfId="12" applyNumberFormat="1" applyFont="1" applyFill="1"/>
    <xf numFmtId="49" fontId="15" fillId="0" borderId="0" xfId="0" applyNumberFormat="1" applyFont="1"/>
    <xf numFmtId="0" fontId="18" fillId="0" borderId="0" xfId="0" applyFont="1"/>
    <xf numFmtId="10" fontId="0" fillId="0" borderId="0" xfId="2" applyNumberFormat="1" applyFont="1"/>
    <xf numFmtId="0" fontId="16" fillId="0" borderId="0" xfId="0" applyFont="1" applyFill="1" applyAlignment="1">
      <alignment horizontal="center"/>
    </xf>
    <xf numFmtId="0" fontId="2" fillId="0" borderId="0" xfId="13" applyFont="1" applyAlignment="1">
      <alignment horizontal="centerContinuous"/>
    </xf>
    <xf numFmtId="0" fontId="2" fillId="0" borderId="0" xfId="13" applyFont="1"/>
    <xf numFmtId="0" fontId="17" fillId="0" borderId="0" xfId="13" applyFont="1" applyAlignment="1">
      <alignment horizontal="center"/>
    </xf>
    <xf numFmtId="173" fontId="2" fillId="0" borderId="0" xfId="14" applyNumberFormat="1" applyAlignment="1">
      <alignment horizontal="center"/>
    </xf>
    <xf numFmtId="173" fontId="2" fillId="0" borderId="0" xfId="13" applyNumberFormat="1" applyFont="1" applyAlignment="1">
      <alignment horizontal="center"/>
    </xf>
    <xf numFmtId="49" fontId="2" fillId="0" borderId="0" xfId="13" applyNumberFormat="1" applyFont="1" applyAlignment="1">
      <alignment horizontal="center" wrapText="1"/>
    </xf>
    <xf numFmtId="0" fontId="2" fillId="0" borderId="0" xfId="13" quotePrefix="1" applyFont="1" applyAlignment="1">
      <alignment horizontal="center"/>
    </xf>
    <xf numFmtId="173" fontId="2" fillId="0" borderId="0" xfId="13" applyNumberFormat="1" applyFont="1"/>
    <xf numFmtId="173" fontId="2" fillId="0" borderId="0" xfId="14" applyNumberFormat="1"/>
    <xf numFmtId="5" fontId="2" fillId="0" borderId="0" xfId="13" applyNumberFormat="1" applyFont="1"/>
    <xf numFmtId="10" fontId="2" fillId="0" borderId="0" xfId="13" applyNumberFormat="1" applyFont="1"/>
    <xf numFmtId="10" fontId="2" fillId="0" borderId="0" xfId="13" applyNumberFormat="1" applyFont="1" applyAlignment="1">
      <alignment horizontal="center"/>
    </xf>
    <xf numFmtId="49" fontId="2" fillId="0" borderId="0" xfId="13" applyNumberFormat="1" applyFont="1" applyAlignment="1">
      <alignment horizontal="center"/>
    </xf>
    <xf numFmtId="43" fontId="2" fillId="0" borderId="0" xfId="15" applyFont="1" applyFill="1"/>
    <xf numFmtId="5" fontId="2" fillId="0" borderId="0" xfId="14" applyNumberFormat="1"/>
    <xf numFmtId="10" fontId="2" fillId="0" borderId="0" xfId="12" applyNumberFormat="1" applyFont="1" applyFill="1"/>
    <xf numFmtId="37" fontId="2" fillId="0" borderId="0" xfId="13" applyNumberFormat="1" applyFont="1"/>
    <xf numFmtId="37" fontId="2" fillId="0" borderId="0" xfId="14" applyNumberFormat="1"/>
    <xf numFmtId="174" fontId="2" fillId="0" borderId="0" xfId="14" applyNumberFormat="1"/>
    <xf numFmtId="5" fontId="2" fillId="0" borderId="0" xfId="13" applyNumberFormat="1" applyFont="1" applyAlignment="1">
      <alignment horizontal="center"/>
    </xf>
    <xf numFmtId="172" fontId="2" fillId="0" borderId="0" xfId="13" applyNumberFormat="1" applyFont="1" applyAlignment="1">
      <alignment horizontal="center"/>
    </xf>
    <xf numFmtId="49" fontId="2" fillId="0" borderId="0" xfId="14" applyNumberFormat="1" applyAlignment="1">
      <alignment horizontal="center"/>
    </xf>
    <xf numFmtId="5" fontId="2" fillId="0" borderId="0" xfId="14" applyNumberFormat="1" applyAlignment="1">
      <alignment horizontal="center"/>
    </xf>
    <xf numFmtId="10" fontId="10" fillId="0" borderId="0" xfId="12" applyNumberFormat="1" applyFont="1" applyFill="1"/>
    <xf numFmtId="7" fontId="2" fillId="0" borderId="0" xfId="13" applyNumberFormat="1" applyFont="1"/>
    <xf numFmtId="49" fontId="2" fillId="0" borderId="0" xfId="13" applyNumberFormat="1" applyFont="1" applyAlignment="1">
      <alignment horizontal="centerContinuous"/>
    </xf>
    <xf numFmtId="37" fontId="2" fillId="0" borderId="0" xfId="13" applyNumberFormat="1" applyFont="1" applyAlignment="1">
      <alignment horizontal="center" wrapText="1"/>
    </xf>
    <xf numFmtId="168" fontId="2" fillId="0" borderId="0" xfId="13" applyNumberFormat="1" applyFont="1"/>
    <xf numFmtId="10" fontId="2" fillId="0" borderId="0" xfId="13" applyNumberFormat="1" applyFont="1" applyAlignment="1">
      <alignment horizontal="right"/>
    </xf>
    <xf numFmtId="49" fontId="2" fillId="0" borderId="0" xfId="13" applyNumberFormat="1" applyFont="1" applyAlignment="1">
      <alignment horizontal="right"/>
    </xf>
    <xf numFmtId="175" fontId="10" fillId="0" borderId="0" xfId="13" applyNumberFormat="1" applyFont="1"/>
    <xf numFmtId="43" fontId="16" fillId="0" borderId="0" xfId="1" applyFont="1"/>
    <xf numFmtId="10" fontId="16" fillId="0" borderId="0" xfId="2" applyNumberFormat="1" applyFont="1"/>
    <xf numFmtId="0" fontId="2" fillId="0" borderId="0" xfId="13" applyFont="1" applyAlignment="1">
      <alignment horizontal="center"/>
    </xf>
    <xf numFmtId="37" fontId="2" fillId="0" borderId="0" xfId="13" applyNumberFormat="1" applyFont="1" applyAlignment="1">
      <alignment horizontal="center"/>
    </xf>
    <xf numFmtId="44" fontId="0" fillId="0" borderId="0" xfId="0" applyNumberFormat="1"/>
    <xf numFmtId="171" fontId="21" fillId="0" borderId="0" xfId="7" applyNumberFormat="1" applyFont="1" applyFill="1" applyBorder="1" applyAlignment="1" applyProtection="1">
      <alignment horizontal="center"/>
    </xf>
    <xf numFmtId="0" fontId="0" fillId="0" borderId="0" xfId="0" applyFont="1" applyFill="1"/>
    <xf numFmtId="0" fontId="0" fillId="0" borderId="0" xfId="0" applyFont="1"/>
    <xf numFmtId="43" fontId="0" fillId="0" borderId="0" xfId="1" applyFont="1" applyFill="1"/>
    <xf numFmtId="43" fontId="0" fillId="0" borderId="0" xfId="0" applyNumberFormat="1" applyFont="1"/>
    <xf numFmtId="0" fontId="0" fillId="0" borderId="0" xfId="0" applyFont="1" applyAlignment="1">
      <alignment horizontal="center"/>
    </xf>
    <xf numFmtId="166" fontId="0" fillId="0" borderId="0" xfId="0" applyNumberFormat="1" applyFont="1"/>
    <xf numFmtId="165" fontId="0" fillId="0" borderId="0" xfId="1" applyNumberFormat="1" applyFont="1" applyFill="1"/>
    <xf numFmtId="42" fontId="23" fillId="0" borderId="0" xfId="1" applyNumberFormat="1" applyFont="1" applyProtection="1"/>
    <xf numFmtId="165" fontId="0" fillId="0" borderId="0" xfId="0" applyNumberFormat="1" applyFont="1"/>
    <xf numFmtId="0" fontId="24" fillId="0" borderId="0" xfId="5" applyFont="1" applyFill="1" applyBorder="1"/>
    <xf numFmtId="0" fontId="21" fillId="0" borderId="0" xfId="3" applyFont="1" applyAlignment="1">
      <alignment horizontal="centerContinuous"/>
    </xf>
    <xf numFmtId="165" fontId="21" fillId="0" borderId="0" xfId="4" applyNumberFormat="1" applyFont="1" applyAlignment="1">
      <alignment horizontal="centerContinuous"/>
    </xf>
    <xf numFmtId="43" fontId="21" fillId="0" borderId="0" xfId="4" applyFont="1" applyAlignment="1">
      <alignment horizontal="centerContinuous"/>
    </xf>
    <xf numFmtId="0" fontId="21" fillId="0" borderId="0" xfId="3" applyFont="1" applyFill="1" applyAlignment="1">
      <alignment horizontal="centerContinuous"/>
    </xf>
    <xf numFmtId="0" fontId="21" fillId="0" borderId="0" xfId="3" applyFont="1"/>
    <xf numFmtId="165" fontId="21" fillId="0" borderId="0" xfId="1" applyNumberFormat="1" applyFont="1"/>
    <xf numFmtId="0" fontId="23" fillId="0" borderId="0" xfId="3" applyFont="1" applyFill="1"/>
    <xf numFmtId="10" fontId="21" fillId="0" borderId="0" xfId="3" applyNumberFormat="1" applyFont="1"/>
    <xf numFmtId="37" fontId="21" fillId="0" borderId="0" xfId="3" applyNumberFormat="1" applyFont="1" applyAlignment="1" applyProtection="1">
      <alignment horizontal="center"/>
    </xf>
    <xf numFmtId="6" fontId="21" fillId="0" borderId="0" xfId="3" applyNumberFormat="1" applyFont="1"/>
    <xf numFmtId="43" fontId="23" fillId="0" borderId="0" xfId="4" applyFont="1" applyFill="1" applyAlignment="1" applyProtection="1">
      <alignment horizontal="center"/>
    </xf>
    <xf numFmtId="164" fontId="23" fillId="0" borderId="0" xfId="3" applyNumberFormat="1" applyFont="1" applyBorder="1" applyAlignment="1" applyProtection="1">
      <alignment horizontal="center"/>
    </xf>
    <xf numFmtId="165" fontId="23" fillId="0" borderId="0" xfId="4" applyNumberFormat="1" applyFont="1" applyBorder="1" applyAlignment="1" applyProtection="1">
      <alignment horizontal="center"/>
    </xf>
    <xf numFmtId="43" fontId="23" fillId="0" borderId="0" xfId="4" applyFont="1" applyBorder="1" applyAlignment="1" applyProtection="1">
      <alignment horizontal="center"/>
    </xf>
    <xf numFmtId="43" fontId="23" fillId="0" borderId="0" xfId="4" applyFont="1" applyFill="1" applyBorder="1" applyAlignment="1" applyProtection="1">
      <alignment horizontal="center"/>
    </xf>
    <xf numFmtId="0" fontId="26" fillId="0" borderId="0" xfId="5" applyFont="1" applyFill="1" applyBorder="1"/>
    <xf numFmtId="0" fontId="19" fillId="0" borderId="0" xfId="0" applyFont="1" applyFill="1"/>
    <xf numFmtId="0" fontId="19" fillId="0" borderId="0" xfId="0" applyFont="1"/>
    <xf numFmtId="0" fontId="27" fillId="0" borderId="0" xfId="3" applyFont="1" applyAlignment="1">
      <alignment horizontal="centerContinuous"/>
    </xf>
    <xf numFmtId="165" fontId="27" fillId="0" borderId="0" xfId="4" applyNumberFormat="1" applyFont="1" applyAlignment="1">
      <alignment horizontal="centerContinuous"/>
    </xf>
    <xf numFmtId="43" fontId="27" fillId="0" borderId="0" xfId="4" applyFont="1" applyAlignment="1">
      <alignment horizontal="centerContinuous"/>
    </xf>
    <xf numFmtId="0" fontId="27" fillId="0" borderId="0" xfId="3" applyFont="1" applyFill="1" applyAlignment="1">
      <alignment horizontal="centerContinuous"/>
    </xf>
    <xf numFmtId="0" fontId="19" fillId="0" borderId="0" xfId="0" applyFont="1" applyAlignment="1">
      <alignment horizontal="center"/>
    </xf>
    <xf numFmtId="0" fontId="27" fillId="0" borderId="0" xfId="3" applyFont="1"/>
    <xf numFmtId="43" fontId="22" fillId="0" borderId="0" xfId="4" applyFont="1"/>
    <xf numFmtId="0" fontId="22" fillId="0" borderId="0" xfId="3" applyFont="1" applyFill="1"/>
    <xf numFmtId="43" fontId="22" fillId="0" borderId="0" xfId="4" applyFont="1" applyAlignment="1" applyProtection="1">
      <alignment horizontal="center"/>
    </xf>
    <xf numFmtId="37" fontId="27" fillId="0" borderId="0" xfId="3" applyNumberFormat="1" applyFont="1" applyAlignment="1" applyProtection="1">
      <alignment horizontal="center"/>
    </xf>
    <xf numFmtId="170" fontId="22" fillId="0" borderId="0" xfId="1" applyNumberFormat="1" applyFont="1" applyFill="1" applyAlignment="1" applyProtection="1">
      <alignment horizontal="center"/>
    </xf>
    <xf numFmtId="43" fontId="27" fillId="0" borderId="0" xfId="4" applyFont="1" applyAlignment="1" applyProtection="1">
      <alignment horizontal="center"/>
    </xf>
    <xf numFmtId="164" fontId="27" fillId="0" borderId="0" xfId="3" applyNumberFormat="1" applyFont="1" applyFill="1" applyBorder="1" applyAlignment="1" applyProtection="1">
      <alignment horizontal="center" wrapText="1"/>
    </xf>
    <xf numFmtId="165" fontId="27" fillId="0" borderId="0" xfId="4" applyNumberFormat="1" applyFont="1" applyAlignment="1">
      <alignment horizontal="center"/>
    </xf>
    <xf numFmtId="164" fontId="27" fillId="0" borderId="0" xfId="3" applyNumberFormat="1" applyFont="1" applyAlignment="1" applyProtection="1">
      <alignment horizontal="center"/>
    </xf>
    <xf numFmtId="43" fontId="27" fillId="0" borderId="0" xfId="4" applyFont="1" applyFill="1" applyAlignment="1" applyProtection="1">
      <alignment horizontal="center"/>
    </xf>
    <xf numFmtId="164" fontId="27" fillId="0" borderId="1" xfId="3" applyNumberFormat="1" applyFont="1" applyBorder="1" applyAlignment="1" applyProtection="1">
      <alignment horizontal="center"/>
    </xf>
    <xf numFmtId="165" fontId="27" fillId="0" borderId="1" xfId="4" applyNumberFormat="1" applyFont="1" applyBorder="1" applyAlignment="1" applyProtection="1">
      <alignment horizontal="center"/>
    </xf>
    <xf numFmtId="43" fontId="27" fillId="0" borderId="1" xfId="4" applyFont="1" applyBorder="1" applyAlignment="1" applyProtection="1">
      <alignment horizontal="center"/>
    </xf>
    <xf numFmtId="43" fontId="27" fillId="0" borderId="1" xfId="4" applyFont="1" applyFill="1" applyBorder="1" applyAlignment="1" applyProtection="1">
      <alignment horizontal="center"/>
    </xf>
    <xf numFmtId="164" fontId="27" fillId="0" borderId="1" xfId="3" applyNumberFormat="1" applyFont="1" applyFill="1" applyBorder="1" applyAlignment="1" applyProtection="1">
      <alignment horizontal="center" wrapText="1"/>
    </xf>
    <xf numFmtId="164" fontId="22" fillId="0" borderId="0" xfId="3" applyNumberFormat="1" applyFont="1" applyBorder="1" applyAlignment="1" applyProtection="1">
      <alignment horizontal="center"/>
    </xf>
    <xf numFmtId="165" fontId="22" fillId="0" borderId="0" xfId="4" applyNumberFormat="1" applyFont="1" applyBorder="1" applyAlignment="1" applyProtection="1">
      <alignment horizontal="center"/>
    </xf>
    <xf numFmtId="43" fontId="22" fillId="0" borderId="0" xfId="4" applyFont="1" applyBorder="1" applyAlignment="1" applyProtection="1">
      <alignment horizontal="center"/>
    </xf>
    <xf numFmtId="43" fontId="22" fillId="0" borderId="0" xfId="4" applyFont="1" applyFill="1" applyBorder="1" applyAlignment="1" applyProtection="1">
      <alignment horizontal="center"/>
    </xf>
    <xf numFmtId="171" fontId="27" fillId="0" borderId="0" xfId="7" applyNumberFormat="1" applyFont="1" applyFill="1" applyBorder="1" applyAlignment="1" applyProtection="1">
      <alignment horizontal="center"/>
    </xf>
    <xf numFmtId="43" fontId="19" fillId="0" borderId="0" xfId="1" applyFont="1"/>
    <xf numFmtId="10" fontId="19" fillId="0" borderId="0" xfId="2" applyNumberFormat="1" applyFont="1"/>
    <xf numFmtId="43" fontId="19" fillId="0" borderId="0" xfId="1" applyFont="1" applyFill="1"/>
    <xf numFmtId="43" fontId="19" fillId="0" borderId="0" xfId="0" applyNumberFormat="1" applyFont="1"/>
    <xf numFmtId="166" fontId="19" fillId="0" borderId="0" xfId="0" applyNumberFormat="1" applyFont="1"/>
    <xf numFmtId="168" fontId="19" fillId="0" borderId="0" xfId="2" applyNumberFormat="1" applyFont="1"/>
    <xf numFmtId="165" fontId="19" fillId="0" borderId="0" xfId="1" applyNumberFormat="1" applyFont="1" applyFill="1"/>
    <xf numFmtId="165" fontId="19" fillId="0" borderId="0" xfId="1" applyNumberFormat="1" applyFont="1"/>
    <xf numFmtId="42" fontId="22" fillId="0" borderId="0" xfId="1" applyNumberFormat="1" applyFont="1" applyAlignment="1" applyProtection="1">
      <alignment horizontal="center"/>
    </xf>
    <xf numFmtId="165" fontId="19" fillId="0" borderId="0" xfId="0" applyNumberFormat="1" applyFont="1"/>
    <xf numFmtId="165" fontId="19" fillId="0" borderId="0" xfId="0" applyNumberFormat="1" applyFont="1" applyAlignment="1">
      <alignment horizontal="center"/>
    </xf>
    <xf numFmtId="165" fontId="27" fillId="0" borderId="0" xfId="1" applyNumberFormat="1" applyFont="1" applyFill="1"/>
    <xf numFmtId="10" fontId="27" fillId="0" borderId="0" xfId="3" applyNumberFormat="1" applyFont="1" applyFill="1"/>
    <xf numFmtId="6" fontId="27" fillId="0" borderId="0" xfId="3" applyNumberFormat="1" applyFont="1" applyFill="1"/>
    <xf numFmtId="0" fontId="1" fillId="0" borderId="0" xfId="0" applyFont="1" applyFill="1"/>
    <xf numFmtId="165" fontId="21" fillId="0" borderId="0" xfId="4" applyNumberFormat="1" applyFont="1" applyAlignment="1">
      <alignment horizontal="center"/>
    </xf>
    <xf numFmtId="9" fontId="23" fillId="0" borderId="0" xfId="2" applyFont="1" applyFill="1" applyAlignment="1" applyProtection="1">
      <alignment horizontal="center"/>
    </xf>
    <xf numFmtId="171" fontId="16" fillId="0" borderId="0" xfId="7" applyNumberFormat="1" applyFont="1" applyAlignment="1">
      <alignment horizontal="center"/>
    </xf>
    <xf numFmtId="0" fontId="12" fillId="0" borderId="0" xfId="0" applyFont="1" applyFill="1"/>
    <xf numFmtId="0" fontId="0" fillId="0" borderId="1" xfId="0" applyFont="1" applyFill="1" applyBorder="1"/>
    <xf numFmtId="0" fontId="0" fillId="0" borderId="1" xfId="0" applyFont="1" applyFill="1" applyBorder="1" applyAlignment="1">
      <alignment horizontal="center" wrapText="1"/>
    </xf>
    <xf numFmtId="42" fontId="0" fillId="0" borderId="1" xfId="0" applyNumberFormat="1" applyFont="1" applyFill="1" applyBorder="1" applyAlignment="1">
      <alignment horizontal="center"/>
    </xf>
    <xf numFmtId="0" fontId="1" fillId="0" borderId="0" xfId="16"/>
    <xf numFmtId="43" fontId="0" fillId="0" borderId="0" xfId="17" applyFont="1"/>
    <xf numFmtId="14" fontId="1" fillId="0" borderId="0" xfId="16" applyNumberFormat="1"/>
    <xf numFmtId="0" fontId="12" fillId="0" borderId="0" xfId="16" applyFont="1" applyAlignment="1">
      <alignment horizontal="center"/>
    </xf>
    <xf numFmtId="6" fontId="1" fillId="0" borderId="0" xfId="16" applyNumberFormat="1"/>
    <xf numFmtId="0" fontId="1" fillId="0" borderId="0" xfId="16" applyAlignment="1">
      <alignment horizontal="center"/>
    </xf>
    <xf numFmtId="6" fontId="11" fillId="0" borderId="0" xfId="19" applyNumberFormat="1" applyFont="1"/>
    <xf numFmtId="0" fontId="11" fillId="0" borderId="0" xfId="16" applyFont="1"/>
    <xf numFmtId="6" fontId="0" fillId="0" borderId="0" xfId="19" applyNumberFormat="1" applyFont="1"/>
    <xf numFmtId="0" fontId="1" fillId="0" borderId="8" xfId="16" applyBorder="1"/>
    <xf numFmtId="0" fontId="1" fillId="0" borderId="7" xfId="16" applyBorder="1"/>
    <xf numFmtId="6" fontId="11" fillId="0" borderId="9" xfId="16" applyNumberFormat="1" applyFont="1" applyBorder="1"/>
    <xf numFmtId="6" fontId="11" fillId="0" borderId="7" xfId="19" applyNumberFormat="1" applyFont="1" applyBorder="1"/>
    <xf numFmtId="6" fontId="0" fillId="0" borderId="7" xfId="19" applyNumberFormat="1" applyFont="1" applyBorder="1"/>
    <xf numFmtId="10" fontId="0" fillId="0" borderId="7" xfId="20" applyNumberFormat="1" applyFont="1" applyBorder="1"/>
    <xf numFmtId="38" fontId="1" fillId="0" borderId="0" xfId="16" applyNumberFormat="1"/>
    <xf numFmtId="38" fontId="1" fillId="0" borderId="7" xfId="16" applyNumberFormat="1" applyBorder="1"/>
    <xf numFmtId="0" fontId="13" fillId="0" borderId="7" xfId="16" applyFont="1" applyBorder="1" applyAlignment="1">
      <alignment horizontal="center"/>
    </xf>
    <xf numFmtId="176" fontId="2" fillId="0" borderId="0" xfId="14" applyNumberFormat="1"/>
    <xf numFmtId="165" fontId="1" fillId="0" borderId="0" xfId="0" applyNumberFormat="1" applyFont="1" applyFill="1"/>
    <xf numFmtId="0" fontId="0" fillId="0" borderId="0" xfId="0" applyFont="1" applyFill="1" applyAlignment="1">
      <alignment horizontal="center"/>
    </xf>
    <xf numFmtId="171" fontId="1" fillId="0" borderId="0" xfId="7" applyNumberFormat="1" applyFont="1" applyFill="1"/>
    <xf numFmtId="168" fontId="1" fillId="0" borderId="0" xfId="2" applyNumberFormat="1" applyFont="1" applyFill="1"/>
    <xf numFmtId="167" fontId="0" fillId="0" borderId="0" xfId="0" applyNumberFormat="1" applyFont="1" applyFill="1"/>
    <xf numFmtId="171" fontId="1" fillId="0" borderId="1" xfId="7" applyNumberFormat="1" applyFont="1" applyFill="1" applyBorder="1"/>
    <xf numFmtId="168" fontId="1" fillId="0" borderId="1" xfId="2" applyNumberFormat="1" applyFont="1" applyFill="1" applyBorder="1"/>
    <xf numFmtId="165" fontId="1" fillId="0" borderId="1" xfId="1" applyNumberFormat="1" applyFont="1" applyFill="1" applyBorder="1"/>
    <xf numFmtId="167" fontId="0" fillId="0" borderId="1" xfId="0" applyNumberFormat="1" applyFont="1" applyFill="1" applyBorder="1"/>
    <xf numFmtId="42" fontId="0" fillId="0" borderId="1" xfId="0" applyNumberFormat="1" applyFont="1" applyFill="1" applyBorder="1"/>
    <xf numFmtId="0" fontId="0" fillId="0" borderId="0" xfId="0" applyFont="1" applyFill="1" applyBorder="1"/>
    <xf numFmtId="164" fontId="21" fillId="0" borderId="0" xfId="3" applyNumberFormat="1" applyFont="1" applyAlignment="1" applyProtection="1">
      <alignment horizontal="center"/>
    </xf>
    <xf numFmtId="164" fontId="27" fillId="0" borderId="0" xfId="3" applyNumberFormat="1" applyFont="1" applyAlignment="1" applyProtection="1">
      <alignment horizontal="center"/>
    </xf>
    <xf numFmtId="165" fontId="21" fillId="0" borderId="0" xfId="4" applyNumberFormat="1" applyFont="1"/>
    <xf numFmtId="43" fontId="21" fillId="0" borderId="0" xfId="4" applyFont="1" applyAlignment="1" applyProtection="1">
      <alignment horizontal="center"/>
    </xf>
    <xf numFmtId="171" fontId="16" fillId="0" borderId="0" xfId="0" applyNumberFormat="1" applyFont="1"/>
    <xf numFmtId="0" fontId="11" fillId="0" borderId="0" xfId="0" applyFont="1"/>
    <xf numFmtId="171" fontId="0" fillId="0" borderId="0" xfId="7" applyNumberFormat="1" applyFont="1"/>
    <xf numFmtId="171" fontId="0" fillId="0" borderId="0" xfId="0" applyNumberFormat="1"/>
    <xf numFmtId="165" fontId="11" fillId="0" borderId="0" xfId="1" applyNumberFormat="1" applyFont="1"/>
    <xf numFmtId="0" fontId="16" fillId="0" borderId="0" xfId="0" applyFont="1" applyAlignment="1">
      <alignment horizontal="left"/>
    </xf>
    <xf numFmtId="43" fontId="27" fillId="0" borderId="0" xfId="4" applyFont="1"/>
    <xf numFmtId="0" fontId="27" fillId="0" borderId="0" xfId="3" applyFont="1" applyFill="1"/>
    <xf numFmtId="168" fontId="27" fillId="0" borderId="0" xfId="2" applyNumberFormat="1" applyFont="1" applyFill="1" applyAlignment="1" applyProtection="1">
      <alignment horizontal="center"/>
    </xf>
    <xf numFmtId="43" fontId="21" fillId="0" borderId="0" xfId="4" applyFont="1"/>
    <xf numFmtId="168" fontId="21" fillId="0" borderId="0" xfId="2" applyNumberFormat="1" applyFont="1" applyAlignment="1" applyProtection="1">
      <alignment horizontal="center"/>
    </xf>
    <xf numFmtId="0" fontId="21" fillId="0" borderId="0" xfId="3" applyFont="1" applyFill="1"/>
    <xf numFmtId="170" fontId="21" fillId="0" borderId="0" xfId="1" applyNumberFormat="1" applyFont="1" applyFill="1" applyAlignment="1" applyProtection="1">
      <alignment horizontal="center"/>
    </xf>
    <xf numFmtId="43" fontId="21" fillId="0" borderId="0" xfId="4" applyFont="1" applyFill="1" applyAlignment="1" applyProtection="1">
      <alignment horizontal="center"/>
    </xf>
    <xf numFmtId="164" fontId="21" fillId="0" borderId="1" xfId="3" applyNumberFormat="1" applyFont="1" applyBorder="1" applyAlignment="1" applyProtection="1">
      <alignment horizontal="center"/>
    </xf>
    <xf numFmtId="165" fontId="21" fillId="0" borderId="1" xfId="4" applyNumberFormat="1" applyFont="1" applyBorder="1" applyAlignment="1" applyProtection="1">
      <alignment horizontal="center"/>
    </xf>
    <xf numFmtId="43" fontId="21" fillId="0" borderId="1" xfId="4" applyFont="1" applyBorder="1" applyAlignment="1" applyProtection="1">
      <alignment horizontal="center"/>
    </xf>
    <xf numFmtId="43" fontId="21" fillId="0" borderId="1" xfId="4" applyFont="1" applyFill="1" applyBorder="1" applyAlignment="1" applyProtection="1">
      <alignment horizontal="center"/>
    </xf>
    <xf numFmtId="164" fontId="21" fillId="0" borderId="1" xfId="3" applyNumberFormat="1" applyFont="1" applyFill="1" applyBorder="1" applyAlignment="1" applyProtection="1">
      <alignment horizontal="center"/>
    </xf>
    <xf numFmtId="0" fontId="2" fillId="0" borderId="0" xfId="0" applyFont="1" applyAlignment="1">
      <alignment horizontal="center"/>
    </xf>
    <xf numFmtId="0" fontId="8" fillId="0" borderId="0" xfId="0" quotePrefix="1" applyFont="1"/>
    <xf numFmtId="43" fontId="8" fillId="0" borderId="0" xfId="0" quotePrefix="1" applyNumberFormat="1" applyFont="1"/>
    <xf numFmtId="0" fontId="10" fillId="0" borderId="0" xfId="0" applyFont="1" applyAlignment="1">
      <alignment horizontal="center"/>
    </xf>
    <xf numFmtId="0" fontId="2" fillId="0" borderId="0" xfId="6"/>
    <xf numFmtId="42" fontId="9" fillId="0" borderId="0" xfId="6" applyNumberFormat="1" applyFont="1"/>
    <xf numFmtId="42" fontId="9" fillId="0" borderId="1" xfId="6" applyNumberFormat="1" applyFont="1" applyBorder="1"/>
    <xf numFmtId="3" fontId="2" fillId="0" borderId="0" xfId="6" applyNumberFormat="1"/>
    <xf numFmtId="42" fontId="10" fillId="0" borderId="2" xfId="6" applyNumberFormat="1" applyFont="1" applyBorder="1"/>
    <xf numFmtId="3" fontId="10" fillId="0" borderId="0" xfId="6" applyNumberFormat="1" applyFont="1"/>
    <xf numFmtId="6" fontId="10" fillId="0" borderId="0" xfId="6" applyNumberFormat="1" applyFont="1"/>
    <xf numFmtId="0" fontId="11" fillId="3" borderId="3" xfId="0" applyFont="1" applyFill="1" applyBorder="1" applyAlignment="1">
      <alignment horizontal="center" wrapText="1"/>
    </xf>
    <xf numFmtId="0" fontId="11" fillId="3" borderId="3" xfId="0" applyFont="1" applyFill="1" applyBorder="1" applyAlignment="1">
      <alignment wrapText="1"/>
    </xf>
    <xf numFmtId="0" fontId="0" fillId="3" borderId="0" xfId="0" applyFill="1" applyAlignment="1">
      <alignment wrapText="1"/>
    </xf>
    <xf numFmtId="0" fontId="11" fillId="0" borderId="3" xfId="0" applyFont="1" applyBorder="1" applyAlignment="1">
      <alignment wrapText="1"/>
    </xf>
    <xf numFmtId="0" fontId="0" fillId="0" borderId="0" xfId="0" applyAlignment="1">
      <alignment wrapText="1"/>
    </xf>
    <xf numFmtId="0" fontId="0" fillId="3" borderId="0" xfId="0" applyFill="1" applyAlignment="1">
      <alignment horizontal="center" vertical="center" wrapText="1"/>
    </xf>
    <xf numFmtId="0" fontId="11" fillId="3" borderId="0" xfId="0" applyFont="1" applyFill="1" applyAlignment="1">
      <alignment wrapText="1"/>
    </xf>
    <xf numFmtId="0" fontId="11" fillId="3" borderId="0" xfId="0" applyFont="1" applyFill="1" applyAlignment="1">
      <alignment horizontal="center" wrapText="1"/>
    </xf>
    <xf numFmtId="0" fontId="11" fillId="3" borderId="10" xfId="0" applyFont="1" applyFill="1" applyBorder="1" applyAlignment="1">
      <alignment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xf numFmtId="0" fontId="0" fillId="3" borderId="0" xfId="0" applyFill="1" applyAlignment="1">
      <alignment horizontal="center" vertical="center"/>
    </xf>
    <xf numFmtId="0" fontId="0" fillId="3" borderId="0" xfId="0" applyFill="1" applyAlignment="1">
      <alignment horizontal="left" vertical="center" wrapText="1"/>
    </xf>
    <xf numFmtId="171" fontId="0" fillId="3" borderId="0" xfId="7" applyNumberFormat="1" applyFont="1" applyFill="1" applyAlignment="1">
      <alignment horizontal="center" vertical="center"/>
    </xf>
    <xf numFmtId="0" fontId="0" fillId="0" borderId="0" xfId="0" applyAlignment="1">
      <alignment horizontal="left" vertical="center"/>
    </xf>
    <xf numFmtId="0" fontId="0" fillId="3" borderId="3" xfId="0" applyFill="1" applyBorder="1" applyAlignment="1">
      <alignment vertical="center" wrapText="1"/>
    </xf>
    <xf numFmtId="171" fontId="0" fillId="3" borderId="3" xfId="7" applyNumberFormat="1" applyFont="1" applyFill="1" applyBorder="1" applyAlignment="1">
      <alignment vertical="center"/>
    </xf>
    <xf numFmtId="171" fontId="0" fillId="0" borderId="3" xfId="7" applyNumberFormat="1" applyFont="1" applyFill="1" applyBorder="1" applyAlignment="1">
      <alignment vertical="center"/>
    </xf>
    <xf numFmtId="0" fontId="0" fillId="2" borderId="3" xfId="0" applyFill="1" applyBorder="1" applyAlignment="1">
      <alignment horizontal="center" vertical="center" wrapText="1"/>
    </xf>
    <xf numFmtId="0" fontId="11" fillId="3" borderId="3" xfId="0" applyFont="1" applyFill="1" applyBorder="1" applyAlignment="1">
      <alignment vertical="center" wrapText="1"/>
    </xf>
    <xf numFmtId="171" fontId="11" fillId="0" borderId="5" xfId="7" applyNumberFormat="1" applyFont="1" applyFill="1" applyBorder="1" applyAlignment="1">
      <alignment horizontal="center" vertical="center"/>
    </xf>
    <xf numFmtId="0" fontId="0" fillId="3" borderId="0" xfId="0" applyFill="1" applyAlignment="1">
      <alignment vertical="center" wrapText="1"/>
    </xf>
    <xf numFmtId="171" fontId="0" fillId="0" borderId="0" xfId="7" applyNumberFormat="1" applyFont="1" applyFill="1" applyAlignment="1">
      <alignment horizontal="center" vertical="center"/>
    </xf>
    <xf numFmtId="0" fontId="0" fillId="0" borderId="0" xfId="0" applyAlignment="1">
      <alignment horizontal="left" vertical="center" wrapText="1"/>
    </xf>
    <xf numFmtId="171" fontId="0" fillId="3" borderId="0" xfId="7" applyNumberFormat="1" applyFont="1" applyFill="1" applyBorder="1" applyAlignment="1">
      <alignment horizontal="center" vertical="center"/>
    </xf>
    <xf numFmtId="171" fontId="11" fillId="3" borderId="5" xfId="7" applyNumberFormat="1" applyFont="1" applyFill="1" applyBorder="1" applyAlignment="1">
      <alignment vertical="center"/>
    </xf>
    <xf numFmtId="171" fontId="0" fillId="3" borderId="0" xfId="7" applyNumberFormat="1" applyFont="1" applyFill="1" applyBorder="1" applyAlignment="1">
      <alignment vertical="center"/>
    </xf>
    <xf numFmtId="171" fontId="11" fillId="3" borderId="3" xfId="7" applyNumberFormat="1" applyFont="1" applyFill="1" applyBorder="1" applyAlignment="1">
      <alignment vertical="center"/>
    </xf>
    <xf numFmtId="0" fontId="28" fillId="0" borderId="0" xfId="0" applyFont="1" applyAlignment="1">
      <alignment horizontal="left" vertical="center" wrapText="1"/>
    </xf>
    <xf numFmtId="171" fontId="0" fillId="3" borderId="4" xfId="7" applyNumberFormat="1" applyFont="1" applyFill="1" applyBorder="1"/>
    <xf numFmtId="0" fontId="11" fillId="3" borderId="3" xfId="0" applyFont="1" applyFill="1" applyBorder="1"/>
    <xf numFmtId="0" fontId="11" fillId="2" borderId="3" xfId="0" applyFont="1" applyFill="1" applyBorder="1"/>
    <xf numFmtId="171" fontId="11" fillId="3" borderId="6" xfId="7" applyNumberFormat="1" applyFont="1" applyFill="1" applyBorder="1"/>
    <xf numFmtId="0" fontId="11" fillId="3" borderId="0" xfId="0" applyFont="1" applyFill="1"/>
    <xf numFmtId="43" fontId="11" fillId="0" borderId="0" xfId="0" applyNumberFormat="1" applyFont="1"/>
    <xf numFmtId="0" fontId="0" fillId="3" borderId="0" xfId="0" applyFill="1" applyAlignment="1">
      <alignment horizontal="left" vertical="top"/>
    </xf>
    <xf numFmtId="0" fontId="0" fillId="0" borderId="0" xfId="0" applyAlignment="1">
      <alignment horizontal="center" vertical="center"/>
    </xf>
    <xf numFmtId="167" fontId="6" fillId="0" borderId="0" xfId="1" applyNumberFormat="1" applyFont="1" applyFill="1" applyBorder="1" applyAlignment="1">
      <alignment horizontal="center"/>
    </xf>
    <xf numFmtId="167" fontId="9" fillId="0" borderId="0" xfId="0" applyNumberFormat="1" applyFont="1" applyBorder="1" applyAlignment="1">
      <alignment horizontal="center"/>
    </xf>
    <xf numFmtId="0" fontId="0" fillId="0" borderId="0" xfId="0" applyBorder="1"/>
    <xf numFmtId="43" fontId="0" fillId="0" borderId="0" xfId="0" applyNumberFormat="1" applyBorder="1"/>
    <xf numFmtId="43" fontId="0" fillId="0" borderId="0" xfId="1" applyFont="1" applyBorder="1"/>
    <xf numFmtId="165" fontId="11" fillId="0" borderId="0" xfId="0" applyNumberFormat="1" applyFont="1" applyFill="1"/>
    <xf numFmtId="164" fontId="21" fillId="0" borderId="0" xfId="3" applyNumberFormat="1" applyFont="1" applyFill="1" applyAlignment="1" applyProtection="1">
      <alignment horizontal="centerContinuous"/>
    </xf>
    <xf numFmtId="165" fontId="21" fillId="0" borderId="0" xfId="4" applyNumberFormat="1" applyFont="1" applyFill="1" applyAlignment="1">
      <alignment horizontal="centerContinuous"/>
    </xf>
    <xf numFmtId="43" fontId="21" fillId="0" borderId="0" xfId="4" applyFont="1" applyFill="1" applyAlignment="1" applyProtection="1">
      <alignment horizontal="centerContinuous"/>
    </xf>
    <xf numFmtId="43" fontId="21" fillId="0" borderId="0" xfId="4" applyFont="1" applyFill="1" applyAlignment="1">
      <alignment horizontal="centerContinuous"/>
    </xf>
    <xf numFmtId="0" fontId="1" fillId="0" borderId="0" xfId="0" applyFont="1" applyFill="1" applyAlignment="1">
      <alignment horizontal="center"/>
    </xf>
    <xf numFmtId="164" fontId="21" fillId="0" borderId="0" xfId="3" applyNumberFormat="1" applyFont="1" applyFill="1" applyAlignment="1" applyProtection="1">
      <alignment horizontal="center"/>
    </xf>
    <xf numFmtId="0" fontId="21" fillId="0" borderId="0" xfId="3" applyFont="1" applyFill="1" applyAlignment="1">
      <alignment horizontal="center"/>
    </xf>
    <xf numFmtId="165" fontId="21" fillId="0" borderId="0" xfId="4" applyNumberFormat="1" applyFont="1" applyFill="1" applyAlignment="1">
      <alignment horizontal="center"/>
    </xf>
    <xf numFmtId="165" fontId="21" fillId="0" borderId="0" xfId="4" applyNumberFormat="1" applyFont="1" applyFill="1"/>
    <xf numFmtId="0" fontId="11" fillId="0" borderId="0" xfId="0" applyFont="1" applyFill="1"/>
    <xf numFmtId="165" fontId="21" fillId="0" borderId="0" xfId="1" applyNumberFormat="1" applyFont="1" applyFill="1"/>
    <xf numFmtId="10" fontId="21" fillId="0" borderId="0" xfId="2" applyNumberFormat="1" applyFont="1" applyFill="1"/>
    <xf numFmtId="42" fontId="29" fillId="0" borderId="0" xfId="3" applyNumberFormat="1" applyFont="1" applyFill="1"/>
    <xf numFmtId="168" fontId="21" fillId="0" borderId="0" xfId="2" applyNumberFormat="1" applyFont="1" applyFill="1" applyAlignment="1" applyProtection="1">
      <alignment horizontal="right"/>
    </xf>
    <xf numFmtId="164" fontId="23" fillId="0" borderId="0" xfId="3" applyNumberFormat="1" applyFont="1" applyFill="1" applyAlignment="1" applyProtection="1">
      <alignment horizontal="center"/>
    </xf>
    <xf numFmtId="0" fontId="23" fillId="0" borderId="0" xfId="3" applyFont="1" applyFill="1" applyAlignment="1">
      <alignment horizontal="center"/>
    </xf>
    <xf numFmtId="165" fontId="23" fillId="0" borderId="0" xfId="4" applyNumberFormat="1" applyFont="1" applyFill="1" applyAlignment="1">
      <alignment horizontal="center"/>
    </xf>
    <xf numFmtId="42" fontId="23" fillId="0" borderId="0" xfId="1" applyNumberFormat="1" applyFont="1" applyFill="1" applyProtection="1"/>
    <xf numFmtId="6" fontId="1" fillId="0" borderId="0" xfId="1" applyNumberFormat="1" applyFont="1" applyFill="1"/>
    <xf numFmtId="43" fontId="1" fillId="0" borderId="0" xfId="0" applyNumberFormat="1" applyFont="1" applyFill="1"/>
    <xf numFmtId="166" fontId="1" fillId="0" borderId="0" xfId="0" applyNumberFormat="1" applyFont="1" applyFill="1"/>
    <xf numFmtId="171" fontId="1" fillId="0" borderId="0" xfId="0" applyNumberFormat="1" applyFont="1" applyFill="1"/>
    <xf numFmtId="0" fontId="11" fillId="0" borderId="0" xfId="0" applyFont="1" applyFill="1" applyAlignment="1">
      <alignment horizontal="center"/>
    </xf>
    <xf numFmtId="0" fontId="11" fillId="0" borderId="1" xfId="0" applyFont="1" applyFill="1" applyBorder="1" applyAlignment="1">
      <alignment horizontal="center"/>
    </xf>
    <xf numFmtId="0" fontId="11" fillId="0" borderId="1" xfId="0" applyFont="1" applyFill="1" applyBorder="1"/>
    <xf numFmtId="165" fontId="23" fillId="0" borderId="0" xfId="3" applyNumberFormat="1" applyFont="1" applyFill="1"/>
    <xf numFmtId="0" fontId="11" fillId="0" borderId="0" xfId="0" applyFont="1" applyFill="1" applyBorder="1"/>
    <xf numFmtId="168" fontId="11" fillId="0" borderId="0" xfId="2" applyNumberFormat="1" applyFont="1" applyFill="1"/>
    <xf numFmtId="165" fontId="11" fillId="0" borderId="0" xfId="1" applyNumberFormat="1" applyFont="1" applyFill="1"/>
    <xf numFmtId="171" fontId="11" fillId="0" borderId="11" xfId="7" applyNumberFormat="1" applyFont="1" applyFill="1" applyBorder="1"/>
    <xf numFmtId="42" fontId="11" fillId="0" borderId="0" xfId="0" applyNumberFormat="1" applyFont="1" applyFill="1"/>
    <xf numFmtId="42" fontId="11" fillId="0" borderId="1" xfId="0" applyNumberFormat="1" applyFont="1" applyFill="1" applyBorder="1"/>
    <xf numFmtId="0" fontId="5" fillId="0" borderId="0" xfId="0" applyFont="1" applyBorder="1" applyAlignment="1">
      <alignment vertical="top" wrapText="1"/>
    </xf>
    <xf numFmtId="0" fontId="5" fillId="0" borderId="0" xfId="0" applyFont="1" applyBorder="1" applyAlignment="1">
      <alignment horizontal="center"/>
    </xf>
    <xf numFmtId="10" fontId="1" fillId="0" borderId="0" xfId="16" applyNumberFormat="1"/>
    <xf numFmtId="4" fontId="1" fillId="0" borderId="0" xfId="16" applyNumberFormat="1"/>
    <xf numFmtId="0" fontId="0" fillId="4" borderId="0" xfId="0" applyFill="1"/>
    <xf numFmtId="43" fontId="0" fillId="4" borderId="0" xfId="1" applyFont="1" applyFill="1"/>
    <xf numFmtId="0" fontId="32" fillId="0" borderId="0" xfId="0" applyFont="1"/>
    <xf numFmtId="0" fontId="33" fillId="0" borderId="0" xfId="0" applyFont="1"/>
    <xf numFmtId="0" fontId="34" fillId="0" borderId="0" xfId="0" applyFont="1" applyAlignment="1">
      <alignment horizontal="center"/>
    </xf>
    <xf numFmtId="0" fontId="35" fillId="0" borderId="0" xfId="0" applyFont="1"/>
    <xf numFmtId="0" fontId="36" fillId="0" borderId="0" xfId="0" applyFont="1"/>
    <xf numFmtId="0" fontId="32" fillId="0" borderId="0" xfId="0" applyFont="1" applyAlignment="1">
      <alignment horizontal="left"/>
    </xf>
    <xf numFmtId="2" fontId="32" fillId="0" borderId="0" xfId="0" applyNumberFormat="1" applyFont="1"/>
    <xf numFmtId="0" fontId="37" fillId="5" borderId="0" xfId="0" applyFont="1" applyFill="1"/>
    <xf numFmtId="0" fontId="37" fillId="5" borderId="0" xfId="0" applyFont="1" applyFill="1" applyAlignment="1">
      <alignment horizontal="center"/>
    </xf>
    <xf numFmtId="10" fontId="32" fillId="0" borderId="1" xfId="0" applyNumberFormat="1" applyFont="1" applyBorder="1"/>
    <xf numFmtId="0" fontId="38" fillId="0" borderId="12" xfId="21"/>
    <xf numFmtId="2" fontId="38" fillId="0" borderId="12" xfId="21" applyNumberFormat="1" applyAlignment="1">
      <alignment horizontal="center"/>
    </xf>
    <xf numFmtId="43" fontId="38" fillId="0" borderId="12" xfId="21" applyNumberFormat="1" applyAlignment="1">
      <alignment horizontal="center"/>
    </xf>
    <xf numFmtId="165" fontId="39" fillId="0" borderId="3" xfId="1" applyNumberFormat="1" applyFont="1" applyBorder="1"/>
    <xf numFmtId="14" fontId="40" fillId="6" borderId="3" xfId="0" applyNumberFormat="1" applyFont="1" applyFill="1" applyBorder="1" applyAlignment="1">
      <alignment horizontal="center" vertical="center"/>
    </xf>
    <xf numFmtId="2" fontId="38" fillId="6" borderId="12" xfId="21" applyNumberFormat="1" applyFill="1" applyAlignment="1">
      <alignment horizontal="center"/>
    </xf>
    <xf numFmtId="0" fontId="33" fillId="0" borderId="0" xfId="0" applyFont="1" applyAlignment="1">
      <alignment horizontal="center"/>
    </xf>
    <xf numFmtId="165" fontId="33" fillId="0" borderId="3" xfId="0" applyNumberFormat="1" applyFont="1" applyBorder="1"/>
    <xf numFmtId="0" fontId="40" fillId="6" borderId="3" xfId="0" applyFont="1" applyFill="1" applyBorder="1" applyAlignment="1">
      <alignment horizontal="center" vertical="center"/>
    </xf>
    <xf numFmtId="0" fontId="41" fillId="0" borderId="0" xfId="0" applyFont="1"/>
    <xf numFmtId="165" fontId="8" fillId="0" borderId="12" xfId="1" applyNumberFormat="1" applyFont="1" applyBorder="1" applyAlignment="1">
      <alignment horizontal="center"/>
    </xf>
    <xf numFmtId="165" fontId="38" fillId="0" borderId="12" xfId="21" applyNumberFormat="1" applyAlignment="1">
      <alignment horizontal="center"/>
    </xf>
    <xf numFmtId="0" fontId="42" fillId="0" borderId="0" xfId="0" applyFont="1" applyAlignment="1">
      <alignment horizontal="left"/>
    </xf>
    <xf numFmtId="43" fontId="43" fillId="6" borderId="3" xfId="1" applyFont="1" applyFill="1" applyBorder="1" applyAlignment="1">
      <alignment horizontal="center" vertical="center"/>
    </xf>
    <xf numFmtId="167" fontId="38" fillId="0" borderId="12" xfId="2" applyNumberFormat="1" applyFont="1" applyBorder="1" applyAlignment="1">
      <alignment horizontal="center"/>
    </xf>
    <xf numFmtId="10" fontId="38" fillId="0" borderId="12" xfId="2" applyNumberFormat="1" applyFont="1" applyBorder="1" applyAlignment="1">
      <alignment horizontal="center"/>
    </xf>
    <xf numFmtId="0" fontId="44" fillId="0" borderId="13" xfId="0" applyFont="1" applyBorder="1" applyAlignment="1">
      <alignment horizontal="center"/>
    </xf>
    <xf numFmtId="177" fontId="45" fillId="0" borderId="12" xfId="21" applyNumberFormat="1" applyFont="1" applyFill="1" applyAlignment="1">
      <alignment horizontal="center"/>
    </xf>
    <xf numFmtId="177" fontId="8" fillId="0" borderId="12" xfId="21" applyNumberFormat="1" applyFont="1" applyFill="1" applyAlignment="1">
      <alignment horizontal="center"/>
    </xf>
    <xf numFmtId="43" fontId="33" fillId="0" borderId="14" xfId="0" applyNumberFormat="1" applyFont="1" applyBorder="1"/>
    <xf numFmtId="178" fontId="35" fillId="0" borderId="0" xfId="0" applyNumberFormat="1" applyFont="1"/>
    <xf numFmtId="165" fontId="41" fillId="0" borderId="0" xfId="0" applyNumberFormat="1" applyFont="1"/>
    <xf numFmtId="43" fontId="40" fillId="6" borderId="3" xfId="1" applyFont="1" applyFill="1" applyBorder="1" applyAlignment="1">
      <alignment horizontal="center" vertical="center"/>
    </xf>
    <xf numFmtId="0" fontId="42" fillId="0" borderId="5" xfId="0" applyFont="1" applyBorder="1" applyAlignment="1">
      <alignment horizontal="center"/>
    </xf>
    <xf numFmtId="0" fontId="38" fillId="0" borderId="12" xfId="2" applyNumberFormat="1" applyFont="1" applyBorder="1" applyAlignment="1">
      <alignment horizontal="center"/>
    </xf>
    <xf numFmtId="0" fontId="46" fillId="0" borderId="0" xfId="0" applyFont="1" applyAlignment="1">
      <alignment horizontal="center"/>
    </xf>
    <xf numFmtId="0" fontId="47" fillId="0" borderId="0" xfId="0" applyFont="1" applyAlignment="1">
      <alignment horizontal="center"/>
    </xf>
    <xf numFmtId="0" fontId="48" fillId="0" borderId="0" xfId="0" applyFont="1" applyAlignment="1">
      <alignment horizontal="left" vertical="center" wrapText="1" indent="1"/>
    </xf>
    <xf numFmtId="0" fontId="40" fillId="3" borderId="0" xfId="0" applyFont="1" applyFill="1" applyAlignment="1">
      <alignment horizontal="center" vertical="center"/>
    </xf>
    <xf numFmtId="0" fontId="49" fillId="0" borderId="0" xfId="0" applyFont="1"/>
    <xf numFmtId="0" fontId="37" fillId="5" borderId="3" xfId="0" applyFont="1" applyFill="1" applyBorder="1" applyAlignment="1">
      <alignment horizontal="center"/>
    </xf>
    <xf numFmtId="0" fontId="37" fillId="5" borderId="15" xfId="0" applyFont="1" applyFill="1" applyBorder="1" applyAlignment="1">
      <alignment horizontal="center"/>
    </xf>
    <xf numFmtId="0" fontId="37" fillId="5" borderId="16" xfId="0" applyFont="1" applyFill="1" applyBorder="1" applyAlignment="1">
      <alignment horizontal="center"/>
    </xf>
    <xf numFmtId="0" fontId="37" fillId="5" borderId="17" xfId="0" applyFont="1" applyFill="1" applyBorder="1" applyAlignment="1">
      <alignment horizontal="center"/>
    </xf>
    <xf numFmtId="14" fontId="32" fillId="0" borderId="1" xfId="0" applyNumberFormat="1" applyFont="1" applyBorder="1" applyAlignment="1">
      <alignment horizontal="center"/>
    </xf>
    <xf numFmtId="0" fontId="47" fillId="0" borderId="0" xfId="0" applyFont="1"/>
    <xf numFmtId="179" fontId="40" fillId="0" borderId="18" xfId="0" applyNumberFormat="1" applyFont="1" applyBorder="1" applyAlignment="1">
      <alignment horizontal="center"/>
    </xf>
    <xf numFmtId="14" fontId="33" fillId="0" borderId="13" xfId="0" applyNumberFormat="1" applyFont="1" applyBorder="1" applyAlignment="1">
      <alignment horizontal="center"/>
    </xf>
    <xf numFmtId="165" fontId="33" fillId="0" borderId="0" xfId="0" applyNumberFormat="1" applyFont="1"/>
    <xf numFmtId="0" fontId="33" fillId="0" borderId="19" xfId="0" applyFont="1" applyBorder="1"/>
    <xf numFmtId="0" fontId="33" fillId="0" borderId="14" xfId="0" applyFont="1" applyBorder="1"/>
    <xf numFmtId="0" fontId="32" fillId="0" borderId="1" xfId="0" applyFont="1" applyBorder="1" applyAlignment="1">
      <alignment horizontal="center"/>
    </xf>
    <xf numFmtId="179" fontId="33" fillId="0" borderId="20" xfId="0" applyNumberFormat="1" applyFont="1" applyBorder="1" applyAlignment="1">
      <alignment horizontal="center"/>
    </xf>
    <xf numFmtId="14" fontId="33" fillId="0" borderId="14" xfId="0" applyNumberFormat="1" applyFont="1" applyBorder="1" applyAlignment="1">
      <alignment horizontal="center"/>
    </xf>
    <xf numFmtId="43" fontId="33" fillId="0" borderId="19" xfId="0" applyNumberFormat="1" applyFont="1" applyBorder="1"/>
    <xf numFmtId="165" fontId="33" fillId="0" borderId="14" xfId="0" applyNumberFormat="1" applyFont="1" applyBorder="1"/>
    <xf numFmtId="14" fontId="33" fillId="0" borderId="0" xfId="0" applyNumberFormat="1" applyFont="1" applyAlignment="1">
      <alignment horizontal="center"/>
    </xf>
    <xf numFmtId="179" fontId="33" fillId="0" borderId="21" xfId="0" applyNumberFormat="1" applyFont="1" applyBorder="1" applyAlignment="1">
      <alignment horizontal="center"/>
    </xf>
    <xf numFmtId="14" fontId="33" fillId="0" borderId="5" xfId="0" applyNumberFormat="1" applyFont="1" applyBorder="1" applyAlignment="1">
      <alignment horizontal="center"/>
    </xf>
    <xf numFmtId="165" fontId="33" fillId="0" borderId="1" xfId="0" applyNumberFormat="1" applyFont="1" applyBorder="1"/>
    <xf numFmtId="43" fontId="33" fillId="0" borderId="22" xfId="0" applyNumberFormat="1" applyFont="1" applyBorder="1"/>
    <xf numFmtId="165" fontId="33" fillId="0" borderId="5" xfId="0" applyNumberFormat="1" applyFont="1" applyBorder="1"/>
    <xf numFmtId="167" fontId="16" fillId="0" borderId="0" xfId="2" applyNumberFormat="1" applyFont="1" applyFill="1" applyAlignment="1">
      <alignment horizontal="center"/>
    </xf>
    <xf numFmtId="167" fontId="0" fillId="0" borderId="0" xfId="20" applyNumberFormat="1" applyFont="1"/>
    <xf numFmtId="38" fontId="1" fillId="0" borderId="0" xfId="16" applyNumberFormat="1" applyFill="1"/>
    <xf numFmtId="167" fontId="0" fillId="0" borderId="0" xfId="20" applyNumberFormat="1" applyFont="1" applyFill="1"/>
    <xf numFmtId="0" fontId="0" fillId="0" borderId="20" xfId="0" applyFont="1" applyFill="1" applyBorder="1"/>
    <xf numFmtId="171" fontId="0" fillId="0" borderId="19" xfId="7" applyNumberFormat="1" applyFont="1" applyFill="1" applyBorder="1"/>
    <xf numFmtId="42" fontId="0" fillId="0" borderId="19" xfId="0" applyNumberFormat="1" applyFont="1" applyFill="1" applyBorder="1"/>
    <xf numFmtId="0" fontId="0" fillId="0" borderId="15" xfId="0" applyFont="1" applyFill="1" applyBorder="1"/>
    <xf numFmtId="171" fontId="0" fillId="0" borderId="17" xfId="0" applyNumberFormat="1" applyFont="1" applyFill="1" applyBorder="1"/>
    <xf numFmtId="6" fontId="0" fillId="0" borderId="0" xfId="19" applyNumberFormat="1" applyFont="1" applyFill="1"/>
    <xf numFmtId="10" fontId="0" fillId="0" borderId="0" xfId="20" applyNumberFormat="1" applyFont="1" applyFill="1"/>
    <xf numFmtId="6" fontId="0" fillId="0" borderId="7" xfId="19" applyNumberFormat="1" applyFont="1" applyFill="1" applyBorder="1"/>
    <xf numFmtId="0" fontId="1" fillId="0" borderId="8" xfId="16" applyFill="1" applyBorder="1"/>
    <xf numFmtId="0" fontId="1" fillId="0" borderId="0" xfId="16" applyFill="1"/>
    <xf numFmtId="0" fontId="15" fillId="0" borderId="0" xfId="0" applyFont="1" applyAlignment="1">
      <alignment horizontal="right"/>
    </xf>
    <xf numFmtId="42" fontId="9" fillId="0" borderId="1" xfId="1" applyNumberFormat="1" applyFont="1" applyBorder="1"/>
    <xf numFmtId="10" fontId="9" fillId="0" borderId="0" xfId="0" applyNumberFormat="1" applyFont="1" applyBorder="1" applyAlignment="1">
      <alignment horizontal="center"/>
    </xf>
    <xf numFmtId="165" fontId="1" fillId="0" borderId="15" xfId="1" applyNumberFormat="1" applyFont="1" applyFill="1" applyBorder="1" applyAlignment="1">
      <alignment horizontal="center"/>
    </xf>
    <xf numFmtId="165" fontId="1" fillId="0" borderId="17" xfId="1" applyNumberFormat="1" applyFont="1" applyFill="1" applyBorder="1" applyAlignment="1">
      <alignment horizontal="center"/>
    </xf>
    <xf numFmtId="0" fontId="12" fillId="0" borderId="0" xfId="0" applyFont="1" applyFill="1" applyAlignment="1">
      <alignment horizontal="center"/>
    </xf>
    <xf numFmtId="0" fontId="11" fillId="0" borderId="0" xfId="0" applyFont="1" applyAlignment="1">
      <alignment horizontal="center" wrapText="1"/>
    </xf>
    <xf numFmtId="164" fontId="21" fillId="0" borderId="0" xfId="3" applyNumberFormat="1" applyFont="1" applyAlignment="1" applyProtection="1">
      <alignment horizontal="center"/>
    </xf>
    <xf numFmtId="0" fontId="25" fillId="0" borderId="0" xfId="0" applyFont="1" applyAlignment="1">
      <alignment horizontal="center" wrapText="1"/>
    </xf>
    <xf numFmtId="164" fontId="27" fillId="0" borderId="0" xfId="3" applyNumberFormat="1" applyFont="1" applyAlignment="1" applyProtection="1">
      <alignment horizontal="center"/>
    </xf>
    <xf numFmtId="164" fontId="21" fillId="0" borderId="0" xfId="3" applyNumberFormat="1" applyFont="1" applyFill="1" applyAlignment="1" applyProtection="1">
      <alignment horizontal="center"/>
    </xf>
    <xf numFmtId="0" fontId="33" fillId="0" borderId="1" xfId="0" applyFont="1" applyBorder="1" applyAlignment="1">
      <alignment horizontal="center"/>
    </xf>
    <xf numFmtId="0" fontId="13" fillId="0" borderId="0" xfId="16" applyFont="1" applyAlignment="1">
      <alignment horizontal="center"/>
    </xf>
    <xf numFmtId="0" fontId="2" fillId="0" borderId="0" xfId="13" applyFont="1" applyAlignment="1">
      <alignment horizontal="center"/>
    </xf>
    <xf numFmtId="37" fontId="2" fillId="0" borderId="0" xfId="13" applyNumberFormat="1" applyFont="1" applyAlignment="1">
      <alignment horizontal="center"/>
    </xf>
    <xf numFmtId="0" fontId="11" fillId="3" borderId="3" xfId="0" applyFont="1" applyFill="1" applyBorder="1" applyAlignment="1">
      <alignment horizontal="left" vertical="center" wrapText="1"/>
    </xf>
    <xf numFmtId="0" fontId="0" fillId="3" borderId="3" xfId="0" applyFill="1" applyBorder="1" applyAlignment="1">
      <alignment horizontal="center" vertical="center" wrapText="1"/>
    </xf>
    <xf numFmtId="171" fontId="11" fillId="3" borderId="3" xfId="7" applyNumberFormat="1" applyFont="1" applyFill="1" applyBorder="1" applyAlignment="1">
      <alignment horizontal="center" vertical="center"/>
    </xf>
    <xf numFmtId="0" fontId="28" fillId="0" borderId="0" xfId="0" applyFont="1" applyAlignment="1">
      <alignment horizontal="left" vertical="center" wrapText="1"/>
    </xf>
    <xf numFmtId="0" fontId="0" fillId="3" borderId="3" xfId="0" applyFill="1" applyBorder="1"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top" wrapText="1"/>
    </xf>
  </cellXfs>
  <cellStyles count="22">
    <cellStyle name="_Table" xfId="21" xr:uid="{B8A541E1-341B-4E1A-8E10-A204D9AB449E}"/>
    <cellStyle name="Comma" xfId="1" builtinId="3"/>
    <cellStyle name="Comma 2" xfId="9" xr:uid="{00000000-0005-0000-0000-000001000000}"/>
    <cellStyle name="Comma 2 2" xfId="17" xr:uid="{32B57B00-240E-430B-AA17-DCF82FE4EADD}"/>
    <cellStyle name="Comma 27" xfId="15" xr:uid="{0A4A91A5-A126-4BEC-BA83-A87826BE4C4A}"/>
    <cellStyle name="Comma 3" xfId="18" xr:uid="{C8609F2C-2F07-413F-80E5-590230CD9F11}"/>
    <cellStyle name="Comma 37" xfId="4" xr:uid="{00000000-0005-0000-0000-000002000000}"/>
    <cellStyle name="Currency" xfId="7" builtinId="4"/>
    <cellStyle name="Currency 2" xfId="11" xr:uid="{AD183C12-FBFD-42A0-9DD7-080D0A230C89}"/>
    <cellStyle name="Currency 2 2" xfId="19" xr:uid="{BD84A2AC-52DE-47FA-9719-A22EB07287F4}"/>
    <cellStyle name="Normal" xfId="0" builtinId="0"/>
    <cellStyle name="Normal 12 4" xfId="3" xr:uid="{00000000-0005-0000-0000-000005000000}"/>
    <cellStyle name="Normal 132 2" xfId="14" xr:uid="{F5B6272E-9127-458B-A71C-2CD0B04CD123}"/>
    <cellStyle name="Normal 2" xfId="8" xr:uid="{00000000-0005-0000-0000-000006000000}"/>
    <cellStyle name="Normal 2 2" xfId="16" xr:uid="{D68FABC4-4423-404B-92C7-A054D42C5F63}"/>
    <cellStyle name="Normal 22" xfId="5" xr:uid="{00000000-0005-0000-0000-000007000000}"/>
    <cellStyle name="Normal 3" xfId="13" xr:uid="{F427FBB1-4C4D-434D-8DBB-D2C358CC56F2}"/>
    <cellStyle name="Normal_~0955761" xfId="6" xr:uid="{00000000-0005-0000-0000-000008000000}"/>
    <cellStyle name="Percent" xfId="2" builtinId="5"/>
    <cellStyle name="Percent 2" xfId="10" xr:uid="{00000000-0005-0000-0000-00000A000000}"/>
    <cellStyle name="Percent 2 2" xfId="20" xr:uid="{3F687D15-DE40-4EFC-B092-3875A6A406A4}"/>
    <cellStyle name="Percent 3" xfId="12" xr:uid="{D6B648D3-F8A7-4FE1-BF4A-DE869AE445A3}"/>
  </cellStyles>
  <dxfs count="4">
    <dxf>
      <font>
        <color rgb="FF006100"/>
      </font>
      <fill>
        <patternFill>
          <bgColor rgb="FFC6EFCE"/>
        </patternFill>
      </fill>
    </dxf>
    <dxf>
      <font>
        <color theme="0"/>
      </font>
      <fill>
        <patternFill>
          <bgColor theme="6"/>
        </patternFill>
      </fill>
    </dxf>
    <dxf>
      <font>
        <color rgb="FF006100"/>
      </font>
      <fill>
        <patternFill>
          <bgColor rgb="FFC6EFCE"/>
        </patternFill>
      </fill>
    </dxf>
    <dxf>
      <font>
        <color theme="0"/>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e165f7a9-fc01-443b-b206-3d0146f1e878&quot;}" hidden="1">
          <a:extLst>
            <a:ext uri="{FF2B5EF4-FFF2-40B4-BE49-F238E27FC236}">
              <a16:creationId xmlns:a16="http://schemas.microsoft.com/office/drawing/2014/main" id="{795A5F23-7D49-45B1-B129-D65AB50B909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20No%202009%20-%20Potential%20Rate%20Case\Section%20V%20-%20Schedule%2010%20-%20Tax%20Workpapers\KPCo%20Rate%20Case%20-%20Sch%2010%20-%20Internal%20Version%20-%2009-30-2009%20-%20Tom%20Syn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notes7FB054\Remove%20Big%20Sandy%20COS%20from%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IV - Taxes"/>
      <sheetName val="Schedule 10"/>
      <sheetName val="Workpaper S-10, Page 1"/>
      <sheetName val="Workpaper S-10, Page 2"/>
      <sheetName val="Workpaper S-10, Page 3"/>
      <sheetName val="Table"/>
      <sheetName val="Rpt 51000 and 51020 Summary"/>
      <sheetName val="Rpt 51020_ 2008-12-31 YTD"/>
      <sheetName val="Rpt 51020_ 2008-09-30 YTD"/>
      <sheetName val="Rpt 51020_ 2009-09-30 YTD"/>
      <sheetName val="Rpt 51020_ 2008 Oct Adj"/>
      <sheetName val="Rpt 51020_ 2008 Nov Adj"/>
      <sheetName val="Workpaper S-10 - Bob Russell"/>
      <sheetName val="Schedule 5 - Bob Russell"/>
    </sheetNames>
    <sheetDataSet>
      <sheetData sheetId="0" refreshError="1"/>
      <sheetData sheetId="1" refreshError="1"/>
      <sheetData sheetId="2" refreshError="1"/>
      <sheetData sheetId="3" refreshError="1"/>
      <sheetData sheetId="4" refreshError="1"/>
      <sheetData sheetId="5">
        <row r="6">
          <cell r="G6" t="str">
            <v>EAF</v>
          </cell>
          <cell r="H6">
            <v>0.98699999999999999</v>
          </cell>
        </row>
        <row r="7">
          <cell r="G7" t="str">
            <v>GP-TOT</v>
          </cell>
          <cell r="H7">
            <v>0.99099999999999999</v>
          </cell>
        </row>
        <row r="8">
          <cell r="G8" t="str">
            <v>GP-TRANS</v>
          </cell>
          <cell r="H8">
            <v>0.98599999999999999</v>
          </cell>
        </row>
        <row r="9">
          <cell r="G9" t="str">
            <v>OML</v>
          </cell>
          <cell r="H9">
            <v>0.99399999999999999</v>
          </cell>
        </row>
        <row r="10">
          <cell r="G10" t="str">
            <v>OP-REV</v>
          </cell>
          <cell r="H10">
            <v>0.98699999999999999</v>
          </cell>
        </row>
        <row r="11">
          <cell r="G11" t="str">
            <v>PDAF</v>
          </cell>
          <cell r="H11">
            <v>0.98599999999999999</v>
          </cell>
        </row>
        <row r="12">
          <cell r="G12" t="str">
            <v>WAITING</v>
          </cell>
          <cell r="H12">
            <v>1</v>
          </cell>
        </row>
        <row r="13">
          <cell r="G13" t="str">
            <v>SPECIF.</v>
          </cell>
          <cell r="H13">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ove BS OM Depr WXX"/>
      <sheetName val="Amortize BS OM Depr"/>
      <sheetName val="Big Sandy Summary"/>
      <sheetName val="Amortization"/>
      <sheetName val="WACC"/>
      <sheetName val="Pivot"/>
      <sheetName val="Big Sandy Detail"/>
      <sheetName val="Modification History"/>
      <sheetName val="Alloc BS Normalization"/>
      <sheetName val="Payroll Adjust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workbookViewId="0"/>
  </sheetViews>
  <sheetFormatPr defaultColWidth="9.1796875" defaultRowHeight="15" customHeight="1" x14ac:dyDescent="0.3"/>
  <cols>
    <col min="1" max="1" width="3.81640625" style="22" customWidth="1"/>
    <col min="2" max="2" width="44.1796875" style="22" customWidth="1"/>
    <col min="3" max="3" width="18.1796875" style="24" bestFit="1" customWidth="1"/>
    <col min="4" max="4" width="39.26953125" style="22" bestFit="1" customWidth="1"/>
    <col min="5" max="5" width="15.1796875" style="22" hidden="1" customWidth="1"/>
    <col min="6" max="16384" width="9.1796875" style="22"/>
  </cols>
  <sheetData>
    <row r="1" spans="1:5" ht="15" customHeight="1" x14ac:dyDescent="0.3">
      <c r="A1" s="23" t="s">
        <v>92</v>
      </c>
      <c r="E1" s="24" t="s">
        <v>186</v>
      </c>
    </row>
    <row r="2" spans="1:5" ht="15" customHeight="1" x14ac:dyDescent="0.3">
      <c r="A2" s="26"/>
    </row>
    <row r="3" spans="1:5" ht="15" customHeight="1" x14ac:dyDescent="0.3">
      <c r="A3" s="27" t="s">
        <v>170</v>
      </c>
    </row>
    <row r="4" spans="1:5" ht="15" customHeight="1" x14ac:dyDescent="0.3">
      <c r="A4" s="24">
        <v>1</v>
      </c>
      <c r="B4" s="22" t="s">
        <v>275</v>
      </c>
    </row>
    <row r="5" spans="1:5" ht="15" customHeight="1" x14ac:dyDescent="0.3">
      <c r="A5" s="24">
        <f>+A4+1</f>
        <v>2</v>
      </c>
      <c r="B5" s="22" t="s">
        <v>169</v>
      </c>
    </row>
    <row r="6" spans="1:5" ht="15" customHeight="1" x14ac:dyDescent="0.3">
      <c r="A6" s="24">
        <f>+A5+1</f>
        <v>3</v>
      </c>
      <c r="B6" s="22" t="s">
        <v>93</v>
      </c>
      <c r="C6" s="62">
        <f>+'Pre-Tax WACC'!K18</f>
        <v>6.93E-2</v>
      </c>
      <c r="D6" s="22" t="s">
        <v>274</v>
      </c>
      <c r="E6" s="61"/>
    </row>
    <row r="7" spans="1:5" ht="15" customHeight="1" x14ac:dyDescent="0.3">
      <c r="A7" s="24">
        <f t="shared" ref="A7:A11" si="0">+A6+1</f>
        <v>4</v>
      </c>
      <c r="B7" s="22" t="s">
        <v>118</v>
      </c>
      <c r="C7" s="62">
        <f>+'Pre-Tax WACC'!O18</f>
        <v>8.299999999999999E-2</v>
      </c>
      <c r="D7" s="22" t="s">
        <v>274</v>
      </c>
    </row>
    <row r="8" spans="1:5" ht="15" customHeight="1" x14ac:dyDescent="0.3">
      <c r="A8" s="24">
        <f t="shared" si="0"/>
        <v>5</v>
      </c>
      <c r="B8" s="22" t="s">
        <v>276</v>
      </c>
      <c r="C8" s="138">
        <f>+Summary!E3</f>
        <v>289193516.55000001</v>
      </c>
      <c r="D8" s="22" t="s">
        <v>178</v>
      </c>
      <c r="E8" s="61">
        <f>+C8+C9-Summary!E41</f>
        <v>0</v>
      </c>
    </row>
    <row r="9" spans="1:5" ht="15" customHeight="1" x14ac:dyDescent="0.3">
      <c r="A9" s="24">
        <f t="shared" si="0"/>
        <v>6</v>
      </c>
      <c r="B9" s="22" t="s">
        <v>167</v>
      </c>
      <c r="C9" s="138">
        <f>+Summary!E16+Summary!E22+Summary!E28+Summary!E35+Summary!E37+Summary!E39</f>
        <v>182005283.54211342</v>
      </c>
      <c r="D9" s="22" t="s">
        <v>178</v>
      </c>
      <c r="E9" s="61"/>
    </row>
    <row r="10" spans="1:5" ht="15" customHeight="1" x14ac:dyDescent="0.3">
      <c r="A10" s="24">
        <f t="shared" si="0"/>
        <v>7</v>
      </c>
      <c r="B10" s="22" t="s">
        <v>277</v>
      </c>
      <c r="C10" s="138">
        <f>'ADIT Offset -WACC '!D7</f>
        <v>33101691.641578846</v>
      </c>
      <c r="D10" s="22" t="s">
        <v>274</v>
      </c>
      <c r="E10" s="177"/>
    </row>
    <row r="11" spans="1:5" ht="15" customHeight="1" x14ac:dyDescent="0.3">
      <c r="A11" s="24">
        <f t="shared" si="0"/>
        <v>8</v>
      </c>
      <c r="B11" s="22" t="s">
        <v>187</v>
      </c>
      <c r="C11" s="138">
        <f>'ADIT Offset -WACC '!I7</f>
        <v>1946928.391031571</v>
      </c>
      <c r="D11" s="22" t="s">
        <v>274</v>
      </c>
      <c r="E11" s="177"/>
    </row>
    <row r="12" spans="1:5" ht="15" customHeight="1" x14ac:dyDescent="0.3">
      <c r="A12" s="24"/>
    </row>
    <row r="13" spans="1:5" ht="15" customHeight="1" x14ac:dyDescent="0.35">
      <c r="A13" s="24"/>
      <c r="B13" s="178"/>
      <c r="C13" s="178"/>
      <c r="D13" s="181"/>
      <c r="E13" s="181"/>
    </row>
    <row r="14" spans="1:5" ht="15" customHeight="1" x14ac:dyDescent="0.3">
      <c r="A14" s="24"/>
    </row>
    <row r="15" spans="1:5" ht="15" customHeight="1" x14ac:dyDescent="0.3">
      <c r="A15" s="27" t="s">
        <v>119</v>
      </c>
    </row>
    <row r="16" spans="1:5" ht="15" customHeight="1" x14ac:dyDescent="0.3">
      <c r="A16" s="24">
        <v>1</v>
      </c>
      <c r="B16" s="22" t="s">
        <v>121</v>
      </c>
      <c r="C16" s="29">
        <v>20</v>
      </c>
      <c r="D16" s="22" t="s">
        <v>176</v>
      </c>
    </row>
    <row r="17" spans="1:5" ht="15" customHeight="1" x14ac:dyDescent="0.3">
      <c r="A17" s="24">
        <f>+A16+1</f>
        <v>2</v>
      </c>
      <c r="B17" s="22" t="s">
        <v>120</v>
      </c>
      <c r="C17" s="351">
        <f>+LDS!F7</f>
        <v>5.1659999999999998E-2</v>
      </c>
      <c r="D17" s="22" t="s">
        <v>177</v>
      </c>
    </row>
    <row r="18" spans="1:5" ht="15" customHeight="1" x14ac:dyDescent="0.3">
      <c r="A18" s="24">
        <f t="shared" ref="A18" si="1">+A17+1</f>
        <v>3</v>
      </c>
      <c r="B18" s="22" t="s">
        <v>278</v>
      </c>
      <c r="C18" s="138">
        <f>'ADIT Offset -Secur'!D7</f>
        <v>26094164.492559377</v>
      </c>
      <c r="D18" s="22" t="s">
        <v>274</v>
      </c>
      <c r="E18" s="61"/>
    </row>
    <row r="19" spans="1:5" ht="15" customHeight="1" x14ac:dyDescent="0.3">
      <c r="A19" s="24">
        <v>4</v>
      </c>
      <c r="B19" s="22" t="s">
        <v>239</v>
      </c>
      <c r="C19" s="138">
        <f>'ADIT Offset -Secur'!J7</f>
        <v>4714838.2245339202</v>
      </c>
      <c r="D19" s="22" t="s">
        <v>274</v>
      </c>
      <c r="E19" s="61"/>
    </row>
    <row r="20" spans="1:5" ht="15" customHeight="1" x14ac:dyDescent="0.3">
      <c r="A20" s="24">
        <v>5</v>
      </c>
      <c r="B20" s="22" t="s">
        <v>133</v>
      </c>
      <c r="C20" s="138">
        <f>+'Upfront &amp; Ongoing Costs'!B17</f>
        <v>6310202.7204511994</v>
      </c>
      <c r="D20" s="22" t="s">
        <v>194</v>
      </c>
    </row>
    <row r="21" spans="1:5" ht="15" customHeight="1" x14ac:dyDescent="0.3">
      <c r="A21" s="24">
        <v>6</v>
      </c>
      <c r="B21" s="22" t="s">
        <v>134</v>
      </c>
      <c r="C21" s="138">
        <f>+C8+C9-C18+C20-C19</f>
        <v>446700000.09547132</v>
      </c>
      <c r="D21" s="182"/>
      <c r="E21" s="177"/>
    </row>
    <row r="22" spans="1:5" ht="15" customHeight="1" x14ac:dyDescent="0.3">
      <c r="A22" s="24"/>
      <c r="D22" s="177"/>
      <c r="E22" s="177"/>
    </row>
    <row r="23" spans="1:5" ht="15" customHeight="1" x14ac:dyDescent="0.3">
      <c r="A23" s="24"/>
    </row>
    <row r="25" spans="1:5" ht="15" customHeight="1" x14ac:dyDescent="0.3">
      <c r="A25" s="2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6"/>
  <sheetViews>
    <sheetView workbookViewId="0"/>
  </sheetViews>
  <sheetFormatPr defaultColWidth="9.1796875" defaultRowHeight="14.5" x14ac:dyDescent="0.35"/>
  <cols>
    <col min="1" max="1" width="38.7265625" style="67" customWidth="1"/>
    <col min="2" max="2" width="19.26953125" style="67" customWidth="1"/>
    <col min="3" max="3" width="4.54296875" style="67" hidden="1" customWidth="1"/>
    <col min="4" max="5" width="13.7265625" style="67" bestFit="1" customWidth="1"/>
    <col min="6" max="6" width="16.26953125" style="67" bestFit="1" customWidth="1"/>
    <col min="7" max="7" width="10.1796875" style="67" customWidth="1"/>
    <col min="8" max="16384" width="9.1796875" style="67"/>
  </cols>
  <sheetData>
    <row r="1" spans="1:7" x14ac:dyDescent="0.35">
      <c r="A1" s="23" t="s">
        <v>238</v>
      </c>
    </row>
    <row r="2" spans="1:7" x14ac:dyDescent="0.35">
      <c r="A2" s="163"/>
      <c r="B2" s="163"/>
      <c r="C2" s="163"/>
      <c r="D2" s="163"/>
      <c r="E2" s="163"/>
      <c r="F2" s="163"/>
    </row>
    <row r="4" spans="1:7" x14ac:dyDescent="0.35">
      <c r="A4" s="139"/>
      <c r="B4" s="139"/>
      <c r="C4" s="139"/>
      <c r="D4" s="139"/>
      <c r="E4" s="139"/>
      <c r="F4" s="370" t="s">
        <v>280</v>
      </c>
      <c r="G4" s="370"/>
    </row>
    <row r="5" spans="1:7" ht="29" x14ac:dyDescent="0.35">
      <c r="A5" s="140" t="s">
        <v>166</v>
      </c>
      <c r="B5" s="141" t="s">
        <v>241</v>
      </c>
      <c r="C5" s="141"/>
      <c r="D5" s="141" t="s">
        <v>48</v>
      </c>
      <c r="E5" s="141" t="s">
        <v>49</v>
      </c>
      <c r="F5" s="142" t="s">
        <v>15</v>
      </c>
      <c r="G5" s="140" t="s">
        <v>46</v>
      </c>
    </row>
    <row r="6" spans="1:7" ht="20.149999999999999" customHeight="1" x14ac:dyDescent="0.35">
      <c r="A6" s="67" t="s">
        <v>279</v>
      </c>
      <c r="B6" s="164">
        <f>+'Assumptions and Inputs'!C8-'Assumptions and Inputs'!C10</f>
        <v>256091824.90842116</v>
      </c>
      <c r="C6" s="165"/>
      <c r="D6" s="18">
        <v>0</v>
      </c>
      <c r="E6" s="164">
        <f>-'Conventional Big Sandy'!D14*12</f>
        <v>27962969.076351307</v>
      </c>
      <c r="F6" s="164">
        <f>+'Conventional Big Sandy'!I11</f>
        <v>254332690.46603203</v>
      </c>
      <c r="G6" s="166">
        <f>+'Assumptions and Inputs'!C7</f>
        <v>8.299999999999999E-2</v>
      </c>
    </row>
    <row r="7" spans="1:7" x14ac:dyDescent="0.35">
      <c r="A7" s="140" t="s">
        <v>168</v>
      </c>
      <c r="B7" s="167">
        <f>'Assumptions and Inputs'!C9-'Assumptions and Inputs'!C11</f>
        <v>180058355.15108186</v>
      </c>
      <c r="C7" s="168"/>
      <c r="D7" s="169">
        <v>0</v>
      </c>
      <c r="E7" s="167">
        <f>-'Conventional All Other'!D14*12</f>
        <v>43819009.53428822</v>
      </c>
      <c r="F7" s="167">
        <f>+'Conventional All Other'!I11</f>
        <v>178821506.39849246</v>
      </c>
      <c r="G7" s="170">
        <f>+'Assumptions and Inputs'!C7</f>
        <v>8.299999999999999E-2</v>
      </c>
    </row>
    <row r="8" spans="1:7" x14ac:dyDescent="0.35">
      <c r="B8" s="164">
        <f>SUM(B6:B7)</f>
        <v>436150180.05950302</v>
      </c>
      <c r="C8" s="164"/>
      <c r="D8" s="164"/>
      <c r="E8" s="164">
        <f>SUM(E6:E7)</f>
        <v>71781978.610639527</v>
      </c>
      <c r="F8" s="164">
        <f>SUM(F6:F7)</f>
        <v>433154196.86452448</v>
      </c>
      <c r="G8" s="166"/>
    </row>
    <row r="9" spans="1:7" x14ac:dyDescent="0.35">
      <c r="A9" s="140" t="s">
        <v>119</v>
      </c>
      <c r="B9" s="140"/>
      <c r="C9" s="168"/>
      <c r="D9" s="169"/>
      <c r="E9" s="169"/>
      <c r="F9" s="171"/>
      <c r="G9" s="170"/>
    </row>
    <row r="10" spans="1:7" x14ac:dyDescent="0.35">
      <c r="A10" s="67" t="s">
        <v>184</v>
      </c>
      <c r="B10" s="164">
        <f>B24</f>
        <v>440389797.37502015</v>
      </c>
      <c r="C10" s="165"/>
      <c r="D10" s="18">
        <f>+'Upfront &amp; Ongoing Costs'!B17</f>
        <v>6310202.7204511994</v>
      </c>
      <c r="E10" s="164">
        <f>+'20 Yr Securitization'!L16*2</f>
        <v>37061496.942118049</v>
      </c>
      <c r="F10" s="164">
        <f>+'20 Yr Securitization'!J7+'20 Yr Securitization'!J8</f>
        <v>358728228.6957128</v>
      </c>
      <c r="G10" s="166">
        <f>+'20 Yr Securitization'!G10</f>
        <v>8.299999999999999E-2</v>
      </c>
    </row>
    <row r="11" spans="1:7" x14ac:dyDescent="0.35">
      <c r="C11" s="165"/>
      <c r="D11" s="18"/>
      <c r="E11" s="18"/>
      <c r="F11" s="18"/>
      <c r="G11" s="166"/>
    </row>
    <row r="12" spans="1:7" ht="15" thickBot="1" x14ac:dyDescent="0.4">
      <c r="A12" s="277" t="s">
        <v>236</v>
      </c>
      <c r="B12" s="260"/>
      <c r="C12" s="278"/>
      <c r="D12" s="279"/>
      <c r="E12" s="279"/>
      <c r="F12" s="280">
        <f>+F8-F10</f>
        <v>74425968.168811679</v>
      </c>
      <c r="G12" s="166"/>
    </row>
    <row r="13" spans="1:7" ht="15" thickTop="1" x14ac:dyDescent="0.35">
      <c r="A13" s="172"/>
      <c r="B13" s="164"/>
      <c r="C13" s="165"/>
      <c r="D13" s="18"/>
      <c r="E13" s="18"/>
      <c r="F13" s="18"/>
      <c r="G13" s="166"/>
    </row>
    <row r="14" spans="1:7" x14ac:dyDescent="0.35">
      <c r="A14" s="172"/>
      <c r="B14" s="164"/>
      <c r="C14" s="165"/>
      <c r="D14" s="18"/>
      <c r="E14" s="18"/>
      <c r="F14" s="18"/>
      <c r="G14" s="166"/>
    </row>
    <row r="15" spans="1:7" x14ac:dyDescent="0.35">
      <c r="A15" s="178" t="s">
        <v>188</v>
      </c>
      <c r="B15"/>
      <c r="C15" s="20"/>
      <c r="D15" s="19"/>
      <c r="E15" s="18"/>
      <c r="F15" s="18"/>
      <c r="G15" s="166"/>
    </row>
    <row r="16" spans="1:7" x14ac:dyDescent="0.35">
      <c r="A16" t="s">
        <v>189</v>
      </c>
      <c r="B16" s="179">
        <f>'Assumptions and Inputs'!C8</f>
        <v>289193516.55000001</v>
      </c>
      <c r="C16" s="20"/>
      <c r="D16" s="19"/>
      <c r="F16" s="18"/>
      <c r="G16" s="166"/>
    </row>
    <row r="17" spans="1:7" x14ac:dyDescent="0.35">
      <c r="A17" t="s">
        <v>190</v>
      </c>
      <c r="B17" s="179">
        <f>'Assumptions and Inputs'!C18</f>
        <v>26094164.492559377</v>
      </c>
      <c r="C17" s="20"/>
      <c r="D17" s="19"/>
      <c r="E17" s="18"/>
      <c r="F17" s="18"/>
      <c r="G17" s="166"/>
    </row>
    <row r="18" spans="1:7" x14ac:dyDescent="0.35">
      <c r="A18" t="s">
        <v>191</v>
      </c>
      <c r="B18" s="180">
        <f>B16-B17</f>
        <v>263099352.05744064</v>
      </c>
      <c r="C18" s="20"/>
      <c r="D18" s="19"/>
      <c r="E18" s="18"/>
      <c r="F18" s="18"/>
      <c r="G18" s="166"/>
    </row>
    <row r="19" spans="1:7" x14ac:dyDescent="0.35">
      <c r="A19" s="178"/>
      <c r="B19" s="178"/>
      <c r="C19" s="181"/>
      <c r="D19" s="181"/>
      <c r="E19" s="18"/>
      <c r="F19" s="18"/>
      <c r="G19" s="166"/>
    </row>
    <row r="20" spans="1:7" x14ac:dyDescent="0.35">
      <c r="A20" t="s">
        <v>192</v>
      </c>
      <c r="B20" s="180">
        <f>'Assumptions and Inputs'!C9</f>
        <v>182005283.54211342</v>
      </c>
      <c r="C20" s="20"/>
      <c r="D20" s="19"/>
      <c r="E20" s="18"/>
      <c r="F20" s="18"/>
      <c r="G20" s="166"/>
    </row>
    <row r="21" spans="1:7" x14ac:dyDescent="0.35">
      <c r="A21" t="s">
        <v>190</v>
      </c>
      <c r="B21" s="179">
        <f>'Assumptions and Inputs'!C19</f>
        <v>4714838.2245339202</v>
      </c>
      <c r="C21" s="20"/>
      <c r="D21" s="19"/>
      <c r="E21" s="18"/>
      <c r="F21" s="18"/>
      <c r="G21" s="166"/>
    </row>
    <row r="22" spans="1:7" x14ac:dyDescent="0.35">
      <c r="A22" t="s">
        <v>191</v>
      </c>
      <c r="B22" s="180">
        <f>B20-B21</f>
        <v>177290445.31757951</v>
      </c>
      <c r="C22" s="19"/>
      <c r="E22" s="18"/>
      <c r="F22" s="18"/>
      <c r="G22" s="166"/>
    </row>
    <row r="23" spans="1:7" x14ac:dyDescent="0.35">
      <c r="A23" s="178"/>
      <c r="B23" s="178"/>
      <c r="C23" s="181"/>
      <c r="D23" s="181"/>
      <c r="E23" s="18"/>
      <c r="F23" s="18"/>
      <c r="G23" s="166"/>
    </row>
    <row r="24" spans="1:7" x14ac:dyDescent="0.35">
      <c r="A24" s="178" t="s">
        <v>237</v>
      </c>
      <c r="B24" s="180">
        <f>+B18+B22</f>
        <v>440389797.37502015</v>
      </c>
      <c r="C24" s="181"/>
      <c r="D24" s="181"/>
      <c r="E24" s="18"/>
      <c r="F24" s="18"/>
      <c r="G24" s="166"/>
    </row>
    <row r="25" spans="1:7" x14ac:dyDescent="0.35">
      <c r="A25" s="178"/>
      <c r="B25" s="178"/>
      <c r="C25" s="181"/>
      <c r="D25" s="181"/>
      <c r="E25" s="18"/>
      <c r="F25" s="18"/>
      <c r="G25" s="166"/>
    </row>
    <row r="26" spans="1:7" x14ac:dyDescent="0.35">
      <c r="A26" s="178" t="s">
        <v>193</v>
      </c>
      <c r="B26" s="178"/>
      <c r="C26" s="181"/>
      <c r="D26" s="181"/>
      <c r="E26" s="18"/>
      <c r="F26" s="18"/>
      <c r="G26" s="166"/>
    </row>
    <row r="27" spans="1:7" x14ac:dyDescent="0.35">
      <c r="A27" t="s">
        <v>189</v>
      </c>
      <c r="B27" s="179">
        <f>'Assumptions and Inputs'!C8</f>
        <v>289193516.55000001</v>
      </c>
      <c r="C27" s="19"/>
      <c r="D27" s="19"/>
      <c r="E27" s="18"/>
      <c r="F27" s="18"/>
      <c r="G27" s="166"/>
    </row>
    <row r="28" spans="1:7" x14ac:dyDescent="0.35">
      <c r="A28" t="s">
        <v>190</v>
      </c>
      <c r="B28" s="179">
        <f>'Assumptions and Inputs'!C10</f>
        <v>33101691.641578846</v>
      </c>
      <c r="C28" s="19"/>
      <c r="D28" s="19"/>
      <c r="E28" s="18"/>
      <c r="F28" s="18"/>
      <c r="G28" s="166"/>
    </row>
    <row r="29" spans="1:7" x14ac:dyDescent="0.35">
      <c r="A29" t="s">
        <v>191</v>
      </c>
      <c r="B29" s="180">
        <f>B27-B28</f>
        <v>256091824.90842116</v>
      </c>
      <c r="C29" s="19"/>
      <c r="D29" s="180"/>
      <c r="E29" s="18"/>
      <c r="G29" s="166"/>
    </row>
    <row r="30" spans="1:7" x14ac:dyDescent="0.35">
      <c r="G30" s="166"/>
    </row>
    <row r="31" spans="1:7" x14ac:dyDescent="0.35">
      <c r="A31" s="178" t="s">
        <v>193</v>
      </c>
      <c r="B31" s="178"/>
      <c r="G31" s="166"/>
    </row>
    <row r="32" spans="1:7" x14ac:dyDescent="0.35">
      <c r="A32" t="s">
        <v>240</v>
      </c>
      <c r="B32" s="179">
        <f>'Assumptions and Inputs'!C9</f>
        <v>182005283.54211342</v>
      </c>
      <c r="G32" s="166"/>
    </row>
    <row r="33" spans="1:7" x14ac:dyDescent="0.35">
      <c r="A33" t="s">
        <v>190</v>
      </c>
      <c r="B33" s="179">
        <f>'Assumptions and Inputs'!C11</f>
        <v>1946928.391031571</v>
      </c>
      <c r="G33" s="166"/>
    </row>
    <row r="34" spans="1:7" x14ac:dyDescent="0.35">
      <c r="A34" t="s">
        <v>191</v>
      </c>
      <c r="B34" s="180">
        <f>B32-B33</f>
        <v>180058355.15108186</v>
      </c>
      <c r="G34" s="166"/>
    </row>
    <row r="35" spans="1:7" x14ac:dyDescent="0.35">
      <c r="G35" s="166"/>
    </row>
    <row r="36" spans="1:7" x14ac:dyDescent="0.35">
      <c r="A36" s="368" t="s">
        <v>272</v>
      </c>
      <c r="B36" s="369"/>
      <c r="G36" s="166"/>
    </row>
    <row r="37" spans="1:7" x14ac:dyDescent="0.35">
      <c r="A37" s="355" t="s">
        <v>273</v>
      </c>
      <c r="B37" s="356">
        <f>+'20 Yr Securitization'!C7</f>
        <v>440389797.37502015</v>
      </c>
      <c r="G37" s="166"/>
    </row>
    <row r="38" spans="1:7" x14ac:dyDescent="0.35">
      <c r="A38" s="355" t="s">
        <v>17</v>
      </c>
      <c r="B38" s="357">
        <f>+'20 Yr Securitization'!C9</f>
        <v>6310202.7204511994</v>
      </c>
      <c r="G38" s="166"/>
    </row>
    <row r="39" spans="1:7" x14ac:dyDescent="0.35">
      <c r="A39" s="358" t="s">
        <v>272</v>
      </c>
      <c r="B39" s="359">
        <f>SUM(B37:B38)</f>
        <v>446700000.09547132</v>
      </c>
      <c r="G39" s="166"/>
    </row>
    <row r="40" spans="1:7" x14ac:dyDescent="0.35">
      <c r="G40" s="166"/>
    </row>
    <row r="41" spans="1:7" x14ac:dyDescent="0.35">
      <c r="G41" s="166"/>
    </row>
    <row r="42" spans="1:7" x14ac:dyDescent="0.35">
      <c r="G42" s="166"/>
    </row>
    <row r="43" spans="1:7" x14ac:dyDescent="0.35">
      <c r="G43" s="166"/>
    </row>
    <row r="44" spans="1:7" x14ac:dyDescent="0.35">
      <c r="G44" s="166"/>
    </row>
    <row r="45" spans="1:7" x14ac:dyDescent="0.35">
      <c r="G45" s="166"/>
    </row>
    <row r="46" spans="1:7" x14ac:dyDescent="0.35">
      <c r="G46" s="166"/>
    </row>
  </sheetData>
  <mergeCells count="2">
    <mergeCell ref="A36:B36"/>
    <mergeCell ref="F4:G4"/>
  </mergeCells>
  <pageMargins left="0.7" right="0.7" top="0.75" bottom="0.75" header="0.3" footer="0.3"/>
  <pageSetup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53"/>
  <sheetViews>
    <sheetView zoomScaleNormal="100" workbookViewId="0">
      <selection sqref="A1:I1"/>
    </sheetView>
  </sheetViews>
  <sheetFormatPr defaultRowHeight="14.5" x14ac:dyDescent="0.35"/>
  <cols>
    <col min="1" max="1" width="15.26953125" style="68" bestFit="1" customWidth="1"/>
    <col min="2" max="2" width="12.1796875" style="68" customWidth="1"/>
    <col min="3" max="3" width="16" style="68" bestFit="1" customWidth="1"/>
    <col min="4" max="4" width="17" style="68" customWidth="1"/>
    <col min="5" max="5" width="18.54296875" style="68" customWidth="1"/>
    <col min="6" max="6" width="8.7265625" style="68" customWidth="1"/>
    <col min="7" max="7" width="13" style="67" customWidth="1"/>
    <col min="8" max="8" width="16" style="68" bestFit="1" customWidth="1"/>
    <col min="9" max="9" width="18" style="68" bestFit="1" customWidth="1"/>
    <col min="10" max="10" width="15.26953125" style="68" bestFit="1" customWidth="1"/>
    <col min="11" max="11" width="14" style="68" bestFit="1" customWidth="1"/>
    <col min="12" max="240" width="9.1796875" style="68"/>
    <col min="241" max="241" width="16.26953125" style="68" customWidth="1"/>
    <col min="242" max="243" width="0" style="68" hidden="1" customWidth="1"/>
    <col min="244" max="244" width="13.26953125" style="68" bestFit="1" customWidth="1"/>
    <col min="245" max="246" width="16" style="68" bestFit="1" customWidth="1"/>
    <col min="247" max="247" width="9.1796875" style="68"/>
    <col min="248" max="249" width="16" style="68" bestFit="1" customWidth="1"/>
    <col min="250" max="250" width="9.1796875" style="68"/>
    <col min="251" max="251" width="0" style="68" hidden="1" customWidth="1"/>
    <col min="252" max="252" width="11.26953125" style="68" bestFit="1" customWidth="1"/>
    <col min="253" max="259" width="0" style="68" hidden="1" customWidth="1"/>
    <col min="260" max="260" width="11.26953125" style="68" bestFit="1" customWidth="1"/>
    <col min="261" max="262" width="0" style="68" hidden="1" customWidth="1"/>
    <col min="263" max="263" width="11.54296875" style="68" bestFit="1" customWidth="1"/>
    <col min="264" max="264" width="16" style="68" bestFit="1" customWidth="1"/>
    <col min="265" max="265" width="9.1796875" style="68"/>
    <col min="266" max="266" width="15" style="68" bestFit="1" customWidth="1"/>
    <col min="267" max="267" width="14" style="68" bestFit="1" customWidth="1"/>
    <col min="268" max="496" width="9.1796875" style="68"/>
    <col min="497" max="497" width="16.26953125" style="68" customWidth="1"/>
    <col min="498" max="499" width="0" style="68" hidden="1" customWidth="1"/>
    <col min="500" max="500" width="13.26953125" style="68" bestFit="1" customWidth="1"/>
    <col min="501" max="502" width="16" style="68" bestFit="1" customWidth="1"/>
    <col min="503" max="503" width="9.1796875" style="68"/>
    <col min="504" max="505" width="16" style="68" bestFit="1" customWidth="1"/>
    <col min="506" max="506" width="9.1796875" style="68"/>
    <col min="507" max="507" width="0" style="68" hidden="1" customWidth="1"/>
    <col min="508" max="508" width="11.26953125" style="68" bestFit="1" customWidth="1"/>
    <col min="509" max="515" width="0" style="68" hidden="1" customWidth="1"/>
    <col min="516" max="516" width="11.26953125" style="68" bestFit="1" customWidth="1"/>
    <col min="517" max="518" width="0" style="68" hidden="1" customWidth="1"/>
    <col min="519" max="519" width="11.54296875" style="68" bestFit="1" customWidth="1"/>
    <col min="520" max="520" width="16" style="68" bestFit="1" customWidth="1"/>
    <col min="521" max="521" width="9.1796875" style="68"/>
    <col min="522" max="522" width="15" style="68" bestFit="1" customWidth="1"/>
    <col min="523" max="523" width="14" style="68" bestFit="1" customWidth="1"/>
    <col min="524" max="752" width="9.1796875" style="68"/>
    <col min="753" max="753" width="16.26953125" style="68" customWidth="1"/>
    <col min="754" max="755" width="0" style="68" hidden="1" customWidth="1"/>
    <col min="756" max="756" width="13.26953125" style="68" bestFit="1" customWidth="1"/>
    <col min="757" max="758" width="16" style="68" bestFit="1" customWidth="1"/>
    <col min="759" max="759" width="9.1796875" style="68"/>
    <col min="760" max="761" width="16" style="68" bestFit="1" customWidth="1"/>
    <col min="762" max="762" width="9.1796875" style="68"/>
    <col min="763" max="763" width="0" style="68" hidden="1" customWidth="1"/>
    <col min="764" max="764" width="11.26953125" style="68" bestFit="1" customWidth="1"/>
    <col min="765" max="771" width="0" style="68" hidden="1" customWidth="1"/>
    <col min="772" max="772" width="11.26953125" style="68" bestFit="1" customWidth="1"/>
    <col min="773" max="774" width="0" style="68" hidden="1" customWidth="1"/>
    <col min="775" max="775" width="11.54296875" style="68" bestFit="1" customWidth="1"/>
    <col min="776" max="776" width="16" style="68" bestFit="1" customWidth="1"/>
    <col min="777" max="777" width="9.1796875" style="68"/>
    <col min="778" max="778" width="15" style="68" bestFit="1" customWidth="1"/>
    <col min="779" max="779" width="14" style="68" bestFit="1" customWidth="1"/>
    <col min="780" max="1008" width="9.1796875" style="68"/>
    <col min="1009" max="1009" width="16.26953125" style="68" customWidth="1"/>
    <col min="1010" max="1011" width="0" style="68" hidden="1" customWidth="1"/>
    <col min="1012" max="1012" width="13.26953125" style="68" bestFit="1" customWidth="1"/>
    <col min="1013" max="1014" width="16" style="68" bestFit="1" customWidth="1"/>
    <col min="1015" max="1015" width="9.1796875" style="68"/>
    <col min="1016" max="1017" width="16" style="68" bestFit="1" customWidth="1"/>
    <col min="1018" max="1018" width="9.1796875" style="68"/>
    <col min="1019" max="1019" width="0" style="68" hidden="1" customWidth="1"/>
    <col min="1020" max="1020" width="11.26953125" style="68" bestFit="1" customWidth="1"/>
    <col min="1021" max="1027" width="0" style="68" hidden="1" customWidth="1"/>
    <col min="1028" max="1028" width="11.26953125" style="68" bestFit="1" customWidth="1"/>
    <col min="1029" max="1030" width="0" style="68" hidden="1" customWidth="1"/>
    <col min="1031" max="1031" width="11.54296875" style="68" bestFit="1" customWidth="1"/>
    <col min="1032" max="1032" width="16" style="68" bestFit="1" customWidth="1"/>
    <col min="1033" max="1033" width="9.1796875" style="68"/>
    <col min="1034" max="1034" width="15" style="68" bestFit="1" customWidth="1"/>
    <col min="1035" max="1035" width="14" style="68" bestFit="1" customWidth="1"/>
    <col min="1036" max="1264" width="9.1796875" style="68"/>
    <col min="1265" max="1265" width="16.26953125" style="68" customWidth="1"/>
    <col min="1266" max="1267" width="0" style="68" hidden="1" customWidth="1"/>
    <col min="1268" max="1268" width="13.26953125" style="68" bestFit="1" customWidth="1"/>
    <col min="1269" max="1270" width="16" style="68" bestFit="1" customWidth="1"/>
    <col min="1271" max="1271" width="9.1796875" style="68"/>
    <col min="1272" max="1273" width="16" style="68" bestFit="1" customWidth="1"/>
    <col min="1274" max="1274" width="9.1796875" style="68"/>
    <col min="1275" max="1275" width="0" style="68" hidden="1" customWidth="1"/>
    <col min="1276" max="1276" width="11.26953125" style="68" bestFit="1" customWidth="1"/>
    <col min="1277" max="1283" width="0" style="68" hidden="1" customWidth="1"/>
    <col min="1284" max="1284" width="11.26953125" style="68" bestFit="1" customWidth="1"/>
    <col min="1285" max="1286" width="0" style="68" hidden="1" customWidth="1"/>
    <col min="1287" max="1287" width="11.54296875" style="68" bestFit="1" customWidth="1"/>
    <col min="1288" max="1288" width="16" style="68" bestFit="1" customWidth="1"/>
    <col min="1289" max="1289" width="9.1796875" style="68"/>
    <col min="1290" max="1290" width="15" style="68" bestFit="1" customWidth="1"/>
    <col min="1291" max="1291" width="14" style="68" bestFit="1" customWidth="1"/>
    <col min="1292" max="1520" width="9.1796875" style="68"/>
    <col min="1521" max="1521" width="16.26953125" style="68" customWidth="1"/>
    <col min="1522" max="1523" width="0" style="68" hidden="1" customWidth="1"/>
    <col min="1524" max="1524" width="13.26953125" style="68" bestFit="1" customWidth="1"/>
    <col min="1525" max="1526" width="16" style="68" bestFit="1" customWidth="1"/>
    <col min="1527" max="1527" width="9.1796875" style="68"/>
    <col min="1528" max="1529" width="16" style="68" bestFit="1" customWidth="1"/>
    <col min="1530" max="1530" width="9.1796875" style="68"/>
    <col min="1531" max="1531" width="0" style="68" hidden="1" customWidth="1"/>
    <col min="1532" max="1532" width="11.26953125" style="68" bestFit="1" customWidth="1"/>
    <col min="1533" max="1539" width="0" style="68" hidden="1" customWidth="1"/>
    <col min="1540" max="1540" width="11.26953125" style="68" bestFit="1" customWidth="1"/>
    <col min="1541" max="1542" width="0" style="68" hidden="1" customWidth="1"/>
    <col min="1543" max="1543" width="11.54296875" style="68" bestFit="1" customWidth="1"/>
    <col min="1544" max="1544" width="16" style="68" bestFit="1" customWidth="1"/>
    <col min="1545" max="1545" width="9.1796875" style="68"/>
    <col min="1546" max="1546" width="15" style="68" bestFit="1" customWidth="1"/>
    <col min="1547" max="1547" width="14" style="68" bestFit="1" customWidth="1"/>
    <col min="1548" max="1776" width="9.1796875" style="68"/>
    <col min="1777" max="1777" width="16.26953125" style="68" customWidth="1"/>
    <col min="1778" max="1779" width="0" style="68" hidden="1" customWidth="1"/>
    <col min="1780" max="1780" width="13.26953125" style="68" bestFit="1" customWidth="1"/>
    <col min="1781" max="1782" width="16" style="68" bestFit="1" customWidth="1"/>
    <col min="1783" max="1783" width="9.1796875" style="68"/>
    <col min="1784" max="1785" width="16" style="68" bestFit="1" customWidth="1"/>
    <col min="1786" max="1786" width="9.1796875" style="68"/>
    <col min="1787" max="1787" width="0" style="68" hidden="1" customWidth="1"/>
    <col min="1788" max="1788" width="11.26953125" style="68" bestFit="1" customWidth="1"/>
    <col min="1789" max="1795" width="0" style="68" hidden="1" customWidth="1"/>
    <col min="1796" max="1796" width="11.26953125" style="68" bestFit="1" customWidth="1"/>
    <col min="1797" max="1798" width="0" style="68" hidden="1" customWidth="1"/>
    <col min="1799" max="1799" width="11.54296875" style="68" bestFit="1" customWidth="1"/>
    <col min="1800" max="1800" width="16" style="68" bestFit="1" customWidth="1"/>
    <col min="1801" max="1801" width="9.1796875" style="68"/>
    <col min="1802" max="1802" width="15" style="68" bestFit="1" customWidth="1"/>
    <col min="1803" max="1803" width="14" style="68" bestFit="1" customWidth="1"/>
    <col min="1804" max="2032" width="9.1796875" style="68"/>
    <col min="2033" max="2033" width="16.26953125" style="68" customWidth="1"/>
    <col min="2034" max="2035" width="0" style="68" hidden="1" customWidth="1"/>
    <col min="2036" max="2036" width="13.26953125" style="68" bestFit="1" customWidth="1"/>
    <col min="2037" max="2038" width="16" style="68" bestFit="1" customWidth="1"/>
    <col min="2039" max="2039" width="9.1796875" style="68"/>
    <col min="2040" max="2041" width="16" style="68" bestFit="1" customWidth="1"/>
    <col min="2042" max="2042" width="9.1796875" style="68"/>
    <col min="2043" max="2043" width="0" style="68" hidden="1" customWidth="1"/>
    <col min="2044" max="2044" width="11.26953125" style="68" bestFit="1" customWidth="1"/>
    <col min="2045" max="2051" width="0" style="68" hidden="1" customWidth="1"/>
    <col min="2052" max="2052" width="11.26953125" style="68" bestFit="1" customWidth="1"/>
    <col min="2053" max="2054" width="0" style="68" hidden="1" customWidth="1"/>
    <col min="2055" max="2055" width="11.54296875" style="68" bestFit="1" customWidth="1"/>
    <col min="2056" max="2056" width="16" style="68" bestFit="1" customWidth="1"/>
    <col min="2057" max="2057" width="9.1796875" style="68"/>
    <col min="2058" max="2058" width="15" style="68" bestFit="1" customWidth="1"/>
    <col min="2059" max="2059" width="14" style="68" bestFit="1" customWidth="1"/>
    <col min="2060" max="2288" width="9.1796875" style="68"/>
    <col min="2289" max="2289" width="16.26953125" style="68" customWidth="1"/>
    <col min="2290" max="2291" width="0" style="68" hidden="1" customWidth="1"/>
    <col min="2292" max="2292" width="13.26953125" style="68" bestFit="1" customWidth="1"/>
    <col min="2293" max="2294" width="16" style="68" bestFit="1" customWidth="1"/>
    <col min="2295" max="2295" width="9.1796875" style="68"/>
    <col min="2296" max="2297" width="16" style="68" bestFit="1" customWidth="1"/>
    <col min="2298" max="2298" width="9.1796875" style="68"/>
    <col min="2299" max="2299" width="0" style="68" hidden="1" customWidth="1"/>
    <col min="2300" max="2300" width="11.26953125" style="68" bestFit="1" customWidth="1"/>
    <col min="2301" max="2307" width="0" style="68" hidden="1" customWidth="1"/>
    <col min="2308" max="2308" width="11.26953125" style="68" bestFit="1" customWidth="1"/>
    <col min="2309" max="2310" width="0" style="68" hidden="1" customWidth="1"/>
    <col min="2311" max="2311" width="11.54296875" style="68" bestFit="1" customWidth="1"/>
    <col min="2312" max="2312" width="16" style="68" bestFit="1" customWidth="1"/>
    <col min="2313" max="2313" width="9.1796875" style="68"/>
    <col min="2314" max="2314" width="15" style="68" bestFit="1" customWidth="1"/>
    <col min="2315" max="2315" width="14" style="68" bestFit="1" customWidth="1"/>
    <col min="2316" max="2544" width="9.1796875" style="68"/>
    <col min="2545" max="2545" width="16.26953125" style="68" customWidth="1"/>
    <col min="2546" max="2547" width="0" style="68" hidden="1" customWidth="1"/>
    <col min="2548" max="2548" width="13.26953125" style="68" bestFit="1" customWidth="1"/>
    <col min="2549" max="2550" width="16" style="68" bestFit="1" customWidth="1"/>
    <col min="2551" max="2551" width="9.1796875" style="68"/>
    <col min="2552" max="2553" width="16" style="68" bestFit="1" customWidth="1"/>
    <col min="2554" max="2554" width="9.1796875" style="68"/>
    <col min="2555" max="2555" width="0" style="68" hidden="1" customWidth="1"/>
    <col min="2556" max="2556" width="11.26953125" style="68" bestFit="1" customWidth="1"/>
    <col min="2557" max="2563" width="0" style="68" hidden="1" customWidth="1"/>
    <col min="2564" max="2564" width="11.26953125" style="68" bestFit="1" customWidth="1"/>
    <col min="2565" max="2566" width="0" style="68" hidden="1" customWidth="1"/>
    <col min="2567" max="2567" width="11.54296875" style="68" bestFit="1" customWidth="1"/>
    <col min="2568" max="2568" width="16" style="68" bestFit="1" customWidth="1"/>
    <col min="2569" max="2569" width="9.1796875" style="68"/>
    <col min="2570" max="2570" width="15" style="68" bestFit="1" customWidth="1"/>
    <col min="2571" max="2571" width="14" style="68" bestFit="1" customWidth="1"/>
    <col min="2572" max="2800" width="9.1796875" style="68"/>
    <col min="2801" max="2801" width="16.26953125" style="68" customWidth="1"/>
    <col min="2802" max="2803" width="0" style="68" hidden="1" customWidth="1"/>
    <col min="2804" max="2804" width="13.26953125" style="68" bestFit="1" customWidth="1"/>
    <col min="2805" max="2806" width="16" style="68" bestFit="1" customWidth="1"/>
    <col min="2807" max="2807" width="9.1796875" style="68"/>
    <col min="2808" max="2809" width="16" style="68" bestFit="1" customWidth="1"/>
    <col min="2810" max="2810" width="9.1796875" style="68"/>
    <col min="2811" max="2811" width="0" style="68" hidden="1" customWidth="1"/>
    <col min="2812" max="2812" width="11.26953125" style="68" bestFit="1" customWidth="1"/>
    <col min="2813" max="2819" width="0" style="68" hidden="1" customWidth="1"/>
    <col min="2820" max="2820" width="11.26953125" style="68" bestFit="1" customWidth="1"/>
    <col min="2821" max="2822" width="0" style="68" hidden="1" customWidth="1"/>
    <col min="2823" max="2823" width="11.54296875" style="68" bestFit="1" customWidth="1"/>
    <col min="2824" max="2824" width="16" style="68" bestFit="1" customWidth="1"/>
    <col min="2825" max="2825" width="9.1796875" style="68"/>
    <col min="2826" max="2826" width="15" style="68" bestFit="1" customWidth="1"/>
    <col min="2827" max="2827" width="14" style="68" bestFit="1" customWidth="1"/>
    <col min="2828" max="3056" width="9.1796875" style="68"/>
    <col min="3057" max="3057" width="16.26953125" style="68" customWidth="1"/>
    <col min="3058" max="3059" width="0" style="68" hidden="1" customWidth="1"/>
    <col min="3060" max="3060" width="13.26953125" style="68" bestFit="1" customWidth="1"/>
    <col min="3061" max="3062" width="16" style="68" bestFit="1" customWidth="1"/>
    <col min="3063" max="3063" width="9.1796875" style="68"/>
    <col min="3064" max="3065" width="16" style="68" bestFit="1" customWidth="1"/>
    <col min="3066" max="3066" width="9.1796875" style="68"/>
    <col min="3067" max="3067" width="0" style="68" hidden="1" customWidth="1"/>
    <col min="3068" max="3068" width="11.26953125" style="68" bestFit="1" customWidth="1"/>
    <col min="3069" max="3075" width="0" style="68" hidden="1" customWidth="1"/>
    <col min="3076" max="3076" width="11.26953125" style="68" bestFit="1" customWidth="1"/>
    <col min="3077" max="3078" width="0" style="68" hidden="1" customWidth="1"/>
    <col min="3079" max="3079" width="11.54296875" style="68" bestFit="1" customWidth="1"/>
    <col min="3080" max="3080" width="16" style="68" bestFit="1" customWidth="1"/>
    <col min="3081" max="3081" width="9.1796875" style="68"/>
    <col min="3082" max="3082" width="15" style="68" bestFit="1" customWidth="1"/>
    <col min="3083" max="3083" width="14" style="68" bestFit="1" customWidth="1"/>
    <col min="3084" max="3312" width="9.1796875" style="68"/>
    <col min="3313" max="3313" width="16.26953125" style="68" customWidth="1"/>
    <col min="3314" max="3315" width="0" style="68" hidden="1" customWidth="1"/>
    <col min="3316" max="3316" width="13.26953125" style="68" bestFit="1" customWidth="1"/>
    <col min="3317" max="3318" width="16" style="68" bestFit="1" customWidth="1"/>
    <col min="3319" max="3319" width="9.1796875" style="68"/>
    <col min="3320" max="3321" width="16" style="68" bestFit="1" customWidth="1"/>
    <col min="3322" max="3322" width="9.1796875" style="68"/>
    <col min="3323" max="3323" width="0" style="68" hidden="1" customWidth="1"/>
    <col min="3324" max="3324" width="11.26953125" style="68" bestFit="1" customWidth="1"/>
    <col min="3325" max="3331" width="0" style="68" hidden="1" customWidth="1"/>
    <col min="3332" max="3332" width="11.26953125" style="68" bestFit="1" customWidth="1"/>
    <col min="3333" max="3334" width="0" style="68" hidden="1" customWidth="1"/>
    <col min="3335" max="3335" width="11.54296875" style="68" bestFit="1" customWidth="1"/>
    <col min="3336" max="3336" width="16" style="68" bestFit="1" customWidth="1"/>
    <col min="3337" max="3337" width="9.1796875" style="68"/>
    <col min="3338" max="3338" width="15" style="68" bestFit="1" customWidth="1"/>
    <col min="3339" max="3339" width="14" style="68" bestFit="1" customWidth="1"/>
    <col min="3340" max="3568" width="9.1796875" style="68"/>
    <col min="3569" max="3569" width="16.26953125" style="68" customWidth="1"/>
    <col min="3570" max="3571" width="0" style="68" hidden="1" customWidth="1"/>
    <col min="3572" max="3572" width="13.26953125" style="68" bestFit="1" customWidth="1"/>
    <col min="3573" max="3574" width="16" style="68" bestFit="1" customWidth="1"/>
    <col min="3575" max="3575" width="9.1796875" style="68"/>
    <col min="3576" max="3577" width="16" style="68" bestFit="1" customWidth="1"/>
    <col min="3578" max="3578" width="9.1796875" style="68"/>
    <col min="3579" max="3579" width="0" style="68" hidden="1" customWidth="1"/>
    <col min="3580" max="3580" width="11.26953125" style="68" bestFit="1" customWidth="1"/>
    <col min="3581" max="3587" width="0" style="68" hidden="1" customWidth="1"/>
    <col min="3588" max="3588" width="11.26953125" style="68" bestFit="1" customWidth="1"/>
    <col min="3589" max="3590" width="0" style="68" hidden="1" customWidth="1"/>
    <col min="3591" max="3591" width="11.54296875" style="68" bestFit="1" customWidth="1"/>
    <col min="3592" max="3592" width="16" style="68" bestFit="1" customWidth="1"/>
    <col min="3593" max="3593" width="9.1796875" style="68"/>
    <col min="3594" max="3594" width="15" style="68" bestFit="1" customWidth="1"/>
    <col min="3595" max="3595" width="14" style="68" bestFit="1" customWidth="1"/>
    <col min="3596" max="3824" width="9.1796875" style="68"/>
    <col min="3825" max="3825" width="16.26953125" style="68" customWidth="1"/>
    <col min="3826" max="3827" width="0" style="68" hidden="1" customWidth="1"/>
    <col min="3828" max="3828" width="13.26953125" style="68" bestFit="1" customWidth="1"/>
    <col min="3829" max="3830" width="16" style="68" bestFit="1" customWidth="1"/>
    <col min="3831" max="3831" width="9.1796875" style="68"/>
    <col min="3832" max="3833" width="16" style="68" bestFit="1" customWidth="1"/>
    <col min="3834" max="3834" width="9.1796875" style="68"/>
    <col min="3835" max="3835" width="0" style="68" hidden="1" customWidth="1"/>
    <col min="3836" max="3836" width="11.26953125" style="68" bestFit="1" customWidth="1"/>
    <col min="3837" max="3843" width="0" style="68" hidden="1" customWidth="1"/>
    <col min="3844" max="3844" width="11.26953125" style="68" bestFit="1" customWidth="1"/>
    <col min="3845" max="3846" width="0" style="68" hidden="1" customWidth="1"/>
    <col min="3847" max="3847" width="11.54296875" style="68" bestFit="1" customWidth="1"/>
    <col min="3848" max="3848" width="16" style="68" bestFit="1" customWidth="1"/>
    <col min="3849" max="3849" width="9.1796875" style="68"/>
    <col min="3850" max="3850" width="15" style="68" bestFit="1" customWidth="1"/>
    <col min="3851" max="3851" width="14" style="68" bestFit="1" customWidth="1"/>
    <col min="3852" max="4080" width="9.1796875" style="68"/>
    <col min="4081" max="4081" width="16.26953125" style="68" customWidth="1"/>
    <col min="4082" max="4083" width="0" style="68" hidden="1" customWidth="1"/>
    <col min="4084" max="4084" width="13.26953125" style="68" bestFit="1" customWidth="1"/>
    <col min="4085" max="4086" width="16" style="68" bestFit="1" customWidth="1"/>
    <col min="4087" max="4087" width="9.1796875" style="68"/>
    <col min="4088" max="4089" width="16" style="68" bestFit="1" customWidth="1"/>
    <col min="4090" max="4090" width="9.1796875" style="68"/>
    <col min="4091" max="4091" width="0" style="68" hidden="1" customWidth="1"/>
    <col min="4092" max="4092" width="11.26953125" style="68" bestFit="1" customWidth="1"/>
    <col min="4093" max="4099" width="0" style="68" hidden="1" customWidth="1"/>
    <col min="4100" max="4100" width="11.26953125" style="68" bestFit="1" customWidth="1"/>
    <col min="4101" max="4102" width="0" style="68" hidden="1" customWidth="1"/>
    <col min="4103" max="4103" width="11.54296875" style="68" bestFit="1" customWidth="1"/>
    <col min="4104" max="4104" width="16" style="68" bestFit="1" customWidth="1"/>
    <col min="4105" max="4105" width="9.1796875" style="68"/>
    <col min="4106" max="4106" width="15" style="68" bestFit="1" customWidth="1"/>
    <col min="4107" max="4107" width="14" style="68" bestFit="1" customWidth="1"/>
    <col min="4108" max="4336" width="9.1796875" style="68"/>
    <col min="4337" max="4337" width="16.26953125" style="68" customWidth="1"/>
    <col min="4338" max="4339" width="0" style="68" hidden="1" customWidth="1"/>
    <col min="4340" max="4340" width="13.26953125" style="68" bestFit="1" customWidth="1"/>
    <col min="4341" max="4342" width="16" style="68" bestFit="1" customWidth="1"/>
    <col min="4343" max="4343" width="9.1796875" style="68"/>
    <col min="4344" max="4345" width="16" style="68" bestFit="1" customWidth="1"/>
    <col min="4346" max="4346" width="9.1796875" style="68"/>
    <col min="4347" max="4347" width="0" style="68" hidden="1" customWidth="1"/>
    <col min="4348" max="4348" width="11.26953125" style="68" bestFit="1" customWidth="1"/>
    <col min="4349" max="4355" width="0" style="68" hidden="1" customWidth="1"/>
    <col min="4356" max="4356" width="11.26953125" style="68" bestFit="1" customWidth="1"/>
    <col min="4357" max="4358" width="0" style="68" hidden="1" customWidth="1"/>
    <col min="4359" max="4359" width="11.54296875" style="68" bestFit="1" customWidth="1"/>
    <col min="4360" max="4360" width="16" style="68" bestFit="1" customWidth="1"/>
    <col min="4361" max="4361" width="9.1796875" style="68"/>
    <col min="4362" max="4362" width="15" style="68" bestFit="1" customWidth="1"/>
    <col min="4363" max="4363" width="14" style="68" bestFit="1" customWidth="1"/>
    <col min="4364" max="4592" width="9.1796875" style="68"/>
    <col min="4593" max="4593" width="16.26953125" style="68" customWidth="1"/>
    <col min="4594" max="4595" width="0" style="68" hidden="1" customWidth="1"/>
    <col min="4596" max="4596" width="13.26953125" style="68" bestFit="1" customWidth="1"/>
    <col min="4597" max="4598" width="16" style="68" bestFit="1" customWidth="1"/>
    <col min="4599" max="4599" width="9.1796875" style="68"/>
    <col min="4600" max="4601" width="16" style="68" bestFit="1" customWidth="1"/>
    <col min="4602" max="4602" width="9.1796875" style="68"/>
    <col min="4603" max="4603" width="0" style="68" hidden="1" customWidth="1"/>
    <col min="4604" max="4604" width="11.26953125" style="68" bestFit="1" customWidth="1"/>
    <col min="4605" max="4611" width="0" style="68" hidden="1" customWidth="1"/>
    <col min="4612" max="4612" width="11.26953125" style="68" bestFit="1" customWidth="1"/>
    <col min="4613" max="4614" width="0" style="68" hidden="1" customWidth="1"/>
    <col min="4615" max="4615" width="11.54296875" style="68" bestFit="1" customWidth="1"/>
    <col min="4616" max="4616" width="16" style="68" bestFit="1" customWidth="1"/>
    <col min="4617" max="4617" width="9.1796875" style="68"/>
    <col min="4618" max="4618" width="15" style="68" bestFit="1" customWidth="1"/>
    <col min="4619" max="4619" width="14" style="68" bestFit="1" customWidth="1"/>
    <col min="4620" max="4848" width="9.1796875" style="68"/>
    <col min="4849" max="4849" width="16.26953125" style="68" customWidth="1"/>
    <col min="4850" max="4851" width="0" style="68" hidden="1" customWidth="1"/>
    <col min="4852" max="4852" width="13.26953125" style="68" bestFit="1" customWidth="1"/>
    <col min="4853" max="4854" width="16" style="68" bestFit="1" customWidth="1"/>
    <col min="4855" max="4855" width="9.1796875" style="68"/>
    <col min="4856" max="4857" width="16" style="68" bestFit="1" customWidth="1"/>
    <col min="4858" max="4858" width="9.1796875" style="68"/>
    <col min="4859" max="4859" width="0" style="68" hidden="1" customWidth="1"/>
    <col min="4860" max="4860" width="11.26953125" style="68" bestFit="1" customWidth="1"/>
    <col min="4861" max="4867" width="0" style="68" hidden="1" customWidth="1"/>
    <col min="4868" max="4868" width="11.26953125" style="68" bestFit="1" customWidth="1"/>
    <col min="4869" max="4870" width="0" style="68" hidden="1" customWidth="1"/>
    <col min="4871" max="4871" width="11.54296875" style="68" bestFit="1" customWidth="1"/>
    <col min="4872" max="4872" width="16" style="68" bestFit="1" customWidth="1"/>
    <col min="4873" max="4873" width="9.1796875" style="68"/>
    <col min="4874" max="4874" width="15" style="68" bestFit="1" customWidth="1"/>
    <col min="4875" max="4875" width="14" style="68" bestFit="1" customWidth="1"/>
    <col min="4876" max="5104" width="9.1796875" style="68"/>
    <col min="5105" max="5105" width="16.26953125" style="68" customWidth="1"/>
    <col min="5106" max="5107" width="0" style="68" hidden="1" customWidth="1"/>
    <col min="5108" max="5108" width="13.26953125" style="68" bestFit="1" customWidth="1"/>
    <col min="5109" max="5110" width="16" style="68" bestFit="1" customWidth="1"/>
    <col min="5111" max="5111" width="9.1796875" style="68"/>
    <col min="5112" max="5113" width="16" style="68" bestFit="1" customWidth="1"/>
    <col min="5114" max="5114" width="9.1796875" style="68"/>
    <col min="5115" max="5115" width="0" style="68" hidden="1" customWidth="1"/>
    <col min="5116" max="5116" width="11.26953125" style="68" bestFit="1" customWidth="1"/>
    <col min="5117" max="5123" width="0" style="68" hidden="1" customWidth="1"/>
    <col min="5124" max="5124" width="11.26953125" style="68" bestFit="1" customWidth="1"/>
    <col min="5125" max="5126" width="0" style="68" hidden="1" customWidth="1"/>
    <col min="5127" max="5127" width="11.54296875" style="68" bestFit="1" customWidth="1"/>
    <col min="5128" max="5128" width="16" style="68" bestFit="1" customWidth="1"/>
    <col min="5129" max="5129" width="9.1796875" style="68"/>
    <col min="5130" max="5130" width="15" style="68" bestFit="1" customWidth="1"/>
    <col min="5131" max="5131" width="14" style="68" bestFit="1" customWidth="1"/>
    <col min="5132" max="5360" width="9.1796875" style="68"/>
    <col min="5361" max="5361" width="16.26953125" style="68" customWidth="1"/>
    <col min="5362" max="5363" width="0" style="68" hidden="1" customWidth="1"/>
    <col min="5364" max="5364" width="13.26953125" style="68" bestFit="1" customWidth="1"/>
    <col min="5365" max="5366" width="16" style="68" bestFit="1" customWidth="1"/>
    <col min="5367" max="5367" width="9.1796875" style="68"/>
    <col min="5368" max="5369" width="16" style="68" bestFit="1" customWidth="1"/>
    <col min="5370" max="5370" width="9.1796875" style="68"/>
    <col min="5371" max="5371" width="0" style="68" hidden="1" customWidth="1"/>
    <col min="5372" max="5372" width="11.26953125" style="68" bestFit="1" customWidth="1"/>
    <col min="5373" max="5379" width="0" style="68" hidden="1" customWidth="1"/>
    <col min="5380" max="5380" width="11.26953125" style="68" bestFit="1" customWidth="1"/>
    <col min="5381" max="5382" width="0" style="68" hidden="1" customWidth="1"/>
    <col min="5383" max="5383" width="11.54296875" style="68" bestFit="1" customWidth="1"/>
    <col min="5384" max="5384" width="16" style="68" bestFit="1" customWidth="1"/>
    <col min="5385" max="5385" width="9.1796875" style="68"/>
    <col min="5386" max="5386" width="15" style="68" bestFit="1" customWidth="1"/>
    <col min="5387" max="5387" width="14" style="68" bestFit="1" customWidth="1"/>
    <col min="5388" max="5616" width="9.1796875" style="68"/>
    <col min="5617" max="5617" width="16.26953125" style="68" customWidth="1"/>
    <col min="5618" max="5619" width="0" style="68" hidden="1" customWidth="1"/>
    <col min="5620" max="5620" width="13.26953125" style="68" bestFit="1" customWidth="1"/>
    <col min="5621" max="5622" width="16" style="68" bestFit="1" customWidth="1"/>
    <col min="5623" max="5623" width="9.1796875" style="68"/>
    <col min="5624" max="5625" width="16" style="68" bestFit="1" customWidth="1"/>
    <col min="5626" max="5626" width="9.1796875" style="68"/>
    <col min="5627" max="5627" width="0" style="68" hidden="1" customWidth="1"/>
    <col min="5628" max="5628" width="11.26953125" style="68" bestFit="1" customWidth="1"/>
    <col min="5629" max="5635" width="0" style="68" hidden="1" customWidth="1"/>
    <col min="5636" max="5636" width="11.26953125" style="68" bestFit="1" customWidth="1"/>
    <col min="5637" max="5638" width="0" style="68" hidden="1" customWidth="1"/>
    <col min="5639" max="5639" width="11.54296875" style="68" bestFit="1" customWidth="1"/>
    <col min="5640" max="5640" width="16" style="68" bestFit="1" customWidth="1"/>
    <col min="5641" max="5641" width="9.1796875" style="68"/>
    <col min="5642" max="5642" width="15" style="68" bestFit="1" customWidth="1"/>
    <col min="5643" max="5643" width="14" style="68" bestFit="1" customWidth="1"/>
    <col min="5644" max="5872" width="9.1796875" style="68"/>
    <col min="5873" max="5873" width="16.26953125" style="68" customWidth="1"/>
    <col min="5874" max="5875" width="0" style="68" hidden="1" customWidth="1"/>
    <col min="5876" max="5876" width="13.26953125" style="68" bestFit="1" customWidth="1"/>
    <col min="5877" max="5878" width="16" style="68" bestFit="1" customWidth="1"/>
    <col min="5879" max="5879" width="9.1796875" style="68"/>
    <col min="5880" max="5881" width="16" style="68" bestFit="1" customWidth="1"/>
    <col min="5882" max="5882" width="9.1796875" style="68"/>
    <col min="5883" max="5883" width="0" style="68" hidden="1" customWidth="1"/>
    <col min="5884" max="5884" width="11.26953125" style="68" bestFit="1" customWidth="1"/>
    <col min="5885" max="5891" width="0" style="68" hidden="1" customWidth="1"/>
    <col min="5892" max="5892" width="11.26953125" style="68" bestFit="1" customWidth="1"/>
    <col min="5893" max="5894" width="0" style="68" hidden="1" customWidth="1"/>
    <col min="5895" max="5895" width="11.54296875" style="68" bestFit="1" customWidth="1"/>
    <col min="5896" max="5896" width="16" style="68" bestFit="1" customWidth="1"/>
    <col min="5897" max="5897" width="9.1796875" style="68"/>
    <col min="5898" max="5898" width="15" style="68" bestFit="1" customWidth="1"/>
    <col min="5899" max="5899" width="14" style="68" bestFit="1" customWidth="1"/>
    <col min="5900" max="6128" width="9.1796875" style="68"/>
    <col min="6129" max="6129" width="16.26953125" style="68" customWidth="1"/>
    <col min="6130" max="6131" width="0" style="68" hidden="1" customWidth="1"/>
    <col min="6132" max="6132" width="13.26953125" style="68" bestFit="1" customWidth="1"/>
    <col min="6133" max="6134" width="16" style="68" bestFit="1" customWidth="1"/>
    <col min="6135" max="6135" width="9.1796875" style="68"/>
    <col min="6136" max="6137" width="16" style="68" bestFit="1" customWidth="1"/>
    <col min="6138" max="6138" width="9.1796875" style="68"/>
    <col min="6139" max="6139" width="0" style="68" hidden="1" customWidth="1"/>
    <col min="6140" max="6140" width="11.26953125" style="68" bestFit="1" customWidth="1"/>
    <col min="6141" max="6147" width="0" style="68" hidden="1" customWidth="1"/>
    <col min="6148" max="6148" width="11.26953125" style="68" bestFit="1" customWidth="1"/>
    <col min="6149" max="6150" width="0" style="68" hidden="1" customWidth="1"/>
    <col min="6151" max="6151" width="11.54296875" style="68" bestFit="1" customWidth="1"/>
    <col min="6152" max="6152" width="16" style="68" bestFit="1" customWidth="1"/>
    <col min="6153" max="6153" width="9.1796875" style="68"/>
    <col min="6154" max="6154" width="15" style="68" bestFit="1" customWidth="1"/>
    <col min="6155" max="6155" width="14" style="68" bestFit="1" customWidth="1"/>
    <col min="6156" max="6384" width="9.1796875" style="68"/>
    <col min="6385" max="6385" width="16.26953125" style="68" customWidth="1"/>
    <col min="6386" max="6387" width="0" style="68" hidden="1" customWidth="1"/>
    <col min="6388" max="6388" width="13.26953125" style="68" bestFit="1" customWidth="1"/>
    <col min="6389" max="6390" width="16" style="68" bestFit="1" customWidth="1"/>
    <col min="6391" max="6391" width="9.1796875" style="68"/>
    <col min="6392" max="6393" width="16" style="68" bestFit="1" customWidth="1"/>
    <col min="6394" max="6394" width="9.1796875" style="68"/>
    <col min="6395" max="6395" width="0" style="68" hidden="1" customWidth="1"/>
    <col min="6396" max="6396" width="11.26953125" style="68" bestFit="1" customWidth="1"/>
    <col min="6397" max="6403" width="0" style="68" hidden="1" customWidth="1"/>
    <col min="6404" max="6404" width="11.26953125" style="68" bestFit="1" customWidth="1"/>
    <col min="6405" max="6406" width="0" style="68" hidden="1" customWidth="1"/>
    <col min="6407" max="6407" width="11.54296875" style="68" bestFit="1" customWidth="1"/>
    <col min="6408" max="6408" width="16" style="68" bestFit="1" customWidth="1"/>
    <col min="6409" max="6409" width="9.1796875" style="68"/>
    <col min="6410" max="6410" width="15" style="68" bestFit="1" customWidth="1"/>
    <col min="6411" max="6411" width="14" style="68" bestFit="1" customWidth="1"/>
    <col min="6412" max="6640" width="9.1796875" style="68"/>
    <col min="6641" max="6641" width="16.26953125" style="68" customWidth="1"/>
    <col min="6642" max="6643" width="0" style="68" hidden="1" customWidth="1"/>
    <col min="6644" max="6644" width="13.26953125" style="68" bestFit="1" customWidth="1"/>
    <col min="6645" max="6646" width="16" style="68" bestFit="1" customWidth="1"/>
    <col min="6647" max="6647" width="9.1796875" style="68"/>
    <col min="6648" max="6649" width="16" style="68" bestFit="1" customWidth="1"/>
    <col min="6650" max="6650" width="9.1796875" style="68"/>
    <col min="6651" max="6651" width="0" style="68" hidden="1" customWidth="1"/>
    <col min="6652" max="6652" width="11.26953125" style="68" bestFit="1" customWidth="1"/>
    <col min="6653" max="6659" width="0" style="68" hidden="1" customWidth="1"/>
    <col min="6660" max="6660" width="11.26953125" style="68" bestFit="1" customWidth="1"/>
    <col min="6661" max="6662" width="0" style="68" hidden="1" customWidth="1"/>
    <col min="6663" max="6663" width="11.54296875" style="68" bestFit="1" customWidth="1"/>
    <col min="6664" max="6664" width="16" style="68" bestFit="1" customWidth="1"/>
    <col min="6665" max="6665" width="9.1796875" style="68"/>
    <col min="6666" max="6666" width="15" style="68" bestFit="1" customWidth="1"/>
    <col min="6667" max="6667" width="14" style="68" bestFit="1" customWidth="1"/>
    <col min="6668" max="6896" width="9.1796875" style="68"/>
    <col min="6897" max="6897" width="16.26953125" style="68" customWidth="1"/>
    <col min="6898" max="6899" width="0" style="68" hidden="1" customWidth="1"/>
    <col min="6900" max="6900" width="13.26953125" style="68" bestFit="1" customWidth="1"/>
    <col min="6901" max="6902" width="16" style="68" bestFit="1" customWidth="1"/>
    <col min="6903" max="6903" width="9.1796875" style="68"/>
    <col min="6904" max="6905" width="16" style="68" bestFit="1" customWidth="1"/>
    <col min="6906" max="6906" width="9.1796875" style="68"/>
    <col min="6907" max="6907" width="0" style="68" hidden="1" customWidth="1"/>
    <col min="6908" max="6908" width="11.26953125" style="68" bestFit="1" customWidth="1"/>
    <col min="6909" max="6915" width="0" style="68" hidden="1" customWidth="1"/>
    <col min="6916" max="6916" width="11.26953125" style="68" bestFit="1" customWidth="1"/>
    <col min="6917" max="6918" width="0" style="68" hidden="1" customWidth="1"/>
    <col min="6919" max="6919" width="11.54296875" style="68" bestFit="1" customWidth="1"/>
    <col min="6920" max="6920" width="16" style="68" bestFit="1" customWidth="1"/>
    <col min="6921" max="6921" width="9.1796875" style="68"/>
    <col min="6922" max="6922" width="15" style="68" bestFit="1" customWidth="1"/>
    <col min="6923" max="6923" width="14" style="68" bestFit="1" customWidth="1"/>
    <col min="6924" max="7152" width="9.1796875" style="68"/>
    <col min="7153" max="7153" width="16.26953125" style="68" customWidth="1"/>
    <col min="7154" max="7155" width="0" style="68" hidden="1" customWidth="1"/>
    <col min="7156" max="7156" width="13.26953125" style="68" bestFit="1" customWidth="1"/>
    <col min="7157" max="7158" width="16" style="68" bestFit="1" customWidth="1"/>
    <col min="7159" max="7159" width="9.1796875" style="68"/>
    <col min="7160" max="7161" width="16" style="68" bestFit="1" customWidth="1"/>
    <col min="7162" max="7162" width="9.1796875" style="68"/>
    <col min="7163" max="7163" width="0" style="68" hidden="1" customWidth="1"/>
    <col min="7164" max="7164" width="11.26953125" style="68" bestFit="1" customWidth="1"/>
    <col min="7165" max="7171" width="0" style="68" hidden="1" customWidth="1"/>
    <col min="7172" max="7172" width="11.26953125" style="68" bestFit="1" customWidth="1"/>
    <col min="7173" max="7174" width="0" style="68" hidden="1" customWidth="1"/>
    <col min="7175" max="7175" width="11.54296875" style="68" bestFit="1" customWidth="1"/>
    <col min="7176" max="7176" width="16" style="68" bestFit="1" customWidth="1"/>
    <col min="7177" max="7177" width="9.1796875" style="68"/>
    <col min="7178" max="7178" width="15" style="68" bestFit="1" customWidth="1"/>
    <col min="7179" max="7179" width="14" style="68" bestFit="1" customWidth="1"/>
    <col min="7180" max="7408" width="9.1796875" style="68"/>
    <col min="7409" max="7409" width="16.26953125" style="68" customWidth="1"/>
    <col min="7410" max="7411" width="0" style="68" hidden="1" customWidth="1"/>
    <col min="7412" max="7412" width="13.26953125" style="68" bestFit="1" customWidth="1"/>
    <col min="7413" max="7414" width="16" style="68" bestFit="1" customWidth="1"/>
    <col min="7415" max="7415" width="9.1796875" style="68"/>
    <col min="7416" max="7417" width="16" style="68" bestFit="1" customWidth="1"/>
    <col min="7418" max="7418" width="9.1796875" style="68"/>
    <col min="7419" max="7419" width="0" style="68" hidden="1" customWidth="1"/>
    <col min="7420" max="7420" width="11.26953125" style="68" bestFit="1" customWidth="1"/>
    <col min="7421" max="7427" width="0" style="68" hidden="1" customWidth="1"/>
    <col min="7428" max="7428" width="11.26953125" style="68" bestFit="1" customWidth="1"/>
    <col min="7429" max="7430" width="0" style="68" hidden="1" customWidth="1"/>
    <col min="7431" max="7431" width="11.54296875" style="68" bestFit="1" customWidth="1"/>
    <col min="7432" max="7432" width="16" style="68" bestFit="1" customWidth="1"/>
    <col min="7433" max="7433" width="9.1796875" style="68"/>
    <col min="7434" max="7434" width="15" style="68" bestFit="1" customWidth="1"/>
    <col min="7435" max="7435" width="14" style="68" bestFit="1" customWidth="1"/>
    <col min="7436" max="7664" width="9.1796875" style="68"/>
    <col min="7665" max="7665" width="16.26953125" style="68" customWidth="1"/>
    <col min="7666" max="7667" width="0" style="68" hidden="1" customWidth="1"/>
    <col min="7668" max="7668" width="13.26953125" style="68" bestFit="1" customWidth="1"/>
    <col min="7669" max="7670" width="16" style="68" bestFit="1" customWidth="1"/>
    <col min="7671" max="7671" width="9.1796875" style="68"/>
    <col min="7672" max="7673" width="16" style="68" bestFit="1" customWidth="1"/>
    <col min="7674" max="7674" width="9.1796875" style="68"/>
    <col min="7675" max="7675" width="0" style="68" hidden="1" customWidth="1"/>
    <col min="7676" max="7676" width="11.26953125" style="68" bestFit="1" customWidth="1"/>
    <col min="7677" max="7683" width="0" style="68" hidden="1" customWidth="1"/>
    <col min="7684" max="7684" width="11.26953125" style="68" bestFit="1" customWidth="1"/>
    <col min="7685" max="7686" width="0" style="68" hidden="1" customWidth="1"/>
    <col min="7687" max="7687" width="11.54296875" style="68" bestFit="1" customWidth="1"/>
    <col min="7688" max="7688" width="16" style="68" bestFit="1" customWidth="1"/>
    <col min="7689" max="7689" width="9.1796875" style="68"/>
    <col min="7690" max="7690" width="15" style="68" bestFit="1" customWidth="1"/>
    <col min="7691" max="7691" width="14" style="68" bestFit="1" customWidth="1"/>
    <col min="7692" max="7920" width="9.1796875" style="68"/>
    <col min="7921" max="7921" width="16.26953125" style="68" customWidth="1"/>
    <col min="7922" max="7923" width="0" style="68" hidden="1" customWidth="1"/>
    <col min="7924" max="7924" width="13.26953125" style="68" bestFit="1" customWidth="1"/>
    <col min="7925" max="7926" width="16" style="68" bestFit="1" customWidth="1"/>
    <col min="7927" max="7927" width="9.1796875" style="68"/>
    <col min="7928" max="7929" width="16" style="68" bestFit="1" customWidth="1"/>
    <col min="7930" max="7930" width="9.1796875" style="68"/>
    <col min="7931" max="7931" width="0" style="68" hidden="1" customWidth="1"/>
    <col min="7932" max="7932" width="11.26953125" style="68" bestFit="1" customWidth="1"/>
    <col min="7933" max="7939" width="0" style="68" hidden="1" customWidth="1"/>
    <col min="7940" max="7940" width="11.26953125" style="68" bestFit="1" customWidth="1"/>
    <col min="7941" max="7942" width="0" style="68" hidden="1" customWidth="1"/>
    <col min="7943" max="7943" width="11.54296875" style="68" bestFit="1" customWidth="1"/>
    <col min="7944" max="7944" width="16" style="68" bestFit="1" customWidth="1"/>
    <col min="7945" max="7945" width="9.1796875" style="68"/>
    <col min="7946" max="7946" width="15" style="68" bestFit="1" customWidth="1"/>
    <col min="7947" max="7947" width="14" style="68" bestFit="1" customWidth="1"/>
    <col min="7948" max="8176" width="9.1796875" style="68"/>
    <col min="8177" max="8177" width="16.26953125" style="68" customWidth="1"/>
    <col min="8178" max="8179" width="0" style="68" hidden="1" customWidth="1"/>
    <col min="8180" max="8180" width="13.26953125" style="68" bestFit="1" customWidth="1"/>
    <col min="8181" max="8182" width="16" style="68" bestFit="1" customWidth="1"/>
    <col min="8183" max="8183" width="9.1796875" style="68"/>
    <col min="8184" max="8185" width="16" style="68" bestFit="1" customWidth="1"/>
    <col min="8186" max="8186" width="9.1796875" style="68"/>
    <col min="8187" max="8187" width="0" style="68" hidden="1" customWidth="1"/>
    <col min="8188" max="8188" width="11.26953125" style="68" bestFit="1" customWidth="1"/>
    <col min="8189" max="8195" width="0" style="68" hidden="1" customWidth="1"/>
    <col min="8196" max="8196" width="11.26953125" style="68" bestFit="1" customWidth="1"/>
    <col min="8197" max="8198" width="0" style="68" hidden="1" customWidth="1"/>
    <col min="8199" max="8199" width="11.54296875" style="68" bestFit="1" customWidth="1"/>
    <col min="8200" max="8200" width="16" style="68" bestFit="1" customWidth="1"/>
    <col min="8201" max="8201" width="9.1796875" style="68"/>
    <col min="8202" max="8202" width="15" style="68" bestFit="1" customWidth="1"/>
    <col min="8203" max="8203" width="14" style="68" bestFit="1" customWidth="1"/>
    <col min="8204" max="8432" width="9.1796875" style="68"/>
    <col min="8433" max="8433" width="16.26953125" style="68" customWidth="1"/>
    <col min="8434" max="8435" width="0" style="68" hidden="1" customWidth="1"/>
    <col min="8436" max="8436" width="13.26953125" style="68" bestFit="1" customWidth="1"/>
    <col min="8437" max="8438" width="16" style="68" bestFit="1" customWidth="1"/>
    <col min="8439" max="8439" width="9.1796875" style="68"/>
    <col min="8440" max="8441" width="16" style="68" bestFit="1" customWidth="1"/>
    <col min="8442" max="8442" width="9.1796875" style="68"/>
    <col min="8443" max="8443" width="0" style="68" hidden="1" customWidth="1"/>
    <col min="8444" max="8444" width="11.26953125" style="68" bestFit="1" customWidth="1"/>
    <col min="8445" max="8451" width="0" style="68" hidden="1" customWidth="1"/>
    <col min="8452" max="8452" width="11.26953125" style="68" bestFit="1" customWidth="1"/>
    <col min="8453" max="8454" width="0" style="68" hidden="1" customWidth="1"/>
    <col min="8455" max="8455" width="11.54296875" style="68" bestFit="1" customWidth="1"/>
    <col min="8456" max="8456" width="16" style="68" bestFit="1" customWidth="1"/>
    <col min="8457" max="8457" width="9.1796875" style="68"/>
    <col min="8458" max="8458" width="15" style="68" bestFit="1" customWidth="1"/>
    <col min="8459" max="8459" width="14" style="68" bestFit="1" customWidth="1"/>
    <col min="8460" max="8688" width="9.1796875" style="68"/>
    <col min="8689" max="8689" width="16.26953125" style="68" customWidth="1"/>
    <col min="8690" max="8691" width="0" style="68" hidden="1" customWidth="1"/>
    <col min="8692" max="8692" width="13.26953125" style="68" bestFit="1" customWidth="1"/>
    <col min="8693" max="8694" width="16" style="68" bestFit="1" customWidth="1"/>
    <col min="8695" max="8695" width="9.1796875" style="68"/>
    <col min="8696" max="8697" width="16" style="68" bestFit="1" customWidth="1"/>
    <col min="8698" max="8698" width="9.1796875" style="68"/>
    <col min="8699" max="8699" width="0" style="68" hidden="1" customWidth="1"/>
    <col min="8700" max="8700" width="11.26953125" style="68" bestFit="1" customWidth="1"/>
    <col min="8701" max="8707" width="0" style="68" hidden="1" customWidth="1"/>
    <col min="8708" max="8708" width="11.26953125" style="68" bestFit="1" customWidth="1"/>
    <col min="8709" max="8710" width="0" style="68" hidden="1" customWidth="1"/>
    <col min="8711" max="8711" width="11.54296875" style="68" bestFit="1" customWidth="1"/>
    <col min="8712" max="8712" width="16" style="68" bestFit="1" customWidth="1"/>
    <col min="8713" max="8713" width="9.1796875" style="68"/>
    <col min="8714" max="8714" width="15" style="68" bestFit="1" customWidth="1"/>
    <col min="8715" max="8715" width="14" style="68" bestFit="1" customWidth="1"/>
    <col min="8716" max="8944" width="9.1796875" style="68"/>
    <col min="8945" max="8945" width="16.26953125" style="68" customWidth="1"/>
    <col min="8946" max="8947" width="0" style="68" hidden="1" customWidth="1"/>
    <col min="8948" max="8948" width="13.26953125" style="68" bestFit="1" customWidth="1"/>
    <col min="8949" max="8950" width="16" style="68" bestFit="1" customWidth="1"/>
    <col min="8951" max="8951" width="9.1796875" style="68"/>
    <col min="8952" max="8953" width="16" style="68" bestFit="1" customWidth="1"/>
    <col min="8954" max="8954" width="9.1796875" style="68"/>
    <col min="8955" max="8955" width="0" style="68" hidden="1" customWidth="1"/>
    <col min="8956" max="8956" width="11.26953125" style="68" bestFit="1" customWidth="1"/>
    <col min="8957" max="8963" width="0" style="68" hidden="1" customWidth="1"/>
    <col min="8964" max="8964" width="11.26953125" style="68" bestFit="1" customWidth="1"/>
    <col min="8965" max="8966" width="0" style="68" hidden="1" customWidth="1"/>
    <col min="8967" max="8967" width="11.54296875" style="68" bestFit="1" customWidth="1"/>
    <col min="8968" max="8968" width="16" style="68" bestFit="1" customWidth="1"/>
    <col min="8969" max="8969" width="9.1796875" style="68"/>
    <col min="8970" max="8970" width="15" style="68" bestFit="1" customWidth="1"/>
    <col min="8971" max="8971" width="14" style="68" bestFit="1" customWidth="1"/>
    <col min="8972" max="9200" width="9.1796875" style="68"/>
    <col min="9201" max="9201" width="16.26953125" style="68" customWidth="1"/>
    <col min="9202" max="9203" width="0" style="68" hidden="1" customWidth="1"/>
    <col min="9204" max="9204" width="13.26953125" style="68" bestFit="1" customWidth="1"/>
    <col min="9205" max="9206" width="16" style="68" bestFit="1" customWidth="1"/>
    <col min="9207" max="9207" width="9.1796875" style="68"/>
    <col min="9208" max="9209" width="16" style="68" bestFit="1" customWidth="1"/>
    <col min="9210" max="9210" width="9.1796875" style="68"/>
    <col min="9211" max="9211" width="0" style="68" hidden="1" customWidth="1"/>
    <col min="9212" max="9212" width="11.26953125" style="68" bestFit="1" customWidth="1"/>
    <col min="9213" max="9219" width="0" style="68" hidden="1" customWidth="1"/>
    <col min="9220" max="9220" width="11.26953125" style="68" bestFit="1" customWidth="1"/>
    <col min="9221" max="9222" width="0" style="68" hidden="1" customWidth="1"/>
    <col min="9223" max="9223" width="11.54296875" style="68" bestFit="1" customWidth="1"/>
    <col min="9224" max="9224" width="16" style="68" bestFit="1" customWidth="1"/>
    <col min="9225" max="9225" width="9.1796875" style="68"/>
    <col min="9226" max="9226" width="15" style="68" bestFit="1" customWidth="1"/>
    <col min="9227" max="9227" width="14" style="68" bestFit="1" customWidth="1"/>
    <col min="9228" max="9456" width="9.1796875" style="68"/>
    <col min="9457" max="9457" width="16.26953125" style="68" customWidth="1"/>
    <col min="9458" max="9459" width="0" style="68" hidden="1" customWidth="1"/>
    <col min="9460" max="9460" width="13.26953125" style="68" bestFit="1" customWidth="1"/>
    <col min="9461" max="9462" width="16" style="68" bestFit="1" customWidth="1"/>
    <col min="9463" max="9463" width="9.1796875" style="68"/>
    <col min="9464" max="9465" width="16" style="68" bestFit="1" customWidth="1"/>
    <col min="9466" max="9466" width="9.1796875" style="68"/>
    <col min="9467" max="9467" width="0" style="68" hidden="1" customWidth="1"/>
    <col min="9468" max="9468" width="11.26953125" style="68" bestFit="1" customWidth="1"/>
    <col min="9469" max="9475" width="0" style="68" hidden="1" customWidth="1"/>
    <col min="9476" max="9476" width="11.26953125" style="68" bestFit="1" customWidth="1"/>
    <col min="9477" max="9478" width="0" style="68" hidden="1" customWidth="1"/>
    <col min="9479" max="9479" width="11.54296875" style="68" bestFit="1" customWidth="1"/>
    <col min="9480" max="9480" width="16" style="68" bestFit="1" customWidth="1"/>
    <col min="9481" max="9481" width="9.1796875" style="68"/>
    <col min="9482" max="9482" width="15" style="68" bestFit="1" customWidth="1"/>
    <col min="9483" max="9483" width="14" style="68" bestFit="1" customWidth="1"/>
    <col min="9484" max="9712" width="9.1796875" style="68"/>
    <col min="9713" max="9713" width="16.26953125" style="68" customWidth="1"/>
    <col min="9714" max="9715" width="0" style="68" hidden="1" customWidth="1"/>
    <col min="9716" max="9716" width="13.26953125" style="68" bestFit="1" customWidth="1"/>
    <col min="9717" max="9718" width="16" style="68" bestFit="1" customWidth="1"/>
    <col min="9719" max="9719" width="9.1796875" style="68"/>
    <col min="9720" max="9721" width="16" style="68" bestFit="1" customWidth="1"/>
    <col min="9722" max="9722" width="9.1796875" style="68"/>
    <col min="9723" max="9723" width="0" style="68" hidden="1" customWidth="1"/>
    <col min="9724" max="9724" width="11.26953125" style="68" bestFit="1" customWidth="1"/>
    <col min="9725" max="9731" width="0" style="68" hidden="1" customWidth="1"/>
    <col min="9732" max="9732" width="11.26953125" style="68" bestFit="1" customWidth="1"/>
    <col min="9733" max="9734" width="0" style="68" hidden="1" customWidth="1"/>
    <col min="9735" max="9735" width="11.54296875" style="68" bestFit="1" customWidth="1"/>
    <col min="9736" max="9736" width="16" style="68" bestFit="1" customWidth="1"/>
    <col min="9737" max="9737" width="9.1796875" style="68"/>
    <col min="9738" max="9738" width="15" style="68" bestFit="1" customWidth="1"/>
    <col min="9739" max="9739" width="14" style="68" bestFit="1" customWidth="1"/>
    <col min="9740" max="9968" width="9.1796875" style="68"/>
    <col min="9969" max="9969" width="16.26953125" style="68" customWidth="1"/>
    <col min="9970" max="9971" width="0" style="68" hidden="1" customWidth="1"/>
    <col min="9972" max="9972" width="13.26953125" style="68" bestFit="1" customWidth="1"/>
    <col min="9973" max="9974" width="16" style="68" bestFit="1" customWidth="1"/>
    <col min="9975" max="9975" width="9.1796875" style="68"/>
    <col min="9976" max="9977" width="16" style="68" bestFit="1" customWidth="1"/>
    <col min="9978" max="9978" width="9.1796875" style="68"/>
    <col min="9979" max="9979" width="0" style="68" hidden="1" customWidth="1"/>
    <col min="9980" max="9980" width="11.26953125" style="68" bestFit="1" customWidth="1"/>
    <col min="9981" max="9987" width="0" style="68" hidden="1" customWidth="1"/>
    <col min="9988" max="9988" width="11.26953125" style="68" bestFit="1" customWidth="1"/>
    <col min="9989" max="9990" width="0" style="68" hidden="1" customWidth="1"/>
    <col min="9991" max="9991" width="11.54296875" style="68" bestFit="1" customWidth="1"/>
    <col min="9992" max="9992" width="16" style="68" bestFit="1" customWidth="1"/>
    <col min="9993" max="9993" width="9.1796875" style="68"/>
    <col min="9994" max="9994" width="15" style="68" bestFit="1" customWidth="1"/>
    <col min="9995" max="9995" width="14" style="68" bestFit="1" customWidth="1"/>
    <col min="9996" max="10224" width="9.1796875" style="68"/>
    <col min="10225" max="10225" width="16.26953125" style="68" customWidth="1"/>
    <col min="10226" max="10227" width="0" style="68" hidden="1" customWidth="1"/>
    <col min="10228" max="10228" width="13.26953125" style="68" bestFit="1" customWidth="1"/>
    <col min="10229" max="10230" width="16" style="68" bestFit="1" customWidth="1"/>
    <col min="10231" max="10231" width="9.1796875" style="68"/>
    <col min="10232" max="10233" width="16" style="68" bestFit="1" customWidth="1"/>
    <col min="10234" max="10234" width="9.1796875" style="68"/>
    <col min="10235" max="10235" width="0" style="68" hidden="1" customWidth="1"/>
    <col min="10236" max="10236" width="11.26953125" style="68" bestFit="1" customWidth="1"/>
    <col min="10237" max="10243" width="0" style="68" hidden="1" customWidth="1"/>
    <col min="10244" max="10244" width="11.26953125" style="68" bestFit="1" customWidth="1"/>
    <col min="10245" max="10246" width="0" style="68" hidden="1" customWidth="1"/>
    <col min="10247" max="10247" width="11.54296875" style="68" bestFit="1" customWidth="1"/>
    <col min="10248" max="10248" width="16" style="68" bestFit="1" customWidth="1"/>
    <col min="10249" max="10249" width="9.1796875" style="68"/>
    <col min="10250" max="10250" width="15" style="68" bestFit="1" customWidth="1"/>
    <col min="10251" max="10251" width="14" style="68" bestFit="1" customWidth="1"/>
    <col min="10252" max="10480" width="9.1796875" style="68"/>
    <col min="10481" max="10481" width="16.26953125" style="68" customWidth="1"/>
    <col min="10482" max="10483" width="0" style="68" hidden="1" customWidth="1"/>
    <col min="10484" max="10484" width="13.26953125" style="68" bestFit="1" customWidth="1"/>
    <col min="10485" max="10486" width="16" style="68" bestFit="1" customWidth="1"/>
    <col min="10487" max="10487" width="9.1796875" style="68"/>
    <col min="10488" max="10489" width="16" style="68" bestFit="1" customWidth="1"/>
    <col min="10490" max="10490" width="9.1796875" style="68"/>
    <col min="10491" max="10491" width="0" style="68" hidden="1" customWidth="1"/>
    <col min="10492" max="10492" width="11.26953125" style="68" bestFit="1" customWidth="1"/>
    <col min="10493" max="10499" width="0" style="68" hidden="1" customWidth="1"/>
    <col min="10500" max="10500" width="11.26953125" style="68" bestFit="1" customWidth="1"/>
    <col min="10501" max="10502" width="0" style="68" hidden="1" customWidth="1"/>
    <col min="10503" max="10503" width="11.54296875" style="68" bestFit="1" customWidth="1"/>
    <col min="10504" max="10504" width="16" style="68" bestFit="1" customWidth="1"/>
    <col min="10505" max="10505" width="9.1796875" style="68"/>
    <col min="10506" max="10506" width="15" style="68" bestFit="1" customWidth="1"/>
    <col min="10507" max="10507" width="14" style="68" bestFit="1" customWidth="1"/>
    <col min="10508" max="10736" width="9.1796875" style="68"/>
    <col min="10737" max="10737" width="16.26953125" style="68" customWidth="1"/>
    <col min="10738" max="10739" width="0" style="68" hidden="1" customWidth="1"/>
    <col min="10740" max="10740" width="13.26953125" style="68" bestFit="1" customWidth="1"/>
    <col min="10741" max="10742" width="16" style="68" bestFit="1" customWidth="1"/>
    <col min="10743" max="10743" width="9.1796875" style="68"/>
    <col min="10744" max="10745" width="16" style="68" bestFit="1" customWidth="1"/>
    <col min="10746" max="10746" width="9.1796875" style="68"/>
    <col min="10747" max="10747" width="0" style="68" hidden="1" customWidth="1"/>
    <col min="10748" max="10748" width="11.26953125" style="68" bestFit="1" customWidth="1"/>
    <col min="10749" max="10755" width="0" style="68" hidden="1" customWidth="1"/>
    <col min="10756" max="10756" width="11.26953125" style="68" bestFit="1" customWidth="1"/>
    <col min="10757" max="10758" width="0" style="68" hidden="1" customWidth="1"/>
    <col min="10759" max="10759" width="11.54296875" style="68" bestFit="1" customWidth="1"/>
    <col min="10760" max="10760" width="16" style="68" bestFit="1" customWidth="1"/>
    <col min="10761" max="10761" width="9.1796875" style="68"/>
    <col min="10762" max="10762" width="15" style="68" bestFit="1" customWidth="1"/>
    <col min="10763" max="10763" width="14" style="68" bestFit="1" customWidth="1"/>
    <col min="10764" max="10992" width="9.1796875" style="68"/>
    <col min="10993" max="10993" width="16.26953125" style="68" customWidth="1"/>
    <col min="10994" max="10995" width="0" style="68" hidden="1" customWidth="1"/>
    <col min="10996" max="10996" width="13.26953125" style="68" bestFit="1" customWidth="1"/>
    <col min="10997" max="10998" width="16" style="68" bestFit="1" customWidth="1"/>
    <col min="10999" max="10999" width="9.1796875" style="68"/>
    <col min="11000" max="11001" width="16" style="68" bestFit="1" customWidth="1"/>
    <col min="11002" max="11002" width="9.1796875" style="68"/>
    <col min="11003" max="11003" width="0" style="68" hidden="1" customWidth="1"/>
    <col min="11004" max="11004" width="11.26953125" style="68" bestFit="1" customWidth="1"/>
    <col min="11005" max="11011" width="0" style="68" hidden="1" customWidth="1"/>
    <col min="11012" max="11012" width="11.26953125" style="68" bestFit="1" customWidth="1"/>
    <col min="11013" max="11014" width="0" style="68" hidden="1" customWidth="1"/>
    <col min="11015" max="11015" width="11.54296875" style="68" bestFit="1" customWidth="1"/>
    <col min="11016" max="11016" width="16" style="68" bestFit="1" customWidth="1"/>
    <col min="11017" max="11017" width="9.1796875" style="68"/>
    <col min="11018" max="11018" width="15" style="68" bestFit="1" customWidth="1"/>
    <col min="11019" max="11019" width="14" style="68" bestFit="1" customWidth="1"/>
    <col min="11020" max="11248" width="9.1796875" style="68"/>
    <col min="11249" max="11249" width="16.26953125" style="68" customWidth="1"/>
    <col min="11250" max="11251" width="0" style="68" hidden="1" customWidth="1"/>
    <col min="11252" max="11252" width="13.26953125" style="68" bestFit="1" customWidth="1"/>
    <col min="11253" max="11254" width="16" style="68" bestFit="1" customWidth="1"/>
    <col min="11255" max="11255" width="9.1796875" style="68"/>
    <col min="11256" max="11257" width="16" style="68" bestFit="1" customWidth="1"/>
    <col min="11258" max="11258" width="9.1796875" style="68"/>
    <col min="11259" max="11259" width="0" style="68" hidden="1" customWidth="1"/>
    <col min="11260" max="11260" width="11.26953125" style="68" bestFit="1" customWidth="1"/>
    <col min="11261" max="11267" width="0" style="68" hidden="1" customWidth="1"/>
    <col min="11268" max="11268" width="11.26953125" style="68" bestFit="1" customWidth="1"/>
    <col min="11269" max="11270" width="0" style="68" hidden="1" customWidth="1"/>
    <col min="11271" max="11271" width="11.54296875" style="68" bestFit="1" customWidth="1"/>
    <col min="11272" max="11272" width="16" style="68" bestFit="1" customWidth="1"/>
    <col min="11273" max="11273" width="9.1796875" style="68"/>
    <col min="11274" max="11274" width="15" style="68" bestFit="1" customWidth="1"/>
    <col min="11275" max="11275" width="14" style="68" bestFit="1" customWidth="1"/>
    <col min="11276" max="11504" width="9.1796875" style="68"/>
    <col min="11505" max="11505" width="16.26953125" style="68" customWidth="1"/>
    <col min="11506" max="11507" width="0" style="68" hidden="1" customWidth="1"/>
    <col min="11508" max="11508" width="13.26953125" style="68" bestFit="1" customWidth="1"/>
    <col min="11509" max="11510" width="16" style="68" bestFit="1" customWidth="1"/>
    <col min="11511" max="11511" width="9.1796875" style="68"/>
    <col min="11512" max="11513" width="16" style="68" bestFit="1" customWidth="1"/>
    <col min="11514" max="11514" width="9.1796875" style="68"/>
    <col min="11515" max="11515" width="0" style="68" hidden="1" customWidth="1"/>
    <col min="11516" max="11516" width="11.26953125" style="68" bestFit="1" customWidth="1"/>
    <col min="11517" max="11523" width="0" style="68" hidden="1" customWidth="1"/>
    <col min="11524" max="11524" width="11.26953125" style="68" bestFit="1" customWidth="1"/>
    <col min="11525" max="11526" width="0" style="68" hidden="1" customWidth="1"/>
    <col min="11527" max="11527" width="11.54296875" style="68" bestFit="1" customWidth="1"/>
    <col min="11528" max="11528" width="16" style="68" bestFit="1" customWidth="1"/>
    <col min="11529" max="11529" width="9.1796875" style="68"/>
    <col min="11530" max="11530" width="15" style="68" bestFit="1" customWidth="1"/>
    <col min="11531" max="11531" width="14" style="68" bestFit="1" customWidth="1"/>
    <col min="11532" max="11760" width="9.1796875" style="68"/>
    <col min="11761" max="11761" width="16.26953125" style="68" customWidth="1"/>
    <col min="11762" max="11763" width="0" style="68" hidden="1" customWidth="1"/>
    <col min="11764" max="11764" width="13.26953125" style="68" bestFit="1" customWidth="1"/>
    <col min="11765" max="11766" width="16" style="68" bestFit="1" customWidth="1"/>
    <col min="11767" max="11767" width="9.1796875" style="68"/>
    <col min="11768" max="11769" width="16" style="68" bestFit="1" customWidth="1"/>
    <col min="11770" max="11770" width="9.1796875" style="68"/>
    <col min="11771" max="11771" width="0" style="68" hidden="1" customWidth="1"/>
    <col min="11772" max="11772" width="11.26953125" style="68" bestFit="1" customWidth="1"/>
    <col min="11773" max="11779" width="0" style="68" hidden="1" customWidth="1"/>
    <col min="11780" max="11780" width="11.26953125" style="68" bestFit="1" customWidth="1"/>
    <col min="11781" max="11782" width="0" style="68" hidden="1" customWidth="1"/>
    <col min="11783" max="11783" width="11.54296875" style="68" bestFit="1" customWidth="1"/>
    <col min="11784" max="11784" width="16" style="68" bestFit="1" customWidth="1"/>
    <col min="11785" max="11785" width="9.1796875" style="68"/>
    <col min="11786" max="11786" width="15" style="68" bestFit="1" customWidth="1"/>
    <col min="11787" max="11787" width="14" style="68" bestFit="1" customWidth="1"/>
    <col min="11788" max="12016" width="9.1796875" style="68"/>
    <col min="12017" max="12017" width="16.26953125" style="68" customWidth="1"/>
    <col min="12018" max="12019" width="0" style="68" hidden="1" customWidth="1"/>
    <col min="12020" max="12020" width="13.26953125" style="68" bestFit="1" customWidth="1"/>
    <col min="12021" max="12022" width="16" style="68" bestFit="1" customWidth="1"/>
    <col min="12023" max="12023" width="9.1796875" style="68"/>
    <col min="12024" max="12025" width="16" style="68" bestFit="1" customWidth="1"/>
    <col min="12026" max="12026" width="9.1796875" style="68"/>
    <col min="12027" max="12027" width="0" style="68" hidden="1" customWidth="1"/>
    <col min="12028" max="12028" width="11.26953125" style="68" bestFit="1" customWidth="1"/>
    <col min="12029" max="12035" width="0" style="68" hidden="1" customWidth="1"/>
    <col min="12036" max="12036" width="11.26953125" style="68" bestFit="1" customWidth="1"/>
    <col min="12037" max="12038" width="0" style="68" hidden="1" customWidth="1"/>
    <col min="12039" max="12039" width="11.54296875" style="68" bestFit="1" customWidth="1"/>
    <col min="12040" max="12040" width="16" style="68" bestFit="1" customWidth="1"/>
    <col min="12041" max="12041" width="9.1796875" style="68"/>
    <col min="12042" max="12042" width="15" style="68" bestFit="1" customWidth="1"/>
    <col min="12043" max="12043" width="14" style="68" bestFit="1" customWidth="1"/>
    <col min="12044" max="12272" width="9.1796875" style="68"/>
    <col min="12273" max="12273" width="16.26953125" style="68" customWidth="1"/>
    <col min="12274" max="12275" width="0" style="68" hidden="1" customWidth="1"/>
    <col min="12276" max="12276" width="13.26953125" style="68" bestFit="1" customWidth="1"/>
    <col min="12277" max="12278" width="16" style="68" bestFit="1" customWidth="1"/>
    <col min="12279" max="12279" width="9.1796875" style="68"/>
    <col min="12280" max="12281" width="16" style="68" bestFit="1" customWidth="1"/>
    <col min="12282" max="12282" width="9.1796875" style="68"/>
    <col min="12283" max="12283" width="0" style="68" hidden="1" customWidth="1"/>
    <col min="12284" max="12284" width="11.26953125" style="68" bestFit="1" customWidth="1"/>
    <col min="12285" max="12291" width="0" style="68" hidden="1" customWidth="1"/>
    <col min="12292" max="12292" width="11.26953125" style="68" bestFit="1" customWidth="1"/>
    <col min="12293" max="12294" width="0" style="68" hidden="1" customWidth="1"/>
    <col min="12295" max="12295" width="11.54296875" style="68" bestFit="1" customWidth="1"/>
    <col min="12296" max="12296" width="16" style="68" bestFit="1" customWidth="1"/>
    <col min="12297" max="12297" width="9.1796875" style="68"/>
    <col min="12298" max="12298" width="15" style="68" bestFit="1" customWidth="1"/>
    <col min="12299" max="12299" width="14" style="68" bestFit="1" customWidth="1"/>
    <col min="12300" max="12528" width="9.1796875" style="68"/>
    <col min="12529" max="12529" width="16.26953125" style="68" customWidth="1"/>
    <col min="12530" max="12531" width="0" style="68" hidden="1" customWidth="1"/>
    <col min="12532" max="12532" width="13.26953125" style="68" bestFit="1" customWidth="1"/>
    <col min="12533" max="12534" width="16" style="68" bestFit="1" customWidth="1"/>
    <col min="12535" max="12535" width="9.1796875" style="68"/>
    <col min="12536" max="12537" width="16" style="68" bestFit="1" customWidth="1"/>
    <col min="12538" max="12538" width="9.1796875" style="68"/>
    <col min="12539" max="12539" width="0" style="68" hidden="1" customWidth="1"/>
    <col min="12540" max="12540" width="11.26953125" style="68" bestFit="1" customWidth="1"/>
    <col min="12541" max="12547" width="0" style="68" hidden="1" customWidth="1"/>
    <col min="12548" max="12548" width="11.26953125" style="68" bestFit="1" customWidth="1"/>
    <col min="12549" max="12550" width="0" style="68" hidden="1" customWidth="1"/>
    <col min="12551" max="12551" width="11.54296875" style="68" bestFit="1" customWidth="1"/>
    <col min="12552" max="12552" width="16" style="68" bestFit="1" customWidth="1"/>
    <col min="12553" max="12553" width="9.1796875" style="68"/>
    <col min="12554" max="12554" width="15" style="68" bestFit="1" customWidth="1"/>
    <col min="12555" max="12555" width="14" style="68" bestFit="1" customWidth="1"/>
    <col min="12556" max="12784" width="9.1796875" style="68"/>
    <col min="12785" max="12785" width="16.26953125" style="68" customWidth="1"/>
    <col min="12786" max="12787" width="0" style="68" hidden="1" customWidth="1"/>
    <col min="12788" max="12788" width="13.26953125" style="68" bestFit="1" customWidth="1"/>
    <col min="12789" max="12790" width="16" style="68" bestFit="1" customWidth="1"/>
    <col min="12791" max="12791" width="9.1796875" style="68"/>
    <col min="12792" max="12793" width="16" style="68" bestFit="1" customWidth="1"/>
    <col min="12794" max="12794" width="9.1796875" style="68"/>
    <col min="12795" max="12795" width="0" style="68" hidden="1" customWidth="1"/>
    <col min="12796" max="12796" width="11.26953125" style="68" bestFit="1" customWidth="1"/>
    <col min="12797" max="12803" width="0" style="68" hidden="1" customWidth="1"/>
    <col min="12804" max="12804" width="11.26953125" style="68" bestFit="1" customWidth="1"/>
    <col min="12805" max="12806" width="0" style="68" hidden="1" customWidth="1"/>
    <col min="12807" max="12807" width="11.54296875" style="68" bestFit="1" customWidth="1"/>
    <col min="12808" max="12808" width="16" style="68" bestFit="1" customWidth="1"/>
    <col min="12809" max="12809" width="9.1796875" style="68"/>
    <col min="12810" max="12810" width="15" style="68" bestFit="1" customWidth="1"/>
    <col min="12811" max="12811" width="14" style="68" bestFit="1" customWidth="1"/>
    <col min="12812" max="13040" width="9.1796875" style="68"/>
    <col min="13041" max="13041" width="16.26953125" style="68" customWidth="1"/>
    <col min="13042" max="13043" width="0" style="68" hidden="1" customWidth="1"/>
    <col min="13044" max="13044" width="13.26953125" style="68" bestFit="1" customWidth="1"/>
    <col min="13045" max="13046" width="16" style="68" bestFit="1" customWidth="1"/>
    <col min="13047" max="13047" width="9.1796875" style="68"/>
    <col min="13048" max="13049" width="16" style="68" bestFit="1" customWidth="1"/>
    <col min="13050" max="13050" width="9.1796875" style="68"/>
    <col min="13051" max="13051" width="0" style="68" hidden="1" customWidth="1"/>
    <col min="13052" max="13052" width="11.26953125" style="68" bestFit="1" customWidth="1"/>
    <col min="13053" max="13059" width="0" style="68" hidden="1" customWidth="1"/>
    <col min="13060" max="13060" width="11.26953125" style="68" bestFit="1" customWidth="1"/>
    <col min="13061" max="13062" width="0" style="68" hidden="1" customWidth="1"/>
    <col min="13063" max="13063" width="11.54296875" style="68" bestFit="1" customWidth="1"/>
    <col min="13064" max="13064" width="16" style="68" bestFit="1" customWidth="1"/>
    <col min="13065" max="13065" width="9.1796875" style="68"/>
    <col min="13066" max="13066" width="15" style="68" bestFit="1" customWidth="1"/>
    <col min="13067" max="13067" width="14" style="68" bestFit="1" customWidth="1"/>
    <col min="13068" max="13296" width="9.1796875" style="68"/>
    <col min="13297" max="13297" width="16.26953125" style="68" customWidth="1"/>
    <col min="13298" max="13299" width="0" style="68" hidden="1" customWidth="1"/>
    <col min="13300" max="13300" width="13.26953125" style="68" bestFit="1" customWidth="1"/>
    <col min="13301" max="13302" width="16" style="68" bestFit="1" customWidth="1"/>
    <col min="13303" max="13303" width="9.1796875" style="68"/>
    <col min="13304" max="13305" width="16" style="68" bestFit="1" customWidth="1"/>
    <col min="13306" max="13306" width="9.1796875" style="68"/>
    <col min="13307" max="13307" width="0" style="68" hidden="1" customWidth="1"/>
    <col min="13308" max="13308" width="11.26953125" style="68" bestFit="1" customWidth="1"/>
    <col min="13309" max="13315" width="0" style="68" hidden="1" customWidth="1"/>
    <col min="13316" max="13316" width="11.26953125" style="68" bestFit="1" customWidth="1"/>
    <col min="13317" max="13318" width="0" style="68" hidden="1" customWidth="1"/>
    <col min="13319" max="13319" width="11.54296875" style="68" bestFit="1" customWidth="1"/>
    <col min="13320" max="13320" width="16" style="68" bestFit="1" customWidth="1"/>
    <col min="13321" max="13321" width="9.1796875" style="68"/>
    <col min="13322" max="13322" width="15" style="68" bestFit="1" customWidth="1"/>
    <col min="13323" max="13323" width="14" style="68" bestFit="1" customWidth="1"/>
    <col min="13324" max="13552" width="9.1796875" style="68"/>
    <col min="13553" max="13553" width="16.26953125" style="68" customWidth="1"/>
    <col min="13554" max="13555" width="0" style="68" hidden="1" customWidth="1"/>
    <col min="13556" max="13556" width="13.26953125" style="68" bestFit="1" customWidth="1"/>
    <col min="13557" max="13558" width="16" style="68" bestFit="1" customWidth="1"/>
    <col min="13559" max="13559" width="9.1796875" style="68"/>
    <col min="13560" max="13561" width="16" style="68" bestFit="1" customWidth="1"/>
    <col min="13562" max="13562" width="9.1796875" style="68"/>
    <col min="13563" max="13563" width="0" style="68" hidden="1" customWidth="1"/>
    <col min="13564" max="13564" width="11.26953125" style="68" bestFit="1" customWidth="1"/>
    <col min="13565" max="13571" width="0" style="68" hidden="1" customWidth="1"/>
    <col min="13572" max="13572" width="11.26953125" style="68" bestFit="1" customWidth="1"/>
    <col min="13573" max="13574" width="0" style="68" hidden="1" customWidth="1"/>
    <col min="13575" max="13575" width="11.54296875" style="68" bestFit="1" customWidth="1"/>
    <col min="13576" max="13576" width="16" style="68" bestFit="1" customWidth="1"/>
    <col min="13577" max="13577" width="9.1796875" style="68"/>
    <col min="13578" max="13578" width="15" style="68" bestFit="1" customWidth="1"/>
    <col min="13579" max="13579" width="14" style="68" bestFit="1" customWidth="1"/>
    <col min="13580" max="13808" width="9.1796875" style="68"/>
    <col min="13809" max="13809" width="16.26953125" style="68" customWidth="1"/>
    <col min="13810" max="13811" width="0" style="68" hidden="1" customWidth="1"/>
    <col min="13812" max="13812" width="13.26953125" style="68" bestFit="1" customWidth="1"/>
    <col min="13813" max="13814" width="16" style="68" bestFit="1" customWidth="1"/>
    <col min="13815" max="13815" width="9.1796875" style="68"/>
    <col min="13816" max="13817" width="16" style="68" bestFit="1" customWidth="1"/>
    <col min="13818" max="13818" width="9.1796875" style="68"/>
    <col min="13819" max="13819" width="0" style="68" hidden="1" customWidth="1"/>
    <col min="13820" max="13820" width="11.26953125" style="68" bestFit="1" customWidth="1"/>
    <col min="13821" max="13827" width="0" style="68" hidden="1" customWidth="1"/>
    <col min="13828" max="13828" width="11.26953125" style="68" bestFit="1" customWidth="1"/>
    <col min="13829" max="13830" width="0" style="68" hidden="1" customWidth="1"/>
    <col min="13831" max="13831" width="11.54296875" style="68" bestFit="1" customWidth="1"/>
    <col min="13832" max="13832" width="16" style="68" bestFit="1" customWidth="1"/>
    <col min="13833" max="13833" width="9.1796875" style="68"/>
    <col min="13834" max="13834" width="15" style="68" bestFit="1" customWidth="1"/>
    <col min="13835" max="13835" width="14" style="68" bestFit="1" customWidth="1"/>
    <col min="13836" max="14064" width="9.1796875" style="68"/>
    <col min="14065" max="14065" width="16.26953125" style="68" customWidth="1"/>
    <col min="14066" max="14067" width="0" style="68" hidden="1" customWidth="1"/>
    <col min="14068" max="14068" width="13.26953125" style="68" bestFit="1" customWidth="1"/>
    <col min="14069" max="14070" width="16" style="68" bestFit="1" customWidth="1"/>
    <col min="14071" max="14071" width="9.1796875" style="68"/>
    <col min="14072" max="14073" width="16" style="68" bestFit="1" customWidth="1"/>
    <col min="14074" max="14074" width="9.1796875" style="68"/>
    <col min="14075" max="14075" width="0" style="68" hidden="1" customWidth="1"/>
    <col min="14076" max="14076" width="11.26953125" style="68" bestFit="1" customWidth="1"/>
    <col min="14077" max="14083" width="0" style="68" hidden="1" customWidth="1"/>
    <col min="14084" max="14084" width="11.26953125" style="68" bestFit="1" customWidth="1"/>
    <col min="14085" max="14086" width="0" style="68" hidden="1" customWidth="1"/>
    <col min="14087" max="14087" width="11.54296875" style="68" bestFit="1" customWidth="1"/>
    <col min="14088" max="14088" width="16" style="68" bestFit="1" customWidth="1"/>
    <col min="14089" max="14089" width="9.1796875" style="68"/>
    <col min="14090" max="14090" width="15" style="68" bestFit="1" customWidth="1"/>
    <col min="14091" max="14091" width="14" style="68" bestFit="1" customWidth="1"/>
    <col min="14092" max="14320" width="9.1796875" style="68"/>
    <col min="14321" max="14321" width="16.26953125" style="68" customWidth="1"/>
    <col min="14322" max="14323" width="0" style="68" hidden="1" customWidth="1"/>
    <col min="14324" max="14324" width="13.26953125" style="68" bestFit="1" customWidth="1"/>
    <col min="14325" max="14326" width="16" style="68" bestFit="1" customWidth="1"/>
    <col min="14327" max="14327" width="9.1796875" style="68"/>
    <col min="14328" max="14329" width="16" style="68" bestFit="1" customWidth="1"/>
    <col min="14330" max="14330" width="9.1796875" style="68"/>
    <col min="14331" max="14331" width="0" style="68" hidden="1" customWidth="1"/>
    <col min="14332" max="14332" width="11.26953125" style="68" bestFit="1" customWidth="1"/>
    <col min="14333" max="14339" width="0" style="68" hidden="1" customWidth="1"/>
    <col min="14340" max="14340" width="11.26953125" style="68" bestFit="1" customWidth="1"/>
    <col min="14341" max="14342" width="0" style="68" hidden="1" customWidth="1"/>
    <col min="14343" max="14343" width="11.54296875" style="68" bestFit="1" customWidth="1"/>
    <col min="14344" max="14344" width="16" style="68" bestFit="1" customWidth="1"/>
    <col min="14345" max="14345" width="9.1796875" style="68"/>
    <col min="14346" max="14346" width="15" style="68" bestFit="1" customWidth="1"/>
    <col min="14347" max="14347" width="14" style="68" bestFit="1" customWidth="1"/>
    <col min="14348" max="14576" width="9.1796875" style="68"/>
    <col min="14577" max="14577" width="16.26953125" style="68" customWidth="1"/>
    <col min="14578" max="14579" width="0" style="68" hidden="1" customWidth="1"/>
    <col min="14580" max="14580" width="13.26953125" style="68" bestFit="1" customWidth="1"/>
    <col min="14581" max="14582" width="16" style="68" bestFit="1" customWidth="1"/>
    <col min="14583" max="14583" width="9.1796875" style="68"/>
    <col min="14584" max="14585" width="16" style="68" bestFit="1" customWidth="1"/>
    <col min="14586" max="14586" width="9.1796875" style="68"/>
    <col min="14587" max="14587" width="0" style="68" hidden="1" customWidth="1"/>
    <col min="14588" max="14588" width="11.26953125" style="68" bestFit="1" customWidth="1"/>
    <col min="14589" max="14595" width="0" style="68" hidden="1" customWidth="1"/>
    <col min="14596" max="14596" width="11.26953125" style="68" bestFit="1" customWidth="1"/>
    <col min="14597" max="14598" width="0" style="68" hidden="1" customWidth="1"/>
    <col min="14599" max="14599" width="11.54296875" style="68" bestFit="1" customWidth="1"/>
    <col min="14600" max="14600" width="16" style="68" bestFit="1" customWidth="1"/>
    <col min="14601" max="14601" width="9.1796875" style="68"/>
    <col min="14602" max="14602" width="15" style="68" bestFit="1" customWidth="1"/>
    <col min="14603" max="14603" width="14" style="68" bestFit="1" customWidth="1"/>
    <col min="14604" max="14832" width="9.1796875" style="68"/>
    <col min="14833" max="14833" width="16.26953125" style="68" customWidth="1"/>
    <col min="14834" max="14835" width="0" style="68" hidden="1" customWidth="1"/>
    <col min="14836" max="14836" width="13.26953125" style="68" bestFit="1" customWidth="1"/>
    <col min="14837" max="14838" width="16" style="68" bestFit="1" customWidth="1"/>
    <col min="14839" max="14839" width="9.1796875" style="68"/>
    <col min="14840" max="14841" width="16" style="68" bestFit="1" customWidth="1"/>
    <col min="14842" max="14842" width="9.1796875" style="68"/>
    <col min="14843" max="14843" width="0" style="68" hidden="1" customWidth="1"/>
    <col min="14844" max="14844" width="11.26953125" style="68" bestFit="1" customWidth="1"/>
    <col min="14845" max="14851" width="0" style="68" hidden="1" customWidth="1"/>
    <col min="14852" max="14852" width="11.26953125" style="68" bestFit="1" customWidth="1"/>
    <col min="14853" max="14854" width="0" style="68" hidden="1" customWidth="1"/>
    <col min="14855" max="14855" width="11.54296875" style="68" bestFit="1" customWidth="1"/>
    <col min="14856" max="14856" width="16" style="68" bestFit="1" customWidth="1"/>
    <col min="14857" max="14857" width="9.1796875" style="68"/>
    <col min="14858" max="14858" width="15" style="68" bestFit="1" customWidth="1"/>
    <col min="14859" max="14859" width="14" style="68" bestFit="1" customWidth="1"/>
    <col min="14860" max="15088" width="9.1796875" style="68"/>
    <col min="15089" max="15089" width="16.26953125" style="68" customWidth="1"/>
    <col min="15090" max="15091" width="0" style="68" hidden="1" customWidth="1"/>
    <col min="15092" max="15092" width="13.26953125" style="68" bestFit="1" customWidth="1"/>
    <col min="15093" max="15094" width="16" style="68" bestFit="1" customWidth="1"/>
    <col min="15095" max="15095" width="9.1796875" style="68"/>
    <col min="15096" max="15097" width="16" style="68" bestFit="1" customWidth="1"/>
    <col min="15098" max="15098" width="9.1796875" style="68"/>
    <col min="15099" max="15099" width="0" style="68" hidden="1" customWidth="1"/>
    <col min="15100" max="15100" width="11.26953125" style="68" bestFit="1" customWidth="1"/>
    <col min="15101" max="15107" width="0" style="68" hidden="1" customWidth="1"/>
    <col min="15108" max="15108" width="11.26953125" style="68" bestFit="1" customWidth="1"/>
    <col min="15109" max="15110" width="0" style="68" hidden="1" customWidth="1"/>
    <col min="15111" max="15111" width="11.54296875" style="68" bestFit="1" customWidth="1"/>
    <col min="15112" max="15112" width="16" style="68" bestFit="1" customWidth="1"/>
    <col min="15113" max="15113" width="9.1796875" style="68"/>
    <col min="15114" max="15114" width="15" style="68" bestFit="1" customWidth="1"/>
    <col min="15115" max="15115" width="14" style="68" bestFit="1" customWidth="1"/>
    <col min="15116" max="15344" width="9.1796875" style="68"/>
    <col min="15345" max="15345" width="16.26953125" style="68" customWidth="1"/>
    <col min="15346" max="15347" width="0" style="68" hidden="1" customWidth="1"/>
    <col min="15348" max="15348" width="13.26953125" style="68" bestFit="1" customWidth="1"/>
    <col min="15349" max="15350" width="16" style="68" bestFit="1" customWidth="1"/>
    <col min="15351" max="15351" width="9.1796875" style="68"/>
    <col min="15352" max="15353" width="16" style="68" bestFit="1" customWidth="1"/>
    <col min="15354" max="15354" width="9.1796875" style="68"/>
    <col min="15355" max="15355" width="0" style="68" hidden="1" customWidth="1"/>
    <col min="15356" max="15356" width="11.26953125" style="68" bestFit="1" customWidth="1"/>
    <col min="15357" max="15363" width="0" style="68" hidden="1" customWidth="1"/>
    <col min="15364" max="15364" width="11.26953125" style="68" bestFit="1" customWidth="1"/>
    <col min="15365" max="15366" width="0" style="68" hidden="1" customWidth="1"/>
    <col min="15367" max="15367" width="11.54296875" style="68" bestFit="1" customWidth="1"/>
    <col min="15368" max="15368" width="16" style="68" bestFit="1" customWidth="1"/>
    <col min="15369" max="15369" width="9.1796875" style="68"/>
    <col min="15370" max="15370" width="15" style="68" bestFit="1" customWidth="1"/>
    <col min="15371" max="15371" width="14" style="68" bestFit="1" customWidth="1"/>
    <col min="15372" max="15600" width="9.1796875" style="68"/>
    <col min="15601" max="15601" width="16.26953125" style="68" customWidth="1"/>
    <col min="15602" max="15603" width="0" style="68" hidden="1" customWidth="1"/>
    <col min="15604" max="15604" width="13.26953125" style="68" bestFit="1" customWidth="1"/>
    <col min="15605" max="15606" width="16" style="68" bestFit="1" customWidth="1"/>
    <col min="15607" max="15607" width="9.1796875" style="68"/>
    <col min="15608" max="15609" width="16" style="68" bestFit="1" customWidth="1"/>
    <col min="15610" max="15610" width="9.1796875" style="68"/>
    <col min="15611" max="15611" width="0" style="68" hidden="1" customWidth="1"/>
    <col min="15612" max="15612" width="11.26953125" style="68" bestFit="1" customWidth="1"/>
    <col min="15613" max="15619" width="0" style="68" hidden="1" customWidth="1"/>
    <col min="15620" max="15620" width="11.26953125" style="68" bestFit="1" customWidth="1"/>
    <col min="15621" max="15622" width="0" style="68" hidden="1" customWidth="1"/>
    <col min="15623" max="15623" width="11.54296875" style="68" bestFit="1" customWidth="1"/>
    <col min="15624" max="15624" width="16" style="68" bestFit="1" customWidth="1"/>
    <col min="15625" max="15625" width="9.1796875" style="68"/>
    <col min="15626" max="15626" width="15" style="68" bestFit="1" customWidth="1"/>
    <col min="15627" max="15627" width="14" style="68" bestFit="1" customWidth="1"/>
    <col min="15628" max="15856" width="9.1796875" style="68"/>
    <col min="15857" max="15857" width="16.26953125" style="68" customWidth="1"/>
    <col min="15858" max="15859" width="0" style="68" hidden="1" customWidth="1"/>
    <col min="15860" max="15860" width="13.26953125" style="68" bestFit="1" customWidth="1"/>
    <col min="15861" max="15862" width="16" style="68" bestFit="1" customWidth="1"/>
    <col min="15863" max="15863" width="9.1796875" style="68"/>
    <col min="15864" max="15865" width="16" style="68" bestFit="1" customWidth="1"/>
    <col min="15866" max="15866" width="9.1796875" style="68"/>
    <col min="15867" max="15867" width="0" style="68" hidden="1" customWidth="1"/>
    <col min="15868" max="15868" width="11.26953125" style="68" bestFit="1" customWidth="1"/>
    <col min="15869" max="15875" width="0" style="68" hidden="1" customWidth="1"/>
    <col min="15876" max="15876" width="11.26953125" style="68" bestFit="1" customWidth="1"/>
    <col min="15877" max="15878" width="0" style="68" hidden="1" customWidth="1"/>
    <col min="15879" max="15879" width="11.54296875" style="68" bestFit="1" customWidth="1"/>
    <col min="15880" max="15880" width="16" style="68" bestFit="1" customWidth="1"/>
    <col min="15881" max="15881" width="9.1796875" style="68"/>
    <col min="15882" max="15882" width="15" style="68" bestFit="1" customWidth="1"/>
    <col min="15883" max="15883" width="14" style="68" bestFit="1" customWidth="1"/>
    <col min="15884" max="16112" width="9.1796875" style="68"/>
    <col min="16113" max="16113" width="16.26953125" style="68" customWidth="1"/>
    <col min="16114" max="16115" width="0" style="68" hidden="1" customWidth="1"/>
    <col min="16116" max="16116" width="13.26953125" style="68" bestFit="1" customWidth="1"/>
    <col min="16117" max="16118" width="16" style="68" bestFit="1" customWidth="1"/>
    <col min="16119" max="16119" width="9.1796875" style="68"/>
    <col min="16120" max="16121" width="16" style="68" bestFit="1" customWidth="1"/>
    <col min="16122" max="16122" width="9.1796875" style="68"/>
    <col min="16123" max="16123" width="0" style="68" hidden="1" customWidth="1"/>
    <col min="16124" max="16124" width="11.26953125" style="68" bestFit="1" customWidth="1"/>
    <col min="16125" max="16131" width="0" style="68" hidden="1" customWidth="1"/>
    <col min="16132" max="16132" width="11.26953125" style="68" bestFit="1" customWidth="1"/>
    <col min="16133" max="16134" width="0" style="68" hidden="1" customWidth="1"/>
    <col min="16135" max="16135" width="11.54296875" style="68" bestFit="1" customWidth="1"/>
    <col min="16136" max="16136" width="16" style="68" bestFit="1" customWidth="1"/>
    <col min="16137" max="16137" width="9.1796875" style="68"/>
    <col min="16138" max="16138" width="15" style="68" bestFit="1" customWidth="1"/>
    <col min="16139" max="16139" width="14" style="68" bestFit="1" customWidth="1"/>
    <col min="16140" max="16384" width="9.1796875" style="68"/>
  </cols>
  <sheetData>
    <row r="1" spans="1:12" ht="15.75" customHeight="1" x14ac:dyDescent="0.35">
      <c r="A1" s="371" t="s">
        <v>87</v>
      </c>
      <c r="B1" s="371"/>
      <c r="C1" s="371"/>
      <c r="D1" s="371"/>
      <c r="E1" s="371"/>
      <c r="F1" s="371"/>
      <c r="G1" s="371"/>
      <c r="H1" s="371"/>
      <c r="I1" s="371"/>
      <c r="J1" s="76"/>
      <c r="K1" s="67"/>
      <c r="L1" s="67"/>
    </row>
    <row r="2" spans="1:12" ht="15" customHeight="1" x14ac:dyDescent="0.35">
      <c r="A2" s="371" t="s">
        <v>43</v>
      </c>
      <c r="B2" s="371"/>
      <c r="C2" s="371"/>
      <c r="D2" s="371"/>
      <c r="E2" s="371"/>
      <c r="F2" s="371"/>
      <c r="G2" s="371"/>
      <c r="H2" s="371"/>
      <c r="I2" s="371"/>
      <c r="J2" s="67"/>
      <c r="K2" s="67"/>
      <c r="L2" s="67"/>
    </row>
    <row r="3" spans="1:12" x14ac:dyDescent="0.35">
      <c r="A3" s="372" t="s">
        <v>53</v>
      </c>
      <c r="B3" s="372"/>
      <c r="C3" s="372"/>
      <c r="D3" s="372"/>
      <c r="E3" s="372"/>
      <c r="F3" s="372"/>
      <c r="G3" s="372"/>
      <c r="H3" s="372"/>
      <c r="I3" s="372"/>
    </row>
    <row r="4" spans="1:12" x14ac:dyDescent="0.35">
      <c r="A4" s="77" t="s">
        <v>0</v>
      </c>
      <c r="B4" s="77"/>
      <c r="C4" s="78"/>
      <c r="D4" s="79"/>
      <c r="E4" s="77"/>
      <c r="F4" s="77"/>
      <c r="G4" s="80"/>
      <c r="H4" s="79"/>
    </row>
    <row r="5" spans="1:12" s="178" customFormat="1" x14ac:dyDescent="0.35">
      <c r="A5" s="81" t="s">
        <v>29</v>
      </c>
      <c r="B5" s="82">
        <v>17</v>
      </c>
      <c r="C5" s="175"/>
      <c r="D5" s="186"/>
      <c r="E5" s="81" t="s">
        <v>41</v>
      </c>
      <c r="F5" s="81">
        <f>+B5*12</f>
        <v>204</v>
      </c>
      <c r="G5" s="188"/>
      <c r="H5" s="186"/>
    </row>
    <row r="6" spans="1:12" s="178" customFormat="1" x14ac:dyDescent="0.35">
      <c r="A6" s="81" t="s">
        <v>39</v>
      </c>
      <c r="B6" s="84">
        <f>+'Assumptions and Inputs'!C7</f>
        <v>8.299999999999999E-2</v>
      </c>
      <c r="C6" s="175"/>
      <c r="D6" s="176" t="s">
        <v>0</v>
      </c>
      <c r="E6" s="85" t="s">
        <v>28</v>
      </c>
      <c r="F6" s="187">
        <f>F13/12</f>
        <v>6.9166666666666656E-3</v>
      </c>
      <c r="G6" s="189"/>
      <c r="H6" s="176"/>
    </row>
    <row r="7" spans="1:12" s="178" customFormat="1" x14ac:dyDescent="0.35">
      <c r="A7" s="81" t="s">
        <v>42</v>
      </c>
      <c r="B7" s="86">
        <f>PMT(F13/12,F5,-H13,0,1)</f>
        <v>2330247.4230292756</v>
      </c>
      <c r="C7" s="136"/>
      <c r="D7" s="176"/>
      <c r="E7" s="173"/>
      <c r="F7" s="81"/>
      <c r="G7" s="188"/>
      <c r="H7" s="176" t="s">
        <v>1</v>
      </c>
    </row>
    <row r="8" spans="1:12" s="178" customFormat="1" x14ac:dyDescent="0.35">
      <c r="A8" s="81"/>
      <c r="B8" s="81"/>
      <c r="C8" s="136" t="s">
        <v>2</v>
      </c>
      <c r="D8" s="176"/>
      <c r="E8" s="173" t="s">
        <v>50</v>
      </c>
      <c r="F8" s="81"/>
      <c r="G8" s="190" t="s">
        <v>4</v>
      </c>
      <c r="H8" s="176" t="s">
        <v>3</v>
      </c>
    </row>
    <row r="9" spans="1:12" s="178" customFormat="1" x14ac:dyDescent="0.35">
      <c r="A9" s="173" t="s">
        <v>5</v>
      </c>
      <c r="B9" s="81"/>
      <c r="C9" s="136" t="s">
        <v>3</v>
      </c>
      <c r="D9" s="176" t="s">
        <v>6</v>
      </c>
      <c r="E9" s="136" t="s">
        <v>3</v>
      </c>
      <c r="F9" s="173" t="s">
        <v>7</v>
      </c>
      <c r="G9" s="190" t="s">
        <v>7</v>
      </c>
      <c r="H9" s="176" t="s">
        <v>8</v>
      </c>
    </row>
    <row r="10" spans="1:12" s="178" customFormat="1" x14ac:dyDescent="0.35">
      <c r="A10" s="191" t="s">
        <v>9</v>
      </c>
      <c r="B10" s="191" t="s">
        <v>10</v>
      </c>
      <c r="C10" s="192" t="s">
        <v>11</v>
      </c>
      <c r="D10" s="193" t="s">
        <v>12</v>
      </c>
      <c r="E10" s="192" t="s">
        <v>11</v>
      </c>
      <c r="F10" s="191" t="s">
        <v>13</v>
      </c>
      <c r="G10" s="194" t="s">
        <v>14</v>
      </c>
      <c r="H10" s="193" t="s">
        <v>47</v>
      </c>
      <c r="I10" s="195" t="s">
        <v>40</v>
      </c>
    </row>
    <row r="11" spans="1:12" x14ac:dyDescent="0.35">
      <c r="A11" s="88"/>
      <c r="B11" s="88"/>
      <c r="C11" s="89"/>
      <c r="D11" s="90"/>
      <c r="E11" s="88"/>
      <c r="F11" s="88"/>
      <c r="G11" s="91"/>
      <c r="H11" s="90"/>
      <c r="I11" s="66">
        <f>-SUM(I13:I217)</f>
        <v>254332690.46603203</v>
      </c>
    </row>
    <row r="12" spans="1:12" x14ac:dyDescent="0.35">
      <c r="C12" s="17"/>
      <c r="D12" s="17"/>
      <c r="E12" s="17"/>
      <c r="F12" s="28"/>
      <c r="G12" s="69"/>
      <c r="H12" s="17"/>
      <c r="J12" s="70"/>
    </row>
    <row r="13" spans="1:12" x14ac:dyDescent="0.35">
      <c r="A13" s="71"/>
      <c r="B13" s="72">
        <v>45108</v>
      </c>
      <c r="C13" s="17"/>
      <c r="D13" s="17"/>
      <c r="E13" s="17"/>
      <c r="F13" s="20">
        <f>+B6</f>
        <v>8.299999999999999E-2</v>
      </c>
      <c r="G13" s="73"/>
      <c r="H13" s="19">
        <f>+'Assumptions and Inputs'!C8-'Assumptions and Inputs'!C10</f>
        <v>256091824.90842116</v>
      </c>
      <c r="I13" s="74"/>
    </row>
    <row r="14" spans="1:12" x14ac:dyDescent="0.35">
      <c r="A14" s="71">
        <v>1</v>
      </c>
      <c r="B14" s="72">
        <f>B13+31</f>
        <v>45139</v>
      </c>
      <c r="C14" s="19">
        <f>H13</f>
        <v>256091824.90842116</v>
      </c>
      <c r="D14" s="19">
        <f>-$B$7</f>
        <v>-2330247.4230292756</v>
      </c>
      <c r="E14" s="19">
        <f t="shared" ref="E14:E45" si="0">+D14+C14</f>
        <v>253761577.48539189</v>
      </c>
      <c r="F14" s="20">
        <f>F13</f>
        <v>8.299999999999999E-2</v>
      </c>
      <c r="G14" s="73">
        <f t="shared" ref="G14:G77" si="1">ROUND(((+E14))*F$13/12,4)</f>
        <v>1755184.2442999999</v>
      </c>
      <c r="H14" s="19">
        <f t="shared" ref="H14:H77" si="2">E14+G14</f>
        <v>255516761.72969189</v>
      </c>
      <c r="I14" s="74">
        <f t="shared" ref="I14:I77" si="3">IF(A14&gt;$F$5,"",((1/((1+($B$6/12))^A14))*D14))</f>
        <v>-2314240.5922661019</v>
      </c>
      <c r="J14" s="70"/>
    </row>
    <row r="15" spans="1:12" x14ac:dyDescent="0.35">
      <c r="A15" s="71">
        <v>2</v>
      </c>
      <c r="B15" s="72">
        <f>B14+28</f>
        <v>45167</v>
      </c>
      <c r="C15" s="19">
        <f t="shared" ref="C15:C22" si="4">H14</f>
        <v>255516761.72969189</v>
      </c>
      <c r="D15" s="19">
        <f>+D14</f>
        <v>-2330247.4230292756</v>
      </c>
      <c r="E15" s="19">
        <f t="shared" si="0"/>
        <v>253186514.30666262</v>
      </c>
      <c r="F15" s="20">
        <f t="shared" ref="F15:F22" si="5">F14</f>
        <v>8.299999999999999E-2</v>
      </c>
      <c r="G15" s="73">
        <f t="shared" si="1"/>
        <v>1751206.7239999999</v>
      </c>
      <c r="H15" s="19">
        <f t="shared" si="2"/>
        <v>254937721.03066263</v>
      </c>
      <c r="I15" s="74">
        <f t="shared" si="3"/>
        <v>-2298343.7149046776</v>
      </c>
      <c r="J15" s="70"/>
    </row>
    <row r="16" spans="1:12" x14ac:dyDescent="0.35">
      <c r="A16" s="71">
        <v>3</v>
      </c>
      <c r="B16" s="72">
        <f>B15+31</f>
        <v>45198</v>
      </c>
      <c r="C16" s="19">
        <f t="shared" si="4"/>
        <v>254937721.03066263</v>
      </c>
      <c r="D16" s="19">
        <f>+D15</f>
        <v>-2330247.4230292756</v>
      </c>
      <c r="E16" s="19">
        <f t="shared" si="0"/>
        <v>252607473.60763335</v>
      </c>
      <c r="F16" s="20">
        <f t="shared" si="5"/>
        <v>8.299999999999999E-2</v>
      </c>
      <c r="G16" s="73">
        <f t="shared" si="1"/>
        <v>1747201.6924999999</v>
      </c>
      <c r="H16" s="19">
        <f t="shared" si="2"/>
        <v>254354675.30013335</v>
      </c>
      <c r="I16" s="74">
        <f t="shared" si="3"/>
        <v>-2282556.0356580429</v>
      </c>
      <c r="J16" s="70"/>
    </row>
    <row r="17" spans="1:11" x14ac:dyDescent="0.35">
      <c r="A17" s="71">
        <v>4</v>
      </c>
      <c r="B17" s="72">
        <f t="shared" ref="B17:B22" si="6">B16+30</f>
        <v>45228</v>
      </c>
      <c r="C17" s="19">
        <f t="shared" si="4"/>
        <v>254354675.30013335</v>
      </c>
      <c r="D17" s="19">
        <f>+D16</f>
        <v>-2330247.4230292756</v>
      </c>
      <c r="E17" s="19">
        <f t="shared" si="0"/>
        <v>252024427.87710407</v>
      </c>
      <c r="F17" s="20">
        <f t="shared" si="5"/>
        <v>8.299999999999999E-2</v>
      </c>
      <c r="G17" s="73">
        <f t="shared" si="1"/>
        <v>1743168.9595000001</v>
      </c>
      <c r="H17" s="19">
        <f t="shared" si="2"/>
        <v>253767596.83660409</v>
      </c>
      <c r="I17" s="74">
        <f t="shared" si="3"/>
        <v>-2266876.8044274203</v>
      </c>
      <c r="J17" s="70"/>
    </row>
    <row r="18" spans="1:11" x14ac:dyDescent="0.35">
      <c r="A18" s="71">
        <v>5</v>
      </c>
      <c r="B18" s="72">
        <f>B17+31</f>
        <v>45259</v>
      </c>
      <c r="C18" s="19">
        <f t="shared" si="4"/>
        <v>253767596.83660409</v>
      </c>
      <c r="D18" s="19">
        <f>D17</f>
        <v>-2330247.4230292756</v>
      </c>
      <c r="E18" s="19">
        <f t="shared" si="0"/>
        <v>251437349.41357481</v>
      </c>
      <c r="F18" s="20">
        <f t="shared" si="5"/>
        <v>8.299999999999999E-2</v>
      </c>
      <c r="G18" s="73">
        <f t="shared" si="1"/>
        <v>1739108.3333999999</v>
      </c>
      <c r="H18" s="19">
        <f t="shared" si="2"/>
        <v>253176457.74697483</v>
      </c>
      <c r="I18" s="74">
        <f t="shared" si="3"/>
        <v>-2251305.2762665767</v>
      </c>
      <c r="J18" s="70"/>
    </row>
    <row r="19" spans="1:11" x14ac:dyDescent="0.35">
      <c r="A19" s="71">
        <v>6</v>
      </c>
      <c r="B19" s="72">
        <f t="shared" si="6"/>
        <v>45289</v>
      </c>
      <c r="C19" s="19">
        <f t="shared" si="4"/>
        <v>253176457.74697483</v>
      </c>
      <c r="D19" s="19">
        <f t="shared" ref="D19:D22" si="7">D18</f>
        <v>-2330247.4230292756</v>
      </c>
      <c r="E19" s="19">
        <f t="shared" si="0"/>
        <v>250846210.32394555</v>
      </c>
      <c r="F19" s="20">
        <f t="shared" si="5"/>
        <v>8.299999999999999E-2</v>
      </c>
      <c r="G19" s="73">
        <f t="shared" si="1"/>
        <v>1735019.6214000001</v>
      </c>
      <c r="H19" s="19">
        <f t="shared" si="2"/>
        <v>252581229.94534555</v>
      </c>
      <c r="I19" s="74">
        <f t="shared" si="3"/>
        <v>-2235840.7113464302</v>
      </c>
      <c r="J19" s="70"/>
    </row>
    <row r="20" spans="1:11" x14ac:dyDescent="0.35">
      <c r="A20" s="71">
        <v>7</v>
      </c>
      <c r="B20" s="72">
        <f>B19+31</f>
        <v>45320</v>
      </c>
      <c r="C20" s="19">
        <f t="shared" si="4"/>
        <v>252581229.94534555</v>
      </c>
      <c r="D20" s="19">
        <f t="shared" si="7"/>
        <v>-2330247.4230292756</v>
      </c>
      <c r="E20" s="19">
        <f t="shared" si="0"/>
        <v>250250982.52231628</v>
      </c>
      <c r="F20" s="20">
        <f t="shared" si="5"/>
        <v>8.299999999999999E-2</v>
      </c>
      <c r="G20" s="73">
        <f t="shared" si="1"/>
        <v>1730902.6291</v>
      </c>
      <c r="H20" s="19">
        <f t="shared" si="2"/>
        <v>251981885.15141627</v>
      </c>
      <c r="I20" s="74">
        <f t="shared" si="3"/>
        <v>-2220482.3749199011</v>
      </c>
      <c r="J20" s="70"/>
    </row>
    <row r="21" spans="1:11" x14ac:dyDescent="0.35">
      <c r="A21" s="71">
        <v>8</v>
      </c>
      <c r="B21" s="72">
        <f>B20+31</f>
        <v>45351</v>
      </c>
      <c r="C21" s="19">
        <f t="shared" si="4"/>
        <v>251981885.15141627</v>
      </c>
      <c r="D21" s="19">
        <f t="shared" si="7"/>
        <v>-2330247.4230292756</v>
      </c>
      <c r="E21" s="19">
        <f t="shared" si="0"/>
        <v>249651637.728387</v>
      </c>
      <c r="F21" s="20">
        <f t="shared" si="5"/>
        <v>8.299999999999999E-2</v>
      </c>
      <c r="G21" s="73">
        <f t="shared" si="1"/>
        <v>1726757.1610000001</v>
      </c>
      <c r="H21" s="19">
        <f t="shared" si="2"/>
        <v>251378394.88938701</v>
      </c>
      <c r="I21" s="74">
        <f t="shared" si="3"/>
        <v>-2205229.5372869996</v>
      </c>
      <c r="J21" s="70"/>
    </row>
    <row r="22" spans="1:11" x14ac:dyDescent="0.35">
      <c r="A22" s="71">
        <v>9</v>
      </c>
      <c r="B22" s="72">
        <f t="shared" si="6"/>
        <v>45381</v>
      </c>
      <c r="C22" s="19">
        <f t="shared" si="4"/>
        <v>251378394.88938701</v>
      </c>
      <c r="D22" s="19">
        <f t="shared" si="7"/>
        <v>-2330247.4230292756</v>
      </c>
      <c r="E22" s="19">
        <f t="shared" si="0"/>
        <v>249048147.46635774</v>
      </c>
      <c r="F22" s="20">
        <f t="shared" si="5"/>
        <v>8.299999999999999E-2</v>
      </c>
      <c r="G22" s="73">
        <f t="shared" si="1"/>
        <v>1722583.02</v>
      </c>
      <c r="H22" s="19">
        <f t="shared" si="2"/>
        <v>250770730.48635775</v>
      </c>
      <c r="I22" s="74">
        <f t="shared" si="3"/>
        <v>-2190081.4737601583</v>
      </c>
      <c r="J22" s="70"/>
    </row>
    <row r="23" spans="1:11" x14ac:dyDescent="0.35">
      <c r="A23" s="71">
        <v>10</v>
      </c>
      <c r="B23" s="72">
        <f>B22+31</f>
        <v>45412</v>
      </c>
      <c r="C23" s="19">
        <f>H22</f>
        <v>250770730.48635775</v>
      </c>
      <c r="D23" s="19">
        <f>D22</f>
        <v>-2330247.4230292756</v>
      </c>
      <c r="E23" s="19">
        <f t="shared" si="0"/>
        <v>248440483.06332847</v>
      </c>
      <c r="F23" s="20">
        <f>F22</f>
        <v>8.299999999999999E-2</v>
      </c>
      <c r="G23" s="73">
        <f t="shared" si="1"/>
        <v>1718380.0079000001</v>
      </c>
      <c r="H23" s="19">
        <f t="shared" si="2"/>
        <v>250158863.07122847</v>
      </c>
      <c r="I23" s="74">
        <f t="shared" si="3"/>
        <v>-2175037.4646298024</v>
      </c>
      <c r="J23" s="70"/>
    </row>
    <row r="24" spans="1:11" x14ac:dyDescent="0.35">
      <c r="A24" s="71">
        <v>11</v>
      </c>
      <c r="B24" s="72">
        <f>B23+30</f>
        <v>45442</v>
      </c>
      <c r="C24" s="19">
        <f>H23</f>
        <v>250158863.07122847</v>
      </c>
      <c r="D24" s="19">
        <f>D23</f>
        <v>-2330247.4230292756</v>
      </c>
      <c r="E24" s="19">
        <f t="shared" si="0"/>
        <v>247828615.6481992</v>
      </c>
      <c r="F24" s="20">
        <f>F23</f>
        <v>8.299999999999999E-2</v>
      </c>
      <c r="G24" s="73">
        <f t="shared" si="1"/>
        <v>1714147.9249</v>
      </c>
      <c r="H24" s="19">
        <f t="shared" si="2"/>
        <v>249542763.5730992</v>
      </c>
      <c r="I24" s="74">
        <f t="shared" si="3"/>
        <v>-2160096.7951301523</v>
      </c>
      <c r="J24" s="70"/>
    </row>
    <row r="25" spans="1:11" x14ac:dyDescent="0.35">
      <c r="A25" s="71">
        <v>12</v>
      </c>
      <c r="B25" s="72">
        <f>B24+31</f>
        <v>45473</v>
      </c>
      <c r="C25" s="19">
        <f t="shared" ref="C25:C34" si="8">H24</f>
        <v>249542763.5730992</v>
      </c>
      <c r="D25" s="19">
        <f t="shared" ref="D25:D30" si="9">D24</f>
        <v>-2330247.4230292756</v>
      </c>
      <c r="E25" s="19">
        <f t="shared" si="0"/>
        <v>247212516.15006992</v>
      </c>
      <c r="F25" s="20">
        <f t="shared" ref="F25:F88" si="10">F24</f>
        <v>8.299999999999999E-2</v>
      </c>
      <c r="G25" s="73">
        <f t="shared" si="1"/>
        <v>1709886.57</v>
      </c>
      <c r="H25" s="19">
        <f t="shared" si="2"/>
        <v>248922402.72006992</v>
      </c>
      <c r="I25" s="74">
        <f t="shared" si="3"/>
        <v>-2145258.7554052658</v>
      </c>
      <c r="J25" s="70"/>
    </row>
    <row r="26" spans="1:11" x14ac:dyDescent="0.35">
      <c r="A26" s="71">
        <v>13</v>
      </c>
      <c r="B26" s="72">
        <f>B25+31</f>
        <v>45504</v>
      </c>
      <c r="C26" s="19">
        <f t="shared" si="8"/>
        <v>248922402.72006992</v>
      </c>
      <c r="D26" s="19">
        <f t="shared" si="9"/>
        <v>-2330247.4230292756</v>
      </c>
      <c r="E26" s="19">
        <f t="shared" si="0"/>
        <v>246592155.29704064</v>
      </c>
      <c r="F26" s="20">
        <f t="shared" si="10"/>
        <v>8.299999999999999E-2</v>
      </c>
      <c r="G26" s="73">
        <f t="shared" si="1"/>
        <v>1705595.7408</v>
      </c>
      <c r="H26" s="19">
        <f t="shared" si="2"/>
        <v>248297751.03784063</v>
      </c>
      <c r="I26" s="74">
        <f t="shared" si="3"/>
        <v>-2130522.6404753122</v>
      </c>
      <c r="J26" s="70"/>
    </row>
    <row r="27" spans="1:11" x14ac:dyDescent="0.35">
      <c r="A27" s="71">
        <v>14</v>
      </c>
      <c r="B27" s="72">
        <f>B26+29</f>
        <v>45533</v>
      </c>
      <c r="C27" s="19">
        <f t="shared" si="8"/>
        <v>248297751.03784063</v>
      </c>
      <c r="D27" s="19">
        <f t="shared" si="9"/>
        <v>-2330247.4230292756</v>
      </c>
      <c r="E27" s="19">
        <f t="shared" si="0"/>
        <v>245967503.61481136</v>
      </c>
      <c r="F27" s="20">
        <f t="shared" si="10"/>
        <v>8.299999999999999E-2</v>
      </c>
      <c r="G27" s="73">
        <f t="shared" si="1"/>
        <v>1701275.2333</v>
      </c>
      <c r="H27" s="19">
        <f t="shared" si="2"/>
        <v>247668778.84811136</v>
      </c>
      <c r="I27" s="74">
        <f t="shared" si="3"/>
        <v>-2115887.750203074</v>
      </c>
      <c r="J27" s="70"/>
    </row>
    <row r="28" spans="1:11" x14ac:dyDescent="0.35">
      <c r="A28" s="71">
        <v>15</v>
      </c>
      <c r="B28" s="72">
        <f>B27+31</f>
        <v>45564</v>
      </c>
      <c r="C28" s="19">
        <f t="shared" si="8"/>
        <v>247668778.84811136</v>
      </c>
      <c r="D28" s="19">
        <f t="shared" si="9"/>
        <v>-2330247.4230292756</v>
      </c>
      <c r="E28" s="19">
        <f t="shared" si="0"/>
        <v>245338531.42508209</v>
      </c>
      <c r="F28" s="20">
        <f t="shared" si="10"/>
        <v>8.299999999999999E-2</v>
      </c>
      <c r="G28" s="73">
        <f t="shared" si="1"/>
        <v>1696924.8424</v>
      </c>
      <c r="H28" s="19">
        <f t="shared" si="2"/>
        <v>247035456.2674821</v>
      </c>
      <c r="I28" s="74">
        <f t="shared" si="3"/>
        <v>-2101353.3892606874</v>
      </c>
      <c r="J28" s="70"/>
    </row>
    <row r="29" spans="1:11" x14ac:dyDescent="0.35">
      <c r="A29" s="71">
        <v>16</v>
      </c>
      <c r="B29" s="72">
        <f t="shared" ref="B29:B34" si="11">B28+30</f>
        <v>45594</v>
      </c>
      <c r="C29" s="19">
        <f t="shared" si="8"/>
        <v>247035456.2674821</v>
      </c>
      <c r="D29" s="19">
        <f t="shared" si="9"/>
        <v>-2330247.4230292756</v>
      </c>
      <c r="E29" s="19">
        <f t="shared" si="0"/>
        <v>244705208.84445283</v>
      </c>
      <c r="F29" s="20">
        <f t="shared" si="10"/>
        <v>8.299999999999999E-2</v>
      </c>
      <c r="G29" s="73">
        <f t="shared" si="1"/>
        <v>1692544.3611999999</v>
      </c>
      <c r="H29" s="19">
        <f t="shared" si="2"/>
        <v>246397753.20565283</v>
      </c>
      <c r="I29" s="74">
        <f t="shared" si="3"/>
        <v>-2086918.8670966029</v>
      </c>
      <c r="J29" s="70"/>
    </row>
    <row r="30" spans="1:11" x14ac:dyDescent="0.35">
      <c r="A30" s="71">
        <v>17</v>
      </c>
      <c r="B30" s="72">
        <f>B29+31</f>
        <v>45625</v>
      </c>
      <c r="C30" s="19">
        <f t="shared" si="8"/>
        <v>246397753.20565283</v>
      </c>
      <c r="D30" s="19">
        <f t="shared" si="9"/>
        <v>-2330247.4230292756</v>
      </c>
      <c r="E30" s="19">
        <f t="shared" si="0"/>
        <v>244067505.78262356</v>
      </c>
      <c r="F30" s="20">
        <f t="shared" si="10"/>
        <v>8.299999999999999E-2</v>
      </c>
      <c r="G30" s="73">
        <f t="shared" si="1"/>
        <v>1688133.5817</v>
      </c>
      <c r="H30" s="19">
        <f t="shared" si="2"/>
        <v>245755639.36432356</v>
      </c>
      <c r="I30" s="74">
        <f t="shared" si="3"/>
        <v>-2072583.4979027756</v>
      </c>
      <c r="J30" s="70"/>
    </row>
    <row r="31" spans="1:11" x14ac:dyDescent="0.35">
      <c r="A31" s="71">
        <v>18</v>
      </c>
      <c r="B31" s="72">
        <f t="shared" si="11"/>
        <v>45655</v>
      </c>
      <c r="C31" s="19">
        <f t="shared" si="8"/>
        <v>245755639.36432356</v>
      </c>
      <c r="D31" s="19">
        <f>D30</f>
        <v>-2330247.4230292756</v>
      </c>
      <c r="E31" s="19">
        <f t="shared" si="0"/>
        <v>243425391.94129428</v>
      </c>
      <c r="F31" s="20">
        <f t="shared" si="10"/>
        <v>8.299999999999999E-2</v>
      </c>
      <c r="G31" s="73">
        <f t="shared" si="1"/>
        <v>1683692.2943</v>
      </c>
      <c r="H31" s="19">
        <f t="shared" si="2"/>
        <v>245109084.23559427</v>
      </c>
      <c r="I31" s="74">
        <f t="shared" si="3"/>
        <v>-2058346.6005820828</v>
      </c>
      <c r="K31" s="70"/>
    </row>
    <row r="32" spans="1:11" x14ac:dyDescent="0.35">
      <c r="A32" s="71">
        <v>19</v>
      </c>
      <c r="B32" s="72">
        <f>B31+31</f>
        <v>45686</v>
      </c>
      <c r="C32" s="19">
        <f t="shared" si="8"/>
        <v>245109084.23559427</v>
      </c>
      <c r="D32" s="19">
        <f t="shared" ref="D32:D34" si="12">D31</f>
        <v>-2330247.4230292756</v>
      </c>
      <c r="E32" s="19">
        <f t="shared" si="0"/>
        <v>242778836.812565</v>
      </c>
      <c r="F32" s="20">
        <f t="shared" si="10"/>
        <v>8.299999999999999E-2</v>
      </c>
      <c r="G32" s="73">
        <f t="shared" si="1"/>
        <v>1679220.2879999999</v>
      </c>
      <c r="H32" s="19">
        <f t="shared" si="2"/>
        <v>244458057.10056499</v>
      </c>
      <c r="I32" s="74">
        <f t="shared" si="3"/>
        <v>-2044207.4987159639</v>
      </c>
    </row>
    <row r="33" spans="1:10" x14ac:dyDescent="0.35">
      <c r="A33" s="71">
        <v>20</v>
      </c>
      <c r="B33" s="72">
        <f>B32+31</f>
        <v>45717</v>
      </c>
      <c r="C33" s="19">
        <f t="shared" si="8"/>
        <v>244458057.10056499</v>
      </c>
      <c r="D33" s="19">
        <f t="shared" si="12"/>
        <v>-2330247.4230292756</v>
      </c>
      <c r="E33" s="19">
        <f t="shared" si="0"/>
        <v>242127809.67753571</v>
      </c>
      <c r="F33" s="20">
        <f t="shared" si="10"/>
        <v>8.299999999999999E-2</v>
      </c>
      <c r="G33" s="73">
        <f t="shared" si="1"/>
        <v>1674717.3503</v>
      </c>
      <c r="H33" s="19">
        <f t="shared" si="2"/>
        <v>243802527.02783573</v>
      </c>
      <c r="I33" s="74">
        <f t="shared" si="3"/>
        <v>-2030165.5205322825</v>
      </c>
    </row>
    <row r="34" spans="1:10" x14ac:dyDescent="0.35">
      <c r="A34" s="71">
        <v>21</v>
      </c>
      <c r="B34" s="72">
        <f t="shared" si="11"/>
        <v>45747</v>
      </c>
      <c r="C34" s="19">
        <f t="shared" si="8"/>
        <v>243802527.02783573</v>
      </c>
      <c r="D34" s="19">
        <f t="shared" si="12"/>
        <v>-2330247.4230292756</v>
      </c>
      <c r="E34" s="19">
        <f t="shared" si="0"/>
        <v>241472279.60480645</v>
      </c>
      <c r="F34" s="20">
        <f t="shared" si="10"/>
        <v>8.299999999999999E-2</v>
      </c>
      <c r="G34" s="73">
        <f t="shared" si="1"/>
        <v>1670183.2672999999</v>
      </c>
      <c r="H34" s="19">
        <f t="shared" si="2"/>
        <v>243142462.87210646</v>
      </c>
      <c r="I34" s="74">
        <f t="shared" si="3"/>
        <v>-2016219.9988734087</v>
      </c>
      <c r="J34" s="70"/>
    </row>
    <row r="35" spans="1:10" x14ac:dyDescent="0.35">
      <c r="A35" s="71">
        <v>22</v>
      </c>
      <c r="B35" s="72">
        <f>B34+31</f>
        <v>45778</v>
      </c>
      <c r="C35" s="19">
        <f>H34</f>
        <v>243142462.87210646</v>
      </c>
      <c r="D35" s="19">
        <f>D34</f>
        <v>-2330247.4230292756</v>
      </c>
      <c r="E35" s="19">
        <f t="shared" si="0"/>
        <v>240812215.44907719</v>
      </c>
      <c r="F35" s="20">
        <f t="shared" si="10"/>
        <v>8.299999999999999E-2</v>
      </c>
      <c r="G35" s="73">
        <f t="shared" si="1"/>
        <v>1665617.8234999999</v>
      </c>
      <c r="H35" s="19">
        <f t="shared" si="2"/>
        <v>242477833.2725772</v>
      </c>
      <c r="I35" s="74">
        <f t="shared" si="3"/>
        <v>-2002370.2711645204</v>
      </c>
    </row>
    <row r="36" spans="1:10" x14ac:dyDescent="0.35">
      <c r="A36" s="71">
        <v>23</v>
      </c>
      <c r="B36" s="72">
        <f>B35+30</f>
        <v>45808</v>
      </c>
      <c r="C36" s="19">
        <f>H35</f>
        <v>242477833.2725772</v>
      </c>
      <c r="D36" s="19">
        <f>D35</f>
        <v>-2330247.4230292756</v>
      </c>
      <c r="E36" s="19">
        <f t="shared" si="0"/>
        <v>240147585.84954792</v>
      </c>
      <c r="F36" s="20">
        <f t="shared" si="10"/>
        <v>8.299999999999999E-2</v>
      </c>
      <c r="G36" s="73">
        <f t="shared" si="1"/>
        <v>1661020.8021</v>
      </c>
      <c r="H36" s="19">
        <f t="shared" si="2"/>
        <v>241808606.65164793</v>
      </c>
      <c r="I36" s="74">
        <f t="shared" si="3"/>
        <v>-1988615.6793821275</v>
      </c>
    </row>
    <row r="37" spans="1:10" x14ac:dyDescent="0.35">
      <c r="A37" s="71">
        <v>24</v>
      </c>
      <c r="B37" s="72">
        <f>B36+31</f>
        <v>45839</v>
      </c>
      <c r="C37" s="19">
        <f t="shared" ref="C37:C46" si="13">H36</f>
        <v>241808606.65164793</v>
      </c>
      <c r="D37" s="19">
        <f t="shared" ref="D37:D58" si="14">D36</f>
        <v>-2330247.4230292756</v>
      </c>
      <c r="E37" s="19">
        <f t="shared" si="0"/>
        <v>239478359.22861865</v>
      </c>
      <c r="F37" s="20">
        <f t="shared" si="10"/>
        <v>8.299999999999999E-2</v>
      </c>
      <c r="G37" s="73">
        <f t="shared" si="1"/>
        <v>1656391.9846999999</v>
      </c>
      <c r="H37" s="19">
        <f t="shared" si="2"/>
        <v>241134751.21331865</v>
      </c>
      <c r="I37" s="74">
        <f t="shared" si="3"/>
        <v>-1974955.5700228035</v>
      </c>
      <c r="J37" s="70"/>
    </row>
    <row r="38" spans="1:10" x14ac:dyDescent="0.35">
      <c r="A38" s="71">
        <v>25</v>
      </c>
      <c r="B38" s="72">
        <f>B37+31</f>
        <v>45870</v>
      </c>
      <c r="C38" s="19">
        <f t="shared" si="13"/>
        <v>241134751.21331865</v>
      </c>
      <c r="D38" s="19">
        <f t="shared" si="14"/>
        <v>-2330247.4230292756</v>
      </c>
      <c r="E38" s="19">
        <f t="shared" si="0"/>
        <v>238804503.79028937</v>
      </c>
      <c r="F38" s="20">
        <f t="shared" si="10"/>
        <v>8.299999999999999E-2</v>
      </c>
      <c r="G38" s="73">
        <f t="shared" si="1"/>
        <v>1651731.1512</v>
      </c>
      <c r="H38" s="19">
        <f t="shared" si="2"/>
        <v>240456234.94148937</v>
      </c>
      <c r="I38" s="74">
        <f t="shared" si="3"/>
        <v>-1961389.2940721374</v>
      </c>
    </row>
    <row r="39" spans="1:10" x14ac:dyDescent="0.35">
      <c r="A39" s="71">
        <v>26</v>
      </c>
      <c r="B39" s="72">
        <f>B38+28</f>
        <v>45898</v>
      </c>
      <c r="C39" s="19">
        <f t="shared" si="13"/>
        <v>240456234.94148937</v>
      </c>
      <c r="D39" s="19">
        <f t="shared" si="14"/>
        <v>-2330247.4230292756</v>
      </c>
      <c r="E39" s="19">
        <f t="shared" si="0"/>
        <v>238125987.51846009</v>
      </c>
      <c r="F39" s="20">
        <f t="shared" si="10"/>
        <v>8.299999999999999E-2</v>
      </c>
      <c r="G39" s="73">
        <f t="shared" si="1"/>
        <v>1647038.0803</v>
      </c>
      <c r="H39" s="19">
        <f t="shared" si="2"/>
        <v>239773025.5987601</v>
      </c>
      <c r="I39" s="74">
        <f t="shared" si="3"/>
        <v>-1947916.2069739013</v>
      </c>
    </row>
    <row r="40" spans="1:10" x14ac:dyDescent="0.35">
      <c r="A40" s="71">
        <v>27</v>
      </c>
      <c r="B40" s="72">
        <f>B39+31</f>
        <v>45929</v>
      </c>
      <c r="C40" s="19">
        <f t="shared" si="13"/>
        <v>239773025.5987601</v>
      </c>
      <c r="D40" s="19">
        <f t="shared" si="14"/>
        <v>-2330247.4230292756</v>
      </c>
      <c r="E40" s="19">
        <f t="shared" si="0"/>
        <v>237442778.17573082</v>
      </c>
      <c r="F40" s="20">
        <f t="shared" si="10"/>
        <v>8.299999999999999E-2</v>
      </c>
      <c r="G40" s="73">
        <f t="shared" si="1"/>
        <v>1642312.5490000001</v>
      </c>
      <c r="H40" s="19">
        <f t="shared" si="2"/>
        <v>239085090.72473082</v>
      </c>
      <c r="I40" s="74">
        <f t="shared" si="3"/>
        <v>-1934535.6685994221</v>
      </c>
    </row>
    <row r="41" spans="1:10" x14ac:dyDescent="0.35">
      <c r="A41" s="71">
        <v>28</v>
      </c>
      <c r="B41" s="72">
        <f t="shared" ref="B41:B46" si="15">B40+30</f>
        <v>45959</v>
      </c>
      <c r="C41" s="19">
        <f t="shared" si="13"/>
        <v>239085090.72473082</v>
      </c>
      <c r="D41" s="19">
        <f t="shared" si="14"/>
        <v>-2330247.4230292756</v>
      </c>
      <c r="E41" s="19">
        <f t="shared" si="0"/>
        <v>236754843.30170155</v>
      </c>
      <c r="F41" s="20">
        <f t="shared" si="10"/>
        <v>8.299999999999999E-2</v>
      </c>
      <c r="G41" s="73">
        <f t="shared" si="1"/>
        <v>1637554.3328</v>
      </c>
      <c r="H41" s="19">
        <f t="shared" si="2"/>
        <v>238392397.63450155</v>
      </c>
      <c r="I41" s="74">
        <f t="shared" si="3"/>
        <v>-1921247.0432171701</v>
      </c>
    </row>
    <row r="42" spans="1:10" x14ac:dyDescent="0.35">
      <c r="A42" s="71">
        <v>29</v>
      </c>
      <c r="B42" s="72">
        <f>B41+31</f>
        <v>45990</v>
      </c>
      <c r="C42" s="19">
        <f t="shared" si="13"/>
        <v>238392397.63450155</v>
      </c>
      <c r="D42" s="19">
        <f t="shared" si="14"/>
        <v>-2330247.4230292756</v>
      </c>
      <c r="E42" s="19">
        <f t="shared" si="0"/>
        <v>236062150.21147227</v>
      </c>
      <c r="F42" s="20">
        <f t="shared" si="10"/>
        <v>8.299999999999999E-2</v>
      </c>
      <c r="G42" s="73">
        <f t="shared" si="1"/>
        <v>1632763.2056</v>
      </c>
      <c r="H42" s="19">
        <f t="shared" si="2"/>
        <v>237694913.41707227</v>
      </c>
      <c r="I42" s="74">
        <f t="shared" si="3"/>
        <v>-1908049.6994625547</v>
      </c>
    </row>
    <row r="43" spans="1:10" x14ac:dyDescent="0.35">
      <c r="A43" s="71">
        <v>30</v>
      </c>
      <c r="B43" s="72">
        <f t="shared" si="15"/>
        <v>46020</v>
      </c>
      <c r="C43" s="19">
        <f t="shared" si="13"/>
        <v>237694913.41707227</v>
      </c>
      <c r="D43" s="19">
        <f t="shared" si="14"/>
        <v>-2330247.4230292756</v>
      </c>
      <c r="E43" s="19">
        <f t="shared" si="0"/>
        <v>235364665.99404299</v>
      </c>
      <c r="F43" s="20">
        <f t="shared" si="10"/>
        <v>8.299999999999999E-2</v>
      </c>
      <c r="G43" s="73">
        <f t="shared" si="1"/>
        <v>1627938.9398000001</v>
      </c>
      <c r="H43" s="19">
        <f t="shared" si="2"/>
        <v>236992604.93384299</v>
      </c>
      <c r="I43" s="74">
        <f t="shared" si="3"/>
        <v>-1894943.0103079246</v>
      </c>
    </row>
    <row r="44" spans="1:10" x14ac:dyDescent="0.35">
      <c r="A44" s="71">
        <v>31</v>
      </c>
      <c r="B44" s="72">
        <f>B43+31</f>
        <v>46051</v>
      </c>
      <c r="C44" s="19">
        <f t="shared" si="13"/>
        <v>236992604.93384299</v>
      </c>
      <c r="D44" s="19">
        <f t="shared" si="14"/>
        <v>-2330247.4230292756</v>
      </c>
      <c r="E44" s="19">
        <f t="shared" si="0"/>
        <v>234662357.51081371</v>
      </c>
      <c r="F44" s="20">
        <f t="shared" si="10"/>
        <v>8.299999999999999E-2</v>
      </c>
      <c r="G44" s="73">
        <f t="shared" si="1"/>
        <v>1623081.3060999999</v>
      </c>
      <c r="H44" s="19">
        <f t="shared" si="2"/>
        <v>236285438.81691372</v>
      </c>
      <c r="I44" s="74">
        <f t="shared" si="3"/>
        <v>-1881926.3530327815</v>
      </c>
      <c r="J44" s="17"/>
    </row>
    <row r="45" spans="1:10" x14ac:dyDescent="0.35">
      <c r="A45" s="71">
        <v>32</v>
      </c>
      <c r="B45" s="72">
        <f>B44+31</f>
        <v>46082</v>
      </c>
      <c r="C45" s="19">
        <f t="shared" si="13"/>
        <v>236285438.81691372</v>
      </c>
      <c r="D45" s="19">
        <f t="shared" si="14"/>
        <v>-2330247.4230292756</v>
      </c>
      <c r="E45" s="19">
        <f t="shared" si="0"/>
        <v>233955191.39388445</v>
      </c>
      <c r="F45" s="20">
        <f t="shared" si="10"/>
        <v>8.299999999999999E-2</v>
      </c>
      <c r="G45" s="73">
        <f t="shared" si="1"/>
        <v>1618190.0737999999</v>
      </c>
      <c r="H45" s="19">
        <f t="shared" si="2"/>
        <v>235573381.46768445</v>
      </c>
      <c r="I45" s="74">
        <f t="shared" si="3"/>
        <v>-1868999.1091941881</v>
      </c>
      <c r="J45" s="70"/>
    </row>
    <row r="46" spans="1:10" x14ac:dyDescent="0.35">
      <c r="A46" s="71">
        <v>33</v>
      </c>
      <c r="B46" s="72">
        <f t="shared" si="15"/>
        <v>46112</v>
      </c>
      <c r="C46" s="19">
        <f t="shared" si="13"/>
        <v>235573381.46768445</v>
      </c>
      <c r="D46" s="19">
        <f t="shared" si="14"/>
        <v>-2330247.4230292756</v>
      </c>
      <c r="E46" s="19">
        <f t="shared" ref="E46:E77" si="16">+D46+C46</f>
        <v>233243134.04465517</v>
      </c>
      <c r="F46" s="20">
        <f t="shared" si="10"/>
        <v>8.299999999999999E-2</v>
      </c>
      <c r="G46" s="73">
        <f t="shared" si="1"/>
        <v>1613265.0105000001</v>
      </c>
      <c r="H46" s="19">
        <f t="shared" si="2"/>
        <v>234856399.05515519</v>
      </c>
      <c r="I46" s="74">
        <f t="shared" si="3"/>
        <v>-1856160.6645973895</v>
      </c>
    </row>
    <row r="47" spans="1:10" x14ac:dyDescent="0.35">
      <c r="A47" s="71">
        <v>34</v>
      </c>
      <c r="B47" s="72">
        <f>B46+31</f>
        <v>46143</v>
      </c>
      <c r="C47" s="19">
        <f>H46</f>
        <v>234856399.05515519</v>
      </c>
      <c r="D47" s="19">
        <f>D46</f>
        <v>-2330247.4230292756</v>
      </c>
      <c r="E47" s="19">
        <f t="shared" si="16"/>
        <v>232526151.63212591</v>
      </c>
      <c r="F47" s="20">
        <f t="shared" si="10"/>
        <v>8.299999999999999E-2</v>
      </c>
      <c r="G47" s="73">
        <f t="shared" si="1"/>
        <v>1608305.8821</v>
      </c>
      <c r="H47" s="19">
        <f t="shared" si="2"/>
        <v>234134457.5142259</v>
      </c>
      <c r="I47" s="74">
        <f t="shared" si="3"/>
        <v>-1843410.4092666288</v>
      </c>
    </row>
    <row r="48" spans="1:10" x14ac:dyDescent="0.35">
      <c r="A48" s="71">
        <v>35</v>
      </c>
      <c r="B48" s="72">
        <f>B47+30</f>
        <v>46173</v>
      </c>
      <c r="C48" s="19">
        <f>H47</f>
        <v>234134457.5142259</v>
      </c>
      <c r="D48" s="19">
        <f t="shared" si="14"/>
        <v>-2330247.4230292756</v>
      </c>
      <c r="E48" s="19">
        <f t="shared" si="16"/>
        <v>231804210.09119663</v>
      </c>
      <c r="F48" s="20">
        <f t="shared" si="10"/>
        <v>8.299999999999999E-2</v>
      </c>
      <c r="G48" s="73">
        <f t="shared" si="1"/>
        <v>1603312.4531</v>
      </c>
      <c r="H48" s="19">
        <f t="shared" si="2"/>
        <v>233407522.54429662</v>
      </c>
      <c r="I48" s="74">
        <f t="shared" si="3"/>
        <v>-1830747.7374161673</v>
      </c>
    </row>
    <row r="49" spans="1:9" x14ac:dyDescent="0.35">
      <c r="A49" s="71">
        <v>36</v>
      </c>
      <c r="B49" s="72">
        <f>B48+31</f>
        <v>46204</v>
      </c>
      <c r="C49" s="19">
        <f t="shared" ref="C49:C58" si="17">H48</f>
        <v>233407522.54429662</v>
      </c>
      <c r="D49" s="19">
        <f t="shared" si="14"/>
        <v>-2330247.4230292756</v>
      </c>
      <c r="E49" s="19">
        <f t="shared" si="16"/>
        <v>231077275.12126735</v>
      </c>
      <c r="F49" s="20">
        <f t="shared" si="10"/>
        <v>8.299999999999999E-2</v>
      </c>
      <c r="G49" s="73">
        <f t="shared" si="1"/>
        <v>1598284.4863</v>
      </c>
      <c r="H49" s="19">
        <f t="shared" si="2"/>
        <v>232675559.60756734</v>
      </c>
      <c r="I49" s="74">
        <f t="shared" si="3"/>
        <v>-1818172.0474215019</v>
      </c>
    </row>
    <row r="50" spans="1:9" x14ac:dyDescent="0.35">
      <c r="A50" s="71">
        <v>37</v>
      </c>
      <c r="B50" s="72">
        <f>B49+31</f>
        <v>46235</v>
      </c>
      <c r="C50" s="19">
        <f t="shared" si="17"/>
        <v>232675559.60756734</v>
      </c>
      <c r="D50" s="19">
        <f t="shared" si="14"/>
        <v>-2330247.4230292756</v>
      </c>
      <c r="E50" s="19">
        <f t="shared" si="16"/>
        <v>230345312.18453807</v>
      </c>
      <c r="F50" s="20">
        <f t="shared" si="10"/>
        <v>8.299999999999999E-2</v>
      </c>
      <c r="G50" s="73">
        <f t="shared" si="1"/>
        <v>1593221.7426</v>
      </c>
      <c r="H50" s="19">
        <f t="shared" si="2"/>
        <v>231938533.92713806</v>
      </c>
      <c r="I50" s="74">
        <f t="shared" si="3"/>
        <v>-1805682.7417907824</v>
      </c>
    </row>
    <row r="51" spans="1:9" x14ac:dyDescent="0.35">
      <c r="A51" s="71">
        <v>38</v>
      </c>
      <c r="B51" s="72">
        <f>B50+28</f>
        <v>46263</v>
      </c>
      <c r="C51" s="19">
        <f t="shared" si="17"/>
        <v>231938533.92713806</v>
      </c>
      <c r="D51" s="19">
        <f t="shared" si="14"/>
        <v>-2330247.4230292756</v>
      </c>
      <c r="E51" s="19">
        <f t="shared" si="16"/>
        <v>229608286.50410879</v>
      </c>
      <c r="F51" s="20">
        <f t="shared" si="10"/>
        <v>8.299999999999999E-2</v>
      </c>
      <c r="G51" s="73">
        <f t="shared" si="1"/>
        <v>1588123.9816999999</v>
      </c>
      <c r="H51" s="19">
        <f t="shared" si="2"/>
        <v>231196410.48580879</v>
      </c>
      <c r="I51" s="74">
        <f t="shared" si="3"/>
        <v>-1793279.2271364222</v>
      </c>
    </row>
    <row r="52" spans="1:9" x14ac:dyDescent="0.35">
      <c r="A52" s="71">
        <v>39</v>
      </c>
      <c r="B52" s="72">
        <f>B51+31</f>
        <v>46294</v>
      </c>
      <c r="C52" s="19">
        <f t="shared" si="17"/>
        <v>231196410.48580879</v>
      </c>
      <c r="D52" s="19">
        <f t="shared" si="14"/>
        <v>-2330247.4230292756</v>
      </c>
      <c r="E52" s="19">
        <f t="shared" si="16"/>
        <v>228866163.06277952</v>
      </c>
      <c r="F52" s="20">
        <f t="shared" si="10"/>
        <v>8.299999999999999E-2</v>
      </c>
      <c r="G52" s="73">
        <f t="shared" si="1"/>
        <v>1582990.9612</v>
      </c>
      <c r="H52" s="19">
        <f t="shared" si="2"/>
        <v>230449154.02397951</v>
      </c>
      <c r="I52" s="74">
        <f t="shared" si="3"/>
        <v>-1780960.914146906</v>
      </c>
    </row>
    <row r="53" spans="1:9" x14ac:dyDescent="0.35">
      <c r="A53" s="71">
        <v>40</v>
      </c>
      <c r="B53" s="72">
        <f t="shared" ref="B53:B58" si="18">B52+30</f>
        <v>46324</v>
      </c>
      <c r="C53" s="19">
        <f t="shared" si="17"/>
        <v>230449154.02397951</v>
      </c>
      <c r="D53" s="19">
        <f t="shared" si="14"/>
        <v>-2330247.4230292756</v>
      </c>
      <c r="E53" s="19">
        <f t="shared" si="16"/>
        <v>228118906.60095024</v>
      </c>
      <c r="F53" s="20">
        <f t="shared" si="10"/>
        <v>8.299999999999999E-2</v>
      </c>
      <c r="G53" s="73">
        <f t="shared" si="1"/>
        <v>1577822.4373000001</v>
      </c>
      <c r="H53" s="19">
        <f t="shared" si="2"/>
        <v>229696729.03825024</v>
      </c>
      <c r="I53" s="74">
        <f t="shared" si="3"/>
        <v>-1768727.2175587912</v>
      </c>
    </row>
    <row r="54" spans="1:9" x14ac:dyDescent="0.35">
      <c r="A54" s="71">
        <v>41</v>
      </c>
      <c r="B54" s="72">
        <f>B53+31</f>
        <v>46355</v>
      </c>
      <c r="C54" s="19">
        <f t="shared" si="17"/>
        <v>229696729.03825024</v>
      </c>
      <c r="D54" s="19">
        <f t="shared" si="14"/>
        <v>-2330247.4230292756</v>
      </c>
      <c r="E54" s="19">
        <f t="shared" si="16"/>
        <v>227366481.61522096</v>
      </c>
      <c r="F54" s="20">
        <f t="shared" si="10"/>
        <v>8.299999999999999E-2</v>
      </c>
      <c r="G54" s="73">
        <f t="shared" si="1"/>
        <v>1572618.1645</v>
      </c>
      <c r="H54" s="19">
        <f t="shared" si="2"/>
        <v>228939099.77972096</v>
      </c>
      <c r="I54" s="74">
        <f t="shared" si="3"/>
        <v>-1756577.5561288996</v>
      </c>
    </row>
    <row r="55" spans="1:9" x14ac:dyDescent="0.35">
      <c r="A55" s="71">
        <v>42</v>
      </c>
      <c r="B55" s="72">
        <f t="shared" si="18"/>
        <v>46385</v>
      </c>
      <c r="C55" s="19">
        <f t="shared" si="17"/>
        <v>228939099.77972096</v>
      </c>
      <c r="D55" s="19">
        <f t="shared" si="14"/>
        <v>-2330247.4230292756</v>
      </c>
      <c r="E55" s="19">
        <f t="shared" si="16"/>
        <v>226608852.35669169</v>
      </c>
      <c r="F55" s="20">
        <f t="shared" si="10"/>
        <v>8.299999999999999E-2</v>
      </c>
      <c r="G55" s="73">
        <f t="shared" si="1"/>
        <v>1567377.8955000001</v>
      </c>
      <c r="H55" s="19">
        <f t="shared" si="2"/>
        <v>228176230.25219169</v>
      </c>
      <c r="I55" s="74">
        <f t="shared" si="3"/>
        <v>-1744511.3526067033</v>
      </c>
    </row>
    <row r="56" spans="1:9" x14ac:dyDescent="0.35">
      <c r="A56" s="71">
        <v>43</v>
      </c>
      <c r="B56" s="72">
        <f>B55+31</f>
        <v>46416</v>
      </c>
      <c r="C56" s="19">
        <f t="shared" si="17"/>
        <v>228176230.25219169</v>
      </c>
      <c r="D56" s="19">
        <f t="shared" si="14"/>
        <v>-2330247.4230292756</v>
      </c>
      <c r="E56" s="19">
        <f t="shared" si="16"/>
        <v>225845982.82916242</v>
      </c>
      <c r="F56" s="20">
        <f t="shared" si="10"/>
        <v>8.299999999999999E-2</v>
      </c>
      <c r="G56" s="73">
        <f t="shared" si="1"/>
        <v>1562101.3811999999</v>
      </c>
      <c r="H56" s="19">
        <f t="shared" si="2"/>
        <v>227408084.2103624</v>
      </c>
      <c r="I56" s="74">
        <f t="shared" si="3"/>
        <v>-1732528.0337068972</v>
      </c>
    </row>
    <row r="57" spans="1:9" x14ac:dyDescent="0.35">
      <c r="A57" s="71">
        <v>44</v>
      </c>
      <c r="B57" s="72">
        <f>B56+31</f>
        <v>46447</v>
      </c>
      <c r="C57" s="19">
        <f t="shared" si="17"/>
        <v>227408084.2103624</v>
      </c>
      <c r="D57" s="19">
        <f t="shared" si="14"/>
        <v>-2330247.4230292756</v>
      </c>
      <c r="E57" s="19">
        <f t="shared" si="16"/>
        <v>225077836.78733313</v>
      </c>
      <c r="F57" s="20">
        <f t="shared" si="10"/>
        <v>8.299999999999999E-2</v>
      </c>
      <c r="G57" s="73">
        <f t="shared" si="1"/>
        <v>1556788.3711000001</v>
      </c>
      <c r="H57" s="19">
        <f t="shared" si="2"/>
        <v>226634625.15843314</v>
      </c>
      <c r="I57" s="74">
        <f t="shared" si="3"/>
        <v>-1720627.0300821625</v>
      </c>
    </row>
    <row r="58" spans="1:9" x14ac:dyDescent="0.35">
      <c r="A58" s="71">
        <v>45</v>
      </c>
      <c r="B58" s="72">
        <f t="shared" si="18"/>
        <v>46477</v>
      </c>
      <c r="C58" s="19">
        <f t="shared" si="17"/>
        <v>226634625.15843314</v>
      </c>
      <c r="D58" s="19">
        <f t="shared" si="14"/>
        <v>-2330247.4230292756</v>
      </c>
      <c r="E58" s="19">
        <f t="shared" si="16"/>
        <v>224304377.73540387</v>
      </c>
      <c r="F58" s="20">
        <f t="shared" si="10"/>
        <v>8.299999999999999E-2</v>
      </c>
      <c r="G58" s="73">
        <f t="shared" si="1"/>
        <v>1551438.6126999999</v>
      </c>
      <c r="H58" s="19">
        <f t="shared" si="2"/>
        <v>225855816.34810385</v>
      </c>
      <c r="I58" s="74">
        <f t="shared" si="3"/>
        <v>-1708807.7762961148</v>
      </c>
    </row>
    <row r="59" spans="1:9" x14ac:dyDescent="0.35">
      <c r="A59" s="71">
        <v>46</v>
      </c>
      <c r="B59" s="72">
        <f>B58+31</f>
        <v>46508</v>
      </c>
      <c r="C59" s="19">
        <f>H58</f>
        <v>225855816.34810385</v>
      </c>
      <c r="D59" s="19">
        <f>D58</f>
        <v>-2330247.4230292756</v>
      </c>
      <c r="E59" s="19">
        <f t="shared" si="16"/>
        <v>223525568.92507458</v>
      </c>
      <c r="F59" s="20">
        <f t="shared" si="10"/>
        <v>8.299999999999999E-2</v>
      </c>
      <c r="G59" s="73">
        <f t="shared" si="1"/>
        <v>1546051.8517</v>
      </c>
      <c r="H59" s="19">
        <f t="shared" si="2"/>
        <v>225071620.77677459</v>
      </c>
      <c r="I59" s="74">
        <f t="shared" si="3"/>
        <v>-1697069.7107964391</v>
      </c>
    </row>
    <row r="60" spans="1:9" x14ac:dyDescent="0.35">
      <c r="A60" s="71">
        <v>47</v>
      </c>
      <c r="B60" s="72">
        <f>B59+30</f>
        <v>46538</v>
      </c>
      <c r="C60" s="19">
        <f>H59</f>
        <v>225071620.77677459</v>
      </c>
      <c r="D60" s="19">
        <f>D59</f>
        <v>-2330247.4230292756</v>
      </c>
      <c r="E60" s="19">
        <f t="shared" si="16"/>
        <v>222741373.35374531</v>
      </c>
      <c r="F60" s="20">
        <f t="shared" si="10"/>
        <v>8.299999999999999E-2</v>
      </c>
      <c r="G60" s="73">
        <f t="shared" si="1"/>
        <v>1540627.8324</v>
      </c>
      <c r="H60" s="19">
        <f t="shared" si="2"/>
        <v>224282001.18614531</v>
      </c>
      <c r="I60" s="74">
        <f t="shared" si="3"/>
        <v>-1685412.2758882125</v>
      </c>
    </row>
    <row r="61" spans="1:9" x14ac:dyDescent="0.35">
      <c r="A61" s="71">
        <v>48</v>
      </c>
      <c r="B61" s="72">
        <f>B60+31</f>
        <v>46569</v>
      </c>
      <c r="C61" s="19">
        <f t="shared" ref="C61:C70" si="19">H60</f>
        <v>224282001.18614531</v>
      </c>
      <c r="D61" s="19">
        <f t="shared" ref="D61:D70" si="20">D60</f>
        <v>-2330247.4230292756</v>
      </c>
      <c r="E61" s="19">
        <f t="shared" si="16"/>
        <v>221951753.76311603</v>
      </c>
      <c r="F61" s="20">
        <f t="shared" si="10"/>
        <v>8.299999999999999E-2</v>
      </c>
      <c r="G61" s="73">
        <f t="shared" si="1"/>
        <v>1535166.2969</v>
      </c>
      <c r="H61" s="19">
        <f t="shared" si="2"/>
        <v>223486920.06001604</v>
      </c>
      <c r="I61" s="74">
        <f t="shared" si="3"/>
        <v>-1673834.917707403</v>
      </c>
    </row>
    <row r="62" spans="1:9" x14ac:dyDescent="0.35">
      <c r="A62" s="71">
        <v>49</v>
      </c>
      <c r="B62" s="72">
        <f>B61+31</f>
        <v>46600</v>
      </c>
      <c r="C62" s="19">
        <f t="shared" si="19"/>
        <v>223486920.06001604</v>
      </c>
      <c r="D62" s="19">
        <f t="shared" si="20"/>
        <v>-2330247.4230292756</v>
      </c>
      <c r="E62" s="19">
        <f t="shared" si="16"/>
        <v>221156672.63698676</v>
      </c>
      <c r="F62" s="20">
        <f t="shared" si="10"/>
        <v>8.299999999999999E-2</v>
      </c>
      <c r="G62" s="73">
        <f t="shared" si="1"/>
        <v>1529666.9857000001</v>
      </c>
      <c r="H62" s="19">
        <f t="shared" si="2"/>
        <v>222686339.62268677</v>
      </c>
      <c r="I62" s="74">
        <f t="shared" si="3"/>
        <v>-1662337.0861945571</v>
      </c>
    </row>
    <row r="63" spans="1:9" x14ac:dyDescent="0.35">
      <c r="A63" s="71">
        <v>50</v>
      </c>
      <c r="B63" s="72">
        <f>B62+28</f>
        <v>46628</v>
      </c>
      <c r="C63" s="19">
        <f t="shared" si="19"/>
        <v>222686339.62268677</v>
      </c>
      <c r="D63" s="19">
        <f t="shared" si="20"/>
        <v>-2330247.4230292756</v>
      </c>
      <c r="E63" s="19">
        <f t="shared" si="16"/>
        <v>220356092.1996575</v>
      </c>
      <c r="F63" s="20">
        <f t="shared" si="10"/>
        <v>8.299999999999999E-2</v>
      </c>
      <c r="G63" s="73">
        <f t="shared" si="1"/>
        <v>1524129.6377000001</v>
      </c>
      <c r="H63" s="19">
        <f t="shared" si="2"/>
        <v>221880221.83735749</v>
      </c>
      <c r="I63" s="74">
        <f t="shared" si="3"/>
        <v>-1650918.2350686658</v>
      </c>
    </row>
    <row r="64" spans="1:9" x14ac:dyDescent="0.35">
      <c r="A64" s="71">
        <v>51</v>
      </c>
      <c r="B64" s="72">
        <f>B63+31</f>
        <v>46659</v>
      </c>
      <c r="C64" s="19">
        <f t="shared" si="19"/>
        <v>221880221.83735749</v>
      </c>
      <c r="D64" s="19">
        <f t="shared" si="20"/>
        <v>-2330247.4230292756</v>
      </c>
      <c r="E64" s="19">
        <f t="shared" si="16"/>
        <v>219549974.41432822</v>
      </c>
      <c r="F64" s="20">
        <f t="shared" si="10"/>
        <v>8.299999999999999E-2</v>
      </c>
      <c r="G64" s="73">
        <f t="shared" si="1"/>
        <v>1518553.9897</v>
      </c>
      <c r="H64" s="19">
        <f t="shared" si="2"/>
        <v>221068528.40402821</v>
      </c>
      <c r="I64" s="74">
        <f t="shared" si="3"/>
        <v>-1639577.8218012075</v>
      </c>
    </row>
    <row r="65" spans="1:9" x14ac:dyDescent="0.35">
      <c r="A65" s="71">
        <v>52</v>
      </c>
      <c r="B65" s="72">
        <f t="shared" ref="B65:B70" si="21">B64+30</f>
        <v>46689</v>
      </c>
      <c r="C65" s="19">
        <f t="shared" si="19"/>
        <v>221068528.40402821</v>
      </c>
      <c r="D65" s="19">
        <f t="shared" si="20"/>
        <v>-2330247.4230292756</v>
      </c>
      <c r="E65" s="19">
        <f t="shared" si="16"/>
        <v>218738280.98099893</v>
      </c>
      <c r="F65" s="20">
        <f t="shared" si="10"/>
        <v>8.299999999999999E-2</v>
      </c>
      <c r="G65" s="73">
        <f t="shared" si="1"/>
        <v>1512939.7768000001</v>
      </c>
      <c r="H65" s="19">
        <f t="shared" si="2"/>
        <v>220251220.75779894</v>
      </c>
      <c r="I65" s="74">
        <f t="shared" si="3"/>
        <v>-1628315.307590374</v>
      </c>
    </row>
    <row r="66" spans="1:9" x14ac:dyDescent="0.35">
      <c r="A66" s="71">
        <v>53</v>
      </c>
      <c r="B66" s="72">
        <f>B65+31</f>
        <v>46720</v>
      </c>
      <c r="C66" s="19">
        <f t="shared" si="19"/>
        <v>220251220.75779894</v>
      </c>
      <c r="D66" s="19">
        <f t="shared" si="20"/>
        <v>-2330247.4230292756</v>
      </c>
      <c r="E66" s="19">
        <f t="shared" si="16"/>
        <v>217920973.33476967</v>
      </c>
      <c r="F66" s="20">
        <f t="shared" si="10"/>
        <v>8.299999999999999E-2</v>
      </c>
      <c r="G66" s="73">
        <f t="shared" si="1"/>
        <v>1507286.7322</v>
      </c>
      <c r="H66" s="19">
        <f t="shared" si="2"/>
        <v>219428260.06696966</v>
      </c>
      <c r="I66" s="74">
        <f t="shared" si="3"/>
        <v>-1617130.1573354707</v>
      </c>
    </row>
    <row r="67" spans="1:9" x14ac:dyDescent="0.35">
      <c r="A67" s="71">
        <v>54</v>
      </c>
      <c r="B67" s="72">
        <f t="shared" si="21"/>
        <v>46750</v>
      </c>
      <c r="C67" s="19">
        <f t="shared" si="19"/>
        <v>219428260.06696966</v>
      </c>
      <c r="D67" s="19">
        <f t="shared" si="20"/>
        <v>-2330247.4230292756</v>
      </c>
      <c r="E67" s="19">
        <f t="shared" si="16"/>
        <v>217098012.64394039</v>
      </c>
      <c r="F67" s="20">
        <f t="shared" si="10"/>
        <v>8.299999999999999E-2</v>
      </c>
      <c r="G67" s="73">
        <f t="shared" si="1"/>
        <v>1501594.5874999999</v>
      </c>
      <c r="H67" s="19">
        <f t="shared" si="2"/>
        <v>218599607.2314404</v>
      </c>
      <c r="I67" s="74">
        <f t="shared" si="3"/>
        <v>-1606021.839611491</v>
      </c>
    </row>
    <row r="68" spans="1:9" x14ac:dyDescent="0.35">
      <c r="A68" s="71">
        <v>55</v>
      </c>
      <c r="B68" s="72">
        <f>B67+31</f>
        <v>46781</v>
      </c>
      <c r="C68" s="19">
        <f t="shared" si="19"/>
        <v>218599607.2314404</v>
      </c>
      <c r="D68" s="19">
        <f t="shared" si="20"/>
        <v>-2330247.4230292756</v>
      </c>
      <c r="E68" s="19">
        <f t="shared" si="16"/>
        <v>216269359.80841112</v>
      </c>
      <c r="F68" s="20">
        <f t="shared" si="10"/>
        <v>8.299999999999999E-2</v>
      </c>
      <c r="G68" s="73">
        <f t="shared" si="1"/>
        <v>1495863.0719999999</v>
      </c>
      <c r="H68" s="19">
        <f t="shared" si="2"/>
        <v>217765222.88041112</v>
      </c>
      <c r="I68" s="74">
        <f t="shared" si="3"/>
        <v>-1594989.8266438709</v>
      </c>
    </row>
    <row r="69" spans="1:9" x14ac:dyDescent="0.35">
      <c r="A69" s="71">
        <v>56</v>
      </c>
      <c r="B69" s="72">
        <f>B68+31</f>
        <v>46812</v>
      </c>
      <c r="C69" s="19">
        <f t="shared" si="19"/>
        <v>217765222.88041112</v>
      </c>
      <c r="D69" s="19">
        <f t="shared" si="20"/>
        <v>-2330247.4230292756</v>
      </c>
      <c r="E69" s="19">
        <f t="shared" si="16"/>
        <v>215434975.45738184</v>
      </c>
      <c r="F69" s="20">
        <f t="shared" si="10"/>
        <v>8.299999999999999E-2</v>
      </c>
      <c r="G69" s="73">
        <f t="shared" si="1"/>
        <v>1490091.9136000001</v>
      </c>
      <c r="H69" s="19">
        <f t="shared" si="2"/>
        <v>216925067.37098184</v>
      </c>
      <c r="I69" s="74">
        <f t="shared" si="3"/>
        <v>-1584033.594283411</v>
      </c>
    </row>
    <row r="70" spans="1:9" x14ac:dyDescent="0.35">
      <c r="A70" s="71">
        <v>57</v>
      </c>
      <c r="B70" s="72">
        <f t="shared" si="21"/>
        <v>46842</v>
      </c>
      <c r="C70" s="19">
        <f t="shared" si="19"/>
        <v>216925067.37098184</v>
      </c>
      <c r="D70" s="19">
        <f t="shared" si="20"/>
        <v>-2330247.4230292756</v>
      </c>
      <c r="E70" s="19">
        <f t="shared" si="16"/>
        <v>214594819.94795257</v>
      </c>
      <c r="F70" s="20">
        <f t="shared" si="10"/>
        <v>8.299999999999999E-2</v>
      </c>
      <c r="G70" s="73">
        <f t="shared" si="1"/>
        <v>1484280.838</v>
      </c>
      <c r="H70" s="19">
        <f t="shared" si="2"/>
        <v>216079100.78595257</v>
      </c>
      <c r="I70" s="74">
        <f t="shared" si="3"/>
        <v>-1573152.6219813731</v>
      </c>
    </row>
    <row r="71" spans="1:9" x14ac:dyDescent="0.35">
      <c r="A71" s="71">
        <v>58</v>
      </c>
      <c r="B71" s="72">
        <f>B70+31</f>
        <v>46873</v>
      </c>
      <c r="C71" s="19">
        <f>H70</f>
        <v>216079100.78595257</v>
      </c>
      <c r="D71" s="19">
        <f>D70</f>
        <v>-2330247.4230292756</v>
      </c>
      <c r="E71" s="19">
        <f t="shared" si="16"/>
        <v>213748853.36292329</v>
      </c>
      <c r="F71" s="20">
        <f t="shared" si="10"/>
        <v>8.299999999999999E-2</v>
      </c>
      <c r="G71" s="73">
        <f t="shared" si="1"/>
        <v>1478429.5691</v>
      </c>
      <c r="H71" s="19">
        <f t="shared" si="2"/>
        <v>215227282.93202329</v>
      </c>
      <c r="I71" s="74">
        <f t="shared" si="3"/>
        <v>-1562346.3927647502</v>
      </c>
    </row>
    <row r="72" spans="1:9" x14ac:dyDescent="0.35">
      <c r="A72" s="71">
        <v>59</v>
      </c>
      <c r="B72" s="72">
        <f>B71+30</f>
        <v>46903</v>
      </c>
      <c r="C72" s="19">
        <f>H71</f>
        <v>215227282.93202329</v>
      </c>
      <c r="D72" s="19">
        <f>D71</f>
        <v>-2330247.4230292756</v>
      </c>
      <c r="E72" s="19">
        <f t="shared" si="16"/>
        <v>212897035.50899401</v>
      </c>
      <c r="F72" s="20">
        <f t="shared" si="10"/>
        <v>8.299999999999999E-2</v>
      </c>
      <c r="G72" s="73">
        <f t="shared" si="1"/>
        <v>1472537.8289000001</v>
      </c>
      <c r="H72" s="19">
        <f t="shared" si="2"/>
        <v>214369573.33789402</v>
      </c>
      <c r="I72" s="74">
        <f t="shared" si="3"/>
        <v>-1551614.3932117026</v>
      </c>
    </row>
    <row r="73" spans="1:9" x14ac:dyDescent="0.35">
      <c r="A73" s="71">
        <v>60</v>
      </c>
      <c r="B73" s="72">
        <f>B72+31</f>
        <v>46934</v>
      </c>
      <c r="C73" s="19">
        <f t="shared" ref="C73:C85" si="22">H72</f>
        <v>214369573.33789402</v>
      </c>
      <c r="D73" s="19">
        <f>D72</f>
        <v>-2330247.4230292756</v>
      </c>
      <c r="E73" s="19">
        <f t="shared" si="16"/>
        <v>212039325.91486475</v>
      </c>
      <c r="F73" s="20">
        <f t="shared" si="10"/>
        <v>8.299999999999999E-2</v>
      </c>
      <c r="G73" s="73">
        <f t="shared" si="1"/>
        <v>1466605.3376</v>
      </c>
      <c r="H73" s="19">
        <f t="shared" si="2"/>
        <v>213505931.25246474</v>
      </c>
      <c r="I73" s="74">
        <f t="shared" si="3"/>
        <v>-1540956.113427165</v>
      </c>
    </row>
    <row r="74" spans="1:9" x14ac:dyDescent="0.35">
      <c r="A74" s="71">
        <v>61</v>
      </c>
      <c r="B74" s="72">
        <f>B73+31</f>
        <v>46965</v>
      </c>
      <c r="C74" s="19">
        <f t="shared" si="22"/>
        <v>213505931.25246474</v>
      </c>
      <c r="D74" s="19">
        <f t="shared" ref="D74:D137" si="23">D73</f>
        <v>-2330247.4230292756</v>
      </c>
      <c r="E74" s="19">
        <f t="shared" si="16"/>
        <v>211175683.82943547</v>
      </c>
      <c r="F74" s="20">
        <f t="shared" si="10"/>
        <v>8.299999999999999E-2</v>
      </c>
      <c r="G74" s="73">
        <f t="shared" si="1"/>
        <v>1460631.8132</v>
      </c>
      <c r="H74" s="19">
        <f t="shared" si="2"/>
        <v>212636315.64263546</v>
      </c>
      <c r="I74" s="74">
        <f t="shared" si="3"/>
        <v>-1530371.0470186197</v>
      </c>
    </row>
    <row r="75" spans="1:9" x14ac:dyDescent="0.35">
      <c r="A75" s="71">
        <v>62</v>
      </c>
      <c r="B75" s="72">
        <f>B74+29</f>
        <v>46994</v>
      </c>
      <c r="C75" s="19">
        <f t="shared" si="22"/>
        <v>212636315.64263546</v>
      </c>
      <c r="D75" s="19">
        <f t="shared" si="23"/>
        <v>-2330247.4230292756</v>
      </c>
      <c r="E75" s="19">
        <f t="shared" si="16"/>
        <v>210306068.21960619</v>
      </c>
      <c r="F75" s="20">
        <f t="shared" si="10"/>
        <v>8.299999999999999E-2</v>
      </c>
      <c r="G75" s="73">
        <f t="shared" si="1"/>
        <v>1454616.9719</v>
      </c>
      <c r="H75" s="19">
        <f t="shared" si="2"/>
        <v>211760685.19150618</v>
      </c>
      <c r="I75" s="74">
        <f t="shared" si="3"/>
        <v>-1519858.6910720379</v>
      </c>
    </row>
    <row r="76" spans="1:9" x14ac:dyDescent="0.35">
      <c r="A76" s="71">
        <v>63</v>
      </c>
      <c r="B76" s="72">
        <f>B75+31</f>
        <v>47025</v>
      </c>
      <c r="C76" s="19">
        <f t="shared" si="22"/>
        <v>211760685.19150618</v>
      </c>
      <c r="D76" s="19">
        <f t="shared" si="23"/>
        <v>-2330247.4230292756</v>
      </c>
      <c r="E76" s="19">
        <f t="shared" si="16"/>
        <v>209430437.7684769</v>
      </c>
      <c r="F76" s="20">
        <f t="shared" si="10"/>
        <v>8.299999999999999E-2</v>
      </c>
      <c r="G76" s="73">
        <f t="shared" si="1"/>
        <v>1448560.5279000001</v>
      </c>
      <c r="H76" s="19">
        <f t="shared" si="2"/>
        <v>210878998.29637691</v>
      </c>
      <c r="I76" s="74">
        <f t="shared" si="3"/>
        <v>-1509418.5461279862</v>
      </c>
    </row>
    <row r="77" spans="1:9" x14ac:dyDescent="0.35">
      <c r="A77" s="71">
        <v>64</v>
      </c>
      <c r="B77" s="72">
        <f t="shared" ref="B77:B82" si="24">B76+30</f>
        <v>47055</v>
      </c>
      <c r="C77" s="19">
        <f t="shared" si="22"/>
        <v>210878998.29637691</v>
      </c>
      <c r="D77" s="19">
        <f t="shared" si="23"/>
        <v>-2330247.4230292756</v>
      </c>
      <c r="E77" s="19">
        <f t="shared" si="16"/>
        <v>208548750.87334764</v>
      </c>
      <c r="F77" s="20">
        <f t="shared" si="10"/>
        <v>8.299999999999999E-2</v>
      </c>
      <c r="G77" s="73">
        <f t="shared" si="1"/>
        <v>1442462.1935000001</v>
      </c>
      <c r="H77" s="19">
        <f t="shared" si="2"/>
        <v>209991213.06684765</v>
      </c>
      <c r="I77" s="74">
        <f t="shared" si="3"/>
        <v>-1499050.116157894</v>
      </c>
    </row>
    <row r="78" spans="1:9" x14ac:dyDescent="0.35">
      <c r="A78" s="71">
        <v>65</v>
      </c>
      <c r="B78" s="72">
        <f>B77+31</f>
        <v>47086</v>
      </c>
      <c r="C78" s="19">
        <f t="shared" si="22"/>
        <v>209991213.06684765</v>
      </c>
      <c r="D78" s="19">
        <f t="shared" si="23"/>
        <v>-2330247.4230292756</v>
      </c>
      <c r="E78" s="19">
        <f t="shared" ref="E78:E85" si="25">+D78+C78</f>
        <v>207660965.64381838</v>
      </c>
      <c r="F78" s="20">
        <f t="shared" si="10"/>
        <v>8.299999999999999E-2</v>
      </c>
      <c r="G78" s="73">
        <f t="shared" ref="G78:G141" si="26">ROUND(((+E78))*F$13/12,4)</f>
        <v>1436321.679</v>
      </c>
      <c r="H78" s="19">
        <f t="shared" ref="H78:H141" si="27">E78+G78</f>
        <v>209097287.32281837</v>
      </c>
      <c r="I78" s="74">
        <f t="shared" ref="I78:I141" si="28">IF(A78&gt;$F$5,"",((1/((1+($B$6/12))^A78))*D78))</f>
        <v>-1488752.9085404892</v>
      </c>
    </row>
    <row r="79" spans="1:9" x14ac:dyDescent="0.35">
      <c r="A79" s="71">
        <v>66</v>
      </c>
      <c r="B79" s="72">
        <f t="shared" si="24"/>
        <v>47116</v>
      </c>
      <c r="C79" s="19">
        <f t="shared" si="22"/>
        <v>209097287.32281837</v>
      </c>
      <c r="D79" s="19">
        <f t="shared" si="23"/>
        <v>-2330247.4230292756</v>
      </c>
      <c r="E79" s="19">
        <f t="shared" si="25"/>
        <v>206767039.89978909</v>
      </c>
      <c r="F79" s="20">
        <f t="shared" si="10"/>
        <v>8.299999999999999E-2</v>
      </c>
      <c r="G79" s="73">
        <f t="shared" si="26"/>
        <v>1430138.6926</v>
      </c>
      <c r="H79" s="19">
        <f t="shared" si="27"/>
        <v>208197178.59238911</v>
      </c>
      <c r="I79" s="74">
        <f t="shared" si="28"/>
        <v>-1478526.4340383902</v>
      </c>
    </row>
    <row r="80" spans="1:9" x14ac:dyDescent="0.35">
      <c r="A80" s="71">
        <v>67</v>
      </c>
      <c r="B80" s="72">
        <f>B79+31</f>
        <v>47147</v>
      </c>
      <c r="C80" s="19">
        <f t="shared" si="22"/>
        <v>208197178.59238911</v>
      </c>
      <c r="D80" s="19">
        <f t="shared" si="23"/>
        <v>-2330247.4230292756</v>
      </c>
      <c r="E80" s="19">
        <f t="shared" si="25"/>
        <v>205866931.16935983</v>
      </c>
      <c r="F80" s="20">
        <f t="shared" si="10"/>
        <v>8.299999999999999E-2</v>
      </c>
      <c r="G80" s="73">
        <f t="shared" si="26"/>
        <v>1423912.9406000001</v>
      </c>
      <c r="H80" s="19">
        <f t="shared" si="27"/>
        <v>207290844.10995984</v>
      </c>
      <c r="I80" s="74">
        <f t="shared" si="28"/>
        <v>-1468370.2067748641</v>
      </c>
    </row>
    <row r="81" spans="1:9" x14ac:dyDescent="0.35">
      <c r="A81" s="71">
        <v>68</v>
      </c>
      <c r="B81" s="72">
        <f>B80+31</f>
        <v>47178</v>
      </c>
      <c r="C81" s="19">
        <f t="shared" si="22"/>
        <v>207290844.10995984</v>
      </c>
      <c r="D81" s="19">
        <f t="shared" si="23"/>
        <v>-2330247.4230292756</v>
      </c>
      <c r="E81" s="19">
        <f t="shared" si="25"/>
        <v>204960596.68693057</v>
      </c>
      <c r="F81" s="20">
        <f t="shared" si="10"/>
        <v>8.299999999999999E-2</v>
      </c>
      <c r="G81" s="73">
        <f t="shared" si="26"/>
        <v>1417644.1270999999</v>
      </c>
      <c r="H81" s="19">
        <f t="shared" si="27"/>
        <v>206378240.81403056</v>
      </c>
      <c r="I81" s="74">
        <f t="shared" si="28"/>
        <v>-1458283.7442107399</v>
      </c>
    </row>
    <row r="82" spans="1:9" x14ac:dyDescent="0.35">
      <c r="A82" s="71">
        <v>69</v>
      </c>
      <c r="B82" s="72">
        <f t="shared" si="24"/>
        <v>47208</v>
      </c>
      <c r="C82" s="19">
        <f t="shared" si="22"/>
        <v>206378240.81403056</v>
      </c>
      <c r="D82" s="19">
        <f t="shared" si="23"/>
        <v>-2330247.4230292756</v>
      </c>
      <c r="E82" s="19">
        <f t="shared" si="25"/>
        <v>204047993.39100128</v>
      </c>
      <c r="F82" s="20">
        <f t="shared" si="10"/>
        <v>8.299999999999999E-2</v>
      </c>
      <c r="G82" s="73">
        <f t="shared" si="26"/>
        <v>1411331.9543000001</v>
      </c>
      <c r="H82" s="19">
        <f t="shared" si="27"/>
        <v>205459325.34530127</v>
      </c>
      <c r="I82" s="74">
        <f t="shared" si="28"/>
        <v>-1448266.5671214829</v>
      </c>
    </row>
    <row r="83" spans="1:9" x14ac:dyDescent="0.35">
      <c r="A83" s="71">
        <v>70</v>
      </c>
      <c r="B83" s="72">
        <f>B82+31</f>
        <v>47239</v>
      </c>
      <c r="C83" s="19">
        <f t="shared" si="22"/>
        <v>205459325.34530127</v>
      </c>
      <c r="D83" s="19">
        <f t="shared" si="23"/>
        <v>-2330247.4230292756</v>
      </c>
      <c r="E83" s="19">
        <f t="shared" si="25"/>
        <v>203129077.922272</v>
      </c>
      <c r="F83" s="20">
        <f t="shared" si="10"/>
        <v>8.299999999999999E-2</v>
      </c>
      <c r="G83" s="73">
        <f t="shared" si="26"/>
        <v>1404976.1222999999</v>
      </c>
      <c r="H83" s="19">
        <f t="shared" si="27"/>
        <v>204534054.044572</v>
      </c>
      <c r="I83" s="74">
        <f t="shared" si="28"/>
        <v>-1438318.1995744265</v>
      </c>
    </row>
    <row r="84" spans="1:9" x14ac:dyDescent="0.35">
      <c r="A84" s="71">
        <v>71</v>
      </c>
      <c r="B84" s="72">
        <f>B83+30</f>
        <v>47269</v>
      </c>
      <c r="C84" s="19">
        <f t="shared" si="22"/>
        <v>204534054.044572</v>
      </c>
      <c r="D84" s="19">
        <f t="shared" si="23"/>
        <v>-2330247.4230292756</v>
      </c>
      <c r="E84" s="19">
        <f t="shared" si="25"/>
        <v>202203806.62154272</v>
      </c>
      <c r="F84" s="20">
        <f t="shared" si="10"/>
        <v>8.299999999999999E-2</v>
      </c>
      <c r="G84" s="73">
        <f t="shared" si="26"/>
        <v>1398576.3291</v>
      </c>
      <c r="H84" s="19">
        <f t="shared" si="27"/>
        <v>203602382.95064273</v>
      </c>
      <c r="I84" s="74">
        <f t="shared" si="28"/>
        <v>-1428438.1689061592</v>
      </c>
    </row>
    <row r="85" spans="1:9" x14ac:dyDescent="0.35">
      <c r="A85" s="71">
        <v>72</v>
      </c>
      <c r="B85" s="72">
        <f>B84+31</f>
        <v>47300</v>
      </c>
      <c r="C85" s="19">
        <f t="shared" si="22"/>
        <v>203602382.95064273</v>
      </c>
      <c r="D85" s="19">
        <f t="shared" si="23"/>
        <v>-2330247.4230292756</v>
      </c>
      <c r="E85" s="19">
        <f t="shared" si="25"/>
        <v>201272135.52761346</v>
      </c>
      <c r="F85" s="20">
        <f t="shared" si="10"/>
        <v>8.299999999999999E-2</v>
      </c>
      <c r="G85" s="73">
        <f t="shared" si="26"/>
        <v>1392132.2707</v>
      </c>
      <c r="H85" s="19">
        <f t="shared" si="27"/>
        <v>202664267.79831347</v>
      </c>
      <c r="I85" s="74">
        <f t="shared" si="28"/>
        <v>-1418626.0057000672</v>
      </c>
    </row>
    <row r="86" spans="1:9" x14ac:dyDescent="0.35">
      <c r="A86" s="71">
        <v>73</v>
      </c>
      <c r="B86" s="72">
        <f>B85+31</f>
        <v>47331</v>
      </c>
      <c r="C86" s="19">
        <f t="shared" ref="C86:C149" si="29">H85</f>
        <v>202664267.79831347</v>
      </c>
      <c r="D86" s="19">
        <f t="shared" si="23"/>
        <v>-2330247.4230292756</v>
      </c>
      <c r="E86" s="19">
        <f t="shared" ref="E86:E149" si="30">+D86+C86</f>
        <v>200334020.37528419</v>
      </c>
      <c r="F86" s="20">
        <f t="shared" si="10"/>
        <v>8.299999999999999E-2</v>
      </c>
      <c r="G86" s="73">
        <f t="shared" si="26"/>
        <v>1385643.6409</v>
      </c>
      <c r="H86" s="19">
        <f t="shared" si="27"/>
        <v>201719664.01618418</v>
      </c>
      <c r="I86" s="74">
        <f t="shared" si="28"/>
        <v>-1408881.2437640324</v>
      </c>
    </row>
    <row r="87" spans="1:9" x14ac:dyDescent="0.35">
      <c r="A87" s="71">
        <v>74</v>
      </c>
      <c r="B87" s="72">
        <f>B86+28</f>
        <v>47359</v>
      </c>
      <c r="C87" s="19">
        <f t="shared" si="29"/>
        <v>201719664.01618418</v>
      </c>
      <c r="D87" s="19">
        <f t="shared" si="23"/>
        <v>-2330247.4230292756</v>
      </c>
      <c r="E87" s="19">
        <f t="shared" si="30"/>
        <v>199389416.59315491</v>
      </c>
      <c r="F87" s="20">
        <f t="shared" si="10"/>
        <v>8.299999999999999E-2</v>
      </c>
      <c r="G87" s="73">
        <f t="shared" si="26"/>
        <v>1379110.1314000001</v>
      </c>
      <c r="H87" s="19">
        <f t="shared" si="27"/>
        <v>200768526.7245549</v>
      </c>
      <c r="I87" s="74">
        <f t="shared" si="28"/>
        <v>-1399203.4201082836</v>
      </c>
    </row>
    <row r="88" spans="1:9" x14ac:dyDescent="0.35">
      <c r="A88" s="71">
        <v>75</v>
      </c>
      <c r="B88" s="72">
        <f>B87+31</f>
        <v>47390</v>
      </c>
      <c r="C88" s="19">
        <f t="shared" si="29"/>
        <v>200768526.7245549</v>
      </c>
      <c r="D88" s="19">
        <f t="shared" si="23"/>
        <v>-2330247.4230292756</v>
      </c>
      <c r="E88" s="19">
        <f t="shared" si="30"/>
        <v>198438279.30152562</v>
      </c>
      <c r="F88" s="20">
        <f t="shared" si="10"/>
        <v>8.299999999999999E-2</v>
      </c>
      <c r="G88" s="73">
        <f t="shared" si="26"/>
        <v>1372531.4317999999</v>
      </c>
      <c r="H88" s="19">
        <f t="shared" si="27"/>
        <v>199810810.73332563</v>
      </c>
      <c r="I88" s="74">
        <f t="shared" si="28"/>
        <v>-1389592.0749233968</v>
      </c>
    </row>
    <row r="89" spans="1:9" x14ac:dyDescent="0.35">
      <c r="A89" s="71">
        <v>76</v>
      </c>
      <c r="B89" s="72">
        <f t="shared" ref="B89:B94" si="31">B88+30</f>
        <v>47420</v>
      </c>
      <c r="C89" s="19">
        <f t="shared" si="29"/>
        <v>199810810.73332563</v>
      </c>
      <c r="D89" s="19">
        <f t="shared" si="23"/>
        <v>-2330247.4230292756</v>
      </c>
      <c r="E89" s="19">
        <f t="shared" si="30"/>
        <v>197480563.31029636</v>
      </c>
      <c r="F89" s="20">
        <f t="shared" ref="F89:F152" si="32">F88</f>
        <v>8.299999999999999E-2</v>
      </c>
      <c r="G89" s="73">
        <f t="shared" si="26"/>
        <v>1365907.2296</v>
      </c>
      <c r="H89" s="19">
        <f t="shared" si="27"/>
        <v>198846470.53989637</v>
      </c>
      <c r="I89" s="74">
        <f t="shared" si="28"/>
        <v>-1380046.751558451</v>
      </c>
    </row>
    <row r="90" spans="1:9" x14ac:dyDescent="0.35">
      <c r="A90" s="71">
        <v>77</v>
      </c>
      <c r="B90" s="72">
        <f>B89+31</f>
        <v>47451</v>
      </c>
      <c r="C90" s="19">
        <f t="shared" si="29"/>
        <v>198846470.53989637</v>
      </c>
      <c r="D90" s="19">
        <f t="shared" si="23"/>
        <v>-2330247.4230292756</v>
      </c>
      <c r="E90" s="19">
        <f t="shared" si="30"/>
        <v>196516223.1168671</v>
      </c>
      <c r="F90" s="20">
        <f t="shared" si="32"/>
        <v>8.299999999999999E-2</v>
      </c>
      <c r="G90" s="73">
        <f t="shared" si="26"/>
        <v>1359237.2098999999</v>
      </c>
      <c r="H90" s="19">
        <f t="shared" si="27"/>
        <v>197875460.32676709</v>
      </c>
      <c r="I90" s="74">
        <f t="shared" si="28"/>
        <v>-1370566.996499331</v>
      </c>
    </row>
    <row r="91" spans="1:9" x14ac:dyDescent="0.35">
      <c r="A91" s="71">
        <v>78</v>
      </c>
      <c r="B91" s="72">
        <f t="shared" si="31"/>
        <v>47481</v>
      </c>
      <c r="C91" s="19">
        <f t="shared" si="29"/>
        <v>197875460.32676709</v>
      </c>
      <c r="D91" s="19">
        <f t="shared" si="23"/>
        <v>-2330247.4230292756</v>
      </c>
      <c r="E91" s="19">
        <f t="shared" si="30"/>
        <v>195545212.90373781</v>
      </c>
      <c r="F91" s="20">
        <f t="shared" si="32"/>
        <v>8.299999999999999E-2</v>
      </c>
      <c r="G91" s="73">
        <f t="shared" si="26"/>
        <v>1352521.0559</v>
      </c>
      <c r="H91" s="19">
        <f t="shared" si="27"/>
        <v>196897733.95963782</v>
      </c>
      <c r="I91" s="74">
        <f t="shared" si="28"/>
        <v>-1361152.3593471793</v>
      </c>
    </row>
    <row r="92" spans="1:9" x14ac:dyDescent="0.35">
      <c r="A92" s="71">
        <v>79</v>
      </c>
      <c r="B92" s="72">
        <f>B91+31</f>
        <v>47512</v>
      </c>
      <c r="C92" s="19">
        <f t="shared" si="29"/>
        <v>196897733.95963782</v>
      </c>
      <c r="D92" s="19">
        <f t="shared" si="23"/>
        <v>-2330247.4230292756</v>
      </c>
      <c r="E92" s="19">
        <f t="shared" si="30"/>
        <v>194567486.53660855</v>
      </c>
      <c r="F92" s="20">
        <f t="shared" si="32"/>
        <v>8.299999999999999E-2</v>
      </c>
      <c r="G92" s="73">
        <f t="shared" si="26"/>
        <v>1345758.4484999999</v>
      </c>
      <c r="H92" s="19">
        <f t="shared" si="27"/>
        <v>195913244.98510855</v>
      </c>
      <c r="I92" s="74">
        <f t="shared" si="28"/>
        <v>-1351802.392797</v>
      </c>
    </row>
    <row r="93" spans="1:9" x14ac:dyDescent="0.35">
      <c r="A93" s="71">
        <v>80</v>
      </c>
      <c r="B93" s="72">
        <f>B92+31</f>
        <v>47543</v>
      </c>
      <c r="C93" s="19">
        <f t="shared" si="29"/>
        <v>195913244.98510855</v>
      </c>
      <c r="D93" s="19">
        <f t="shared" si="23"/>
        <v>-2330247.4230292756</v>
      </c>
      <c r="E93" s="19">
        <f t="shared" si="30"/>
        <v>193582997.56207928</v>
      </c>
      <c r="F93" s="20">
        <f t="shared" si="32"/>
        <v>8.299999999999999E-2</v>
      </c>
      <c r="G93" s="73">
        <f t="shared" si="26"/>
        <v>1338949.0665</v>
      </c>
      <c r="H93" s="19">
        <f t="shared" si="27"/>
        <v>194921946.62857929</v>
      </c>
      <c r="I93" s="74">
        <f t="shared" si="28"/>
        <v>-1342516.6526164038</v>
      </c>
    </row>
    <row r="94" spans="1:9" x14ac:dyDescent="0.35">
      <c r="A94" s="71">
        <v>81</v>
      </c>
      <c r="B94" s="72">
        <f t="shared" si="31"/>
        <v>47573</v>
      </c>
      <c r="C94" s="19">
        <f t="shared" si="29"/>
        <v>194921946.62857929</v>
      </c>
      <c r="D94" s="19">
        <f t="shared" si="23"/>
        <v>-2330247.4230292756</v>
      </c>
      <c r="E94" s="19">
        <f t="shared" si="30"/>
        <v>192591699.20555001</v>
      </c>
      <c r="F94" s="20">
        <f t="shared" si="32"/>
        <v>8.299999999999999E-2</v>
      </c>
      <c r="G94" s="73">
        <f t="shared" si="26"/>
        <v>1332092.5862</v>
      </c>
      <c r="H94" s="19">
        <f t="shared" si="27"/>
        <v>193923791.79175001</v>
      </c>
      <c r="I94" s="74">
        <f t="shared" si="28"/>
        <v>-1333294.6976245006</v>
      </c>
    </row>
    <row r="95" spans="1:9" x14ac:dyDescent="0.35">
      <c r="A95" s="71">
        <v>82</v>
      </c>
      <c r="B95" s="72">
        <f>B94+31</f>
        <v>47604</v>
      </c>
      <c r="C95" s="19">
        <f t="shared" si="29"/>
        <v>193923791.79175001</v>
      </c>
      <c r="D95" s="19">
        <f t="shared" si="23"/>
        <v>-2330247.4230292756</v>
      </c>
      <c r="E95" s="19">
        <f t="shared" si="30"/>
        <v>191593544.36872074</v>
      </c>
      <c r="F95" s="20">
        <f t="shared" si="32"/>
        <v>8.299999999999999E-2</v>
      </c>
      <c r="G95" s="73">
        <f t="shared" si="26"/>
        <v>1325188.6819</v>
      </c>
      <c r="H95" s="19">
        <f t="shared" si="27"/>
        <v>192918733.05062073</v>
      </c>
      <c r="I95" s="74">
        <f t="shared" si="28"/>
        <v>-1324136.0896709436</v>
      </c>
    </row>
    <row r="96" spans="1:9" x14ac:dyDescent="0.35">
      <c r="A96" s="71">
        <v>83</v>
      </c>
      <c r="B96" s="72">
        <f>B95+30</f>
        <v>47634</v>
      </c>
      <c r="C96" s="19">
        <f t="shared" si="29"/>
        <v>192918733.05062073</v>
      </c>
      <c r="D96" s="19">
        <f t="shared" si="23"/>
        <v>-2330247.4230292756</v>
      </c>
      <c r="E96" s="19">
        <f t="shared" si="30"/>
        <v>190588485.62759146</v>
      </c>
      <c r="F96" s="20">
        <f t="shared" si="32"/>
        <v>8.299999999999999E-2</v>
      </c>
      <c r="G96" s="73">
        <f t="shared" si="26"/>
        <v>1318237.0256000001</v>
      </c>
      <c r="H96" s="19">
        <f t="shared" si="27"/>
        <v>191906722.65319145</v>
      </c>
      <c r="I96" s="74">
        <f t="shared" si="28"/>
        <v>-1315040.3936151054</v>
      </c>
    </row>
    <row r="97" spans="1:9" x14ac:dyDescent="0.35">
      <c r="A97" s="71">
        <v>84</v>
      </c>
      <c r="B97" s="72">
        <f>B96+31</f>
        <v>47665</v>
      </c>
      <c r="C97" s="19">
        <f t="shared" si="29"/>
        <v>191906722.65319145</v>
      </c>
      <c r="D97" s="19">
        <f t="shared" si="23"/>
        <v>-2330247.4230292756</v>
      </c>
      <c r="E97" s="19">
        <f t="shared" si="30"/>
        <v>189576475.23016217</v>
      </c>
      <c r="F97" s="20">
        <f t="shared" si="32"/>
        <v>8.299999999999999E-2</v>
      </c>
      <c r="G97" s="73">
        <f t="shared" si="26"/>
        <v>1311237.287</v>
      </c>
      <c r="H97" s="19">
        <f t="shared" si="27"/>
        <v>190887712.51716217</v>
      </c>
      <c r="I97" s="74">
        <f t="shared" si="28"/>
        <v>-1306007.1773054099</v>
      </c>
    </row>
    <row r="98" spans="1:9" x14ac:dyDescent="0.35">
      <c r="A98" s="71">
        <v>85</v>
      </c>
      <c r="B98" s="72">
        <f>B97+31</f>
        <v>47696</v>
      </c>
      <c r="C98" s="19">
        <f t="shared" si="29"/>
        <v>190887712.51716217</v>
      </c>
      <c r="D98" s="19">
        <f t="shared" si="23"/>
        <v>-2330247.4230292756</v>
      </c>
      <c r="E98" s="19">
        <f t="shared" si="30"/>
        <v>188557465.0941329</v>
      </c>
      <c r="F98" s="20">
        <f t="shared" si="32"/>
        <v>8.299999999999999E-2</v>
      </c>
      <c r="G98" s="73">
        <f t="shared" si="26"/>
        <v>1304189.1336000001</v>
      </c>
      <c r="H98" s="19">
        <f t="shared" si="27"/>
        <v>189861654.2277329</v>
      </c>
      <c r="I98" s="74">
        <f t="shared" si="28"/>
        <v>-1297036.0115587951</v>
      </c>
    </row>
    <row r="99" spans="1:9" x14ac:dyDescent="0.35">
      <c r="A99" s="71">
        <v>86</v>
      </c>
      <c r="B99" s="72">
        <f>B98+28</f>
        <v>47724</v>
      </c>
      <c r="C99" s="19">
        <f t="shared" si="29"/>
        <v>189861654.2277329</v>
      </c>
      <c r="D99" s="19">
        <f t="shared" si="23"/>
        <v>-2330247.4230292756</v>
      </c>
      <c r="E99" s="19">
        <f t="shared" si="30"/>
        <v>187531406.80470362</v>
      </c>
      <c r="F99" s="20">
        <f t="shared" si="32"/>
        <v>8.299999999999999E-2</v>
      </c>
      <c r="G99" s="73">
        <f t="shared" si="26"/>
        <v>1297092.2304</v>
      </c>
      <c r="H99" s="19">
        <f t="shared" si="27"/>
        <v>188828499.03510362</v>
      </c>
      <c r="I99" s="74">
        <f t="shared" si="28"/>
        <v>-1288126.4701403244</v>
      </c>
    </row>
    <row r="100" spans="1:9" x14ac:dyDescent="0.35">
      <c r="A100" s="71">
        <v>87</v>
      </c>
      <c r="B100" s="72">
        <f>B99+31</f>
        <v>47755</v>
      </c>
      <c r="C100" s="19">
        <f t="shared" si="29"/>
        <v>188828499.03510362</v>
      </c>
      <c r="D100" s="19">
        <f t="shared" si="23"/>
        <v>-2330247.4230292756</v>
      </c>
      <c r="E100" s="19">
        <f t="shared" si="30"/>
        <v>186498251.61207435</v>
      </c>
      <c r="F100" s="20">
        <f t="shared" si="32"/>
        <v>8.299999999999999E-2</v>
      </c>
      <c r="G100" s="73">
        <f t="shared" si="26"/>
        <v>1289946.2402999999</v>
      </c>
      <c r="H100" s="19">
        <f t="shared" si="27"/>
        <v>187788197.85237435</v>
      </c>
      <c r="I100" s="74">
        <f t="shared" si="28"/>
        <v>-1279278.1297429358</v>
      </c>
    </row>
    <row r="101" spans="1:9" x14ac:dyDescent="0.35">
      <c r="A101" s="71">
        <v>88</v>
      </c>
      <c r="B101" s="72">
        <f t="shared" ref="B101:B106" si="33">B100+30</f>
        <v>47785</v>
      </c>
      <c r="C101" s="19">
        <f t="shared" si="29"/>
        <v>187788197.85237435</v>
      </c>
      <c r="D101" s="19">
        <f t="shared" si="23"/>
        <v>-2330247.4230292756</v>
      </c>
      <c r="E101" s="19">
        <f t="shared" si="30"/>
        <v>185457950.42934507</v>
      </c>
      <c r="F101" s="20">
        <f t="shared" si="32"/>
        <v>8.299999999999999E-2</v>
      </c>
      <c r="G101" s="73">
        <f t="shared" si="26"/>
        <v>1282750.8237999999</v>
      </c>
      <c r="H101" s="19">
        <f t="shared" si="27"/>
        <v>186740701.25314507</v>
      </c>
      <c r="I101" s="74">
        <f t="shared" si="28"/>
        <v>-1270490.5699673288</v>
      </c>
    </row>
    <row r="102" spans="1:9" x14ac:dyDescent="0.35">
      <c r="A102" s="71">
        <v>89</v>
      </c>
      <c r="B102" s="72">
        <f>B101+31</f>
        <v>47816</v>
      </c>
      <c r="C102" s="19">
        <f t="shared" si="29"/>
        <v>186740701.25314507</v>
      </c>
      <c r="D102" s="19">
        <f t="shared" si="23"/>
        <v>-2330247.4230292756</v>
      </c>
      <c r="E102" s="19">
        <f t="shared" si="30"/>
        <v>184410453.8301158</v>
      </c>
      <c r="F102" s="20">
        <f t="shared" si="32"/>
        <v>8.299999999999999E-2</v>
      </c>
      <c r="G102" s="73">
        <f t="shared" si="26"/>
        <v>1275505.639</v>
      </c>
      <c r="H102" s="19">
        <f t="shared" si="27"/>
        <v>185685959.46911579</v>
      </c>
      <c r="I102" s="74">
        <f t="shared" si="28"/>
        <v>-1261763.3733019899</v>
      </c>
    </row>
    <row r="103" spans="1:9" x14ac:dyDescent="0.35">
      <c r="A103" s="71">
        <v>90</v>
      </c>
      <c r="B103" s="72">
        <f t="shared" si="33"/>
        <v>47846</v>
      </c>
      <c r="C103" s="19">
        <f t="shared" si="29"/>
        <v>185685959.46911579</v>
      </c>
      <c r="D103" s="19">
        <f t="shared" si="23"/>
        <v>-2330247.4230292756</v>
      </c>
      <c r="E103" s="19">
        <f t="shared" si="30"/>
        <v>183355712.04608652</v>
      </c>
      <c r="F103" s="20">
        <f t="shared" si="32"/>
        <v>8.299999999999999E-2</v>
      </c>
      <c r="G103" s="73">
        <f t="shared" si="26"/>
        <v>1268210.3417</v>
      </c>
      <c r="H103" s="19">
        <f t="shared" si="27"/>
        <v>184623922.38778651</v>
      </c>
      <c r="I103" s="74">
        <f t="shared" si="28"/>
        <v>-1253096.1251033579</v>
      </c>
    </row>
    <row r="104" spans="1:9" x14ac:dyDescent="0.35">
      <c r="A104" s="71">
        <v>91</v>
      </c>
      <c r="B104" s="72">
        <f>B103+31</f>
        <v>47877</v>
      </c>
      <c r="C104" s="19">
        <f t="shared" si="29"/>
        <v>184623922.38778651</v>
      </c>
      <c r="D104" s="19">
        <f t="shared" si="23"/>
        <v>-2330247.4230292756</v>
      </c>
      <c r="E104" s="19">
        <f t="shared" si="30"/>
        <v>182293674.96475723</v>
      </c>
      <c r="F104" s="20">
        <f t="shared" si="32"/>
        <v>8.299999999999999E-2</v>
      </c>
      <c r="G104" s="73">
        <f t="shared" si="26"/>
        <v>1260864.5852000001</v>
      </c>
      <c r="H104" s="19">
        <f t="shared" si="27"/>
        <v>183554539.54995725</v>
      </c>
      <c r="I104" s="74">
        <f t="shared" si="28"/>
        <v>-1244488.4135761233</v>
      </c>
    </row>
    <row r="105" spans="1:9" x14ac:dyDescent="0.35">
      <c r="A105" s="71">
        <v>92</v>
      </c>
      <c r="B105" s="72">
        <f>B104+31</f>
        <v>47908</v>
      </c>
      <c r="C105" s="19">
        <f t="shared" si="29"/>
        <v>183554539.54995725</v>
      </c>
      <c r="D105" s="19">
        <f t="shared" si="23"/>
        <v>-2330247.4230292756</v>
      </c>
      <c r="E105" s="19">
        <f t="shared" si="30"/>
        <v>181224292.12692797</v>
      </c>
      <c r="F105" s="20">
        <f t="shared" si="32"/>
        <v>8.299999999999999E-2</v>
      </c>
      <c r="G105" s="73">
        <f t="shared" si="26"/>
        <v>1253468.0205000001</v>
      </c>
      <c r="H105" s="19">
        <f t="shared" si="27"/>
        <v>182477760.14742798</v>
      </c>
      <c r="I105" s="74">
        <f t="shared" si="28"/>
        <v>-1235939.8297536606</v>
      </c>
    </row>
    <row r="106" spans="1:9" x14ac:dyDescent="0.35">
      <c r="A106" s="71">
        <v>93</v>
      </c>
      <c r="B106" s="72">
        <f t="shared" si="33"/>
        <v>47938</v>
      </c>
      <c r="C106" s="19">
        <f t="shared" si="29"/>
        <v>182477760.14742798</v>
      </c>
      <c r="D106" s="19">
        <f t="shared" si="23"/>
        <v>-2330247.4230292756</v>
      </c>
      <c r="E106" s="19">
        <f t="shared" si="30"/>
        <v>180147512.7243987</v>
      </c>
      <c r="F106" s="20">
        <f t="shared" si="32"/>
        <v>8.299999999999999E-2</v>
      </c>
      <c r="G106" s="73">
        <f t="shared" si="26"/>
        <v>1246020.2963</v>
      </c>
      <c r="H106" s="19">
        <f t="shared" si="27"/>
        <v>181393533.0206987</v>
      </c>
      <c r="I106" s="74">
        <f t="shared" si="28"/>
        <v>-1227449.9674786008</v>
      </c>
    </row>
    <row r="107" spans="1:9" x14ac:dyDescent="0.35">
      <c r="A107" s="71">
        <v>94</v>
      </c>
      <c r="B107" s="72">
        <f>B106+31</f>
        <v>47969</v>
      </c>
      <c r="C107" s="19">
        <f t="shared" si="29"/>
        <v>181393533.0206987</v>
      </c>
      <c r="D107" s="19">
        <f t="shared" si="23"/>
        <v>-2330247.4230292756</v>
      </c>
      <c r="E107" s="19">
        <f t="shared" si="30"/>
        <v>179063285.59766942</v>
      </c>
      <c r="F107" s="20">
        <f t="shared" si="32"/>
        <v>8.299999999999999E-2</v>
      </c>
      <c r="G107" s="73">
        <f t="shared" si="26"/>
        <v>1238521.0586999999</v>
      </c>
      <c r="H107" s="19">
        <f t="shared" si="27"/>
        <v>180301806.65636942</v>
      </c>
      <c r="I107" s="74">
        <f t="shared" si="28"/>
        <v>-1219018.4233835312</v>
      </c>
    </row>
    <row r="108" spans="1:9" x14ac:dyDescent="0.35">
      <c r="A108" s="71">
        <v>95</v>
      </c>
      <c r="B108" s="72">
        <f>B107+30</f>
        <v>47999</v>
      </c>
      <c r="C108" s="19">
        <f t="shared" si="29"/>
        <v>180301806.65636942</v>
      </c>
      <c r="D108" s="19">
        <f t="shared" si="23"/>
        <v>-2330247.4230292756</v>
      </c>
      <c r="E108" s="19">
        <f t="shared" si="30"/>
        <v>177971559.23334014</v>
      </c>
      <c r="F108" s="20">
        <f t="shared" si="32"/>
        <v>8.299999999999999E-2</v>
      </c>
      <c r="G108" s="73">
        <f t="shared" si="26"/>
        <v>1230969.9513999999</v>
      </c>
      <c r="H108" s="19">
        <f t="shared" si="27"/>
        <v>179202529.18474016</v>
      </c>
      <c r="I108" s="74">
        <f t="shared" si="28"/>
        <v>-1210644.7968718344</v>
      </c>
    </row>
    <row r="109" spans="1:9" x14ac:dyDescent="0.35">
      <c r="A109" s="71">
        <v>96</v>
      </c>
      <c r="B109" s="72">
        <f>B108+31</f>
        <v>48030</v>
      </c>
      <c r="C109" s="19">
        <f t="shared" si="29"/>
        <v>179202529.18474016</v>
      </c>
      <c r="D109" s="19">
        <f t="shared" si="23"/>
        <v>-2330247.4230292756</v>
      </c>
      <c r="E109" s="19">
        <f t="shared" si="30"/>
        <v>176872281.76171088</v>
      </c>
      <c r="F109" s="20">
        <f t="shared" si="32"/>
        <v>8.299999999999999E-2</v>
      </c>
      <c r="G109" s="73">
        <f t="shared" si="26"/>
        <v>1223366.6155000001</v>
      </c>
      <c r="H109" s="19">
        <f t="shared" si="27"/>
        <v>178095648.37721089</v>
      </c>
      <c r="I109" s="74">
        <f t="shared" si="28"/>
        <v>-1202328.6900986522</v>
      </c>
    </row>
    <row r="110" spans="1:9" x14ac:dyDescent="0.35">
      <c r="A110" s="71">
        <v>97</v>
      </c>
      <c r="B110" s="72">
        <f>B109+31</f>
        <v>48061</v>
      </c>
      <c r="C110" s="19">
        <f t="shared" si="29"/>
        <v>178095648.37721089</v>
      </c>
      <c r="D110" s="19">
        <f t="shared" si="23"/>
        <v>-2330247.4230292756</v>
      </c>
      <c r="E110" s="19">
        <f t="shared" si="30"/>
        <v>175765400.95418161</v>
      </c>
      <c r="F110" s="20">
        <f t="shared" si="32"/>
        <v>8.299999999999999E-2</v>
      </c>
      <c r="G110" s="73">
        <f t="shared" si="26"/>
        <v>1215710.6899000001</v>
      </c>
      <c r="H110" s="19">
        <f t="shared" si="27"/>
        <v>176981111.64408162</v>
      </c>
      <c r="I110" s="74">
        <f t="shared" si="28"/>
        <v>-1194069.7079519841</v>
      </c>
    </row>
    <row r="111" spans="1:9" x14ac:dyDescent="0.35">
      <c r="A111" s="71">
        <v>98</v>
      </c>
      <c r="B111" s="72">
        <f>B110+28</f>
        <v>48089</v>
      </c>
      <c r="C111" s="19">
        <f t="shared" si="29"/>
        <v>176981111.64408162</v>
      </c>
      <c r="D111" s="19">
        <f t="shared" si="23"/>
        <v>-2330247.4230292756</v>
      </c>
      <c r="E111" s="19">
        <f t="shared" si="30"/>
        <v>174650864.22105235</v>
      </c>
      <c r="F111" s="20">
        <f t="shared" si="32"/>
        <v>8.299999999999999E-2</v>
      </c>
      <c r="G111" s="73">
        <f t="shared" si="26"/>
        <v>1208001.8108999999</v>
      </c>
      <c r="H111" s="19">
        <f t="shared" si="27"/>
        <v>175858866.03195235</v>
      </c>
      <c r="I111" s="74">
        <f t="shared" si="28"/>
        <v>-1185867.4580339161</v>
      </c>
    </row>
    <row r="112" spans="1:9" x14ac:dyDescent="0.35">
      <c r="A112" s="71">
        <v>99</v>
      </c>
      <c r="B112" s="72">
        <f>B111+31</f>
        <v>48120</v>
      </c>
      <c r="C112" s="19">
        <f t="shared" si="29"/>
        <v>175858866.03195235</v>
      </c>
      <c r="D112" s="19">
        <f t="shared" si="23"/>
        <v>-2330247.4230292756</v>
      </c>
      <c r="E112" s="19">
        <f t="shared" si="30"/>
        <v>173528618.60892308</v>
      </c>
      <c r="F112" s="20">
        <f t="shared" si="32"/>
        <v>8.299999999999999E-2</v>
      </c>
      <c r="G112" s="73">
        <f t="shared" si="26"/>
        <v>1200239.612</v>
      </c>
      <c r="H112" s="19">
        <f t="shared" si="27"/>
        <v>174728858.22092307</v>
      </c>
      <c r="I112" s="74">
        <f t="shared" si="28"/>
        <v>-1177721.5506419761</v>
      </c>
    </row>
    <row r="113" spans="1:9" x14ac:dyDescent="0.35">
      <c r="A113" s="71">
        <v>100</v>
      </c>
      <c r="B113" s="72">
        <f t="shared" ref="B113:B118" si="34">B112+30</f>
        <v>48150</v>
      </c>
      <c r="C113" s="19">
        <f t="shared" si="29"/>
        <v>174728858.22092307</v>
      </c>
      <c r="D113" s="19">
        <f t="shared" si="23"/>
        <v>-2330247.4230292756</v>
      </c>
      <c r="E113" s="19">
        <f t="shared" si="30"/>
        <v>172398610.79789379</v>
      </c>
      <c r="F113" s="20">
        <f t="shared" si="32"/>
        <v>8.299999999999999E-2</v>
      </c>
      <c r="G113" s="73">
        <f t="shared" si="26"/>
        <v>1192423.7246999999</v>
      </c>
      <c r="H113" s="19">
        <f t="shared" si="27"/>
        <v>173591034.5225938</v>
      </c>
      <c r="I113" s="74">
        <f t="shared" si="28"/>
        <v>-1169631.5987506178</v>
      </c>
    </row>
    <row r="114" spans="1:9" x14ac:dyDescent="0.35">
      <c r="A114" s="71">
        <v>101</v>
      </c>
      <c r="B114" s="72">
        <f>B113+31</f>
        <v>48181</v>
      </c>
      <c r="C114" s="19">
        <f t="shared" si="29"/>
        <v>173591034.5225938</v>
      </c>
      <c r="D114" s="19">
        <f t="shared" si="23"/>
        <v>-2330247.4230292756</v>
      </c>
      <c r="E114" s="19">
        <f t="shared" si="30"/>
        <v>171260787.09956452</v>
      </c>
      <c r="F114" s="20">
        <f t="shared" si="32"/>
        <v>8.299999999999999E-2</v>
      </c>
      <c r="G114" s="73">
        <f t="shared" si="26"/>
        <v>1184553.7774</v>
      </c>
      <c r="H114" s="19">
        <f t="shared" si="27"/>
        <v>172445340.87696451</v>
      </c>
      <c r="I114" s="74">
        <f t="shared" si="28"/>
        <v>-1161597.217992834</v>
      </c>
    </row>
    <row r="115" spans="1:9" x14ac:dyDescent="0.35">
      <c r="A115" s="71">
        <v>102</v>
      </c>
      <c r="B115" s="72">
        <f t="shared" si="34"/>
        <v>48211</v>
      </c>
      <c r="C115" s="19">
        <f t="shared" si="29"/>
        <v>172445340.87696451</v>
      </c>
      <c r="D115" s="19">
        <f t="shared" si="23"/>
        <v>-2330247.4230292756</v>
      </c>
      <c r="E115" s="19">
        <f t="shared" si="30"/>
        <v>170115093.45393524</v>
      </c>
      <c r="F115" s="20">
        <f t="shared" si="32"/>
        <v>8.299999999999999E-2</v>
      </c>
      <c r="G115" s="73">
        <f t="shared" si="26"/>
        <v>1176629.3964</v>
      </c>
      <c r="H115" s="19">
        <f t="shared" si="27"/>
        <v>171291722.85033524</v>
      </c>
      <c r="I115" s="74">
        <f t="shared" si="28"/>
        <v>-1153618.0266418941</v>
      </c>
    </row>
    <row r="116" spans="1:9" x14ac:dyDescent="0.35">
      <c r="A116" s="71">
        <v>103</v>
      </c>
      <c r="B116" s="72">
        <f>B115+31</f>
        <v>48242</v>
      </c>
      <c r="C116" s="19">
        <f t="shared" si="29"/>
        <v>171291722.85033524</v>
      </c>
      <c r="D116" s="19">
        <f t="shared" si="23"/>
        <v>-2330247.4230292756</v>
      </c>
      <c r="E116" s="19">
        <f t="shared" si="30"/>
        <v>168961475.42730597</v>
      </c>
      <c r="F116" s="20">
        <f t="shared" si="32"/>
        <v>8.299999999999999E-2</v>
      </c>
      <c r="G116" s="73">
        <f t="shared" si="26"/>
        <v>1168650.2050000001</v>
      </c>
      <c r="H116" s="19">
        <f t="shared" si="27"/>
        <v>170130125.63230598</v>
      </c>
      <c r="I116" s="74">
        <f t="shared" si="28"/>
        <v>-1145693.6455932078</v>
      </c>
    </row>
    <row r="117" spans="1:9" x14ac:dyDescent="0.35">
      <c r="A117" s="71">
        <v>104</v>
      </c>
      <c r="B117" s="72">
        <f>B116+31</f>
        <v>48273</v>
      </c>
      <c r="C117" s="19">
        <f t="shared" si="29"/>
        <v>170130125.63230598</v>
      </c>
      <c r="D117" s="19">
        <f t="shared" si="23"/>
        <v>-2330247.4230292756</v>
      </c>
      <c r="E117" s="19">
        <f t="shared" si="30"/>
        <v>167799878.20927671</v>
      </c>
      <c r="F117" s="20">
        <f t="shared" si="32"/>
        <v>8.299999999999999E-2</v>
      </c>
      <c r="G117" s="73">
        <f t="shared" si="26"/>
        <v>1160615.8243</v>
      </c>
      <c r="H117" s="19">
        <f t="shared" si="27"/>
        <v>168960494.0335767</v>
      </c>
      <c r="I117" s="74">
        <f t="shared" si="28"/>
        <v>-1137823.6983463126</v>
      </c>
    </row>
    <row r="118" spans="1:9" x14ac:dyDescent="0.35">
      <c r="A118" s="71">
        <v>105</v>
      </c>
      <c r="B118" s="72">
        <f t="shared" si="34"/>
        <v>48303</v>
      </c>
      <c r="C118" s="19">
        <f t="shared" si="29"/>
        <v>168960494.0335767</v>
      </c>
      <c r="D118" s="19">
        <f t="shared" si="23"/>
        <v>-2330247.4230292756</v>
      </c>
      <c r="E118" s="19">
        <f t="shared" si="30"/>
        <v>166630246.61054742</v>
      </c>
      <c r="F118" s="20">
        <f t="shared" si="32"/>
        <v>8.299999999999999E-2</v>
      </c>
      <c r="G118" s="73">
        <f t="shared" si="26"/>
        <v>1152525.8724</v>
      </c>
      <c r="H118" s="19">
        <f t="shared" si="27"/>
        <v>167782772.48294741</v>
      </c>
      <c r="I118" s="74">
        <f t="shared" si="28"/>
        <v>-1130007.8109869862</v>
      </c>
    </row>
    <row r="119" spans="1:9" x14ac:dyDescent="0.35">
      <c r="A119" s="71">
        <v>106</v>
      </c>
      <c r="B119" s="72">
        <f>B118+31</f>
        <v>48334</v>
      </c>
      <c r="C119" s="19">
        <f t="shared" si="29"/>
        <v>167782772.48294741</v>
      </c>
      <c r="D119" s="19">
        <f t="shared" si="23"/>
        <v>-2330247.4230292756</v>
      </c>
      <c r="E119" s="19">
        <f t="shared" si="30"/>
        <v>165452525.05991814</v>
      </c>
      <c r="F119" s="20">
        <f t="shared" si="32"/>
        <v>8.299999999999999E-2</v>
      </c>
      <c r="G119" s="73">
        <f t="shared" si="26"/>
        <v>1144379.9650000001</v>
      </c>
      <c r="H119" s="19">
        <f t="shared" si="27"/>
        <v>166596905.02491814</v>
      </c>
      <c r="I119" s="74">
        <f t="shared" si="28"/>
        <v>-1122245.6121694804</v>
      </c>
    </row>
    <row r="120" spans="1:9" x14ac:dyDescent="0.35">
      <c r="A120" s="71">
        <v>107</v>
      </c>
      <c r="B120" s="72">
        <f>B119+30</f>
        <v>48364</v>
      </c>
      <c r="C120" s="19">
        <f t="shared" si="29"/>
        <v>166596905.02491814</v>
      </c>
      <c r="D120" s="19">
        <f t="shared" si="23"/>
        <v>-2330247.4230292756</v>
      </c>
      <c r="E120" s="19">
        <f t="shared" si="30"/>
        <v>164266657.60188887</v>
      </c>
      <c r="F120" s="20">
        <f t="shared" si="32"/>
        <v>8.299999999999999E-2</v>
      </c>
      <c r="G120" s="73">
        <f t="shared" si="26"/>
        <v>1136177.7150999999</v>
      </c>
      <c r="H120" s="19">
        <f t="shared" si="27"/>
        <v>165402835.31698886</v>
      </c>
      <c r="I120" s="74">
        <f t="shared" si="28"/>
        <v>-1114536.7330988797</v>
      </c>
    </row>
    <row r="121" spans="1:9" x14ac:dyDescent="0.35">
      <c r="A121" s="71">
        <v>108</v>
      </c>
      <c r="B121" s="72">
        <f>B120+31</f>
        <v>48395</v>
      </c>
      <c r="C121" s="19">
        <f t="shared" si="29"/>
        <v>165402835.31698886</v>
      </c>
      <c r="D121" s="19">
        <f t="shared" si="23"/>
        <v>-2330247.4230292756</v>
      </c>
      <c r="E121" s="19">
        <f t="shared" si="30"/>
        <v>163072587.89395958</v>
      </c>
      <c r="F121" s="20">
        <f t="shared" si="32"/>
        <v>8.299999999999999E-2</v>
      </c>
      <c r="G121" s="73">
        <f t="shared" si="26"/>
        <v>1127918.7328999999</v>
      </c>
      <c r="H121" s="19">
        <f t="shared" si="27"/>
        <v>164200506.62685958</v>
      </c>
      <c r="I121" s="74">
        <f t="shared" si="28"/>
        <v>-1106880.8075135774</v>
      </c>
    </row>
    <row r="122" spans="1:9" x14ac:dyDescent="0.35">
      <c r="A122" s="71">
        <v>109</v>
      </c>
      <c r="B122" s="72">
        <f>B121+31</f>
        <v>48426</v>
      </c>
      <c r="C122" s="19">
        <f t="shared" si="29"/>
        <v>164200506.62685958</v>
      </c>
      <c r="D122" s="19">
        <f t="shared" si="23"/>
        <v>-2330247.4230292756</v>
      </c>
      <c r="E122" s="19">
        <f t="shared" si="30"/>
        <v>161870259.2038303</v>
      </c>
      <c r="F122" s="20">
        <f t="shared" si="32"/>
        <v>8.299999999999999E-2</v>
      </c>
      <c r="G122" s="73">
        <f t="shared" si="26"/>
        <v>1119602.6262000001</v>
      </c>
      <c r="H122" s="19">
        <f t="shared" si="27"/>
        <v>162989861.83003029</v>
      </c>
      <c r="I122" s="74">
        <f t="shared" si="28"/>
        <v>-1099277.4716678751</v>
      </c>
    </row>
    <row r="123" spans="1:9" x14ac:dyDescent="0.35">
      <c r="A123" s="71">
        <v>110</v>
      </c>
      <c r="B123" s="72">
        <f>B122+29</f>
        <v>48455</v>
      </c>
      <c r="C123" s="19">
        <f t="shared" si="29"/>
        <v>162989861.83003029</v>
      </c>
      <c r="D123" s="19">
        <f t="shared" si="23"/>
        <v>-2330247.4230292756</v>
      </c>
      <c r="E123" s="19">
        <f t="shared" si="30"/>
        <v>160659614.40700102</v>
      </c>
      <c r="F123" s="20">
        <f t="shared" si="32"/>
        <v>8.299999999999999E-2</v>
      </c>
      <c r="G123" s="73">
        <f t="shared" si="26"/>
        <v>1111228.9996</v>
      </c>
      <c r="H123" s="19">
        <f t="shared" si="27"/>
        <v>161770843.40660101</v>
      </c>
      <c r="I123" s="74">
        <f t="shared" si="28"/>
        <v>-1091726.3643146981</v>
      </c>
    </row>
    <row r="124" spans="1:9" x14ac:dyDescent="0.35">
      <c r="A124" s="71">
        <v>111</v>
      </c>
      <c r="B124" s="72">
        <f>B123+31</f>
        <v>48486</v>
      </c>
      <c r="C124" s="19">
        <f t="shared" si="29"/>
        <v>161770843.40660101</v>
      </c>
      <c r="D124" s="19">
        <f t="shared" si="23"/>
        <v>-2330247.4230292756</v>
      </c>
      <c r="E124" s="19">
        <f t="shared" si="30"/>
        <v>159440595.98357174</v>
      </c>
      <c r="F124" s="20">
        <f t="shared" si="32"/>
        <v>8.299999999999999E-2</v>
      </c>
      <c r="G124" s="73">
        <f t="shared" si="26"/>
        <v>1102797.4556</v>
      </c>
      <c r="H124" s="19">
        <f t="shared" si="27"/>
        <v>160543393.43917173</v>
      </c>
      <c r="I124" s="74">
        <f t="shared" si="28"/>
        <v>-1084227.1266884366</v>
      </c>
    </row>
    <row r="125" spans="1:9" x14ac:dyDescent="0.35">
      <c r="A125" s="71">
        <v>112</v>
      </c>
      <c r="B125" s="72">
        <f t="shared" ref="B125:B130" si="35">B124+30</f>
        <v>48516</v>
      </c>
      <c r="C125" s="19">
        <f t="shared" si="29"/>
        <v>160543393.43917173</v>
      </c>
      <c r="D125" s="19">
        <f t="shared" si="23"/>
        <v>-2330247.4230292756</v>
      </c>
      <c r="E125" s="19">
        <f t="shared" si="30"/>
        <v>158213146.01614246</v>
      </c>
      <c r="F125" s="20">
        <f t="shared" si="32"/>
        <v>8.299999999999999E-2</v>
      </c>
      <c r="G125" s="73">
        <f t="shared" si="26"/>
        <v>1094307.5933000001</v>
      </c>
      <c r="H125" s="19">
        <f t="shared" si="27"/>
        <v>159307453.60944247</v>
      </c>
      <c r="I125" s="74">
        <f t="shared" si="28"/>
        <v>-1076779.4024878955</v>
      </c>
    </row>
    <row r="126" spans="1:9" x14ac:dyDescent="0.35">
      <c r="A126" s="71">
        <v>113</v>
      </c>
      <c r="B126" s="72">
        <f>B125+31</f>
        <v>48547</v>
      </c>
      <c r="C126" s="19">
        <f t="shared" si="29"/>
        <v>159307453.60944247</v>
      </c>
      <c r="D126" s="19">
        <f t="shared" si="23"/>
        <v>-2330247.4230292756</v>
      </c>
      <c r="E126" s="19">
        <f t="shared" si="30"/>
        <v>156977206.1864132</v>
      </c>
      <c r="F126" s="20">
        <f t="shared" si="32"/>
        <v>8.299999999999999E-2</v>
      </c>
      <c r="G126" s="73">
        <f t="shared" si="26"/>
        <v>1085759.0094999999</v>
      </c>
      <c r="H126" s="19">
        <f t="shared" si="27"/>
        <v>158062965.1959132</v>
      </c>
      <c r="I126" s="74">
        <f t="shared" si="28"/>
        <v>-1069382.837859368</v>
      </c>
    </row>
    <row r="127" spans="1:9" x14ac:dyDescent="0.35">
      <c r="A127" s="71">
        <v>114</v>
      </c>
      <c r="B127" s="72">
        <f t="shared" si="35"/>
        <v>48577</v>
      </c>
      <c r="C127" s="19">
        <f t="shared" si="29"/>
        <v>158062965.1959132</v>
      </c>
      <c r="D127" s="19">
        <f t="shared" si="23"/>
        <v>-2330247.4230292756</v>
      </c>
      <c r="E127" s="19">
        <f t="shared" si="30"/>
        <v>155732717.77288392</v>
      </c>
      <c r="F127" s="20">
        <f t="shared" si="32"/>
        <v>8.299999999999999E-2</v>
      </c>
      <c r="G127" s="73">
        <f t="shared" si="26"/>
        <v>1077151.2978999999</v>
      </c>
      <c r="H127" s="19">
        <f t="shared" si="27"/>
        <v>156809869.07078391</v>
      </c>
      <c r="I127" s="74">
        <f t="shared" si="28"/>
        <v>-1062037.0813798246</v>
      </c>
    </row>
    <row r="128" spans="1:9" x14ac:dyDescent="0.35">
      <c r="A128" s="71">
        <v>115</v>
      </c>
      <c r="B128" s="72">
        <f>B127+31</f>
        <v>48608</v>
      </c>
      <c r="C128" s="19">
        <f t="shared" si="29"/>
        <v>156809869.07078391</v>
      </c>
      <c r="D128" s="19">
        <f t="shared" si="23"/>
        <v>-2330247.4230292756</v>
      </c>
      <c r="E128" s="19">
        <f t="shared" si="30"/>
        <v>154479621.64775464</v>
      </c>
      <c r="F128" s="20">
        <f t="shared" si="32"/>
        <v>8.299999999999999E-2</v>
      </c>
      <c r="G128" s="73">
        <f t="shared" si="26"/>
        <v>1068484.0497000001</v>
      </c>
      <c r="H128" s="19">
        <f t="shared" si="27"/>
        <v>155548105.69745463</v>
      </c>
      <c r="I128" s="74">
        <f t="shared" si="28"/>
        <v>-1054741.7840402131</v>
      </c>
    </row>
    <row r="129" spans="1:9" x14ac:dyDescent="0.35">
      <c r="A129" s="71">
        <v>116</v>
      </c>
      <c r="B129" s="72">
        <f>B128+31</f>
        <v>48639</v>
      </c>
      <c r="C129" s="19">
        <f t="shared" si="29"/>
        <v>155548105.69745463</v>
      </c>
      <c r="D129" s="19">
        <f t="shared" si="23"/>
        <v>-2330247.4230292756</v>
      </c>
      <c r="E129" s="19">
        <f t="shared" si="30"/>
        <v>153217858.27442536</v>
      </c>
      <c r="F129" s="20">
        <f t="shared" si="32"/>
        <v>8.299999999999999E-2</v>
      </c>
      <c r="G129" s="73">
        <f t="shared" si="26"/>
        <v>1059756.8530999999</v>
      </c>
      <c r="H129" s="19">
        <f t="shared" si="27"/>
        <v>154277615.12752536</v>
      </c>
      <c r="I129" s="74">
        <f t="shared" si="28"/>
        <v>-1047496.5992288799</v>
      </c>
    </row>
    <row r="130" spans="1:9" x14ac:dyDescent="0.35">
      <c r="A130" s="71">
        <v>117</v>
      </c>
      <c r="B130" s="72">
        <f t="shared" si="35"/>
        <v>48669</v>
      </c>
      <c r="C130" s="19">
        <f t="shared" si="29"/>
        <v>154277615.12752536</v>
      </c>
      <c r="D130" s="19">
        <f t="shared" si="23"/>
        <v>-2330247.4230292756</v>
      </c>
      <c r="E130" s="19">
        <f t="shared" si="30"/>
        <v>151947367.70449609</v>
      </c>
      <c r="F130" s="20">
        <f t="shared" si="32"/>
        <v>8.299999999999999E-2</v>
      </c>
      <c r="G130" s="73">
        <f t="shared" si="26"/>
        <v>1050969.2933</v>
      </c>
      <c r="H130" s="19">
        <f t="shared" si="27"/>
        <v>152998336.99779609</v>
      </c>
      <c r="I130" s="74">
        <f t="shared" si="28"/>
        <v>-1040301.1827151006</v>
      </c>
    </row>
    <row r="131" spans="1:9" x14ac:dyDescent="0.35">
      <c r="A131" s="71">
        <v>118</v>
      </c>
      <c r="B131" s="72">
        <f>B130+31</f>
        <v>48700</v>
      </c>
      <c r="C131" s="19">
        <f t="shared" si="29"/>
        <v>152998336.99779609</v>
      </c>
      <c r="D131" s="19">
        <f t="shared" si="23"/>
        <v>-2330247.4230292756</v>
      </c>
      <c r="E131" s="19">
        <f t="shared" si="30"/>
        <v>150668089.57476681</v>
      </c>
      <c r="F131" s="20">
        <f t="shared" si="32"/>
        <v>8.299999999999999E-2</v>
      </c>
      <c r="G131" s="73">
        <f t="shared" si="26"/>
        <v>1042120.9529</v>
      </c>
      <c r="H131" s="19">
        <f t="shared" si="27"/>
        <v>151710210.52766681</v>
      </c>
      <c r="I131" s="74">
        <f t="shared" si="28"/>
        <v>-1033155.1926327242</v>
      </c>
    </row>
    <row r="132" spans="1:9" x14ac:dyDescent="0.35">
      <c r="A132" s="71">
        <v>119</v>
      </c>
      <c r="B132" s="72">
        <f>B131+30</f>
        <v>48730</v>
      </c>
      <c r="C132" s="19">
        <f t="shared" si="29"/>
        <v>151710210.52766681</v>
      </c>
      <c r="D132" s="19">
        <f t="shared" si="23"/>
        <v>-2330247.4230292756</v>
      </c>
      <c r="E132" s="19">
        <f t="shared" si="30"/>
        <v>149379963.10463753</v>
      </c>
      <c r="F132" s="20">
        <f t="shared" si="32"/>
        <v>8.299999999999999E-2</v>
      </c>
      <c r="G132" s="73">
        <f t="shared" si="26"/>
        <v>1033211.4115</v>
      </c>
      <c r="H132" s="19">
        <f t="shared" si="27"/>
        <v>150413174.51613754</v>
      </c>
      <c r="I132" s="74">
        <f t="shared" si="28"/>
        <v>-1026058.2894639322</v>
      </c>
    </row>
    <row r="133" spans="1:9" x14ac:dyDescent="0.35">
      <c r="A133" s="71">
        <v>120</v>
      </c>
      <c r="B133" s="72">
        <f>B132+31</f>
        <v>48761</v>
      </c>
      <c r="C133" s="19">
        <f t="shared" si="29"/>
        <v>150413174.51613754</v>
      </c>
      <c r="D133" s="19">
        <f t="shared" si="23"/>
        <v>-2330247.4230292756</v>
      </c>
      <c r="E133" s="19">
        <f t="shared" si="30"/>
        <v>148082927.09310827</v>
      </c>
      <c r="F133" s="20">
        <f t="shared" si="32"/>
        <v>8.299999999999999E-2</v>
      </c>
      <c r="G133" s="73">
        <f t="shared" si="26"/>
        <v>1024240.2457</v>
      </c>
      <c r="H133" s="19">
        <f t="shared" si="27"/>
        <v>149107167.33880827</v>
      </c>
      <c r="I133" s="74">
        <f t="shared" si="28"/>
        <v>-1019010.1360231057</v>
      </c>
    </row>
    <row r="134" spans="1:9" x14ac:dyDescent="0.35">
      <c r="A134" s="71">
        <v>121</v>
      </c>
      <c r="B134" s="72">
        <f>B133+31</f>
        <v>48792</v>
      </c>
      <c r="C134" s="19">
        <f t="shared" si="29"/>
        <v>149107167.33880827</v>
      </c>
      <c r="D134" s="19">
        <f t="shared" si="23"/>
        <v>-2330247.4230292756</v>
      </c>
      <c r="E134" s="19">
        <f t="shared" si="30"/>
        <v>146776919.91577899</v>
      </c>
      <c r="F134" s="20">
        <f t="shared" si="32"/>
        <v>8.299999999999999E-2</v>
      </c>
      <c r="G134" s="73">
        <f t="shared" si="26"/>
        <v>1015207.0294</v>
      </c>
      <c r="H134" s="19">
        <f t="shared" si="27"/>
        <v>147792126.94517899</v>
      </c>
      <c r="I134" s="74">
        <f t="shared" si="28"/>
        <v>-1012010.3974408067</v>
      </c>
    </row>
    <row r="135" spans="1:9" x14ac:dyDescent="0.35">
      <c r="A135" s="71">
        <v>122</v>
      </c>
      <c r="B135" s="72">
        <f>B134+28</f>
        <v>48820</v>
      </c>
      <c r="C135" s="19">
        <f t="shared" si="29"/>
        <v>147792126.94517899</v>
      </c>
      <c r="D135" s="19">
        <f t="shared" si="23"/>
        <v>-2330247.4230292756</v>
      </c>
      <c r="E135" s="19">
        <f t="shared" si="30"/>
        <v>145461879.52214971</v>
      </c>
      <c r="F135" s="20">
        <f t="shared" si="32"/>
        <v>8.299999999999999E-2</v>
      </c>
      <c r="G135" s="73">
        <f t="shared" si="26"/>
        <v>1006111.3334</v>
      </c>
      <c r="H135" s="19">
        <f t="shared" si="27"/>
        <v>146467990.85554972</v>
      </c>
      <c r="I135" s="74">
        <f t="shared" si="28"/>
        <v>-1005058.7411478674</v>
      </c>
    </row>
    <row r="136" spans="1:9" x14ac:dyDescent="0.35">
      <c r="A136" s="71">
        <v>123</v>
      </c>
      <c r="B136" s="72">
        <f>B135+31</f>
        <v>48851</v>
      </c>
      <c r="C136" s="19">
        <f t="shared" si="29"/>
        <v>146467990.85554972</v>
      </c>
      <c r="D136" s="19">
        <f t="shared" si="23"/>
        <v>-2330247.4230292756</v>
      </c>
      <c r="E136" s="19">
        <f t="shared" si="30"/>
        <v>144137743.43252045</v>
      </c>
      <c r="F136" s="20">
        <f t="shared" si="32"/>
        <v>8.299999999999999E-2</v>
      </c>
      <c r="G136" s="73">
        <f t="shared" si="26"/>
        <v>996952.7254</v>
      </c>
      <c r="H136" s="19">
        <f t="shared" si="27"/>
        <v>145134696.15792045</v>
      </c>
      <c r="I136" s="74">
        <f t="shared" si="28"/>
        <v>-998154.83685958863</v>
      </c>
    </row>
    <row r="137" spans="1:9" x14ac:dyDescent="0.35">
      <c r="A137" s="71">
        <v>124</v>
      </c>
      <c r="B137" s="72">
        <f t="shared" ref="B137:B142" si="36">B136+30</f>
        <v>48881</v>
      </c>
      <c r="C137" s="19">
        <f t="shared" si="29"/>
        <v>145134696.15792045</v>
      </c>
      <c r="D137" s="19">
        <f t="shared" si="23"/>
        <v>-2330247.4230292756</v>
      </c>
      <c r="E137" s="19">
        <f t="shared" si="30"/>
        <v>142804448.73489118</v>
      </c>
      <c r="F137" s="20">
        <f t="shared" si="32"/>
        <v>8.299999999999999E-2</v>
      </c>
      <c r="G137" s="73">
        <f t="shared" si="26"/>
        <v>987730.77040000004</v>
      </c>
      <c r="H137" s="19">
        <f t="shared" si="27"/>
        <v>143792179.50529116</v>
      </c>
      <c r="I137" s="74">
        <f t="shared" si="28"/>
        <v>-991298.35656004841</v>
      </c>
    </row>
    <row r="138" spans="1:9" x14ac:dyDescent="0.35">
      <c r="A138" s="71">
        <v>125</v>
      </c>
      <c r="B138" s="72">
        <f>B137+31</f>
        <v>48912</v>
      </c>
      <c r="C138" s="19">
        <f t="shared" si="29"/>
        <v>143792179.50529116</v>
      </c>
      <c r="D138" s="19">
        <f t="shared" ref="D138:D201" si="37">D137</f>
        <v>-2330247.4230292756</v>
      </c>
      <c r="E138" s="19">
        <f t="shared" si="30"/>
        <v>141461932.08226189</v>
      </c>
      <c r="F138" s="20">
        <f t="shared" si="32"/>
        <v>8.299999999999999E-2</v>
      </c>
      <c r="G138" s="73">
        <f t="shared" si="26"/>
        <v>978445.03020000004</v>
      </c>
      <c r="H138" s="19">
        <f t="shared" si="27"/>
        <v>142440377.11246189</v>
      </c>
      <c r="I138" s="74">
        <f t="shared" si="28"/>
        <v>-984488.97448651679</v>
      </c>
    </row>
    <row r="139" spans="1:9" x14ac:dyDescent="0.35">
      <c r="A139" s="71">
        <v>126</v>
      </c>
      <c r="B139" s="72">
        <f t="shared" si="36"/>
        <v>48942</v>
      </c>
      <c r="C139" s="19">
        <f t="shared" si="29"/>
        <v>142440377.11246189</v>
      </c>
      <c r="D139" s="19">
        <f t="shared" si="37"/>
        <v>-2330247.4230292756</v>
      </c>
      <c r="E139" s="19">
        <f t="shared" si="30"/>
        <v>140110129.68943262</v>
      </c>
      <c r="F139" s="20">
        <f t="shared" si="32"/>
        <v>8.299999999999999E-2</v>
      </c>
      <c r="G139" s="73">
        <f t="shared" si="26"/>
        <v>969095.06370000006</v>
      </c>
      <c r="H139" s="19">
        <f t="shared" si="27"/>
        <v>141079224.75313261</v>
      </c>
      <c r="I139" s="74">
        <f t="shared" si="28"/>
        <v>-977726.36711397814</v>
      </c>
    </row>
    <row r="140" spans="1:9" x14ac:dyDescent="0.35">
      <c r="A140" s="71">
        <v>127</v>
      </c>
      <c r="B140" s="72">
        <f>B139+31</f>
        <v>48973</v>
      </c>
      <c r="C140" s="19">
        <f t="shared" si="29"/>
        <v>141079224.75313261</v>
      </c>
      <c r="D140" s="19">
        <f t="shared" si="37"/>
        <v>-2330247.4230292756</v>
      </c>
      <c r="E140" s="19">
        <f t="shared" si="30"/>
        <v>138748977.33010334</v>
      </c>
      <c r="F140" s="20">
        <f t="shared" si="32"/>
        <v>8.299999999999999E-2</v>
      </c>
      <c r="G140" s="73">
        <f t="shared" si="26"/>
        <v>959680.42649999994</v>
      </c>
      <c r="H140" s="19">
        <f t="shared" si="27"/>
        <v>139708657.75660333</v>
      </c>
      <c r="I140" s="74">
        <f t="shared" si="28"/>
        <v>-971010.21313976182</v>
      </c>
    </row>
    <row r="141" spans="1:9" x14ac:dyDescent="0.35">
      <c r="A141" s="71">
        <v>128</v>
      </c>
      <c r="B141" s="72">
        <f>B140+31</f>
        <v>49004</v>
      </c>
      <c r="C141" s="19">
        <f t="shared" si="29"/>
        <v>139708657.75660333</v>
      </c>
      <c r="D141" s="19">
        <f t="shared" si="37"/>
        <v>-2330247.4230292756</v>
      </c>
      <c r="E141" s="19">
        <f t="shared" si="30"/>
        <v>137378410.33357406</v>
      </c>
      <c r="F141" s="20">
        <f t="shared" si="32"/>
        <v>8.299999999999999E-2</v>
      </c>
      <c r="G141" s="73">
        <f t="shared" si="26"/>
        <v>950200.67150000005</v>
      </c>
      <c r="H141" s="19">
        <f t="shared" si="27"/>
        <v>138328611.00507405</v>
      </c>
      <c r="I141" s="74">
        <f t="shared" si="28"/>
        <v>-964340.1934682728</v>
      </c>
    </row>
    <row r="142" spans="1:9" x14ac:dyDescent="0.35">
      <c r="A142" s="71">
        <v>129</v>
      </c>
      <c r="B142" s="72">
        <f t="shared" si="36"/>
        <v>49034</v>
      </c>
      <c r="C142" s="19">
        <f t="shared" si="29"/>
        <v>138328611.00507405</v>
      </c>
      <c r="D142" s="19">
        <f t="shared" si="37"/>
        <v>-2330247.4230292756</v>
      </c>
      <c r="E142" s="19">
        <f t="shared" si="30"/>
        <v>135998363.58204478</v>
      </c>
      <c r="F142" s="20">
        <f t="shared" si="32"/>
        <v>8.299999999999999E-2</v>
      </c>
      <c r="G142" s="73">
        <f t="shared" ref="G142:G205" si="38">ROUND(((+E142))*F$13/12,4)</f>
        <v>940655.34809999994</v>
      </c>
      <c r="H142" s="19">
        <f t="shared" ref="H142:H205" si="39">E142+G142</f>
        <v>136939018.93014479</v>
      </c>
      <c r="I142" s="74">
        <f t="shared" ref="I142:I205" si="40">IF(A142&gt;$F$5,"",((1/((1+($B$6/12))^A142))*D142))</f>
        <v>-957715.99119583494</v>
      </c>
    </row>
    <row r="143" spans="1:9" x14ac:dyDescent="0.35">
      <c r="A143" s="71">
        <v>130</v>
      </c>
      <c r="B143" s="72">
        <f>B142+31</f>
        <v>49065</v>
      </c>
      <c r="C143" s="19">
        <f t="shared" si="29"/>
        <v>136939018.93014479</v>
      </c>
      <c r="D143" s="19">
        <f t="shared" si="37"/>
        <v>-2330247.4230292756</v>
      </c>
      <c r="E143" s="19">
        <f t="shared" si="30"/>
        <v>134608771.50711551</v>
      </c>
      <c r="F143" s="20">
        <f t="shared" si="32"/>
        <v>8.299999999999999E-2</v>
      </c>
      <c r="G143" s="73">
        <f t="shared" si="38"/>
        <v>931044.00289999996</v>
      </c>
      <c r="H143" s="19">
        <f t="shared" si="39"/>
        <v>135539815.51001552</v>
      </c>
      <c r="I143" s="74">
        <f t="shared" si="40"/>
        <v>-951137.29159563186</v>
      </c>
    </row>
    <row r="144" spans="1:9" x14ac:dyDescent="0.35">
      <c r="A144" s="71">
        <v>131</v>
      </c>
      <c r="B144" s="72">
        <f>B143+30</f>
        <v>49095</v>
      </c>
      <c r="C144" s="19">
        <f t="shared" si="29"/>
        <v>135539815.51001552</v>
      </c>
      <c r="D144" s="19">
        <f t="shared" si="37"/>
        <v>-2330247.4230292756</v>
      </c>
      <c r="E144" s="19">
        <f t="shared" si="30"/>
        <v>133209568.08698624</v>
      </c>
      <c r="F144" s="20">
        <f t="shared" si="32"/>
        <v>8.299999999999999E-2</v>
      </c>
      <c r="G144" s="73">
        <f t="shared" si="38"/>
        <v>921366.17929999996</v>
      </c>
      <c r="H144" s="19">
        <f t="shared" si="39"/>
        <v>134130934.26628624</v>
      </c>
      <c r="I144" s="74">
        <f t="shared" si="40"/>
        <v>-944603.78210275446</v>
      </c>
    </row>
    <row r="145" spans="1:9" x14ac:dyDescent="0.35">
      <c r="A145" s="71">
        <v>132</v>
      </c>
      <c r="B145" s="72">
        <f>B144+31</f>
        <v>49126</v>
      </c>
      <c r="C145" s="19">
        <f t="shared" si="29"/>
        <v>134130934.26628624</v>
      </c>
      <c r="D145" s="19">
        <f t="shared" si="37"/>
        <v>-2330247.4230292756</v>
      </c>
      <c r="E145" s="19">
        <f t="shared" si="30"/>
        <v>131800686.84325697</v>
      </c>
      <c r="F145" s="20">
        <f t="shared" si="32"/>
        <v>8.299999999999999E-2</v>
      </c>
      <c r="G145" s="73">
        <f t="shared" si="38"/>
        <v>911621.41729999997</v>
      </c>
      <c r="H145" s="19">
        <f t="shared" si="39"/>
        <v>132712308.26055697</v>
      </c>
      <c r="I145" s="74">
        <f t="shared" si="40"/>
        <v>-938115.15229935059</v>
      </c>
    </row>
    <row r="146" spans="1:9" x14ac:dyDescent="0.35">
      <c r="A146" s="71">
        <v>133</v>
      </c>
      <c r="B146" s="72">
        <f>B145+31</f>
        <v>49157</v>
      </c>
      <c r="C146" s="19">
        <f t="shared" si="29"/>
        <v>132712308.26055697</v>
      </c>
      <c r="D146" s="19">
        <f t="shared" si="37"/>
        <v>-2330247.4230292756</v>
      </c>
      <c r="E146" s="19">
        <f t="shared" si="30"/>
        <v>130382060.83752769</v>
      </c>
      <c r="F146" s="20">
        <f t="shared" si="32"/>
        <v>8.299999999999999E-2</v>
      </c>
      <c r="G146" s="73">
        <f t="shared" si="38"/>
        <v>901809.25410000002</v>
      </c>
      <c r="H146" s="19">
        <f t="shared" si="39"/>
        <v>131283870.09162769</v>
      </c>
      <c r="I146" s="74">
        <f t="shared" si="40"/>
        <v>-931671.09389987669</v>
      </c>
    </row>
    <row r="147" spans="1:9" x14ac:dyDescent="0.35">
      <c r="A147" s="71">
        <v>134</v>
      </c>
      <c r="B147" s="72">
        <f>B146+28</f>
        <v>49185</v>
      </c>
      <c r="C147" s="19">
        <f t="shared" si="29"/>
        <v>131283870.09162769</v>
      </c>
      <c r="D147" s="19">
        <f t="shared" si="37"/>
        <v>-2330247.4230292756</v>
      </c>
      <c r="E147" s="19">
        <f t="shared" si="30"/>
        <v>128953622.66859841</v>
      </c>
      <c r="F147" s="20">
        <f t="shared" si="32"/>
        <v>8.299999999999999E-2</v>
      </c>
      <c r="G147" s="73">
        <f t="shared" si="38"/>
        <v>891929.22349999996</v>
      </c>
      <c r="H147" s="19">
        <f t="shared" si="39"/>
        <v>129845551.89209841</v>
      </c>
      <c r="I147" s="74">
        <f t="shared" si="40"/>
        <v>-925271.30073644954</v>
      </c>
    </row>
    <row r="148" spans="1:9" x14ac:dyDescent="0.35">
      <c r="A148" s="71">
        <v>135</v>
      </c>
      <c r="B148" s="72">
        <f>B147+31</f>
        <v>49216</v>
      </c>
      <c r="C148" s="19">
        <f t="shared" si="29"/>
        <v>129845551.89209841</v>
      </c>
      <c r="D148" s="19">
        <f t="shared" si="37"/>
        <v>-2330247.4230292756</v>
      </c>
      <c r="E148" s="19">
        <f t="shared" si="30"/>
        <v>127515304.46906914</v>
      </c>
      <c r="F148" s="20">
        <f t="shared" si="32"/>
        <v>8.299999999999999E-2</v>
      </c>
      <c r="G148" s="73">
        <f t="shared" si="38"/>
        <v>881980.85589999997</v>
      </c>
      <c r="H148" s="19">
        <f t="shared" si="39"/>
        <v>128397285.32496914</v>
      </c>
      <c r="I148" s="74">
        <f t="shared" si="40"/>
        <v>-918915.46874430147</v>
      </c>
    </row>
    <row r="149" spans="1:9" x14ac:dyDescent="0.35">
      <c r="A149" s="71">
        <v>136</v>
      </c>
      <c r="B149" s="72">
        <f t="shared" ref="B149:B154" si="41">B148+30</f>
        <v>49246</v>
      </c>
      <c r="C149" s="19">
        <f t="shared" si="29"/>
        <v>128397285.32496914</v>
      </c>
      <c r="D149" s="19">
        <f t="shared" si="37"/>
        <v>-2330247.4230292756</v>
      </c>
      <c r="E149" s="19">
        <f t="shared" si="30"/>
        <v>126067037.90193987</v>
      </c>
      <c r="F149" s="20">
        <f t="shared" si="32"/>
        <v>8.299999999999999E-2</v>
      </c>
      <c r="G149" s="73">
        <f t="shared" si="38"/>
        <v>871963.67879999999</v>
      </c>
      <c r="H149" s="19">
        <f t="shared" si="39"/>
        <v>126939001.58073987</v>
      </c>
      <c r="I149" s="74">
        <f t="shared" si="40"/>
        <v>-912603.29594733252</v>
      </c>
    </row>
    <row r="150" spans="1:9" x14ac:dyDescent="0.35">
      <c r="A150" s="71">
        <v>137</v>
      </c>
      <c r="B150" s="72">
        <f>B149+31</f>
        <v>49277</v>
      </c>
      <c r="C150" s="19">
        <f t="shared" ref="C150:C213" si="42">H149</f>
        <v>126939001.58073987</v>
      </c>
      <c r="D150" s="19">
        <f t="shared" si="37"/>
        <v>-2330247.4230292756</v>
      </c>
      <c r="E150" s="19">
        <f t="shared" ref="E150:E213" si="43">+D150+C150</f>
        <v>124608754.1577106</v>
      </c>
      <c r="F150" s="20">
        <f t="shared" si="32"/>
        <v>8.299999999999999E-2</v>
      </c>
      <c r="G150" s="73">
        <f t="shared" si="38"/>
        <v>861877.21629999997</v>
      </c>
      <c r="H150" s="19">
        <f t="shared" si="39"/>
        <v>125470631.37401059</v>
      </c>
      <c r="I150" s="74">
        <f t="shared" si="40"/>
        <v>-906334.48244376294</v>
      </c>
    </row>
    <row r="151" spans="1:9" x14ac:dyDescent="0.35">
      <c r="A151" s="71">
        <v>138</v>
      </c>
      <c r="B151" s="72">
        <f t="shared" si="41"/>
        <v>49307</v>
      </c>
      <c r="C151" s="19">
        <f t="shared" si="42"/>
        <v>125470631.37401059</v>
      </c>
      <c r="D151" s="19">
        <f t="shared" si="37"/>
        <v>-2330247.4230292756</v>
      </c>
      <c r="E151" s="19">
        <f t="shared" si="43"/>
        <v>123140383.95098132</v>
      </c>
      <c r="F151" s="20">
        <f t="shared" si="32"/>
        <v>8.299999999999999E-2</v>
      </c>
      <c r="G151" s="73">
        <f t="shared" si="38"/>
        <v>851720.98899999994</v>
      </c>
      <c r="H151" s="19">
        <f t="shared" si="39"/>
        <v>123992104.93998131</v>
      </c>
      <c r="I151" s="74">
        <f t="shared" si="40"/>
        <v>-900108.73039188597</v>
      </c>
    </row>
    <row r="152" spans="1:9" x14ac:dyDescent="0.35">
      <c r="A152" s="71">
        <v>139</v>
      </c>
      <c r="B152" s="72">
        <f>B151+31</f>
        <v>49338</v>
      </c>
      <c r="C152" s="19">
        <f t="shared" si="42"/>
        <v>123992104.93998131</v>
      </c>
      <c r="D152" s="19">
        <f t="shared" si="37"/>
        <v>-2330247.4230292756</v>
      </c>
      <c r="E152" s="19">
        <f t="shared" si="43"/>
        <v>121661857.51695204</v>
      </c>
      <c r="F152" s="20">
        <f t="shared" si="32"/>
        <v>8.299999999999999E-2</v>
      </c>
      <c r="G152" s="73">
        <f t="shared" si="38"/>
        <v>841494.51450000005</v>
      </c>
      <c r="H152" s="19">
        <f t="shared" si="39"/>
        <v>122503352.03145204</v>
      </c>
      <c r="I152" s="74">
        <f t="shared" si="40"/>
        <v>-893925.74399591424</v>
      </c>
    </row>
    <row r="153" spans="1:9" x14ac:dyDescent="0.35">
      <c r="A153" s="71">
        <v>140</v>
      </c>
      <c r="B153" s="72">
        <f>B152+31</f>
        <v>49369</v>
      </c>
      <c r="C153" s="19">
        <f t="shared" si="42"/>
        <v>122503352.03145204</v>
      </c>
      <c r="D153" s="19">
        <f t="shared" si="37"/>
        <v>-2330247.4230292756</v>
      </c>
      <c r="E153" s="19">
        <f t="shared" si="43"/>
        <v>120173104.60842277</v>
      </c>
      <c r="F153" s="20">
        <f t="shared" ref="F153:F216" si="44">F152</f>
        <v>8.299999999999999E-2</v>
      </c>
      <c r="G153" s="73">
        <f t="shared" si="38"/>
        <v>831197.30689999997</v>
      </c>
      <c r="H153" s="19">
        <f t="shared" si="39"/>
        <v>121004301.91532277</v>
      </c>
      <c r="I153" s="74">
        <f t="shared" si="40"/>
        <v>-887785.22949192848</v>
      </c>
    </row>
    <row r="154" spans="1:9" x14ac:dyDescent="0.35">
      <c r="A154" s="71">
        <v>141</v>
      </c>
      <c r="B154" s="72">
        <f t="shared" si="41"/>
        <v>49399</v>
      </c>
      <c r="C154" s="19">
        <f t="shared" si="42"/>
        <v>121004301.91532277</v>
      </c>
      <c r="D154" s="19">
        <f t="shared" si="37"/>
        <v>-2330247.4230292756</v>
      </c>
      <c r="E154" s="19">
        <f t="shared" si="43"/>
        <v>118674054.49229349</v>
      </c>
      <c r="F154" s="20">
        <f t="shared" si="44"/>
        <v>8.299999999999999E-2</v>
      </c>
      <c r="G154" s="73">
        <f t="shared" si="38"/>
        <v>820828.87690000003</v>
      </c>
      <c r="H154" s="19">
        <f t="shared" si="39"/>
        <v>119494883.36919349</v>
      </c>
      <c r="I154" s="74">
        <f t="shared" si="40"/>
        <v>-881686.89513391885</v>
      </c>
    </row>
    <row r="155" spans="1:9" x14ac:dyDescent="0.35">
      <c r="A155" s="71">
        <v>142</v>
      </c>
      <c r="B155" s="72">
        <f>B154+31</f>
        <v>49430</v>
      </c>
      <c r="C155" s="19">
        <f t="shared" si="42"/>
        <v>119494883.36919349</v>
      </c>
      <c r="D155" s="19">
        <f t="shared" si="37"/>
        <v>-2330247.4230292756</v>
      </c>
      <c r="E155" s="19">
        <f t="shared" si="43"/>
        <v>117164635.94616422</v>
      </c>
      <c r="F155" s="20">
        <f t="shared" si="44"/>
        <v>8.299999999999999E-2</v>
      </c>
      <c r="G155" s="73">
        <f t="shared" si="38"/>
        <v>810388.73199999996</v>
      </c>
      <c r="H155" s="19">
        <f t="shared" si="39"/>
        <v>117975024.67816421</v>
      </c>
      <c r="I155" s="74">
        <f t="shared" si="40"/>
        <v>-875630.45117992442</v>
      </c>
    </row>
    <row r="156" spans="1:9" x14ac:dyDescent="0.35">
      <c r="A156" s="71">
        <v>143</v>
      </c>
      <c r="B156" s="72">
        <f>B155+30</f>
        <v>49460</v>
      </c>
      <c r="C156" s="19">
        <f t="shared" si="42"/>
        <v>117975024.67816421</v>
      </c>
      <c r="D156" s="19">
        <f t="shared" si="37"/>
        <v>-2330247.4230292756</v>
      </c>
      <c r="E156" s="19">
        <f t="shared" si="43"/>
        <v>115644777.25513494</v>
      </c>
      <c r="F156" s="20">
        <f t="shared" si="44"/>
        <v>8.299999999999999E-2</v>
      </c>
      <c r="G156" s="73">
        <f t="shared" si="38"/>
        <v>799876.37600000005</v>
      </c>
      <c r="H156" s="19">
        <f t="shared" si="39"/>
        <v>116444653.63113494</v>
      </c>
      <c r="I156" s="74">
        <f t="shared" si="40"/>
        <v>-869615.60987826646</v>
      </c>
    </row>
    <row r="157" spans="1:9" x14ac:dyDescent="0.35">
      <c r="A157" s="71">
        <v>144</v>
      </c>
      <c r="B157" s="72">
        <f>B156+31</f>
        <v>49491</v>
      </c>
      <c r="C157" s="19">
        <f t="shared" si="42"/>
        <v>116444653.63113494</v>
      </c>
      <c r="D157" s="19">
        <f t="shared" si="37"/>
        <v>-2330247.4230292756</v>
      </c>
      <c r="E157" s="19">
        <f t="shared" si="43"/>
        <v>114114406.20810567</v>
      </c>
      <c r="F157" s="20">
        <f t="shared" si="44"/>
        <v>8.299999999999999E-2</v>
      </c>
      <c r="G157" s="73">
        <f t="shared" si="38"/>
        <v>789291.30960000004</v>
      </c>
      <c r="H157" s="19">
        <f t="shared" si="39"/>
        <v>114903697.51770566</v>
      </c>
      <c r="I157" s="74">
        <f t="shared" si="40"/>
        <v>-863642.08545387723</v>
      </c>
    </row>
    <row r="158" spans="1:9" x14ac:dyDescent="0.35">
      <c r="A158" s="71">
        <v>145</v>
      </c>
      <c r="B158" s="72">
        <f>B157+31</f>
        <v>49522</v>
      </c>
      <c r="C158" s="19">
        <f t="shared" si="42"/>
        <v>114903697.51770566</v>
      </c>
      <c r="D158" s="19">
        <f t="shared" si="37"/>
        <v>-2330247.4230292756</v>
      </c>
      <c r="E158" s="19">
        <f t="shared" si="43"/>
        <v>112573450.09467639</v>
      </c>
      <c r="F158" s="20">
        <f t="shared" si="44"/>
        <v>8.299999999999999E-2</v>
      </c>
      <c r="G158" s="73">
        <f t="shared" si="38"/>
        <v>778633.02980000002</v>
      </c>
      <c r="H158" s="19">
        <f t="shared" si="39"/>
        <v>113352083.12447639</v>
      </c>
      <c r="I158" s="74">
        <f t="shared" si="40"/>
        <v>-857709.59409472218</v>
      </c>
    </row>
    <row r="159" spans="1:9" x14ac:dyDescent="0.35">
      <c r="A159" s="71">
        <v>146</v>
      </c>
      <c r="B159" s="72">
        <f>B158+28</f>
        <v>49550</v>
      </c>
      <c r="C159" s="19">
        <f t="shared" si="42"/>
        <v>113352083.12447639</v>
      </c>
      <c r="D159" s="19">
        <f t="shared" si="37"/>
        <v>-2330247.4230292756</v>
      </c>
      <c r="E159" s="19">
        <f t="shared" si="43"/>
        <v>111021835.70144711</v>
      </c>
      <c r="F159" s="20">
        <f t="shared" si="44"/>
        <v>8.299999999999999E-2</v>
      </c>
      <c r="G159" s="73">
        <f t="shared" si="38"/>
        <v>767901.03029999998</v>
      </c>
      <c r="H159" s="19">
        <f t="shared" si="39"/>
        <v>111789736.73174712</v>
      </c>
      <c r="I159" s="74">
        <f t="shared" si="40"/>
        <v>-851817.85393831541</v>
      </c>
    </row>
    <row r="160" spans="1:9" x14ac:dyDescent="0.35">
      <c r="A160" s="71">
        <v>147</v>
      </c>
      <c r="B160" s="72">
        <f>B159+31</f>
        <v>49581</v>
      </c>
      <c r="C160" s="19">
        <f t="shared" si="42"/>
        <v>111789736.73174712</v>
      </c>
      <c r="D160" s="19">
        <f t="shared" si="37"/>
        <v>-2330247.4230292756</v>
      </c>
      <c r="E160" s="19">
        <f t="shared" si="43"/>
        <v>109459489.30871785</v>
      </c>
      <c r="F160" s="20">
        <f t="shared" si="44"/>
        <v>8.299999999999999E-2</v>
      </c>
      <c r="G160" s="73">
        <f t="shared" si="38"/>
        <v>757094.80110000004</v>
      </c>
      <c r="H160" s="19">
        <f t="shared" si="39"/>
        <v>110216584.10981785</v>
      </c>
      <c r="I160" s="74">
        <f t="shared" si="40"/>
        <v>-845966.5850583287</v>
      </c>
    </row>
    <row r="161" spans="1:9" x14ac:dyDescent="0.35">
      <c r="A161" s="71">
        <v>148</v>
      </c>
      <c r="B161" s="72">
        <f t="shared" ref="B161:B166" si="45">B160+30</f>
        <v>49611</v>
      </c>
      <c r="C161" s="19">
        <f t="shared" si="42"/>
        <v>110216584.10981785</v>
      </c>
      <c r="D161" s="19">
        <f t="shared" si="37"/>
        <v>-2330247.4230292756</v>
      </c>
      <c r="E161" s="19">
        <f t="shared" si="43"/>
        <v>107886336.68678857</v>
      </c>
      <c r="F161" s="20">
        <f t="shared" si="44"/>
        <v>8.299999999999999E-2</v>
      </c>
      <c r="G161" s="73">
        <f t="shared" si="38"/>
        <v>746213.82880000002</v>
      </c>
      <c r="H161" s="19">
        <f t="shared" si="39"/>
        <v>108632550.51558857</v>
      </c>
      <c r="I161" s="74">
        <f t="shared" si="40"/>
        <v>-840155.50945129059</v>
      </c>
    </row>
    <row r="162" spans="1:9" x14ac:dyDescent="0.35">
      <c r="A162" s="71">
        <v>149</v>
      </c>
      <c r="B162" s="72">
        <f>B161+31</f>
        <v>49642</v>
      </c>
      <c r="C162" s="19">
        <f t="shared" si="42"/>
        <v>108632550.51558857</v>
      </c>
      <c r="D162" s="19">
        <f t="shared" si="37"/>
        <v>-2330247.4230292756</v>
      </c>
      <c r="E162" s="19">
        <f t="shared" si="43"/>
        <v>106302303.09255929</v>
      </c>
      <c r="F162" s="20">
        <f t="shared" si="44"/>
        <v>8.299999999999999E-2</v>
      </c>
      <c r="G162" s="73">
        <f t="shared" si="38"/>
        <v>735257.59640000004</v>
      </c>
      <c r="H162" s="19">
        <f t="shared" si="39"/>
        <v>107037560.68895929</v>
      </c>
      <c r="I162" s="74">
        <f t="shared" si="40"/>
        <v>-834384.35102337913</v>
      </c>
    </row>
    <row r="163" spans="1:9" x14ac:dyDescent="0.35">
      <c r="A163" s="71">
        <v>150</v>
      </c>
      <c r="B163" s="72">
        <f t="shared" si="45"/>
        <v>49672</v>
      </c>
      <c r="C163" s="19">
        <f t="shared" si="42"/>
        <v>107037560.68895929</v>
      </c>
      <c r="D163" s="19">
        <f t="shared" si="37"/>
        <v>-2330247.4230292756</v>
      </c>
      <c r="E163" s="19">
        <f t="shared" si="43"/>
        <v>104707313.26593001</v>
      </c>
      <c r="F163" s="20">
        <f t="shared" si="44"/>
        <v>8.299999999999999E-2</v>
      </c>
      <c r="G163" s="73">
        <f t="shared" si="38"/>
        <v>724225.5834</v>
      </c>
      <c r="H163" s="19">
        <f t="shared" si="39"/>
        <v>105431538.84933001</v>
      </c>
      <c r="I163" s="74">
        <f t="shared" si="40"/>
        <v>-828652.83557730261</v>
      </c>
    </row>
    <row r="164" spans="1:9" x14ac:dyDescent="0.35">
      <c r="A164" s="71">
        <v>151</v>
      </c>
      <c r="B164" s="72">
        <f>B163+31</f>
        <v>49703</v>
      </c>
      <c r="C164" s="19">
        <f t="shared" si="42"/>
        <v>105431538.84933001</v>
      </c>
      <c r="D164" s="19">
        <f t="shared" si="37"/>
        <v>-2330247.4230292756</v>
      </c>
      <c r="E164" s="19">
        <f t="shared" si="43"/>
        <v>103101291.42630073</v>
      </c>
      <c r="F164" s="20">
        <f t="shared" si="44"/>
        <v>8.299999999999999E-2</v>
      </c>
      <c r="G164" s="73">
        <f t="shared" si="38"/>
        <v>713117.26569999999</v>
      </c>
      <c r="H164" s="19">
        <f t="shared" si="39"/>
        <v>103814408.69200073</v>
      </c>
      <c r="I164" s="74">
        <f t="shared" si="40"/>
        <v>-822960.69079927425</v>
      </c>
    </row>
    <row r="165" spans="1:9" x14ac:dyDescent="0.35">
      <c r="A165" s="71">
        <v>152</v>
      </c>
      <c r="B165" s="72">
        <f>B164+31</f>
        <v>49734</v>
      </c>
      <c r="C165" s="19">
        <f t="shared" si="42"/>
        <v>103814408.69200073</v>
      </c>
      <c r="D165" s="19">
        <f t="shared" si="37"/>
        <v>-2330247.4230292756</v>
      </c>
      <c r="E165" s="19">
        <f t="shared" si="43"/>
        <v>101484161.26897146</v>
      </c>
      <c r="F165" s="20">
        <f t="shared" si="44"/>
        <v>8.299999999999999E-2</v>
      </c>
      <c r="G165" s="73">
        <f t="shared" si="38"/>
        <v>701932.11540000001</v>
      </c>
      <c r="H165" s="19">
        <f t="shared" si="39"/>
        <v>102186093.38437146</v>
      </c>
      <c r="I165" s="74">
        <f t="shared" si="40"/>
        <v>-817307.64624607249</v>
      </c>
    </row>
    <row r="166" spans="1:9" x14ac:dyDescent="0.35">
      <c r="A166" s="71">
        <v>153</v>
      </c>
      <c r="B166" s="72">
        <f t="shared" si="45"/>
        <v>49764</v>
      </c>
      <c r="C166" s="19">
        <f t="shared" si="42"/>
        <v>102186093.38437146</v>
      </c>
      <c r="D166" s="19">
        <f t="shared" si="37"/>
        <v>-2330247.4230292756</v>
      </c>
      <c r="E166" s="19">
        <f t="shared" si="43"/>
        <v>99855845.961342186</v>
      </c>
      <c r="F166" s="20">
        <f t="shared" si="44"/>
        <v>8.299999999999999E-2</v>
      </c>
      <c r="G166" s="73">
        <f t="shared" si="38"/>
        <v>690669.60120000003</v>
      </c>
      <c r="H166" s="19">
        <f t="shared" si="39"/>
        <v>100546515.56254219</v>
      </c>
      <c r="I166" s="74">
        <f t="shared" si="40"/>
        <v>-811693.43333219143</v>
      </c>
    </row>
    <row r="167" spans="1:9" x14ac:dyDescent="0.35">
      <c r="A167" s="71">
        <v>154</v>
      </c>
      <c r="B167" s="72">
        <f>B166+31</f>
        <v>49795</v>
      </c>
      <c r="C167" s="19">
        <f t="shared" si="42"/>
        <v>100546515.56254219</v>
      </c>
      <c r="D167" s="19">
        <f t="shared" si="37"/>
        <v>-2330247.4230292756</v>
      </c>
      <c r="E167" s="19">
        <f t="shared" si="43"/>
        <v>98216268.139512911</v>
      </c>
      <c r="F167" s="20">
        <f t="shared" si="44"/>
        <v>8.299999999999999E-2</v>
      </c>
      <c r="G167" s="73">
        <f t="shared" si="38"/>
        <v>679329.18799999997</v>
      </c>
      <c r="H167" s="19">
        <f t="shared" si="39"/>
        <v>98895597.327512905</v>
      </c>
      <c r="I167" s="74">
        <f t="shared" si="40"/>
        <v>-806117.78531708173</v>
      </c>
    </row>
    <row r="168" spans="1:9" x14ac:dyDescent="0.35">
      <c r="A168" s="71">
        <v>155</v>
      </c>
      <c r="B168" s="72">
        <f>B167+30</f>
        <v>49825</v>
      </c>
      <c r="C168" s="19">
        <f t="shared" si="42"/>
        <v>98895597.327512905</v>
      </c>
      <c r="D168" s="19">
        <f t="shared" si="37"/>
        <v>-2330247.4230292756</v>
      </c>
      <c r="E168" s="19">
        <f t="shared" si="43"/>
        <v>96565349.904483631</v>
      </c>
      <c r="F168" s="20">
        <f t="shared" si="44"/>
        <v>8.299999999999999E-2</v>
      </c>
      <c r="G168" s="73">
        <f t="shared" si="38"/>
        <v>667910.33680000005</v>
      </c>
      <c r="H168" s="19">
        <f t="shared" si="39"/>
        <v>97233260.241283625</v>
      </c>
      <c r="I168" s="74">
        <f t="shared" si="40"/>
        <v>-800580.43729247537</v>
      </c>
    </row>
    <row r="169" spans="1:9" x14ac:dyDescent="0.35">
      <c r="A169" s="71">
        <v>156</v>
      </c>
      <c r="B169" s="72">
        <f>B168+31</f>
        <v>49856</v>
      </c>
      <c r="C169" s="19">
        <f t="shared" si="42"/>
        <v>97233260.241283625</v>
      </c>
      <c r="D169" s="19">
        <f t="shared" si="37"/>
        <v>-2330247.4230292756</v>
      </c>
      <c r="E169" s="19">
        <f t="shared" si="43"/>
        <v>94903012.818254352</v>
      </c>
      <c r="F169" s="20">
        <f t="shared" si="44"/>
        <v>8.299999999999999E-2</v>
      </c>
      <c r="G169" s="73">
        <f t="shared" si="38"/>
        <v>656412.50529999996</v>
      </c>
      <c r="H169" s="19">
        <f t="shared" si="39"/>
        <v>95559425.323554352</v>
      </c>
      <c r="I169" s="74">
        <f t="shared" si="40"/>
        <v>-795081.12616980087</v>
      </c>
    </row>
    <row r="170" spans="1:9" x14ac:dyDescent="0.35">
      <c r="A170" s="71">
        <v>157</v>
      </c>
      <c r="B170" s="72">
        <f>B169+31</f>
        <v>49887</v>
      </c>
      <c r="C170" s="19">
        <f t="shared" si="42"/>
        <v>95559425.323554352</v>
      </c>
      <c r="D170" s="19">
        <f t="shared" si="37"/>
        <v>-2330247.4230292756</v>
      </c>
      <c r="E170" s="19">
        <f t="shared" si="43"/>
        <v>93229177.900525078</v>
      </c>
      <c r="F170" s="20">
        <f t="shared" si="44"/>
        <v>8.299999999999999E-2</v>
      </c>
      <c r="G170" s="73">
        <f t="shared" si="38"/>
        <v>644835.14709999994</v>
      </c>
      <c r="H170" s="19">
        <f t="shared" si="39"/>
        <v>93874013.04762508</v>
      </c>
      <c r="I170" s="74">
        <f t="shared" si="40"/>
        <v>-789619.59066768305</v>
      </c>
    </row>
    <row r="171" spans="1:9" x14ac:dyDescent="0.35">
      <c r="A171" s="71">
        <v>158</v>
      </c>
      <c r="B171" s="72">
        <f>B170+29</f>
        <v>49916</v>
      </c>
      <c r="C171" s="19">
        <f t="shared" si="42"/>
        <v>93874013.04762508</v>
      </c>
      <c r="D171" s="19">
        <f t="shared" si="37"/>
        <v>-2330247.4230292756</v>
      </c>
      <c r="E171" s="19">
        <f t="shared" si="43"/>
        <v>91543765.624595806</v>
      </c>
      <c r="F171" s="20">
        <f t="shared" si="44"/>
        <v>8.299999999999999E-2</v>
      </c>
      <c r="G171" s="73">
        <f t="shared" si="38"/>
        <v>633177.71219999995</v>
      </c>
      <c r="H171" s="19">
        <f t="shared" si="39"/>
        <v>92176943.336795807</v>
      </c>
      <c r="I171" s="74">
        <f t="shared" si="40"/>
        <v>-784195.57129952777</v>
      </c>
    </row>
    <row r="172" spans="1:9" x14ac:dyDescent="0.35">
      <c r="A172" s="71">
        <v>159</v>
      </c>
      <c r="B172" s="72">
        <f>B171+31</f>
        <v>49947</v>
      </c>
      <c r="C172" s="19">
        <f t="shared" si="42"/>
        <v>92176943.336795807</v>
      </c>
      <c r="D172" s="19">
        <f t="shared" si="37"/>
        <v>-2330247.4230292756</v>
      </c>
      <c r="E172" s="19">
        <f t="shared" si="43"/>
        <v>89846695.913766533</v>
      </c>
      <c r="F172" s="20">
        <f t="shared" si="44"/>
        <v>8.299999999999999E-2</v>
      </c>
      <c r="G172" s="73">
        <f t="shared" si="38"/>
        <v>621439.64670000004</v>
      </c>
      <c r="H172" s="19">
        <f t="shared" si="39"/>
        <v>90468135.560466528</v>
      </c>
      <c r="I172" s="74">
        <f t="shared" si="40"/>
        <v>-778808.8103611964</v>
      </c>
    </row>
    <row r="173" spans="1:9" x14ac:dyDescent="0.35">
      <c r="A173" s="71">
        <v>160</v>
      </c>
      <c r="B173" s="72">
        <f t="shared" ref="B173:B178" si="46">B172+30</f>
        <v>49977</v>
      </c>
      <c r="C173" s="19">
        <f t="shared" si="42"/>
        <v>90468135.560466528</v>
      </c>
      <c r="D173" s="19">
        <f t="shared" si="37"/>
        <v>-2330247.4230292756</v>
      </c>
      <c r="E173" s="19">
        <f t="shared" si="43"/>
        <v>88137888.137437254</v>
      </c>
      <c r="F173" s="20">
        <f t="shared" si="44"/>
        <v>8.299999999999999E-2</v>
      </c>
      <c r="G173" s="73">
        <f t="shared" si="38"/>
        <v>609620.39300000004</v>
      </c>
      <c r="H173" s="19">
        <f t="shared" si="39"/>
        <v>88747508.530437261</v>
      </c>
      <c r="I173" s="74">
        <f t="shared" si="40"/>
        <v>-773459.05191875808</v>
      </c>
    </row>
    <row r="174" spans="1:9" x14ac:dyDescent="0.35">
      <c r="A174" s="71">
        <v>161</v>
      </c>
      <c r="B174" s="72">
        <f>B173+31</f>
        <v>50008</v>
      </c>
      <c r="C174" s="19">
        <f t="shared" si="42"/>
        <v>88747508.530437261</v>
      </c>
      <c r="D174" s="19">
        <f t="shared" si="37"/>
        <v>-2330247.4230292756</v>
      </c>
      <c r="E174" s="19">
        <f t="shared" si="43"/>
        <v>86417261.107407987</v>
      </c>
      <c r="F174" s="20">
        <f t="shared" si="44"/>
        <v>8.299999999999999E-2</v>
      </c>
      <c r="G174" s="73">
        <f t="shared" si="38"/>
        <v>597719.38930000004</v>
      </c>
      <c r="H174" s="19">
        <f t="shared" si="39"/>
        <v>87014980.496707991</v>
      </c>
      <c r="I174" s="74">
        <f t="shared" si="40"/>
        <v>-768146.04179633351</v>
      </c>
    </row>
    <row r="175" spans="1:9" x14ac:dyDescent="0.35">
      <c r="A175" s="71">
        <v>162</v>
      </c>
      <c r="B175" s="72">
        <f t="shared" si="46"/>
        <v>50038</v>
      </c>
      <c r="C175" s="19">
        <f t="shared" si="42"/>
        <v>87014980.496707991</v>
      </c>
      <c r="D175" s="19">
        <f t="shared" si="37"/>
        <v>-2330247.4230292756</v>
      </c>
      <c r="E175" s="19">
        <f t="shared" si="43"/>
        <v>84684733.073678717</v>
      </c>
      <c r="F175" s="20">
        <f t="shared" si="44"/>
        <v>8.299999999999999E-2</v>
      </c>
      <c r="G175" s="73">
        <f t="shared" si="38"/>
        <v>585736.07039999997</v>
      </c>
      <c r="H175" s="19">
        <f t="shared" si="39"/>
        <v>85270469.144078717</v>
      </c>
      <c r="I175" s="74">
        <f t="shared" si="40"/>
        <v>-762869.52756401571</v>
      </c>
    </row>
    <row r="176" spans="1:9" x14ac:dyDescent="0.35">
      <c r="A176" s="71">
        <v>163</v>
      </c>
      <c r="B176" s="72">
        <f>B175+31</f>
        <v>50069</v>
      </c>
      <c r="C176" s="19">
        <f t="shared" si="42"/>
        <v>85270469.144078717</v>
      </c>
      <c r="D176" s="19">
        <f t="shared" si="37"/>
        <v>-2330247.4230292756</v>
      </c>
      <c r="E176" s="19">
        <f t="shared" si="43"/>
        <v>82940221.721049443</v>
      </c>
      <c r="F176" s="20">
        <f t="shared" si="44"/>
        <v>8.299999999999999E-2</v>
      </c>
      <c r="G176" s="73">
        <f t="shared" si="38"/>
        <v>573669.86690000002</v>
      </c>
      <c r="H176" s="19">
        <f t="shared" si="39"/>
        <v>83513891.58794944</v>
      </c>
      <c r="I176" s="74">
        <f t="shared" si="40"/>
        <v>-757629.25852587854</v>
      </c>
    </row>
    <row r="177" spans="1:9" x14ac:dyDescent="0.35">
      <c r="A177" s="71">
        <v>164</v>
      </c>
      <c r="B177" s="72">
        <f>B176+31</f>
        <v>50100</v>
      </c>
      <c r="C177" s="19">
        <f t="shared" si="42"/>
        <v>83513891.58794944</v>
      </c>
      <c r="D177" s="19">
        <f t="shared" si="37"/>
        <v>-2330247.4230292756</v>
      </c>
      <c r="E177" s="19">
        <f t="shared" si="43"/>
        <v>81183644.164920166</v>
      </c>
      <c r="F177" s="20">
        <f t="shared" si="44"/>
        <v>8.299999999999999E-2</v>
      </c>
      <c r="G177" s="73">
        <f t="shared" si="38"/>
        <v>561520.20550000004</v>
      </c>
      <c r="H177" s="19">
        <f t="shared" si="39"/>
        <v>81745164.370420173</v>
      </c>
      <c r="I177" s="74">
        <f t="shared" si="40"/>
        <v>-752424.98570806463</v>
      </c>
    </row>
    <row r="178" spans="1:9" x14ac:dyDescent="0.35">
      <c r="A178" s="71">
        <v>165</v>
      </c>
      <c r="B178" s="72">
        <f t="shared" si="46"/>
        <v>50130</v>
      </c>
      <c r="C178" s="19">
        <f t="shared" si="42"/>
        <v>81745164.370420173</v>
      </c>
      <c r="D178" s="19">
        <f t="shared" si="37"/>
        <v>-2330247.4230292756</v>
      </c>
      <c r="E178" s="19">
        <f t="shared" si="43"/>
        <v>79414916.947390899</v>
      </c>
      <c r="F178" s="20">
        <f t="shared" si="44"/>
        <v>8.299999999999999E-2</v>
      </c>
      <c r="G178" s="73">
        <f t="shared" si="38"/>
        <v>549286.50890000002</v>
      </c>
      <c r="H178" s="19">
        <f t="shared" si="39"/>
        <v>79964203.456290901</v>
      </c>
      <c r="I178" s="74">
        <f t="shared" si="40"/>
        <v>-747256.4618469564</v>
      </c>
    </row>
    <row r="179" spans="1:9" x14ac:dyDescent="0.35">
      <c r="A179" s="71">
        <v>166</v>
      </c>
      <c r="B179" s="72">
        <f>B178+31</f>
        <v>50161</v>
      </c>
      <c r="C179" s="19">
        <f t="shared" si="42"/>
        <v>79964203.456290901</v>
      </c>
      <c r="D179" s="19">
        <f t="shared" si="37"/>
        <v>-2330247.4230292756</v>
      </c>
      <c r="E179" s="19">
        <f t="shared" si="43"/>
        <v>77633956.033261627</v>
      </c>
      <c r="F179" s="20">
        <f t="shared" si="44"/>
        <v>8.299999999999999E-2</v>
      </c>
      <c r="G179" s="73">
        <f t="shared" si="38"/>
        <v>536968.19590000005</v>
      </c>
      <c r="H179" s="19">
        <f t="shared" si="39"/>
        <v>78170924.22916162</v>
      </c>
      <c r="I179" s="74">
        <f t="shared" si="40"/>
        <v>-742123.44137742918</v>
      </c>
    </row>
    <row r="180" spans="1:9" x14ac:dyDescent="0.35">
      <c r="A180" s="71">
        <v>167</v>
      </c>
      <c r="B180" s="72">
        <f>B179+30</f>
        <v>50191</v>
      </c>
      <c r="C180" s="19">
        <f t="shared" si="42"/>
        <v>78170924.22916162</v>
      </c>
      <c r="D180" s="19">
        <f t="shared" si="37"/>
        <v>-2330247.4230292756</v>
      </c>
      <c r="E180" s="19">
        <f t="shared" si="43"/>
        <v>75840676.806132346</v>
      </c>
      <c r="F180" s="20">
        <f t="shared" si="44"/>
        <v>8.299999999999999E-2</v>
      </c>
      <c r="G180" s="73">
        <f t="shared" si="38"/>
        <v>524564.68119999999</v>
      </c>
      <c r="H180" s="19">
        <f t="shared" si="39"/>
        <v>76365241.487332344</v>
      </c>
      <c r="I180" s="74">
        <f t="shared" si="40"/>
        <v>-737025.68042118265</v>
      </c>
    </row>
    <row r="181" spans="1:9" x14ac:dyDescent="0.35">
      <c r="A181" s="71">
        <v>168</v>
      </c>
      <c r="B181" s="72">
        <f>B180+31</f>
        <v>50222</v>
      </c>
      <c r="C181" s="19">
        <f t="shared" si="42"/>
        <v>76365241.487332344</v>
      </c>
      <c r="D181" s="19">
        <f t="shared" si="37"/>
        <v>-2330247.4230292756</v>
      </c>
      <c r="E181" s="19">
        <f t="shared" si="43"/>
        <v>74034994.06430307</v>
      </c>
      <c r="F181" s="20">
        <f t="shared" si="44"/>
        <v>8.299999999999999E-2</v>
      </c>
      <c r="G181" s="73">
        <f t="shared" si="38"/>
        <v>512075.37560000003</v>
      </c>
      <c r="H181" s="19">
        <f t="shared" si="39"/>
        <v>74547069.439903066</v>
      </c>
      <c r="I181" s="74">
        <f t="shared" si="40"/>
        <v>-731962.93677515455</v>
      </c>
    </row>
    <row r="182" spans="1:9" x14ac:dyDescent="0.35">
      <c r="A182" s="71">
        <v>169</v>
      </c>
      <c r="B182" s="72">
        <f>B181+31</f>
        <v>50253</v>
      </c>
      <c r="C182" s="19">
        <f t="shared" si="42"/>
        <v>74547069.439903066</v>
      </c>
      <c r="D182" s="19">
        <f t="shared" si="37"/>
        <v>-2330247.4230292756</v>
      </c>
      <c r="E182" s="19">
        <f t="shared" si="43"/>
        <v>72216822.016873792</v>
      </c>
      <c r="F182" s="20">
        <f t="shared" si="44"/>
        <v>8.299999999999999E-2</v>
      </c>
      <c r="G182" s="73">
        <f t="shared" si="38"/>
        <v>499499.68560000003</v>
      </c>
      <c r="H182" s="19">
        <f t="shared" si="39"/>
        <v>72716321.702473789</v>
      </c>
      <c r="I182" s="74">
        <f t="shared" si="40"/>
        <v>-726934.96990001283</v>
      </c>
    </row>
    <row r="183" spans="1:9" x14ac:dyDescent="0.35">
      <c r="A183" s="71">
        <v>170</v>
      </c>
      <c r="B183" s="72">
        <f>B182+28</f>
        <v>50281</v>
      </c>
      <c r="C183" s="19">
        <f t="shared" si="42"/>
        <v>72716321.702473789</v>
      </c>
      <c r="D183" s="19">
        <f t="shared" si="37"/>
        <v>-2330247.4230292756</v>
      </c>
      <c r="E183" s="19">
        <f t="shared" si="43"/>
        <v>70386074.279444516</v>
      </c>
      <c r="F183" s="20">
        <f t="shared" si="44"/>
        <v>8.299999999999999E-2</v>
      </c>
      <c r="G183" s="73">
        <f t="shared" si="38"/>
        <v>486837.01380000002</v>
      </c>
      <c r="H183" s="19">
        <f t="shared" si="39"/>
        <v>70872911.293244511</v>
      </c>
      <c r="I183" s="74">
        <f t="shared" si="40"/>
        <v>-721941.54090872745</v>
      </c>
    </row>
    <row r="184" spans="1:9" x14ac:dyDescent="0.35">
      <c r="A184" s="71">
        <v>171</v>
      </c>
      <c r="B184" s="72">
        <f>B183+31</f>
        <v>50312</v>
      </c>
      <c r="C184" s="19">
        <f t="shared" si="42"/>
        <v>70872911.293244511</v>
      </c>
      <c r="D184" s="19">
        <f t="shared" si="37"/>
        <v>-2330247.4230292756</v>
      </c>
      <c r="E184" s="19">
        <f t="shared" si="43"/>
        <v>68542663.870215237</v>
      </c>
      <c r="F184" s="20">
        <f t="shared" si="44"/>
        <v>8.299999999999999E-2</v>
      </c>
      <c r="G184" s="73">
        <f t="shared" si="38"/>
        <v>474086.75839999999</v>
      </c>
      <c r="H184" s="19">
        <f t="shared" si="39"/>
        <v>69016750.62861523</v>
      </c>
      <c r="I184" s="74">
        <f t="shared" si="40"/>
        <v>-716982.41255522054</v>
      </c>
    </row>
    <row r="185" spans="1:9" x14ac:dyDescent="0.35">
      <c r="A185" s="71">
        <v>172</v>
      </c>
      <c r="B185" s="72">
        <f t="shared" ref="B185:B190" si="47">B184+30</f>
        <v>50342</v>
      </c>
      <c r="C185" s="19">
        <f t="shared" si="42"/>
        <v>69016750.62861523</v>
      </c>
      <c r="D185" s="19">
        <f t="shared" si="37"/>
        <v>-2330247.4230292756</v>
      </c>
      <c r="E185" s="19">
        <f t="shared" si="43"/>
        <v>66686503.205585957</v>
      </c>
      <c r="F185" s="20">
        <f t="shared" si="44"/>
        <v>8.299999999999999E-2</v>
      </c>
      <c r="G185" s="73">
        <f t="shared" si="38"/>
        <v>461248.3138</v>
      </c>
      <c r="H185" s="19">
        <f t="shared" si="39"/>
        <v>67147751.519385964</v>
      </c>
      <c r="I185" s="74">
        <f t="shared" si="40"/>
        <v>-712057.34922309406</v>
      </c>
    </row>
    <row r="186" spans="1:9" x14ac:dyDescent="0.35">
      <c r="A186" s="71">
        <v>173</v>
      </c>
      <c r="B186" s="72">
        <f>B185+31</f>
        <v>50373</v>
      </c>
      <c r="C186" s="19">
        <f t="shared" si="42"/>
        <v>67147751.519385964</v>
      </c>
      <c r="D186" s="19">
        <f t="shared" si="37"/>
        <v>-2330247.4230292756</v>
      </c>
      <c r="E186" s="19">
        <f t="shared" si="43"/>
        <v>64817504.09635669</v>
      </c>
      <c r="F186" s="20">
        <f t="shared" si="44"/>
        <v>8.299999999999999E-2</v>
      </c>
      <c r="G186" s="73">
        <f t="shared" si="38"/>
        <v>448321.07</v>
      </c>
      <c r="H186" s="19">
        <f t="shared" si="39"/>
        <v>65265825.16635669</v>
      </c>
      <c r="I186" s="74">
        <f t="shared" si="40"/>
        <v>-707166.11691443622</v>
      </c>
    </row>
    <row r="187" spans="1:9" x14ac:dyDescent="0.35">
      <c r="A187" s="71">
        <v>174</v>
      </c>
      <c r="B187" s="72">
        <f t="shared" si="47"/>
        <v>50403</v>
      </c>
      <c r="C187" s="19">
        <f t="shared" si="42"/>
        <v>65265825.16635669</v>
      </c>
      <c r="D187" s="19">
        <f t="shared" si="37"/>
        <v>-2330247.4230292756</v>
      </c>
      <c r="E187" s="19">
        <f t="shared" si="43"/>
        <v>62935577.743327416</v>
      </c>
      <c r="F187" s="20">
        <f t="shared" si="44"/>
        <v>8.299999999999999E-2</v>
      </c>
      <c r="G187" s="73">
        <f t="shared" si="38"/>
        <v>435304.41269999999</v>
      </c>
      <c r="H187" s="19">
        <f t="shared" si="39"/>
        <v>63370882.156027414</v>
      </c>
      <c r="I187" s="74">
        <f t="shared" si="40"/>
        <v>-702308.48323870171</v>
      </c>
    </row>
    <row r="188" spans="1:9" x14ac:dyDescent="0.35">
      <c r="A188" s="71">
        <v>175</v>
      </c>
      <c r="B188" s="72">
        <f>B187+31</f>
        <v>50434</v>
      </c>
      <c r="C188" s="19">
        <f t="shared" si="42"/>
        <v>63370882.156027414</v>
      </c>
      <c r="D188" s="19">
        <f t="shared" si="37"/>
        <v>-2330247.4230292756</v>
      </c>
      <c r="E188" s="19">
        <f t="shared" si="43"/>
        <v>61040634.73299814</v>
      </c>
      <c r="F188" s="20">
        <f t="shared" si="44"/>
        <v>8.299999999999999E-2</v>
      </c>
      <c r="G188" s="73">
        <f t="shared" si="38"/>
        <v>422197.72360000003</v>
      </c>
      <c r="H188" s="19">
        <f t="shared" si="39"/>
        <v>61462832.45659814</v>
      </c>
      <c r="I188" s="74">
        <f t="shared" si="40"/>
        <v>-697484.21740167355</v>
      </c>
    </row>
    <row r="189" spans="1:9" x14ac:dyDescent="0.35">
      <c r="A189" s="71">
        <v>176</v>
      </c>
      <c r="B189" s="72">
        <f>B188+31</f>
        <v>50465</v>
      </c>
      <c r="C189" s="19">
        <f t="shared" si="42"/>
        <v>61462832.45659814</v>
      </c>
      <c r="D189" s="19">
        <f t="shared" si="37"/>
        <v>-2330247.4230292756</v>
      </c>
      <c r="E189" s="19">
        <f t="shared" si="43"/>
        <v>59132585.033568867</v>
      </c>
      <c r="F189" s="20">
        <f t="shared" si="44"/>
        <v>8.299999999999999E-2</v>
      </c>
      <c r="G189" s="73">
        <f t="shared" si="38"/>
        <v>409000.3798</v>
      </c>
      <c r="H189" s="19">
        <f t="shared" si="39"/>
        <v>59541585.413368866</v>
      </c>
      <c r="I189" s="74">
        <f t="shared" si="40"/>
        <v>-692693.09019449493</v>
      </c>
    </row>
    <row r="190" spans="1:9" x14ac:dyDescent="0.35">
      <c r="A190" s="71">
        <v>177</v>
      </c>
      <c r="B190" s="72">
        <f t="shared" si="47"/>
        <v>50495</v>
      </c>
      <c r="C190" s="19">
        <f t="shared" si="42"/>
        <v>59541585.413368866</v>
      </c>
      <c r="D190" s="19">
        <f t="shared" si="37"/>
        <v>-2330247.4230292756</v>
      </c>
      <c r="E190" s="19">
        <f t="shared" si="43"/>
        <v>57211337.990339592</v>
      </c>
      <c r="F190" s="20">
        <f t="shared" si="44"/>
        <v>8.299999999999999E-2</v>
      </c>
      <c r="G190" s="73">
        <f t="shared" si="38"/>
        <v>395711.75439999998</v>
      </c>
      <c r="H190" s="19">
        <f t="shared" si="39"/>
        <v>57607049.744739592</v>
      </c>
      <c r="I190" s="74">
        <f t="shared" si="40"/>
        <v>-687934.87398278085</v>
      </c>
    </row>
    <row r="191" spans="1:9" x14ac:dyDescent="0.35">
      <c r="A191" s="71">
        <v>178</v>
      </c>
      <c r="B191" s="72">
        <f>B190+31</f>
        <v>50526</v>
      </c>
      <c r="C191" s="19">
        <f t="shared" si="42"/>
        <v>57607049.744739592</v>
      </c>
      <c r="D191" s="19">
        <f t="shared" si="37"/>
        <v>-2330247.4230292756</v>
      </c>
      <c r="E191" s="19">
        <f t="shared" si="43"/>
        <v>55276802.321710318</v>
      </c>
      <c r="F191" s="20">
        <f t="shared" si="44"/>
        <v>8.299999999999999E-2</v>
      </c>
      <c r="G191" s="73">
        <f t="shared" si="38"/>
        <v>382331.21610000002</v>
      </c>
      <c r="H191" s="19">
        <f t="shared" si="39"/>
        <v>55659133.537810318</v>
      </c>
      <c r="I191" s="74">
        <f t="shared" si="40"/>
        <v>-683209.34269580152</v>
      </c>
    </row>
    <row r="192" spans="1:9" x14ac:dyDescent="0.35">
      <c r="A192" s="71">
        <v>179</v>
      </c>
      <c r="B192" s="72">
        <f>B191+30</f>
        <v>50556</v>
      </c>
      <c r="C192" s="19">
        <f t="shared" si="42"/>
        <v>55659133.537810318</v>
      </c>
      <c r="D192" s="19">
        <f t="shared" si="37"/>
        <v>-2330247.4230292756</v>
      </c>
      <c r="E192" s="19">
        <f t="shared" si="43"/>
        <v>53328886.114781044</v>
      </c>
      <c r="F192" s="20">
        <f t="shared" si="44"/>
        <v>8.299999999999999E-2</v>
      </c>
      <c r="G192" s="73">
        <f t="shared" si="38"/>
        <v>368858.12900000002</v>
      </c>
      <c r="H192" s="19">
        <f t="shared" si="39"/>
        <v>53697744.243781045</v>
      </c>
      <c r="I192" s="74">
        <f t="shared" si="40"/>
        <v>-678516.2718157426</v>
      </c>
    </row>
    <row r="193" spans="1:9" x14ac:dyDescent="0.35">
      <c r="A193" s="71">
        <v>180</v>
      </c>
      <c r="B193" s="72">
        <f>B192+31</f>
        <v>50587</v>
      </c>
      <c r="C193" s="19">
        <f t="shared" si="42"/>
        <v>53697744.243781045</v>
      </c>
      <c r="D193" s="19">
        <f t="shared" si="37"/>
        <v>-2330247.4230292756</v>
      </c>
      <c r="E193" s="19">
        <f t="shared" si="43"/>
        <v>51367496.820751771</v>
      </c>
      <c r="F193" s="20">
        <f t="shared" si="44"/>
        <v>8.299999999999999E-2</v>
      </c>
      <c r="G193" s="73">
        <f t="shared" si="38"/>
        <v>355291.853</v>
      </c>
      <c r="H193" s="19">
        <f t="shared" si="39"/>
        <v>51722788.673751771</v>
      </c>
      <c r="I193" s="74">
        <f t="shared" si="40"/>
        <v>-673855.43836703722</v>
      </c>
    </row>
    <row r="194" spans="1:9" x14ac:dyDescent="0.35">
      <c r="A194" s="71">
        <v>181</v>
      </c>
      <c r="B194" s="72">
        <f>B193+31</f>
        <v>50618</v>
      </c>
      <c r="C194" s="19">
        <f t="shared" si="42"/>
        <v>51722788.673751771</v>
      </c>
      <c r="D194" s="19">
        <f t="shared" si="37"/>
        <v>-2330247.4230292756</v>
      </c>
      <c r="E194" s="19">
        <f t="shared" si="43"/>
        <v>49392541.250722498</v>
      </c>
      <c r="F194" s="20">
        <f t="shared" si="44"/>
        <v>8.299999999999999E-2</v>
      </c>
      <c r="G194" s="73">
        <f t="shared" si="38"/>
        <v>341631.74369999999</v>
      </c>
      <c r="H194" s="19">
        <f t="shared" si="39"/>
        <v>49734172.994422495</v>
      </c>
      <c r="I194" s="74">
        <f t="shared" si="40"/>
        <v>-669226.62090577243</v>
      </c>
    </row>
    <row r="195" spans="1:9" x14ac:dyDescent="0.35">
      <c r="A195" s="71">
        <v>182</v>
      </c>
      <c r="B195" s="72">
        <f>B194+28</f>
        <v>50646</v>
      </c>
      <c r="C195" s="19">
        <f t="shared" si="42"/>
        <v>49734172.994422495</v>
      </c>
      <c r="D195" s="19">
        <f t="shared" si="37"/>
        <v>-2330247.4230292756</v>
      </c>
      <c r="E195" s="19">
        <f t="shared" si="43"/>
        <v>47403925.571393222</v>
      </c>
      <c r="F195" s="20">
        <f t="shared" si="44"/>
        <v>8.299999999999999E-2</v>
      </c>
      <c r="G195" s="73">
        <f t="shared" si="38"/>
        <v>327877.1519</v>
      </c>
      <c r="H195" s="19">
        <f t="shared" si="39"/>
        <v>47731802.723293222</v>
      </c>
      <c r="I195" s="74">
        <f t="shared" si="40"/>
        <v>-664629.59950916737</v>
      </c>
    </row>
    <row r="196" spans="1:9" x14ac:dyDescent="0.35">
      <c r="A196" s="71">
        <v>183</v>
      </c>
      <c r="B196" s="72">
        <f>B195+31</f>
        <v>50677</v>
      </c>
      <c r="C196" s="19">
        <f t="shared" si="42"/>
        <v>47731802.723293222</v>
      </c>
      <c r="D196" s="19">
        <f t="shared" si="37"/>
        <v>-2330247.4230292756</v>
      </c>
      <c r="E196" s="19">
        <f t="shared" si="43"/>
        <v>45401555.300263949</v>
      </c>
      <c r="F196" s="20">
        <f t="shared" si="44"/>
        <v>8.299999999999999E-2</v>
      </c>
      <c r="G196" s="73">
        <f t="shared" si="38"/>
        <v>314027.42420000001</v>
      </c>
      <c r="H196" s="19">
        <f t="shared" si="39"/>
        <v>45715582.724463947</v>
      </c>
      <c r="I196" s="74">
        <f t="shared" si="40"/>
        <v>-660064.1557651253</v>
      </c>
    </row>
    <row r="197" spans="1:9" x14ac:dyDescent="0.35">
      <c r="A197" s="71">
        <v>184</v>
      </c>
      <c r="B197" s="72">
        <f t="shared" ref="B197:B202" si="48">B196+30</f>
        <v>50707</v>
      </c>
      <c r="C197" s="19">
        <f t="shared" si="42"/>
        <v>45715582.724463947</v>
      </c>
      <c r="D197" s="19">
        <f t="shared" si="37"/>
        <v>-2330247.4230292756</v>
      </c>
      <c r="E197" s="19">
        <f t="shared" si="43"/>
        <v>43385335.301434673</v>
      </c>
      <c r="F197" s="20">
        <f t="shared" si="44"/>
        <v>8.299999999999999E-2</v>
      </c>
      <c r="G197" s="73">
        <f t="shared" si="38"/>
        <v>300081.90250000003</v>
      </c>
      <c r="H197" s="19">
        <f t="shared" si="39"/>
        <v>43685417.203934677</v>
      </c>
      <c r="I197" s="74">
        <f t="shared" si="40"/>
        <v>-655530.0727618559</v>
      </c>
    </row>
    <row r="198" spans="1:9" x14ac:dyDescent="0.35">
      <c r="A198" s="71">
        <v>185</v>
      </c>
      <c r="B198" s="72">
        <f>B197+31</f>
        <v>50738</v>
      </c>
      <c r="C198" s="19">
        <f t="shared" si="42"/>
        <v>43685417.203934677</v>
      </c>
      <c r="D198" s="19">
        <f t="shared" si="37"/>
        <v>-2330247.4230292756</v>
      </c>
      <c r="E198" s="19">
        <f t="shared" si="43"/>
        <v>41355169.780905403</v>
      </c>
      <c r="F198" s="20">
        <f t="shared" si="44"/>
        <v>8.299999999999999E-2</v>
      </c>
      <c r="G198" s="73">
        <f t="shared" si="38"/>
        <v>286039.92430000001</v>
      </c>
      <c r="H198" s="19">
        <f t="shared" si="39"/>
        <v>41641209.705205403</v>
      </c>
      <c r="I198" s="74">
        <f t="shared" si="40"/>
        <v>-651027.13507756928</v>
      </c>
    </row>
    <row r="199" spans="1:9" x14ac:dyDescent="0.35">
      <c r="A199" s="71">
        <v>186</v>
      </c>
      <c r="B199" s="72">
        <f t="shared" si="48"/>
        <v>50768</v>
      </c>
      <c r="C199" s="19">
        <f t="shared" si="42"/>
        <v>41641209.705205403</v>
      </c>
      <c r="D199" s="19">
        <f t="shared" si="37"/>
        <v>-2330247.4230292756</v>
      </c>
      <c r="E199" s="19">
        <f t="shared" si="43"/>
        <v>39310962.28217613</v>
      </c>
      <c r="F199" s="20">
        <f t="shared" si="44"/>
        <v>8.299999999999999E-2</v>
      </c>
      <c r="G199" s="73">
        <f t="shared" si="38"/>
        <v>271900.82250000001</v>
      </c>
      <c r="H199" s="19">
        <f t="shared" si="39"/>
        <v>39582863.104676127</v>
      </c>
      <c r="I199" s="74">
        <f t="shared" si="40"/>
        <v>-646555.12877024186</v>
      </c>
    </row>
    <row r="200" spans="1:9" x14ac:dyDescent="0.35">
      <c r="A200" s="71">
        <v>187</v>
      </c>
      <c r="B200" s="72">
        <f>B199+31</f>
        <v>50799</v>
      </c>
      <c r="C200" s="19">
        <f t="shared" si="42"/>
        <v>39582863.104676127</v>
      </c>
      <c r="D200" s="19">
        <f t="shared" si="37"/>
        <v>-2330247.4230292756</v>
      </c>
      <c r="E200" s="19">
        <f t="shared" si="43"/>
        <v>37252615.681646854</v>
      </c>
      <c r="F200" s="20">
        <f t="shared" si="44"/>
        <v>8.299999999999999E-2</v>
      </c>
      <c r="G200" s="73">
        <f t="shared" si="38"/>
        <v>257663.92509999999</v>
      </c>
      <c r="H200" s="19">
        <f t="shared" si="39"/>
        <v>37510279.606746852</v>
      </c>
      <c r="I200" s="74">
        <f t="shared" si="40"/>
        <v>-642113.84136745019</v>
      </c>
    </row>
    <row r="201" spans="1:9" x14ac:dyDescent="0.35">
      <c r="A201" s="71">
        <v>188</v>
      </c>
      <c r="B201" s="72">
        <f>B200+31</f>
        <v>50830</v>
      </c>
      <c r="C201" s="19">
        <f t="shared" si="42"/>
        <v>37510279.606746852</v>
      </c>
      <c r="D201" s="19">
        <f t="shared" si="37"/>
        <v>-2330247.4230292756</v>
      </c>
      <c r="E201" s="19">
        <f t="shared" si="43"/>
        <v>35180032.183717579</v>
      </c>
      <c r="F201" s="20">
        <f t="shared" si="44"/>
        <v>8.299999999999999E-2</v>
      </c>
      <c r="G201" s="73">
        <f t="shared" si="38"/>
        <v>243328.55590000001</v>
      </c>
      <c r="H201" s="19">
        <f t="shared" si="39"/>
        <v>35423360.739617579</v>
      </c>
      <c r="I201" s="74">
        <f t="shared" si="40"/>
        <v>-637703.06185627775</v>
      </c>
    </row>
    <row r="202" spans="1:9" x14ac:dyDescent="0.35">
      <c r="A202" s="71">
        <v>189</v>
      </c>
      <c r="B202" s="72">
        <f t="shared" si="48"/>
        <v>50860</v>
      </c>
      <c r="C202" s="19">
        <f t="shared" si="42"/>
        <v>35423360.739617579</v>
      </c>
      <c r="D202" s="19">
        <f t="shared" ref="D202:D217" si="49">D201</f>
        <v>-2330247.4230292756</v>
      </c>
      <c r="E202" s="19">
        <f t="shared" si="43"/>
        <v>33093113.316588305</v>
      </c>
      <c r="F202" s="20">
        <f t="shared" si="44"/>
        <v>8.299999999999999E-2</v>
      </c>
      <c r="G202" s="73">
        <f t="shared" si="38"/>
        <v>228894.0338</v>
      </c>
      <c r="H202" s="19">
        <f t="shared" si="39"/>
        <v>33322007.350388303</v>
      </c>
      <c r="I202" s="74">
        <f t="shared" si="40"/>
        <v>-633322.58067328751</v>
      </c>
    </row>
    <row r="203" spans="1:9" x14ac:dyDescent="0.35">
      <c r="A203" s="71">
        <v>190</v>
      </c>
      <c r="B203" s="72">
        <f>B202+31</f>
        <v>50891</v>
      </c>
      <c r="C203" s="19">
        <f t="shared" si="42"/>
        <v>33322007.350388303</v>
      </c>
      <c r="D203" s="19">
        <f t="shared" si="49"/>
        <v>-2330247.4230292756</v>
      </c>
      <c r="E203" s="19">
        <f t="shared" si="43"/>
        <v>30991759.92735903</v>
      </c>
      <c r="F203" s="20">
        <f t="shared" si="44"/>
        <v>8.299999999999999E-2</v>
      </c>
      <c r="G203" s="73">
        <f t="shared" si="38"/>
        <v>214359.6728</v>
      </c>
      <c r="H203" s="19">
        <f t="shared" si="39"/>
        <v>31206119.60015903</v>
      </c>
      <c r="I203" s="74">
        <f t="shared" si="40"/>
        <v>-628972.18969456689</v>
      </c>
    </row>
    <row r="204" spans="1:9" x14ac:dyDescent="0.35">
      <c r="A204" s="71">
        <v>191</v>
      </c>
      <c r="B204" s="72">
        <f>B203+30</f>
        <v>50921</v>
      </c>
      <c r="C204" s="19">
        <f t="shared" si="42"/>
        <v>31206119.60015903</v>
      </c>
      <c r="D204" s="19">
        <f t="shared" si="49"/>
        <v>-2330247.4230292756</v>
      </c>
      <c r="E204" s="19">
        <f t="shared" si="43"/>
        <v>28875872.177129753</v>
      </c>
      <c r="F204" s="20">
        <f t="shared" si="44"/>
        <v>8.299999999999999E-2</v>
      </c>
      <c r="G204" s="73">
        <f t="shared" si="38"/>
        <v>199724.78260000001</v>
      </c>
      <c r="H204" s="19">
        <f t="shared" si="39"/>
        <v>29075596.959729753</v>
      </c>
      <c r="I204" s="74">
        <f t="shared" si="40"/>
        <v>-624651.68222583819</v>
      </c>
    </row>
    <row r="205" spans="1:9" x14ac:dyDescent="0.35">
      <c r="A205" s="71">
        <v>192</v>
      </c>
      <c r="B205" s="72">
        <f>B204+31</f>
        <v>50952</v>
      </c>
      <c r="C205" s="19">
        <f t="shared" si="42"/>
        <v>29075596.959729753</v>
      </c>
      <c r="D205" s="19">
        <f t="shared" si="49"/>
        <v>-2330247.4230292756</v>
      </c>
      <c r="E205" s="19">
        <f t="shared" si="43"/>
        <v>26745349.53670048</v>
      </c>
      <c r="F205" s="20">
        <f t="shared" si="44"/>
        <v>8.299999999999999E-2</v>
      </c>
      <c r="G205" s="73">
        <f t="shared" si="38"/>
        <v>184988.66759999999</v>
      </c>
      <c r="H205" s="19">
        <f t="shared" si="39"/>
        <v>26930338.204300478</v>
      </c>
      <c r="I205" s="74">
        <f t="shared" si="40"/>
        <v>-620360.85299263906</v>
      </c>
    </row>
    <row r="206" spans="1:9" x14ac:dyDescent="0.35">
      <c r="A206" s="71">
        <v>193</v>
      </c>
      <c r="B206" s="72">
        <f>B205+31</f>
        <v>50983</v>
      </c>
      <c r="C206" s="19">
        <f t="shared" si="42"/>
        <v>26930338.204300478</v>
      </c>
      <c r="D206" s="19">
        <f t="shared" si="49"/>
        <v>-2330247.4230292756</v>
      </c>
      <c r="E206" s="19">
        <f t="shared" si="43"/>
        <v>24600090.781271204</v>
      </c>
      <c r="F206" s="20">
        <f t="shared" si="44"/>
        <v>8.299999999999999E-2</v>
      </c>
      <c r="G206" s="73">
        <f t="shared" ref="G206:G217" si="50">ROUND(((+E206))*F$13/12,4)</f>
        <v>170150.62789999999</v>
      </c>
      <c r="H206" s="19">
        <f t="shared" ref="H206:H217" si="51">E206+G206</f>
        <v>24770241.409171205</v>
      </c>
      <c r="I206" s="74">
        <f t="shared" ref="I206:I217" si="52">IF(A206&gt;$F$5,"",((1/((1+($B$6/12))^A206))*D206))</f>
        <v>-616099.49813056923</v>
      </c>
    </row>
    <row r="207" spans="1:9" x14ac:dyDescent="0.35">
      <c r="A207" s="71">
        <v>194</v>
      </c>
      <c r="B207" s="72">
        <f>B206+28</f>
        <v>51011</v>
      </c>
      <c r="C207" s="19">
        <f t="shared" si="42"/>
        <v>24770241.409171205</v>
      </c>
      <c r="D207" s="19">
        <f t="shared" si="49"/>
        <v>-2330247.4230292756</v>
      </c>
      <c r="E207" s="19">
        <f t="shared" si="43"/>
        <v>22439993.986141928</v>
      </c>
      <c r="F207" s="20">
        <f t="shared" si="44"/>
        <v>8.299999999999999E-2</v>
      </c>
      <c r="G207" s="73">
        <f t="shared" si="50"/>
        <v>155209.9584</v>
      </c>
      <c r="H207" s="19">
        <f t="shared" si="51"/>
        <v>22595203.944541927</v>
      </c>
      <c r="I207" s="74">
        <f t="shared" si="52"/>
        <v>-611867.41517560463</v>
      </c>
    </row>
    <row r="208" spans="1:9" x14ac:dyDescent="0.35">
      <c r="A208" s="71">
        <v>195</v>
      </c>
      <c r="B208" s="72">
        <f>B207+31</f>
        <v>51042</v>
      </c>
      <c r="C208" s="19">
        <f t="shared" si="42"/>
        <v>22595203.944541927</v>
      </c>
      <c r="D208" s="19">
        <f t="shared" si="49"/>
        <v>-2330247.4230292756</v>
      </c>
      <c r="E208" s="19">
        <f t="shared" si="43"/>
        <v>20264956.52151265</v>
      </c>
      <c r="F208" s="20">
        <f t="shared" si="44"/>
        <v>8.299999999999999E-2</v>
      </c>
      <c r="G208" s="73">
        <f t="shared" si="50"/>
        <v>140165.94930000001</v>
      </c>
      <c r="H208" s="19">
        <f t="shared" si="51"/>
        <v>20405122.470812649</v>
      </c>
      <c r="I208" s="74">
        <f t="shared" si="52"/>
        <v>-607664.40305447788</v>
      </c>
    </row>
    <row r="209" spans="1:9" x14ac:dyDescent="0.35">
      <c r="A209" s="71">
        <v>196</v>
      </c>
      <c r="B209" s="72">
        <f t="shared" ref="B209:B214" si="53">B208+30</f>
        <v>51072</v>
      </c>
      <c r="C209" s="19">
        <f t="shared" si="42"/>
        <v>20405122.470812649</v>
      </c>
      <c r="D209" s="19">
        <f t="shared" si="49"/>
        <v>-2330247.4230292756</v>
      </c>
      <c r="E209" s="19">
        <f t="shared" si="43"/>
        <v>18074875.047783375</v>
      </c>
      <c r="F209" s="20">
        <f t="shared" si="44"/>
        <v>8.299999999999999E-2</v>
      </c>
      <c r="G209" s="73">
        <f t="shared" si="50"/>
        <v>125017.8857</v>
      </c>
      <c r="H209" s="19">
        <f t="shared" si="51"/>
        <v>18199892.933483373</v>
      </c>
      <c r="I209" s="74">
        <f t="shared" si="52"/>
        <v>-603490.26207512501</v>
      </c>
    </row>
    <row r="210" spans="1:9" x14ac:dyDescent="0.35">
      <c r="A210" s="71">
        <v>197</v>
      </c>
      <c r="B210" s="72">
        <f>B209+31</f>
        <v>51103</v>
      </c>
      <c r="C210" s="19">
        <f t="shared" si="42"/>
        <v>18199892.933483373</v>
      </c>
      <c r="D210" s="19">
        <f t="shared" si="49"/>
        <v>-2330247.4230292756</v>
      </c>
      <c r="E210" s="19">
        <f t="shared" si="43"/>
        <v>15869645.510454098</v>
      </c>
      <c r="F210" s="20">
        <f t="shared" si="44"/>
        <v>8.299999999999999E-2</v>
      </c>
      <c r="G210" s="73">
        <f t="shared" si="50"/>
        <v>109765.0481</v>
      </c>
      <c r="H210" s="19">
        <f t="shared" si="51"/>
        <v>15979410.558554098</v>
      </c>
      <c r="I210" s="74">
        <f t="shared" si="52"/>
        <v>-599344.79391719773</v>
      </c>
    </row>
    <row r="211" spans="1:9" x14ac:dyDescent="0.35">
      <c r="A211" s="71">
        <v>198</v>
      </c>
      <c r="B211" s="72">
        <f t="shared" si="53"/>
        <v>51133</v>
      </c>
      <c r="C211" s="19">
        <f t="shared" si="42"/>
        <v>15979410.558554098</v>
      </c>
      <c r="D211" s="19">
        <f t="shared" si="49"/>
        <v>-2330247.4230292756</v>
      </c>
      <c r="E211" s="19">
        <f t="shared" si="43"/>
        <v>13649163.135524822</v>
      </c>
      <c r="F211" s="20">
        <f t="shared" si="44"/>
        <v>8.299999999999999E-2</v>
      </c>
      <c r="G211" s="73">
        <f t="shared" si="50"/>
        <v>94406.7117</v>
      </c>
      <c r="H211" s="19">
        <f t="shared" si="51"/>
        <v>13743569.847224822</v>
      </c>
      <c r="I211" s="74">
        <f t="shared" si="52"/>
        <v>-595227.80162264127</v>
      </c>
    </row>
    <row r="212" spans="1:9" x14ac:dyDescent="0.35">
      <c r="A212" s="71">
        <v>199</v>
      </c>
      <c r="B212" s="72">
        <f>B211+31</f>
        <v>51164</v>
      </c>
      <c r="C212" s="19">
        <f t="shared" si="42"/>
        <v>13743569.847224822</v>
      </c>
      <c r="D212" s="19">
        <f t="shared" si="49"/>
        <v>-2330247.4230292756</v>
      </c>
      <c r="E212" s="19">
        <f t="shared" si="43"/>
        <v>11413322.424195547</v>
      </c>
      <c r="F212" s="20">
        <f t="shared" si="44"/>
        <v>8.299999999999999E-2</v>
      </c>
      <c r="G212" s="73">
        <f t="shared" si="50"/>
        <v>78942.146800000002</v>
      </c>
      <c r="H212" s="19">
        <f t="shared" si="51"/>
        <v>11492264.570995547</v>
      </c>
      <c r="I212" s="74">
        <f t="shared" si="52"/>
        <v>-591139.0895863357</v>
      </c>
    </row>
    <row r="213" spans="1:9" x14ac:dyDescent="0.35">
      <c r="A213" s="71">
        <v>200</v>
      </c>
      <c r="B213" s="72">
        <f>B212+31</f>
        <v>51195</v>
      </c>
      <c r="C213" s="19">
        <f t="shared" si="42"/>
        <v>11492264.570995547</v>
      </c>
      <c r="D213" s="19">
        <f t="shared" si="49"/>
        <v>-2330247.4230292756</v>
      </c>
      <c r="E213" s="19">
        <f t="shared" si="43"/>
        <v>9162017.1479662713</v>
      </c>
      <c r="F213" s="20">
        <f t="shared" si="44"/>
        <v>8.299999999999999E-2</v>
      </c>
      <c r="G213" s="73">
        <f t="shared" si="50"/>
        <v>63370.618600000002</v>
      </c>
      <c r="H213" s="19">
        <f t="shared" si="51"/>
        <v>9225387.766566271</v>
      </c>
      <c r="I213" s="74">
        <f t="shared" si="52"/>
        <v>-587078.46354680369</v>
      </c>
    </row>
    <row r="214" spans="1:9" x14ac:dyDescent="0.35">
      <c r="A214" s="71">
        <v>201</v>
      </c>
      <c r="B214" s="72">
        <f t="shared" si="53"/>
        <v>51225</v>
      </c>
      <c r="C214" s="19">
        <f t="shared" ref="C214:C217" si="54">H213</f>
        <v>9225387.766566271</v>
      </c>
      <c r="D214" s="19">
        <f t="shared" si="49"/>
        <v>-2330247.4230292756</v>
      </c>
      <c r="E214" s="19">
        <f t="shared" ref="E214:E217" si="55">+D214+C214</f>
        <v>6895140.3435369954</v>
      </c>
      <c r="F214" s="20">
        <f t="shared" si="44"/>
        <v>8.299999999999999E-2</v>
      </c>
      <c r="G214" s="73">
        <f t="shared" si="50"/>
        <v>47691.3874</v>
      </c>
      <c r="H214" s="19">
        <f t="shared" si="51"/>
        <v>6942831.7309369957</v>
      </c>
      <c r="I214" s="74">
        <f t="shared" si="52"/>
        <v>-583045.73057697958</v>
      </c>
    </row>
    <row r="215" spans="1:9" x14ac:dyDescent="0.35">
      <c r="A215" s="71">
        <v>202</v>
      </c>
      <c r="B215" s="72">
        <f>B214+31</f>
        <v>51256</v>
      </c>
      <c r="C215" s="19">
        <f t="shared" si="54"/>
        <v>6942831.7309369957</v>
      </c>
      <c r="D215" s="19">
        <f t="shared" si="49"/>
        <v>-2330247.4230292756</v>
      </c>
      <c r="E215" s="19">
        <f t="shared" si="55"/>
        <v>4612584.3079077201</v>
      </c>
      <c r="F215" s="20">
        <f t="shared" si="44"/>
        <v>8.299999999999999E-2</v>
      </c>
      <c r="G215" s="73">
        <f t="shared" si="50"/>
        <v>31903.7081</v>
      </c>
      <c r="H215" s="19">
        <f t="shared" si="51"/>
        <v>4644488.0160077205</v>
      </c>
      <c r="I215" s="74">
        <f t="shared" si="52"/>
        <v>-579040.6990750439</v>
      </c>
    </row>
    <row r="216" spans="1:9" x14ac:dyDescent="0.35">
      <c r="A216" s="71">
        <v>203</v>
      </c>
      <c r="B216" s="72">
        <f>B215+30</f>
        <v>51286</v>
      </c>
      <c r="C216" s="19">
        <f t="shared" si="54"/>
        <v>4644488.0160077205</v>
      </c>
      <c r="D216" s="19">
        <f t="shared" si="49"/>
        <v>-2330247.4230292756</v>
      </c>
      <c r="E216" s="19">
        <f t="shared" si="55"/>
        <v>2314240.5929784449</v>
      </c>
      <c r="F216" s="20">
        <f t="shared" si="44"/>
        <v>8.299999999999999E-2</v>
      </c>
      <c r="G216" s="73">
        <f t="shared" si="50"/>
        <v>16006.8308</v>
      </c>
      <c r="H216" s="19">
        <f t="shared" si="51"/>
        <v>2330247.423778445</v>
      </c>
      <c r="I216" s="74">
        <f t="shared" si="52"/>
        <v>-575063.17875531968</v>
      </c>
    </row>
    <row r="217" spans="1:9" x14ac:dyDescent="0.35">
      <c r="A217" s="71">
        <v>204</v>
      </c>
      <c r="B217" s="72">
        <f>B216+31</f>
        <v>51317</v>
      </c>
      <c r="C217" s="19">
        <f t="shared" si="54"/>
        <v>2330247.423778445</v>
      </c>
      <c r="D217" s="19">
        <f t="shared" si="49"/>
        <v>-2330247.4230292756</v>
      </c>
      <c r="E217" s="19">
        <f t="shared" si="55"/>
        <v>7.4916938319802284E-4</v>
      </c>
      <c r="F217" s="20">
        <f t="shared" ref="F217" si="56">F216</f>
        <v>8.299999999999999E-2</v>
      </c>
      <c r="G217" s="73">
        <f t="shared" si="50"/>
        <v>0</v>
      </c>
      <c r="H217" s="19">
        <f t="shared" si="51"/>
        <v>7.4916938319802284E-4</v>
      </c>
      <c r="I217" s="74">
        <f t="shared" si="52"/>
        <v>-571112.98063923151</v>
      </c>
    </row>
    <row r="218" spans="1:9" x14ac:dyDescent="0.35">
      <c r="A218" s="71"/>
    </row>
    <row r="219" spans="1:9" x14ac:dyDescent="0.35">
      <c r="A219" s="71"/>
      <c r="D219" s="75">
        <f>SUM(D13:D217)</f>
        <v>-475370474.29797453</v>
      </c>
      <c r="I219" s="75">
        <f>SUM(I13:I217)</f>
        <v>-254332690.46603203</v>
      </c>
    </row>
    <row r="220" spans="1:9" x14ac:dyDescent="0.35">
      <c r="A220" s="71"/>
    </row>
    <row r="221" spans="1:9" x14ac:dyDescent="0.35">
      <c r="A221" s="71"/>
    </row>
    <row r="222" spans="1:9" x14ac:dyDescent="0.35">
      <c r="A222" s="71"/>
    </row>
    <row r="223" spans="1:9" x14ac:dyDescent="0.35">
      <c r="A223" s="71"/>
    </row>
    <row r="224" spans="1:9" x14ac:dyDescent="0.35">
      <c r="A224" s="71"/>
    </row>
    <row r="225" spans="1:1" x14ac:dyDescent="0.35">
      <c r="A225" s="71"/>
    </row>
    <row r="226" spans="1:1" x14ac:dyDescent="0.35">
      <c r="A226" s="71"/>
    </row>
    <row r="227" spans="1:1" x14ac:dyDescent="0.35">
      <c r="A227" s="71"/>
    </row>
    <row r="228" spans="1:1" x14ac:dyDescent="0.35">
      <c r="A228" s="71"/>
    </row>
    <row r="229" spans="1:1" x14ac:dyDescent="0.35">
      <c r="A229" s="71"/>
    </row>
    <row r="230" spans="1:1" x14ac:dyDescent="0.35">
      <c r="A230" s="71"/>
    </row>
    <row r="231" spans="1:1" x14ac:dyDescent="0.35">
      <c r="A231" s="71"/>
    </row>
    <row r="232" spans="1:1" x14ac:dyDescent="0.35">
      <c r="A232" s="71"/>
    </row>
    <row r="233" spans="1:1" x14ac:dyDescent="0.35">
      <c r="A233" s="71"/>
    </row>
    <row r="234" spans="1:1" x14ac:dyDescent="0.35">
      <c r="A234" s="71"/>
    </row>
    <row r="235" spans="1:1" x14ac:dyDescent="0.35">
      <c r="A235" s="71"/>
    </row>
    <row r="236" spans="1:1" x14ac:dyDescent="0.35">
      <c r="A236" s="71"/>
    </row>
    <row r="237" spans="1:1" x14ac:dyDescent="0.35">
      <c r="A237" s="71"/>
    </row>
    <row r="238" spans="1:1" x14ac:dyDescent="0.35">
      <c r="A238" s="71"/>
    </row>
    <row r="239" spans="1:1" x14ac:dyDescent="0.35">
      <c r="A239" s="71"/>
    </row>
    <row r="240" spans="1:1" x14ac:dyDescent="0.35">
      <c r="A240" s="71"/>
    </row>
    <row r="241" spans="1:1" x14ac:dyDescent="0.35">
      <c r="A241" s="71"/>
    </row>
    <row r="242" spans="1:1" x14ac:dyDescent="0.35">
      <c r="A242" s="71"/>
    </row>
    <row r="243" spans="1:1" x14ac:dyDescent="0.35">
      <c r="A243" s="71"/>
    </row>
    <row r="244" spans="1:1" x14ac:dyDescent="0.35">
      <c r="A244" s="71"/>
    </row>
    <row r="245" spans="1:1" x14ac:dyDescent="0.35">
      <c r="A245" s="71"/>
    </row>
    <row r="246" spans="1:1" x14ac:dyDescent="0.35">
      <c r="A246" s="71"/>
    </row>
    <row r="247" spans="1:1" x14ac:dyDescent="0.35">
      <c r="A247" s="71"/>
    </row>
    <row r="248" spans="1:1" x14ac:dyDescent="0.35">
      <c r="A248" s="71"/>
    </row>
    <row r="249" spans="1:1" x14ac:dyDescent="0.35">
      <c r="A249" s="71"/>
    </row>
    <row r="250" spans="1:1" x14ac:dyDescent="0.35">
      <c r="A250" s="71"/>
    </row>
    <row r="251" spans="1:1" x14ac:dyDescent="0.35">
      <c r="A251" s="71"/>
    </row>
    <row r="252" spans="1:1" x14ac:dyDescent="0.35">
      <c r="A252" s="71"/>
    </row>
    <row r="253" spans="1:1" x14ac:dyDescent="0.35">
      <c r="A253" s="71"/>
    </row>
  </sheetData>
  <mergeCells count="3">
    <mergeCell ref="A1:I1"/>
    <mergeCell ref="A2:I2"/>
    <mergeCell ref="A3:I3"/>
  </mergeCells>
  <pageMargins left="0.7" right="0.7" top="0.75" bottom="0.75" header="0.3" footer="0.3"/>
  <pageSetup scale="26" fitToHeight="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241D-063E-4A81-A390-C5661BC388E2}">
  <sheetPr>
    <pageSetUpPr fitToPage="1"/>
  </sheetPr>
  <dimension ref="A1:L109"/>
  <sheetViews>
    <sheetView zoomScaleNormal="100" workbookViewId="0">
      <selection sqref="A1:I1"/>
    </sheetView>
  </sheetViews>
  <sheetFormatPr defaultRowHeight="14.5" x14ac:dyDescent="0.35"/>
  <cols>
    <col min="1" max="1" width="18.81640625" style="94" bestFit="1" customWidth="1"/>
    <col min="2" max="2" width="14.81640625" style="94" bestFit="1" customWidth="1"/>
    <col min="3" max="3" width="17.54296875" style="94" bestFit="1" customWidth="1"/>
    <col min="4" max="4" width="17" style="94" customWidth="1"/>
    <col min="5" max="5" width="17.54296875" style="94" bestFit="1" customWidth="1"/>
    <col min="6" max="6" width="10.26953125" style="94" bestFit="1" customWidth="1"/>
    <col min="7" max="7" width="14.26953125" style="93" bestFit="1" customWidth="1"/>
    <col min="8" max="8" width="17.54296875" style="94" bestFit="1" customWidth="1"/>
    <col min="9" max="9" width="14.54296875" style="99" customWidth="1"/>
    <col min="10" max="10" width="15.26953125" style="94" bestFit="1" customWidth="1"/>
    <col min="11" max="11" width="14" style="94" bestFit="1" customWidth="1"/>
    <col min="12" max="240" width="9.1796875" style="94"/>
    <col min="241" max="241" width="16.26953125" style="94" customWidth="1"/>
    <col min="242" max="243" width="0" style="94" hidden="1" customWidth="1"/>
    <col min="244" max="244" width="13.26953125" style="94" bestFit="1" customWidth="1"/>
    <col min="245" max="246" width="16" style="94" bestFit="1" customWidth="1"/>
    <col min="247" max="247" width="9.1796875" style="94"/>
    <col min="248" max="249" width="16" style="94" bestFit="1" customWidth="1"/>
    <col min="250" max="250" width="9.1796875" style="94"/>
    <col min="251" max="251" width="0" style="94" hidden="1" customWidth="1"/>
    <col min="252" max="252" width="11.26953125" style="94" bestFit="1" customWidth="1"/>
    <col min="253" max="259" width="0" style="94" hidden="1" customWidth="1"/>
    <col min="260" max="260" width="11.26953125" style="94" bestFit="1" customWidth="1"/>
    <col min="261" max="262" width="0" style="94" hidden="1" customWidth="1"/>
    <col min="263" max="263" width="11.54296875" style="94" bestFit="1" customWidth="1"/>
    <col min="264" max="264" width="16" style="94" bestFit="1" customWidth="1"/>
    <col min="265" max="265" width="9.1796875" style="94"/>
    <col min="266" max="266" width="15" style="94" bestFit="1" customWidth="1"/>
    <col min="267" max="267" width="14" style="94" bestFit="1" customWidth="1"/>
    <col min="268" max="496" width="9.1796875" style="94"/>
    <col min="497" max="497" width="16.26953125" style="94" customWidth="1"/>
    <col min="498" max="499" width="0" style="94" hidden="1" customWidth="1"/>
    <col min="500" max="500" width="13.26953125" style="94" bestFit="1" customWidth="1"/>
    <col min="501" max="502" width="16" style="94" bestFit="1" customWidth="1"/>
    <col min="503" max="503" width="9.1796875" style="94"/>
    <col min="504" max="505" width="16" style="94" bestFit="1" customWidth="1"/>
    <col min="506" max="506" width="9.1796875" style="94"/>
    <col min="507" max="507" width="0" style="94" hidden="1" customWidth="1"/>
    <col min="508" max="508" width="11.26953125" style="94" bestFit="1" customWidth="1"/>
    <col min="509" max="515" width="0" style="94" hidden="1" customWidth="1"/>
    <col min="516" max="516" width="11.26953125" style="94" bestFit="1" customWidth="1"/>
    <col min="517" max="518" width="0" style="94" hidden="1" customWidth="1"/>
    <col min="519" max="519" width="11.54296875" style="94" bestFit="1" customWidth="1"/>
    <col min="520" max="520" width="16" style="94" bestFit="1" customWidth="1"/>
    <col min="521" max="521" width="9.1796875" style="94"/>
    <col min="522" max="522" width="15" style="94" bestFit="1" customWidth="1"/>
    <col min="523" max="523" width="14" style="94" bestFit="1" customWidth="1"/>
    <col min="524" max="752" width="9.1796875" style="94"/>
    <col min="753" max="753" width="16.26953125" style="94" customWidth="1"/>
    <col min="754" max="755" width="0" style="94" hidden="1" customWidth="1"/>
    <col min="756" max="756" width="13.26953125" style="94" bestFit="1" customWidth="1"/>
    <col min="757" max="758" width="16" style="94" bestFit="1" customWidth="1"/>
    <col min="759" max="759" width="9.1796875" style="94"/>
    <col min="760" max="761" width="16" style="94" bestFit="1" customWidth="1"/>
    <col min="762" max="762" width="9.1796875" style="94"/>
    <col min="763" max="763" width="0" style="94" hidden="1" customWidth="1"/>
    <col min="764" max="764" width="11.26953125" style="94" bestFit="1" customWidth="1"/>
    <col min="765" max="771" width="0" style="94" hidden="1" customWidth="1"/>
    <col min="772" max="772" width="11.26953125" style="94" bestFit="1" customWidth="1"/>
    <col min="773" max="774" width="0" style="94" hidden="1" customWidth="1"/>
    <col min="775" max="775" width="11.54296875" style="94" bestFit="1" customWidth="1"/>
    <col min="776" max="776" width="16" style="94" bestFit="1" customWidth="1"/>
    <col min="777" max="777" width="9.1796875" style="94"/>
    <col min="778" max="778" width="15" style="94" bestFit="1" customWidth="1"/>
    <col min="779" max="779" width="14" style="94" bestFit="1" customWidth="1"/>
    <col min="780" max="1008" width="9.1796875" style="94"/>
    <col min="1009" max="1009" width="16.26953125" style="94" customWidth="1"/>
    <col min="1010" max="1011" width="0" style="94" hidden="1" customWidth="1"/>
    <col min="1012" max="1012" width="13.26953125" style="94" bestFit="1" customWidth="1"/>
    <col min="1013" max="1014" width="16" style="94" bestFit="1" customWidth="1"/>
    <col min="1015" max="1015" width="9.1796875" style="94"/>
    <col min="1016" max="1017" width="16" style="94" bestFit="1" customWidth="1"/>
    <col min="1018" max="1018" width="9.1796875" style="94"/>
    <col min="1019" max="1019" width="0" style="94" hidden="1" customWidth="1"/>
    <col min="1020" max="1020" width="11.26953125" style="94" bestFit="1" customWidth="1"/>
    <col min="1021" max="1027" width="0" style="94" hidden="1" customWidth="1"/>
    <col min="1028" max="1028" width="11.26953125" style="94" bestFit="1" customWidth="1"/>
    <col min="1029" max="1030" width="0" style="94" hidden="1" customWidth="1"/>
    <col min="1031" max="1031" width="11.54296875" style="94" bestFit="1" customWidth="1"/>
    <col min="1032" max="1032" width="16" style="94" bestFit="1" customWidth="1"/>
    <col min="1033" max="1033" width="9.1796875" style="94"/>
    <col min="1034" max="1034" width="15" style="94" bestFit="1" customWidth="1"/>
    <col min="1035" max="1035" width="14" style="94" bestFit="1" customWidth="1"/>
    <col min="1036" max="1264" width="9.1796875" style="94"/>
    <col min="1265" max="1265" width="16.26953125" style="94" customWidth="1"/>
    <col min="1266" max="1267" width="0" style="94" hidden="1" customWidth="1"/>
    <col min="1268" max="1268" width="13.26953125" style="94" bestFit="1" customWidth="1"/>
    <col min="1269" max="1270" width="16" style="94" bestFit="1" customWidth="1"/>
    <col min="1271" max="1271" width="9.1796875" style="94"/>
    <col min="1272" max="1273" width="16" style="94" bestFit="1" customWidth="1"/>
    <col min="1274" max="1274" width="9.1796875" style="94"/>
    <col min="1275" max="1275" width="0" style="94" hidden="1" customWidth="1"/>
    <col min="1276" max="1276" width="11.26953125" style="94" bestFit="1" customWidth="1"/>
    <col min="1277" max="1283" width="0" style="94" hidden="1" customWidth="1"/>
    <col min="1284" max="1284" width="11.26953125" style="94" bestFit="1" customWidth="1"/>
    <col min="1285" max="1286" width="0" style="94" hidden="1" customWidth="1"/>
    <col min="1287" max="1287" width="11.54296875" style="94" bestFit="1" customWidth="1"/>
    <col min="1288" max="1288" width="16" style="94" bestFit="1" customWidth="1"/>
    <col min="1289" max="1289" width="9.1796875" style="94"/>
    <col min="1290" max="1290" width="15" style="94" bestFit="1" customWidth="1"/>
    <col min="1291" max="1291" width="14" style="94" bestFit="1" customWidth="1"/>
    <col min="1292" max="1520" width="9.1796875" style="94"/>
    <col min="1521" max="1521" width="16.26953125" style="94" customWidth="1"/>
    <col min="1522" max="1523" width="0" style="94" hidden="1" customWidth="1"/>
    <col min="1524" max="1524" width="13.26953125" style="94" bestFit="1" customWidth="1"/>
    <col min="1525" max="1526" width="16" style="94" bestFit="1" customWidth="1"/>
    <col min="1527" max="1527" width="9.1796875" style="94"/>
    <col min="1528" max="1529" width="16" style="94" bestFit="1" customWidth="1"/>
    <col min="1530" max="1530" width="9.1796875" style="94"/>
    <col min="1531" max="1531" width="0" style="94" hidden="1" customWidth="1"/>
    <col min="1532" max="1532" width="11.26953125" style="94" bestFit="1" customWidth="1"/>
    <col min="1533" max="1539" width="0" style="94" hidden="1" customWidth="1"/>
    <col min="1540" max="1540" width="11.26953125" style="94" bestFit="1" customWidth="1"/>
    <col min="1541" max="1542" width="0" style="94" hidden="1" customWidth="1"/>
    <col min="1543" max="1543" width="11.54296875" style="94" bestFit="1" customWidth="1"/>
    <col min="1544" max="1544" width="16" style="94" bestFit="1" customWidth="1"/>
    <col min="1545" max="1545" width="9.1796875" style="94"/>
    <col min="1546" max="1546" width="15" style="94" bestFit="1" customWidth="1"/>
    <col min="1547" max="1547" width="14" style="94" bestFit="1" customWidth="1"/>
    <col min="1548" max="1776" width="9.1796875" style="94"/>
    <col min="1777" max="1777" width="16.26953125" style="94" customWidth="1"/>
    <col min="1778" max="1779" width="0" style="94" hidden="1" customWidth="1"/>
    <col min="1780" max="1780" width="13.26953125" style="94" bestFit="1" customWidth="1"/>
    <col min="1781" max="1782" width="16" style="94" bestFit="1" customWidth="1"/>
    <col min="1783" max="1783" width="9.1796875" style="94"/>
    <col min="1784" max="1785" width="16" style="94" bestFit="1" customWidth="1"/>
    <col min="1786" max="1786" width="9.1796875" style="94"/>
    <col min="1787" max="1787" width="0" style="94" hidden="1" customWidth="1"/>
    <col min="1788" max="1788" width="11.26953125" style="94" bestFit="1" customWidth="1"/>
    <col min="1789" max="1795" width="0" style="94" hidden="1" customWidth="1"/>
    <col min="1796" max="1796" width="11.26953125" style="94" bestFit="1" customWidth="1"/>
    <col min="1797" max="1798" width="0" style="94" hidden="1" customWidth="1"/>
    <col min="1799" max="1799" width="11.54296875" style="94" bestFit="1" customWidth="1"/>
    <col min="1800" max="1800" width="16" style="94" bestFit="1" customWidth="1"/>
    <col min="1801" max="1801" width="9.1796875" style="94"/>
    <col min="1802" max="1802" width="15" style="94" bestFit="1" customWidth="1"/>
    <col min="1803" max="1803" width="14" style="94" bestFit="1" customWidth="1"/>
    <col min="1804" max="2032" width="9.1796875" style="94"/>
    <col min="2033" max="2033" width="16.26953125" style="94" customWidth="1"/>
    <col min="2034" max="2035" width="0" style="94" hidden="1" customWidth="1"/>
    <col min="2036" max="2036" width="13.26953125" style="94" bestFit="1" customWidth="1"/>
    <col min="2037" max="2038" width="16" style="94" bestFit="1" customWidth="1"/>
    <col min="2039" max="2039" width="9.1796875" style="94"/>
    <col min="2040" max="2041" width="16" style="94" bestFit="1" customWidth="1"/>
    <col min="2042" max="2042" width="9.1796875" style="94"/>
    <col min="2043" max="2043" width="0" style="94" hidden="1" customWidth="1"/>
    <col min="2044" max="2044" width="11.26953125" style="94" bestFit="1" customWidth="1"/>
    <col min="2045" max="2051" width="0" style="94" hidden="1" customWidth="1"/>
    <col min="2052" max="2052" width="11.26953125" style="94" bestFit="1" customWidth="1"/>
    <col min="2053" max="2054" width="0" style="94" hidden="1" customWidth="1"/>
    <col min="2055" max="2055" width="11.54296875" style="94" bestFit="1" customWidth="1"/>
    <col min="2056" max="2056" width="16" style="94" bestFit="1" customWidth="1"/>
    <col min="2057" max="2057" width="9.1796875" style="94"/>
    <col min="2058" max="2058" width="15" style="94" bestFit="1" customWidth="1"/>
    <col min="2059" max="2059" width="14" style="94" bestFit="1" customWidth="1"/>
    <col min="2060" max="2288" width="9.1796875" style="94"/>
    <col min="2289" max="2289" width="16.26953125" style="94" customWidth="1"/>
    <col min="2290" max="2291" width="0" style="94" hidden="1" customWidth="1"/>
    <col min="2292" max="2292" width="13.26953125" style="94" bestFit="1" customWidth="1"/>
    <col min="2293" max="2294" width="16" style="94" bestFit="1" customWidth="1"/>
    <col min="2295" max="2295" width="9.1796875" style="94"/>
    <col min="2296" max="2297" width="16" style="94" bestFit="1" customWidth="1"/>
    <col min="2298" max="2298" width="9.1796875" style="94"/>
    <col min="2299" max="2299" width="0" style="94" hidden="1" customWidth="1"/>
    <col min="2300" max="2300" width="11.26953125" style="94" bestFit="1" customWidth="1"/>
    <col min="2301" max="2307" width="0" style="94" hidden="1" customWidth="1"/>
    <col min="2308" max="2308" width="11.26953125" style="94" bestFit="1" customWidth="1"/>
    <col min="2309" max="2310" width="0" style="94" hidden="1" customWidth="1"/>
    <col min="2311" max="2311" width="11.54296875" style="94" bestFit="1" customWidth="1"/>
    <col min="2312" max="2312" width="16" style="94" bestFit="1" customWidth="1"/>
    <col min="2313" max="2313" width="9.1796875" style="94"/>
    <col min="2314" max="2314" width="15" style="94" bestFit="1" customWidth="1"/>
    <col min="2315" max="2315" width="14" style="94" bestFit="1" customWidth="1"/>
    <col min="2316" max="2544" width="9.1796875" style="94"/>
    <col min="2545" max="2545" width="16.26953125" style="94" customWidth="1"/>
    <col min="2546" max="2547" width="0" style="94" hidden="1" customWidth="1"/>
    <col min="2548" max="2548" width="13.26953125" style="94" bestFit="1" customWidth="1"/>
    <col min="2549" max="2550" width="16" style="94" bestFit="1" customWidth="1"/>
    <col min="2551" max="2551" width="9.1796875" style="94"/>
    <col min="2552" max="2553" width="16" style="94" bestFit="1" customWidth="1"/>
    <col min="2554" max="2554" width="9.1796875" style="94"/>
    <col min="2555" max="2555" width="0" style="94" hidden="1" customWidth="1"/>
    <col min="2556" max="2556" width="11.26953125" style="94" bestFit="1" customWidth="1"/>
    <col min="2557" max="2563" width="0" style="94" hidden="1" customWidth="1"/>
    <col min="2564" max="2564" width="11.26953125" style="94" bestFit="1" customWidth="1"/>
    <col min="2565" max="2566" width="0" style="94" hidden="1" customWidth="1"/>
    <col min="2567" max="2567" width="11.54296875" style="94" bestFit="1" customWidth="1"/>
    <col min="2568" max="2568" width="16" style="94" bestFit="1" customWidth="1"/>
    <col min="2569" max="2569" width="9.1796875" style="94"/>
    <col min="2570" max="2570" width="15" style="94" bestFit="1" customWidth="1"/>
    <col min="2571" max="2571" width="14" style="94" bestFit="1" customWidth="1"/>
    <col min="2572" max="2800" width="9.1796875" style="94"/>
    <col min="2801" max="2801" width="16.26953125" style="94" customWidth="1"/>
    <col min="2802" max="2803" width="0" style="94" hidden="1" customWidth="1"/>
    <col min="2804" max="2804" width="13.26953125" style="94" bestFit="1" customWidth="1"/>
    <col min="2805" max="2806" width="16" style="94" bestFit="1" customWidth="1"/>
    <col min="2807" max="2807" width="9.1796875" style="94"/>
    <col min="2808" max="2809" width="16" style="94" bestFit="1" customWidth="1"/>
    <col min="2810" max="2810" width="9.1796875" style="94"/>
    <col min="2811" max="2811" width="0" style="94" hidden="1" customWidth="1"/>
    <col min="2812" max="2812" width="11.26953125" style="94" bestFit="1" customWidth="1"/>
    <col min="2813" max="2819" width="0" style="94" hidden="1" customWidth="1"/>
    <col min="2820" max="2820" width="11.26953125" style="94" bestFit="1" customWidth="1"/>
    <col min="2821" max="2822" width="0" style="94" hidden="1" customWidth="1"/>
    <col min="2823" max="2823" width="11.54296875" style="94" bestFit="1" customWidth="1"/>
    <col min="2824" max="2824" width="16" style="94" bestFit="1" customWidth="1"/>
    <col min="2825" max="2825" width="9.1796875" style="94"/>
    <col min="2826" max="2826" width="15" style="94" bestFit="1" customWidth="1"/>
    <col min="2827" max="2827" width="14" style="94" bestFit="1" customWidth="1"/>
    <col min="2828" max="3056" width="9.1796875" style="94"/>
    <col min="3057" max="3057" width="16.26953125" style="94" customWidth="1"/>
    <col min="3058" max="3059" width="0" style="94" hidden="1" customWidth="1"/>
    <col min="3060" max="3060" width="13.26953125" style="94" bestFit="1" customWidth="1"/>
    <col min="3061" max="3062" width="16" style="94" bestFit="1" customWidth="1"/>
    <col min="3063" max="3063" width="9.1796875" style="94"/>
    <col min="3064" max="3065" width="16" style="94" bestFit="1" customWidth="1"/>
    <col min="3066" max="3066" width="9.1796875" style="94"/>
    <col min="3067" max="3067" width="0" style="94" hidden="1" customWidth="1"/>
    <col min="3068" max="3068" width="11.26953125" style="94" bestFit="1" customWidth="1"/>
    <col min="3069" max="3075" width="0" style="94" hidden="1" customWidth="1"/>
    <col min="3076" max="3076" width="11.26953125" style="94" bestFit="1" customWidth="1"/>
    <col min="3077" max="3078" width="0" style="94" hidden="1" customWidth="1"/>
    <col min="3079" max="3079" width="11.54296875" style="94" bestFit="1" customWidth="1"/>
    <col min="3080" max="3080" width="16" style="94" bestFit="1" customWidth="1"/>
    <col min="3081" max="3081" width="9.1796875" style="94"/>
    <col min="3082" max="3082" width="15" style="94" bestFit="1" customWidth="1"/>
    <col min="3083" max="3083" width="14" style="94" bestFit="1" customWidth="1"/>
    <col min="3084" max="3312" width="9.1796875" style="94"/>
    <col min="3313" max="3313" width="16.26953125" style="94" customWidth="1"/>
    <col min="3314" max="3315" width="0" style="94" hidden="1" customWidth="1"/>
    <col min="3316" max="3316" width="13.26953125" style="94" bestFit="1" customWidth="1"/>
    <col min="3317" max="3318" width="16" style="94" bestFit="1" customWidth="1"/>
    <col min="3319" max="3319" width="9.1796875" style="94"/>
    <col min="3320" max="3321" width="16" style="94" bestFit="1" customWidth="1"/>
    <col min="3322" max="3322" width="9.1796875" style="94"/>
    <col min="3323" max="3323" width="0" style="94" hidden="1" customWidth="1"/>
    <col min="3324" max="3324" width="11.26953125" style="94" bestFit="1" customWidth="1"/>
    <col min="3325" max="3331" width="0" style="94" hidden="1" customWidth="1"/>
    <col min="3332" max="3332" width="11.26953125" style="94" bestFit="1" customWidth="1"/>
    <col min="3333" max="3334" width="0" style="94" hidden="1" customWidth="1"/>
    <col min="3335" max="3335" width="11.54296875" style="94" bestFit="1" customWidth="1"/>
    <col min="3336" max="3336" width="16" style="94" bestFit="1" customWidth="1"/>
    <col min="3337" max="3337" width="9.1796875" style="94"/>
    <col min="3338" max="3338" width="15" style="94" bestFit="1" customWidth="1"/>
    <col min="3339" max="3339" width="14" style="94" bestFit="1" customWidth="1"/>
    <col min="3340" max="3568" width="9.1796875" style="94"/>
    <col min="3569" max="3569" width="16.26953125" style="94" customWidth="1"/>
    <col min="3570" max="3571" width="0" style="94" hidden="1" customWidth="1"/>
    <col min="3572" max="3572" width="13.26953125" style="94" bestFit="1" customWidth="1"/>
    <col min="3573" max="3574" width="16" style="94" bestFit="1" customWidth="1"/>
    <col min="3575" max="3575" width="9.1796875" style="94"/>
    <col min="3576" max="3577" width="16" style="94" bestFit="1" customWidth="1"/>
    <col min="3578" max="3578" width="9.1796875" style="94"/>
    <col min="3579" max="3579" width="0" style="94" hidden="1" customWidth="1"/>
    <col min="3580" max="3580" width="11.26953125" style="94" bestFit="1" customWidth="1"/>
    <col min="3581" max="3587" width="0" style="94" hidden="1" customWidth="1"/>
    <col min="3588" max="3588" width="11.26953125" style="94" bestFit="1" customWidth="1"/>
    <col min="3589" max="3590" width="0" style="94" hidden="1" customWidth="1"/>
    <col min="3591" max="3591" width="11.54296875" style="94" bestFit="1" customWidth="1"/>
    <col min="3592" max="3592" width="16" style="94" bestFit="1" customWidth="1"/>
    <col min="3593" max="3593" width="9.1796875" style="94"/>
    <col min="3594" max="3594" width="15" style="94" bestFit="1" customWidth="1"/>
    <col min="3595" max="3595" width="14" style="94" bestFit="1" customWidth="1"/>
    <col min="3596" max="3824" width="9.1796875" style="94"/>
    <col min="3825" max="3825" width="16.26953125" style="94" customWidth="1"/>
    <col min="3826" max="3827" width="0" style="94" hidden="1" customWidth="1"/>
    <col min="3828" max="3828" width="13.26953125" style="94" bestFit="1" customWidth="1"/>
    <col min="3829" max="3830" width="16" style="94" bestFit="1" customWidth="1"/>
    <col min="3831" max="3831" width="9.1796875" style="94"/>
    <col min="3832" max="3833" width="16" style="94" bestFit="1" customWidth="1"/>
    <col min="3834" max="3834" width="9.1796875" style="94"/>
    <col min="3835" max="3835" width="0" style="94" hidden="1" customWidth="1"/>
    <col min="3836" max="3836" width="11.26953125" style="94" bestFit="1" customWidth="1"/>
    <col min="3837" max="3843" width="0" style="94" hidden="1" customWidth="1"/>
    <col min="3844" max="3844" width="11.26953125" style="94" bestFit="1" customWidth="1"/>
    <col min="3845" max="3846" width="0" style="94" hidden="1" customWidth="1"/>
    <col min="3847" max="3847" width="11.54296875" style="94" bestFit="1" customWidth="1"/>
    <col min="3848" max="3848" width="16" style="94" bestFit="1" customWidth="1"/>
    <col min="3849" max="3849" width="9.1796875" style="94"/>
    <col min="3850" max="3850" width="15" style="94" bestFit="1" customWidth="1"/>
    <col min="3851" max="3851" width="14" style="94" bestFit="1" customWidth="1"/>
    <col min="3852" max="4080" width="9.1796875" style="94"/>
    <col min="4081" max="4081" width="16.26953125" style="94" customWidth="1"/>
    <col min="4082" max="4083" width="0" style="94" hidden="1" customWidth="1"/>
    <col min="4084" max="4084" width="13.26953125" style="94" bestFit="1" customWidth="1"/>
    <col min="4085" max="4086" width="16" style="94" bestFit="1" customWidth="1"/>
    <col min="4087" max="4087" width="9.1796875" style="94"/>
    <col min="4088" max="4089" width="16" style="94" bestFit="1" customWidth="1"/>
    <col min="4090" max="4090" width="9.1796875" style="94"/>
    <col min="4091" max="4091" width="0" style="94" hidden="1" customWidth="1"/>
    <col min="4092" max="4092" width="11.26953125" style="94" bestFit="1" customWidth="1"/>
    <col min="4093" max="4099" width="0" style="94" hidden="1" customWidth="1"/>
    <col min="4100" max="4100" width="11.26953125" style="94" bestFit="1" customWidth="1"/>
    <col min="4101" max="4102" width="0" style="94" hidden="1" customWidth="1"/>
    <col min="4103" max="4103" width="11.54296875" style="94" bestFit="1" customWidth="1"/>
    <col min="4104" max="4104" width="16" style="94" bestFit="1" customWidth="1"/>
    <col min="4105" max="4105" width="9.1796875" style="94"/>
    <col min="4106" max="4106" width="15" style="94" bestFit="1" customWidth="1"/>
    <col min="4107" max="4107" width="14" style="94" bestFit="1" customWidth="1"/>
    <col min="4108" max="4336" width="9.1796875" style="94"/>
    <col min="4337" max="4337" width="16.26953125" style="94" customWidth="1"/>
    <col min="4338" max="4339" width="0" style="94" hidden="1" customWidth="1"/>
    <col min="4340" max="4340" width="13.26953125" style="94" bestFit="1" customWidth="1"/>
    <col min="4341" max="4342" width="16" style="94" bestFit="1" customWidth="1"/>
    <col min="4343" max="4343" width="9.1796875" style="94"/>
    <col min="4344" max="4345" width="16" style="94" bestFit="1" customWidth="1"/>
    <col min="4346" max="4346" width="9.1796875" style="94"/>
    <col min="4347" max="4347" width="0" style="94" hidden="1" customWidth="1"/>
    <col min="4348" max="4348" width="11.26953125" style="94" bestFit="1" customWidth="1"/>
    <col min="4349" max="4355" width="0" style="94" hidden="1" customWidth="1"/>
    <col min="4356" max="4356" width="11.26953125" style="94" bestFit="1" customWidth="1"/>
    <col min="4357" max="4358" width="0" style="94" hidden="1" customWidth="1"/>
    <col min="4359" max="4359" width="11.54296875" style="94" bestFit="1" customWidth="1"/>
    <col min="4360" max="4360" width="16" style="94" bestFit="1" customWidth="1"/>
    <col min="4361" max="4361" width="9.1796875" style="94"/>
    <col min="4362" max="4362" width="15" style="94" bestFit="1" customWidth="1"/>
    <col min="4363" max="4363" width="14" style="94" bestFit="1" customWidth="1"/>
    <col min="4364" max="4592" width="9.1796875" style="94"/>
    <col min="4593" max="4593" width="16.26953125" style="94" customWidth="1"/>
    <col min="4594" max="4595" width="0" style="94" hidden="1" customWidth="1"/>
    <col min="4596" max="4596" width="13.26953125" style="94" bestFit="1" customWidth="1"/>
    <col min="4597" max="4598" width="16" style="94" bestFit="1" customWidth="1"/>
    <col min="4599" max="4599" width="9.1796875" style="94"/>
    <col min="4600" max="4601" width="16" style="94" bestFit="1" customWidth="1"/>
    <col min="4602" max="4602" width="9.1796875" style="94"/>
    <col min="4603" max="4603" width="0" style="94" hidden="1" customWidth="1"/>
    <col min="4604" max="4604" width="11.26953125" style="94" bestFit="1" customWidth="1"/>
    <col min="4605" max="4611" width="0" style="94" hidden="1" customWidth="1"/>
    <col min="4612" max="4612" width="11.26953125" style="94" bestFit="1" customWidth="1"/>
    <col min="4613" max="4614" width="0" style="94" hidden="1" customWidth="1"/>
    <col min="4615" max="4615" width="11.54296875" style="94" bestFit="1" customWidth="1"/>
    <col min="4616" max="4616" width="16" style="94" bestFit="1" customWidth="1"/>
    <col min="4617" max="4617" width="9.1796875" style="94"/>
    <col min="4618" max="4618" width="15" style="94" bestFit="1" customWidth="1"/>
    <col min="4619" max="4619" width="14" style="94" bestFit="1" customWidth="1"/>
    <col min="4620" max="4848" width="9.1796875" style="94"/>
    <col min="4849" max="4849" width="16.26953125" style="94" customWidth="1"/>
    <col min="4850" max="4851" width="0" style="94" hidden="1" customWidth="1"/>
    <col min="4852" max="4852" width="13.26953125" style="94" bestFit="1" customWidth="1"/>
    <col min="4853" max="4854" width="16" style="94" bestFit="1" customWidth="1"/>
    <col min="4855" max="4855" width="9.1796875" style="94"/>
    <col min="4856" max="4857" width="16" style="94" bestFit="1" customWidth="1"/>
    <col min="4858" max="4858" width="9.1796875" style="94"/>
    <col min="4859" max="4859" width="0" style="94" hidden="1" customWidth="1"/>
    <col min="4860" max="4860" width="11.26953125" style="94" bestFit="1" customWidth="1"/>
    <col min="4861" max="4867" width="0" style="94" hidden="1" customWidth="1"/>
    <col min="4868" max="4868" width="11.26953125" style="94" bestFit="1" customWidth="1"/>
    <col min="4869" max="4870" width="0" style="94" hidden="1" customWidth="1"/>
    <col min="4871" max="4871" width="11.54296875" style="94" bestFit="1" customWidth="1"/>
    <col min="4872" max="4872" width="16" style="94" bestFit="1" customWidth="1"/>
    <col min="4873" max="4873" width="9.1796875" style="94"/>
    <col min="4874" max="4874" width="15" style="94" bestFit="1" customWidth="1"/>
    <col min="4875" max="4875" width="14" style="94" bestFit="1" customWidth="1"/>
    <col min="4876" max="5104" width="9.1796875" style="94"/>
    <col min="5105" max="5105" width="16.26953125" style="94" customWidth="1"/>
    <col min="5106" max="5107" width="0" style="94" hidden="1" customWidth="1"/>
    <col min="5108" max="5108" width="13.26953125" style="94" bestFit="1" customWidth="1"/>
    <col min="5109" max="5110" width="16" style="94" bestFit="1" customWidth="1"/>
    <col min="5111" max="5111" width="9.1796875" style="94"/>
    <col min="5112" max="5113" width="16" style="94" bestFit="1" customWidth="1"/>
    <col min="5114" max="5114" width="9.1796875" style="94"/>
    <col min="5115" max="5115" width="0" style="94" hidden="1" customWidth="1"/>
    <col min="5116" max="5116" width="11.26953125" style="94" bestFit="1" customWidth="1"/>
    <col min="5117" max="5123" width="0" style="94" hidden="1" customWidth="1"/>
    <col min="5124" max="5124" width="11.26953125" style="94" bestFit="1" customWidth="1"/>
    <col min="5125" max="5126" width="0" style="94" hidden="1" customWidth="1"/>
    <col min="5127" max="5127" width="11.54296875" style="94" bestFit="1" customWidth="1"/>
    <col min="5128" max="5128" width="16" style="94" bestFit="1" customWidth="1"/>
    <col min="5129" max="5129" width="9.1796875" style="94"/>
    <col min="5130" max="5130" width="15" style="94" bestFit="1" customWidth="1"/>
    <col min="5131" max="5131" width="14" style="94" bestFit="1" customWidth="1"/>
    <col min="5132" max="5360" width="9.1796875" style="94"/>
    <col min="5361" max="5361" width="16.26953125" style="94" customWidth="1"/>
    <col min="5362" max="5363" width="0" style="94" hidden="1" customWidth="1"/>
    <col min="5364" max="5364" width="13.26953125" style="94" bestFit="1" customWidth="1"/>
    <col min="5365" max="5366" width="16" style="94" bestFit="1" customWidth="1"/>
    <col min="5367" max="5367" width="9.1796875" style="94"/>
    <col min="5368" max="5369" width="16" style="94" bestFit="1" customWidth="1"/>
    <col min="5370" max="5370" width="9.1796875" style="94"/>
    <col min="5371" max="5371" width="0" style="94" hidden="1" customWidth="1"/>
    <col min="5372" max="5372" width="11.26953125" style="94" bestFit="1" customWidth="1"/>
    <col min="5373" max="5379" width="0" style="94" hidden="1" customWidth="1"/>
    <col min="5380" max="5380" width="11.26953125" style="94" bestFit="1" customWidth="1"/>
    <col min="5381" max="5382" width="0" style="94" hidden="1" customWidth="1"/>
    <col min="5383" max="5383" width="11.54296875" style="94" bestFit="1" customWidth="1"/>
    <col min="5384" max="5384" width="16" style="94" bestFit="1" customWidth="1"/>
    <col min="5385" max="5385" width="9.1796875" style="94"/>
    <col min="5386" max="5386" width="15" style="94" bestFit="1" customWidth="1"/>
    <col min="5387" max="5387" width="14" style="94" bestFit="1" customWidth="1"/>
    <col min="5388" max="5616" width="9.1796875" style="94"/>
    <col min="5617" max="5617" width="16.26953125" style="94" customWidth="1"/>
    <col min="5618" max="5619" width="0" style="94" hidden="1" customWidth="1"/>
    <col min="5620" max="5620" width="13.26953125" style="94" bestFit="1" customWidth="1"/>
    <col min="5621" max="5622" width="16" style="94" bestFit="1" customWidth="1"/>
    <col min="5623" max="5623" width="9.1796875" style="94"/>
    <col min="5624" max="5625" width="16" style="94" bestFit="1" customWidth="1"/>
    <col min="5626" max="5626" width="9.1796875" style="94"/>
    <col min="5627" max="5627" width="0" style="94" hidden="1" customWidth="1"/>
    <col min="5628" max="5628" width="11.26953125" style="94" bestFit="1" customWidth="1"/>
    <col min="5629" max="5635" width="0" style="94" hidden="1" customWidth="1"/>
    <col min="5636" max="5636" width="11.26953125" style="94" bestFit="1" customWidth="1"/>
    <col min="5637" max="5638" width="0" style="94" hidden="1" customWidth="1"/>
    <col min="5639" max="5639" width="11.54296875" style="94" bestFit="1" customWidth="1"/>
    <col min="5640" max="5640" width="16" style="94" bestFit="1" customWidth="1"/>
    <col min="5641" max="5641" width="9.1796875" style="94"/>
    <col min="5642" max="5642" width="15" style="94" bestFit="1" customWidth="1"/>
    <col min="5643" max="5643" width="14" style="94" bestFit="1" customWidth="1"/>
    <col min="5644" max="5872" width="9.1796875" style="94"/>
    <col min="5873" max="5873" width="16.26953125" style="94" customWidth="1"/>
    <col min="5874" max="5875" width="0" style="94" hidden="1" customWidth="1"/>
    <col min="5876" max="5876" width="13.26953125" style="94" bestFit="1" customWidth="1"/>
    <col min="5877" max="5878" width="16" style="94" bestFit="1" customWidth="1"/>
    <col min="5879" max="5879" width="9.1796875" style="94"/>
    <col min="5880" max="5881" width="16" style="94" bestFit="1" customWidth="1"/>
    <col min="5882" max="5882" width="9.1796875" style="94"/>
    <col min="5883" max="5883" width="0" style="94" hidden="1" customWidth="1"/>
    <col min="5884" max="5884" width="11.26953125" style="94" bestFit="1" customWidth="1"/>
    <col min="5885" max="5891" width="0" style="94" hidden="1" customWidth="1"/>
    <col min="5892" max="5892" width="11.26953125" style="94" bestFit="1" customWidth="1"/>
    <col min="5893" max="5894" width="0" style="94" hidden="1" customWidth="1"/>
    <col min="5895" max="5895" width="11.54296875" style="94" bestFit="1" customWidth="1"/>
    <col min="5896" max="5896" width="16" style="94" bestFit="1" customWidth="1"/>
    <col min="5897" max="5897" width="9.1796875" style="94"/>
    <col min="5898" max="5898" width="15" style="94" bestFit="1" customWidth="1"/>
    <col min="5899" max="5899" width="14" style="94" bestFit="1" customWidth="1"/>
    <col min="5900" max="6128" width="9.1796875" style="94"/>
    <col min="6129" max="6129" width="16.26953125" style="94" customWidth="1"/>
    <col min="6130" max="6131" width="0" style="94" hidden="1" customWidth="1"/>
    <col min="6132" max="6132" width="13.26953125" style="94" bestFit="1" customWidth="1"/>
    <col min="6133" max="6134" width="16" style="94" bestFit="1" customWidth="1"/>
    <col min="6135" max="6135" width="9.1796875" style="94"/>
    <col min="6136" max="6137" width="16" style="94" bestFit="1" customWidth="1"/>
    <col min="6138" max="6138" width="9.1796875" style="94"/>
    <col min="6139" max="6139" width="0" style="94" hidden="1" customWidth="1"/>
    <col min="6140" max="6140" width="11.26953125" style="94" bestFit="1" customWidth="1"/>
    <col min="6141" max="6147" width="0" style="94" hidden="1" customWidth="1"/>
    <col min="6148" max="6148" width="11.26953125" style="94" bestFit="1" customWidth="1"/>
    <col min="6149" max="6150" width="0" style="94" hidden="1" customWidth="1"/>
    <col min="6151" max="6151" width="11.54296875" style="94" bestFit="1" customWidth="1"/>
    <col min="6152" max="6152" width="16" style="94" bestFit="1" customWidth="1"/>
    <col min="6153" max="6153" width="9.1796875" style="94"/>
    <col min="6154" max="6154" width="15" style="94" bestFit="1" customWidth="1"/>
    <col min="6155" max="6155" width="14" style="94" bestFit="1" customWidth="1"/>
    <col min="6156" max="6384" width="9.1796875" style="94"/>
    <col min="6385" max="6385" width="16.26953125" style="94" customWidth="1"/>
    <col min="6386" max="6387" width="0" style="94" hidden="1" customWidth="1"/>
    <col min="6388" max="6388" width="13.26953125" style="94" bestFit="1" customWidth="1"/>
    <col min="6389" max="6390" width="16" style="94" bestFit="1" customWidth="1"/>
    <col min="6391" max="6391" width="9.1796875" style="94"/>
    <col min="6392" max="6393" width="16" style="94" bestFit="1" customWidth="1"/>
    <col min="6394" max="6394" width="9.1796875" style="94"/>
    <col min="6395" max="6395" width="0" style="94" hidden="1" customWidth="1"/>
    <col min="6396" max="6396" width="11.26953125" style="94" bestFit="1" customWidth="1"/>
    <col min="6397" max="6403" width="0" style="94" hidden="1" customWidth="1"/>
    <col min="6404" max="6404" width="11.26953125" style="94" bestFit="1" customWidth="1"/>
    <col min="6405" max="6406" width="0" style="94" hidden="1" customWidth="1"/>
    <col min="6407" max="6407" width="11.54296875" style="94" bestFit="1" customWidth="1"/>
    <col min="6408" max="6408" width="16" style="94" bestFit="1" customWidth="1"/>
    <col min="6409" max="6409" width="9.1796875" style="94"/>
    <col min="6410" max="6410" width="15" style="94" bestFit="1" customWidth="1"/>
    <col min="6411" max="6411" width="14" style="94" bestFit="1" customWidth="1"/>
    <col min="6412" max="6640" width="9.1796875" style="94"/>
    <col min="6641" max="6641" width="16.26953125" style="94" customWidth="1"/>
    <col min="6642" max="6643" width="0" style="94" hidden="1" customWidth="1"/>
    <col min="6644" max="6644" width="13.26953125" style="94" bestFit="1" customWidth="1"/>
    <col min="6645" max="6646" width="16" style="94" bestFit="1" customWidth="1"/>
    <col min="6647" max="6647" width="9.1796875" style="94"/>
    <col min="6648" max="6649" width="16" style="94" bestFit="1" customWidth="1"/>
    <col min="6650" max="6650" width="9.1796875" style="94"/>
    <col min="6651" max="6651" width="0" style="94" hidden="1" customWidth="1"/>
    <col min="6652" max="6652" width="11.26953125" style="94" bestFit="1" customWidth="1"/>
    <col min="6653" max="6659" width="0" style="94" hidden="1" customWidth="1"/>
    <col min="6660" max="6660" width="11.26953125" style="94" bestFit="1" customWidth="1"/>
    <col min="6661" max="6662" width="0" style="94" hidden="1" customWidth="1"/>
    <col min="6663" max="6663" width="11.54296875" style="94" bestFit="1" customWidth="1"/>
    <col min="6664" max="6664" width="16" style="94" bestFit="1" customWidth="1"/>
    <col min="6665" max="6665" width="9.1796875" style="94"/>
    <col min="6666" max="6666" width="15" style="94" bestFit="1" customWidth="1"/>
    <col min="6667" max="6667" width="14" style="94" bestFit="1" customWidth="1"/>
    <col min="6668" max="6896" width="9.1796875" style="94"/>
    <col min="6897" max="6897" width="16.26953125" style="94" customWidth="1"/>
    <col min="6898" max="6899" width="0" style="94" hidden="1" customWidth="1"/>
    <col min="6900" max="6900" width="13.26953125" style="94" bestFit="1" customWidth="1"/>
    <col min="6901" max="6902" width="16" style="94" bestFit="1" customWidth="1"/>
    <col min="6903" max="6903" width="9.1796875" style="94"/>
    <col min="6904" max="6905" width="16" style="94" bestFit="1" customWidth="1"/>
    <col min="6906" max="6906" width="9.1796875" style="94"/>
    <col min="6907" max="6907" width="0" style="94" hidden="1" customWidth="1"/>
    <col min="6908" max="6908" width="11.26953125" style="94" bestFit="1" customWidth="1"/>
    <col min="6909" max="6915" width="0" style="94" hidden="1" customWidth="1"/>
    <col min="6916" max="6916" width="11.26953125" style="94" bestFit="1" customWidth="1"/>
    <col min="6917" max="6918" width="0" style="94" hidden="1" customWidth="1"/>
    <col min="6919" max="6919" width="11.54296875" style="94" bestFit="1" customWidth="1"/>
    <col min="6920" max="6920" width="16" style="94" bestFit="1" customWidth="1"/>
    <col min="6921" max="6921" width="9.1796875" style="94"/>
    <col min="6922" max="6922" width="15" style="94" bestFit="1" customWidth="1"/>
    <col min="6923" max="6923" width="14" style="94" bestFit="1" customWidth="1"/>
    <col min="6924" max="7152" width="9.1796875" style="94"/>
    <col min="7153" max="7153" width="16.26953125" style="94" customWidth="1"/>
    <col min="7154" max="7155" width="0" style="94" hidden="1" customWidth="1"/>
    <col min="7156" max="7156" width="13.26953125" style="94" bestFit="1" customWidth="1"/>
    <col min="7157" max="7158" width="16" style="94" bestFit="1" customWidth="1"/>
    <col min="7159" max="7159" width="9.1796875" style="94"/>
    <col min="7160" max="7161" width="16" style="94" bestFit="1" customWidth="1"/>
    <col min="7162" max="7162" width="9.1796875" style="94"/>
    <col min="7163" max="7163" width="0" style="94" hidden="1" customWidth="1"/>
    <col min="7164" max="7164" width="11.26953125" style="94" bestFit="1" customWidth="1"/>
    <col min="7165" max="7171" width="0" style="94" hidden="1" customWidth="1"/>
    <col min="7172" max="7172" width="11.26953125" style="94" bestFit="1" customWidth="1"/>
    <col min="7173" max="7174" width="0" style="94" hidden="1" customWidth="1"/>
    <col min="7175" max="7175" width="11.54296875" style="94" bestFit="1" customWidth="1"/>
    <col min="7176" max="7176" width="16" style="94" bestFit="1" customWidth="1"/>
    <col min="7177" max="7177" width="9.1796875" style="94"/>
    <col min="7178" max="7178" width="15" style="94" bestFit="1" customWidth="1"/>
    <col min="7179" max="7179" width="14" style="94" bestFit="1" customWidth="1"/>
    <col min="7180" max="7408" width="9.1796875" style="94"/>
    <col min="7409" max="7409" width="16.26953125" style="94" customWidth="1"/>
    <col min="7410" max="7411" width="0" style="94" hidden="1" customWidth="1"/>
    <col min="7412" max="7412" width="13.26953125" style="94" bestFit="1" customWidth="1"/>
    <col min="7413" max="7414" width="16" style="94" bestFit="1" customWidth="1"/>
    <col min="7415" max="7415" width="9.1796875" style="94"/>
    <col min="7416" max="7417" width="16" style="94" bestFit="1" customWidth="1"/>
    <col min="7418" max="7418" width="9.1796875" style="94"/>
    <col min="7419" max="7419" width="0" style="94" hidden="1" customWidth="1"/>
    <col min="7420" max="7420" width="11.26953125" style="94" bestFit="1" customWidth="1"/>
    <col min="7421" max="7427" width="0" style="94" hidden="1" customWidth="1"/>
    <col min="7428" max="7428" width="11.26953125" style="94" bestFit="1" customWidth="1"/>
    <col min="7429" max="7430" width="0" style="94" hidden="1" customWidth="1"/>
    <col min="7431" max="7431" width="11.54296875" style="94" bestFit="1" customWidth="1"/>
    <col min="7432" max="7432" width="16" style="94" bestFit="1" customWidth="1"/>
    <col min="7433" max="7433" width="9.1796875" style="94"/>
    <col min="7434" max="7434" width="15" style="94" bestFit="1" customWidth="1"/>
    <col min="7435" max="7435" width="14" style="94" bestFit="1" customWidth="1"/>
    <col min="7436" max="7664" width="9.1796875" style="94"/>
    <col min="7665" max="7665" width="16.26953125" style="94" customWidth="1"/>
    <col min="7666" max="7667" width="0" style="94" hidden="1" customWidth="1"/>
    <col min="7668" max="7668" width="13.26953125" style="94" bestFit="1" customWidth="1"/>
    <col min="7669" max="7670" width="16" style="94" bestFit="1" customWidth="1"/>
    <col min="7671" max="7671" width="9.1796875" style="94"/>
    <col min="7672" max="7673" width="16" style="94" bestFit="1" customWidth="1"/>
    <col min="7674" max="7674" width="9.1796875" style="94"/>
    <col min="7675" max="7675" width="0" style="94" hidden="1" customWidth="1"/>
    <col min="7676" max="7676" width="11.26953125" style="94" bestFit="1" customWidth="1"/>
    <col min="7677" max="7683" width="0" style="94" hidden="1" customWidth="1"/>
    <col min="7684" max="7684" width="11.26953125" style="94" bestFit="1" customWidth="1"/>
    <col min="7685" max="7686" width="0" style="94" hidden="1" customWidth="1"/>
    <col min="7687" max="7687" width="11.54296875" style="94" bestFit="1" customWidth="1"/>
    <col min="7688" max="7688" width="16" style="94" bestFit="1" customWidth="1"/>
    <col min="7689" max="7689" width="9.1796875" style="94"/>
    <col min="7690" max="7690" width="15" style="94" bestFit="1" customWidth="1"/>
    <col min="7691" max="7691" width="14" style="94" bestFit="1" customWidth="1"/>
    <col min="7692" max="7920" width="9.1796875" style="94"/>
    <col min="7921" max="7921" width="16.26953125" style="94" customWidth="1"/>
    <col min="7922" max="7923" width="0" style="94" hidden="1" customWidth="1"/>
    <col min="7924" max="7924" width="13.26953125" style="94" bestFit="1" customWidth="1"/>
    <col min="7925" max="7926" width="16" style="94" bestFit="1" customWidth="1"/>
    <col min="7927" max="7927" width="9.1796875" style="94"/>
    <col min="7928" max="7929" width="16" style="94" bestFit="1" customWidth="1"/>
    <col min="7930" max="7930" width="9.1796875" style="94"/>
    <col min="7931" max="7931" width="0" style="94" hidden="1" customWidth="1"/>
    <col min="7932" max="7932" width="11.26953125" style="94" bestFit="1" customWidth="1"/>
    <col min="7933" max="7939" width="0" style="94" hidden="1" customWidth="1"/>
    <col min="7940" max="7940" width="11.26953125" style="94" bestFit="1" customWidth="1"/>
    <col min="7941" max="7942" width="0" style="94" hidden="1" customWidth="1"/>
    <col min="7943" max="7943" width="11.54296875" style="94" bestFit="1" customWidth="1"/>
    <col min="7944" max="7944" width="16" style="94" bestFit="1" customWidth="1"/>
    <col min="7945" max="7945" width="9.1796875" style="94"/>
    <col min="7946" max="7946" width="15" style="94" bestFit="1" customWidth="1"/>
    <col min="7947" max="7947" width="14" style="94" bestFit="1" customWidth="1"/>
    <col min="7948" max="8176" width="9.1796875" style="94"/>
    <col min="8177" max="8177" width="16.26953125" style="94" customWidth="1"/>
    <col min="8178" max="8179" width="0" style="94" hidden="1" customWidth="1"/>
    <col min="8180" max="8180" width="13.26953125" style="94" bestFit="1" customWidth="1"/>
    <col min="8181" max="8182" width="16" style="94" bestFit="1" customWidth="1"/>
    <col min="8183" max="8183" width="9.1796875" style="94"/>
    <col min="8184" max="8185" width="16" style="94" bestFit="1" customWidth="1"/>
    <col min="8186" max="8186" width="9.1796875" style="94"/>
    <col min="8187" max="8187" width="0" style="94" hidden="1" customWidth="1"/>
    <col min="8188" max="8188" width="11.26953125" style="94" bestFit="1" customWidth="1"/>
    <col min="8189" max="8195" width="0" style="94" hidden="1" customWidth="1"/>
    <col min="8196" max="8196" width="11.26953125" style="94" bestFit="1" customWidth="1"/>
    <col min="8197" max="8198" width="0" style="94" hidden="1" customWidth="1"/>
    <col min="8199" max="8199" width="11.54296875" style="94" bestFit="1" customWidth="1"/>
    <col min="8200" max="8200" width="16" style="94" bestFit="1" customWidth="1"/>
    <col min="8201" max="8201" width="9.1796875" style="94"/>
    <col min="8202" max="8202" width="15" style="94" bestFit="1" customWidth="1"/>
    <col min="8203" max="8203" width="14" style="94" bestFit="1" customWidth="1"/>
    <col min="8204" max="8432" width="9.1796875" style="94"/>
    <col min="8433" max="8433" width="16.26953125" style="94" customWidth="1"/>
    <col min="8434" max="8435" width="0" style="94" hidden="1" customWidth="1"/>
    <col min="8436" max="8436" width="13.26953125" style="94" bestFit="1" customWidth="1"/>
    <col min="8437" max="8438" width="16" style="94" bestFit="1" customWidth="1"/>
    <col min="8439" max="8439" width="9.1796875" style="94"/>
    <col min="8440" max="8441" width="16" style="94" bestFit="1" customWidth="1"/>
    <col min="8442" max="8442" width="9.1796875" style="94"/>
    <col min="8443" max="8443" width="0" style="94" hidden="1" customWidth="1"/>
    <col min="8444" max="8444" width="11.26953125" style="94" bestFit="1" customWidth="1"/>
    <col min="8445" max="8451" width="0" style="94" hidden="1" customWidth="1"/>
    <col min="8452" max="8452" width="11.26953125" style="94" bestFit="1" customWidth="1"/>
    <col min="8453" max="8454" width="0" style="94" hidden="1" customWidth="1"/>
    <col min="8455" max="8455" width="11.54296875" style="94" bestFit="1" customWidth="1"/>
    <col min="8456" max="8456" width="16" style="94" bestFit="1" customWidth="1"/>
    <col min="8457" max="8457" width="9.1796875" style="94"/>
    <col min="8458" max="8458" width="15" style="94" bestFit="1" customWidth="1"/>
    <col min="8459" max="8459" width="14" style="94" bestFit="1" customWidth="1"/>
    <col min="8460" max="8688" width="9.1796875" style="94"/>
    <col min="8689" max="8689" width="16.26953125" style="94" customWidth="1"/>
    <col min="8690" max="8691" width="0" style="94" hidden="1" customWidth="1"/>
    <col min="8692" max="8692" width="13.26953125" style="94" bestFit="1" customWidth="1"/>
    <col min="8693" max="8694" width="16" style="94" bestFit="1" customWidth="1"/>
    <col min="8695" max="8695" width="9.1796875" style="94"/>
    <col min="8696" max="8697" width="16" style="94" bestFit="1" customWidth="1"/>
    <col min="8698" max="8698" width="9.1796875" style="94"/>
    <col min="8699" max="8699" width="0" style="94" hidden="1" customWidth="1"/>
    <col min="8700" max="8700" width="11.26953125" style="94" bestFit="1" customWidth="1"/>
    <col min="8701" max="8707" width="0" style="94" hidden="1" customWidth="1"/>
    <col min="8708" max="8708" width="11.26953125" style="94" bestFit="1" customWidth="1"/>
    <col min="8709" max="8710" width="0" style="94" hidden="1" customWidth="1"/>
    <col min="8711" max="8711" width="11.54296875" style="94" bestFit="1" customWidth="1"/>
    <col min="8712" max="8712" width="16" style="94" bestFit="1" customWidth="1"/>
    <col min="8713" max="8713" width="9.1796875" style="94"/>
    <col min="8714" max="8714" width="15" style="94" bestFit="1" customWidth="1"/>
    <col min="8715" max="8715" width="14" style="94" bestFit="1" customWidth="1"/>
    <col min="8716" max="8944" width="9.1796875" style="94"/>
    <col min="8945" max="8945" width="16.26953125" style="94" customWidth="1"/>
    <col min="8946" max="8947" width="0" style="94" hidden="1" customWidth="1"/>
    <col min="8948" max="8948" width="13.26953125" style="94" bestFit="1" customWidth="1"/>
    <col min="8949" max="8950" width="16" style="94" bestFit="1" customWidth="1"/>
    <col min="8951" max="8951" width="9.1796875" style="94"/>
    <col min="8952" max="8953" width="16" style="94" bestFit="1" customWidth="1"/>
    <col min="8954" max="8954" width="9.1796875" style="94"/>
    <col min="8955" max="8955" width="0" style="94" hidden="1" customWidth="1"/>
    <col min="8956" max="8956" width="11.26953125" style="94" bestFit="1" customWidth="1"/>
    <col min="8957" max="8963" width="0" style="94" hidden="1" customWidth="1"/>
    <col min="8964" max="8964" width="11.26953125" style="94" bestFit="1" customWidth="1"/>
    <col min="8965" max="8966" width="0" style="94" hidden="1" customWidth="1"/>
    <col min="8967" max="8967" width="11.54296875" style="94" bestFit="1" customWidth="1"/>
    <col min="8968" max="8968" width="16" style="94" bestFit="1" customWidth="1"/>
    <col min="8969" max="8969" width="9.1796875" style="94"/>
    <col min="8970" max="8970" width="15" style="94" bestFit="1" customWidth="1"/>
    <col min="8971" max="8971" width="14" style="94" bestFit="1" customWidth="1"/>
    <col min="8972" max="9200" width="9.1796875" style="94"/>
    <col min="9201" max="9201" width="16.26953125" style="94" customWidth="1"/>
    <col min="9202" max="9203" width="0" style="94" hidden="1" customWidth="1"/>
    <col min="9204" max="9204" width="13.26953125" style="94" bestFit="1" customWidth="1"/>
    <col min="9205" max="9206" width="16" style="94" bestFit="1" customWidth="1"/>
    <col min="9207" max="9207" width="9.1796875" style="94"/>
    <col min="9208" max="9209" width="16" style="94" bestFit="1" customWidth="1"/>
    <col min="9210" max="9210" width="9.1796875" style="94"/>
    <col min="9211" max="9211" width="0" style="94" hidden="1" customWidth="1"/>
    <col min="9212" max="9212" width="11.26953125" style="94" bestFit="1" customWidth="1"/>
    <col min="9213" max="9219" width="0" style="94" hidden="1" customWidth="1"/>
    <col min="9220" max="9220" width="11.26953125" style="94" bestFit="1" customWidth="1"/>
    <col min="9221" max="9222" width="0" style="94" hidden="1" customWidth="1"/>
    <col min="9223" max="9223" width="11.54296875" style="94" bestFit="1" customWidth="1"/>
    <col min="9224" max="9224" width="16" style="94" bestFit="1" customWidth="1"/>
    <col min="9225" max="9225" width="9.1796875" style="94"/>
    <col min="9226" max="9226" width="15" style="94" bestFit="1" customWidth="1"/>
    <col min="9227" max="9227" width="14" style="94" bestFit="1" customWidth="1"/>
    <col min="9228" max="9456" width="9.1796875" style="94"/>
    <col min="9457" max="9457" width="16.26953125" style="94" customWidth="1"/>
    <col min="9458" max="9459" width="0" style="94" hidden="1" customWidth="1"/>
    <col min="9460" max="9460" width="13.26953125" style="94" bestFit="1" customWidth="1"/>
    <col min="9461" max="9462" width="16" style="94" bestFit="1" customWidth="1"/>
    <col min="9463" max="9463" width="9.1796875" style="94"/>
    <col min="9464" max="9465" width="16" style="94" bestFit="1" customWidth="1"/>
    <col min="9466" max="9466" width="9.1796875" style="94"/>
    <col min="9467" max="9467" width="0" style="94" hidden="1" customWidth="1"/>
    <col min="9468" max="9468" width="11.26953125" style="94" bestFit="1" customWidth="1"/>
    <col min="9469" max="9475" width="0" style="94" hidden="1" customWidth="1"/>
    <col min="9476" max="9476" width="11.26953125" style="94" bestFit="1" customWidth="1"/>
    <col min="9477" max="9478" width="0" style="94" hidden="1" customWidth="1"/>
    <col min="9479" max="9479" width="11.54296875" style="94" bestFit="1" customWidth="1"/>
    <col min="9480" max="9480" width="16" style="94" bestFit="1" customWidth="1"/>
    <col min="9481" max="9481" width="9.1796875" style="94"/>
    <col min="9482" max="9482" width="15" style="94" bestFit="1" customWidth="1"/>
    <col min="9483" max="9483" width="14" style="94" bestFit="1" customWidth="1"/>
    <col min="9484" max="9712" width="9.1796875" style="94"/>
    <col min="9713" max="9713" width="16.26953125" style="94" customWidth="1"/>
    <col min="9714" max="9715" width="0" style="94" hidden="1" customWidth="1"/>
    <col min="9716" max="9716" width="13.26953125" style="94" bestFit="1" customWidth="1"/>
    <col min="9717" max="9718" width="16" style="94" bestFit="1" customWidth="1"/>
    <col min="9719" max="9719" width="9.1796875" style="94"/>
    <col min="9720" max="9721" width="16" style="94" bestFit="1" customWidth="1"/>
    <col min="9722" max="9722" width="9.1796875" style="94"/>
    <col min="9723" max="9723" width="0" style="94" hidden="1" customWidth="1"/>
    <col min="9724" max="9724" width="11.26953125" style="94" bestFit="1" customWidth="1"/>
    <col min="9725" max="9731" width="0" style="94" hidden="1" customWidth="1"/>
    <col min="9732" max="9732" width="11.26953125" style="94" bestFit="1" customWidth="1"/>
    <col min="9733" max="9734" width="0" style="94" hidden="1" customWidth="1"/>
    <col min="9735" max="9735" width="11.54296875" style="94" bestFit="1" customWidth="1"/>
    <col min="9736" max="9736" width="16" style="94" bestFit="1" customWidth="1"/>
    <col min="9737" max="9737" width="9.1796875" style="94"/>
    <col min="9738" max="9738" width="15" style="94" bestFit="1" customWidth="1"/>
    <col min="9739" max="9739" width="14" style="94" bestFit="1" customWidth="1"/>
    <col min="9740" max="9968" width="9.1796875" style="94"/>
    <col min="9969" max="9969" width="16.26953125" style="94" customWidth="1"/>
    <col min="9970" max="9971" width="0" style="94" hidden="1" customWidth="1"/>
    <col min="9972" max="9972" width="13.26953125" style="94" bestFit="1" customWidth="1"/>
    <col min="9973" max="9974" width="16" style="94" bestFit="1" customWidth="1"/>
    <col min="9975" max="9975" width="9.1796875" style="94"/>
    <col min="9976" max="9977" width="16" style="94" bestFit="1" customWidth="1"/>
    <col min="9978" max="9978" width="9.1796875" style="94"/>
    <col min="9979" max="9979" width="0" style="94" hidden="1" customWidth="1"/>
    <col min="9980" max="9980" width="11.26953125" style="94" bestFit="1" customWidth="1"/>
    <col min="9981" max="9987" width="0" style="94" hidden="1" customWidth="1"/>
    <col min="9988" max="9988" width="11.26953125" style="94" bestFit="1" customWidth="1"/>
    <col min="9989" max="9990" width="0" style="94" hidden="1" customWidth="1"/>
    <col min="9991" max="9991" width="11.54296875" style="94" bestFit="1" customWidth="1"/>
    <col min="9992" max="9992" width="16" style="94" bestFit="1" customWidth="1"/>
    <col min="9993" max="9993" width="9.1796875" style="94"/>
    <col min="9994" max="9994" width="15" style="94" bestFit="1" customWidth="1"/>
    <col min="9995" max="9995" width="14" style="94" bestFit="1" customWidth="1"/>
    <col min="9996" max="10224" width="9.1796875" style="94"/>
    <col min="10225" max="10225" width="16.26953125" style="94" customWidth="1"/>
    <col min="10226" max="10227" width="0" style="94" hidden="1" customWidth="1"/>
    <col min="10228" max="10228" width="13.26953125" style="94" bestFit="1" customWidth="1"/>
    <col min="10229" max="10230" width="16" style="94" bestFit="1" customWidth="1"/>
    <col min="10231" max="10231" width="9.1796875" style="94"/>
    <col min="10232" max="10233" width="16" style="94" bestFit="1" customWidth="1"/>
    <col min="10234" max="10234" width="9.1796875" style="94"/>
    <col min="10235" max="10235" width="0" style="94" hidden="1" customWidth="1"/>
    <col min="10236" max="10236" width="11.26953125" style="94" bestFit="1" customWidth="1"/>
    <col min="10237" max="10243" width="0" style="94" hidden="1" customWidth="1"/>
    <col min="10244" max="10244" width="11.26953125" style="94" bestFit="1" customWidth="1"/>
    <col min="10245" max="10246" width="0" style="94" hidden="1" customWidth="1"/>
    <col min="10247" max="10247" width="11.54296875" style="94" bestFit="1" customWidth="1"/>
    <col min="10248" max="10248" width="16" style="94" bestFit="1" customWidth="1"/>
    <col min="10249" max="10249" width="9.1796875" style="94"/>
    <col min="10250" max="10250" width="15" style="94" bestFit="1" customWidth="1"/>
    <col min="10251" max="10251" width="14" style="94" bestFit="1" customWidth="1"/>
    <col min="10252" max="10480" width="9.1796875" style="94"/>
    <col min="10481" max="10481" width="16.26953125" style="94" customWidth="1"/>
    <col min="10482" max="10483" width="0" style="94" hidden="1" customWidth="1"/>
    <col min="10484" max="10484" width="13.26953125" style="94" bestFit="1" customWidth="1"/>
    <col min="10485" max="10486" width="16" style="94" bestFit="1" customWidth="1"/>
    <col min="10487" max="10487" width="9.1796875" style="94"/>
    <col min="10488" max="10489" width="16" style="94" bestFit="1" customWidth="1"/>
    <col min="10490" max="10490" width="9.1796875" style="94"/>
    <col min="10491" max="10491" width="0" style="94" hidden="1" customWidth="1"/>
    <col min="10492" max="10492" width="11.26953125" style="94" bestFit="1" customWidth="1"/>
    <col min="10493" max="10499" width="0" style="94" hidden="1" customWidth="1"/>
    <col min="10500" max="10500" width="11.26953125" style="94" bestFit="1" customWidth="1"/>
    <col min="10501" max="10502" width="0" style="94" hidden="1" customWidth="1"/>
    <col min="10503" max="10503" width="11.54296875" style="94" bestFit="1" customWidth="1"/>
    <col min="10504" max="10504" width="16" style="94" bestFit="1" customWidth="1"/>
    <col min="10505" max="10505" width="9.1796875" style="94"/>
    <col min="10506" max="10506" width="15" style="94" bestFit="1" customWidth="1"/>
    <col min="10507" max="10507" width="14" style="94" bestFit="1" customWidth="1"/>
    <col min="10508" max="10736" width="9.1796875" style="94"/>
    <col min="10737" max="10737" width="16.26953125" style="94" customWidth="1"/>
    <col min="10738" max="10739" width="0" style="94" hidden="1" customWidth="1"/>
    <col min="10740" max="10740" width="13.26953125" style="94" bestFit="1" customWidth="1"/>
    <col min="10741" max="10742" width="16" style="94" bestFit="1" customWidth="1"/>
    <col min="10743" max="10743" width="9.1796875" style="94"/>
    <col min="10744" max="10745" width="16" style="94" bestFit="1" customWidth="1"/>
    <col min="10746" max="10746" width="9.1796875" style="94"/>
    <col min="10747" max="10747" width="0" style="94" hidden="1" customWidth="1"/>
    <col min="10748" max="10748" width="11.26953125" style="94" bestFit="1" customWidth="1"/>
    <col min="10749" max="10755" width="0" style="94" hidden="1" customWidth="1"/>
    <col min="10756" max="10756" width="11.26953125" style="94" bestFit="1" customWidth="1"/>
    <col min="10757" max="10758" width="0" style="94" hidden="1" customWidth="1"/>
    <col min="10759" max="10759" width="11.54296875" style="94" bestFit="1" customWidth="1"/>
    <col min="10760" max="10760" width="16" style="94" bestFit="1" customWidth="1"/>
    <col min="10761" max="10761" width="9.1796875" style="94"/>
    <col min="10762" max="10762" width="15" style="94" bestFit="1" customWidth="1"/>
    <col min="10763" max="10763" width="14" style="94" bestFit="1" customWidth="1"/>
    <col min="10764" max="10992" width="9.1796875" style="94"/>
    <col min="10993" max="10993" width="16.26953125" style="94" customWidth="1"/>
    <col min="10994" max="10995" width="0" style="94" hidden="1" customWidth="1"/>
    <col min="10996" max="10996" width="13.26953125" style="94" bestFit="1" customWidth="1"/>
    <col min="10997" max="10998" width="16" style="94" bestFit="1" customWidth="1"/>
    <col min="10999" max="10999" width="9.1796875" style="94"/>
    <col min="11000" max="11001" width="16" style="94" bestFit="1" customWidth="1"/>
    <col min="11002" max="11002" width="9.1796875" style="94"/>
    <col min="11003" max="11003" width="0" style="94" hidden="1" customWidth="1"/>
    <col min="11004" max="11004" width="11.26953125" style="94" bestFit="1" customWidth="1"/>
    <col min="11005" max="11011" width="0" style="94" hidden="1" customWidth="1"/>
    <col min="11012" max="11012" width="11.26953125" style="94" bestFit="1" customWidth="1"/>
    <col min="11013" max="11014" width="0" style="94" hidden="1" customWidth="1"/>
    <col min="11015" max="11015" width="11.54296875" style="94" bestFit="1" customWidth="1"/>
    <col min="11016" max="11016" width="16" style="94" bestFit="1" customWidth="1"/>
    <col min="11017" max="11017" width="9.1796875" style="94"/>
    <col min="11018" max="11018" width="15" style="94" bestFit="1" customWidth="1"/>
    <col min="11019" max="11019" width="14" style="94" bestFit="1" customWidth="1"/>
    <col min="11020" max="11248" width="9.1796875" style="94"/>
    <col min="11249" max="11249" width="16.26953125" style="94" customWidth="1"/>
    <col min="11250" max="11251" width="0" style="94" hidden="1" customWidth="1"/>
    <col min="11252" max="11252" width="13.26953125" style="94" bestFit="1" customWidth="1"/>
    <col min="11253" max="11254" width="16" style="94" bestFit="1" customWidth="1"/>
    <col min="11255" max="11255" width="9.1796875" style="94"/>
    <col min="11256" max="11257" width="16" style="94" bestFit="1" customWidth="1"/>
    <col min="11258" max="11258" width="9.1796875" style="94"/>
    <col min="11259" max="11259" width="0" style="94" hidden="1" customWidth="1"/>
    <col min="11260" max="11260" width="11.26953125" style="94" bestFit="1" customWidth="1"/>
    <col min="11261" max="11267" width="0" style="94" hidden="1" customWidth="1"/>
    <col min="11268" max="11268" width="11.26953125" style="94" bestFit="1" customWidth="1"/>
    <col min="11269" max="11270" width="0" style="94" hidden="1" customWidth="1"/>
    <col min="11271" max="11271" width="11.54296875" style="94" bestFit="1" customWidth="1"/>
    <col min="11272" max="11272" width="16" style="94" bestFit="1" customWidth="1"/>
    <col min="11273" max="11273" width="9.1796875" style="94"/>
    <col min="11274" max="11274" width="15" style="94" bestFit="1" customWidth="1"/>
    <col min="11275" max="11275" width="14" style="94" bestFit="1" customWidth="1"/>
    <col min="11276" max="11504" width="9.1796875" style="94"/>
    <col min="11505" max="11505" width="16.26953125" style="94" customWidth="1"/>
    <col min="11506" max="11507" width="0" style="94" hidden="1" customWidth="1"/>
    <col min="11508" max="11508" width="13.26953125" style="94" bestFit="1" customWidth="1"/>
    <col min="11509" max="11510" width="16" style="94" bestFit="1" customWidth="1"/>
    <col min="11511" max="11511" width="9.1796875" style="94"/>
    <col min="11512" max="11513" width="16" style="94" bestFit="1" customWidth="1"/>
    <col min="11514" max="11514" width="9.1796875" style="94"/>
    <col min="11515" max="11515" width="0" style="94" hidden="1" customWidth="1"/>
    <col min="11516" max="11516" width="11.26953125" style="94" bestFit="1" customWidth="1"/>
    <col min="11517" max="11523" width="0" style="94" hidden="1" customWidth="1"/>
    <col min="11524" max="11524" width="11.26953125" style="94" bestFit="1" customWidth="1"/>
    <col min="11525" max="11526" width="0" style="94" hidden="1" customWidth="1"/>
    <col min="11527" max="11527" width="11.54296875" style="94" bestFit="1" customWidth="1"/>
    <col min="11528" max="11528" width="16" style="94" bestFit="1" customWidth="1"/>
    <col min="11529" max="11529" width="9.1796875" style="94"/>
    <col min="11530" max="11530" width="15" style="94" bestFit="1" customWidth="1"/>
    <col min="11531" max="11531" width="14" style="94" bestFit="1" customWidth="1"/>
    <col min="11532" max="11760" width="9.1796875" style="94"/>
    <col min="11761" max="11761" width="16.26953125" style="94" customWidth="1"/>
    <col min="11762" max="11763" width="0" style="94" hidden="1" customWidth="1"/>
    <col min="11764" max="11764" width="13.26953125" style="94" bestFit="1" customWidth="1"/>
    <col min="11765" max="11766" width="16" style="94" bestFit="1" customWidth="1"/>
    <col min="11767" max="11767" width="9.1796875" style="94"/>
    <col min="11768" max="11769" width="16" style="94" bestFit="1" customWidth="1"/>
    <col min="11770" max="11770" width="9.1796875" style="94"/>
    <col min="11771" max="11771" width="0" style="94" hidden="1" customWidth="1"/>
    <col min="11772" max="11772" width="11.26953125" style="94" bestFit="1" customWidth="1"/>
    <col min="11773" max="11779" width="0" style="94" hidden="1" customWidth="1"/>
    <col min="11780" max="11780" width="11.26953125" style="94" bestFit="1" customWidth="1"/>
    <col min="11781" max="11782" width="0" style="94" hidden="1" customWidth="1"/>
    <col min="11783" max="11783" width="11.54296875" style="94" bestFit="1" customWidth="1"/>
    <col min="11784" max="11784" width="16" style="94" bestFit="1" customWidth="1"/>
    <col min="11785" max="11785" width="9.1796875" style="94"/>
    <col min="11786" max="11786" width="15" style="94" bestFit="1" customWidth="1"/>
    <col min="11787" max="11787" width="14" style="94" bestFit="1" customWidth="1"/>
    <col min="11788" max="12016" width="9.1796875" style="94"/>
    <col min="12017" max="12017" width="16.26953125" style="94" customWidth="1"/>
    <col min="12018" max="12019" width="0" style="94" hidden="1" customWidth="1"/>
    <col min="12020" max="12020" width="13.26953125" style="94" bestFit="1" customWidth="1"/>
    <col min="12021" max="12022" width="16" style="94" bestFit="1" customWidth="1"/>
    <col min="12023" max="12023" width="9.1796875" style="94"/>
    <col min="12024" max="12025" width="16" style="94" bestFit="1" customWidth="1"/>
    <col min="12026" max="12026" width="9.1796875" style="94"/>
    <col min="12027" max="12027" width="0" style="94" hidden="1" customWidth="1"/>
    <col min="12028" max="12028" width="11.26953125" style="94" bestFit="1" customWidth="1"/>
    <col min="12029" max="12035" width="0" style="94" hidden="1" customWidth="1"/>
    <col min="12036" max="12036" width="11.26953125" style="94" bestFit="1" customWidth="1"/>
    <col min="12037" max="12038" width="0" style="94" hidden="1" customWidth="1"/>
    <col min="12039" max="12039" width="11.54296875" style="94" bestFit="1" customWidth="1"/>
    <col min="12040" max="12040" width="16" style="94" bestFit="1" customWidth="1"/>
    <col min="12041" max="12041" width="9.1796875" style="94"/>
    <col min="12042" max="12042" width="15" style="94" bestFit="1" customWidth="1"/>
    <col min="12043" max="12043" width="14" style="94" bestFit="1" customWidth="1"/>
    <col min="12044" max="12272" width="9.1796875" style="94"/>
    <col min="12273" max="12273" width="16.26953125" style="94" customWidth="1"/>
    <col min="12274" max="12275" width="0" style="94" hidden="1" customWidth="1"/>
    <col min="12276" max="12276" width="13.26953125" style="94" bestFit="1" customWidth="1"/>
    <col min="12277" max="12278" width="16" style="94" bestFit="1" customWidth="1"/>
    <col min="12279" max="12279" width="9.1796875" style="94"/>
    <col min="12280" max="12281" width="16" style="94" bestFit="1" customWidth="1"/>
    <col min="12282" max="12282" width="9.1796875" style="94"/>
    <col min="12283" max="12283" width="0" style="94" hidden="1" customWidth="1"/>
    <col min="12284" max="12284" width="11.26953125" style="94" bestFit="1" customWidth="1"/>
    <col min="12285" max="12291" width="0" style="94" hidden="1" customWidth="1"/>
    <col min="12292" max="12292" width="11.26953125" style="94" bestFit="1" customWidth="1"/>
    <col min="12293" max="12294" width="0" style="94" hidden="1" customWidth="1"/>
    <col min="12295" max="12295" width="11.54296875" style="94" bestFit="1" customWidth="1"/>
    <col min="12296" max="12296" width="16" style="94" bestFit="1" customWidth="1"/>
    <col min="12297" max="12297" width="9.1796875" style="94"/>
    <col min="12298" max="12298" width="15" style="94" bestFit="1" customWidth="1"/>
    <col min="12299" max="12299" width="14" style="94" bestFit="1" customWidth="1"/>
    <col min="12300" max="12528" width="9.1796875" style="94"/>
    <col min="12529" max="12529" width="16.26953125" style="94" customWidth="1"/>
    <col min="12530" max="12531" width="0" style="94" hidden="1" customWidth="1"/>
    <col min="12532" max="12532" width="13.26953125" style="94" bestFit="1" customWidth="1"/>
    <col min="12533" max="12534" width="16" style="94" bestFit="1" customWidth="1"/>
    <col min="12535" max="12535" width="9.1796875" style="94"/>
    <col min="12536" max="12537" width="16" style="94" bestFit="1" customWidth="1"/>
    <col min="12538" max="12538" width="9.1796875" style="94"/>
    <col min="12539" max="12539" width="0" style="94" hidden="1" customWidth="1"/>
    <col min="12540" max="12540" width="11.26953125" style="94" bestFit="1" customWidth="1"/>
    <col min="12541" max="12547" width="0" style="94" hidden="1" customWidth="1"/>
    <col min="12548" max="12548" width="11.26953125" style="94" bestFit="1" customWidth="1"/>
    <col min="12549" max="12550" width="0" style="94" hidden="1" customWidth="1"/>
    <col min="12551" max="12551" width="11.54296875" style="94" bestFit="1" customWidth="1"/>
    <col min="12552" max="12552" width="16" style="94" bestFit="1" customWidth="1"/>
    <col min="12553" max="12553" width="9.1796875" style="94"/>
    <col min="12554" max="12554" width="15" style="94" bestFit="1" customWidth="1"/>
    <col min="12555" max="12555" width="14" style="94" bestFit="1" customWidth="1"/>
    <col min="12556" max="12784" width="9.1796875" style="94"/>
    <col min="12785" max="12785" width="16.26953125" style="94" customWidth="1"/>
    <col min="12786" max="12787" width="0" style="94" hidden="1" customWidth="1"/>
    <col min="12788" max="12788" width="13.26953125" style="94" bestFit="1" customWidth="1"/>
    <col min="12789" max="12790" width="16" style="94" bestFit="1" customWidth="1"/>
    <col min="12791" max="12791" width="9.1796875" style="94"/>
    <col min="12792" max="12793" width="16" style="94" bestFit="1" customWidth="1"/>
    <col min="12794" max="12794" width="9.1796875" style="94"/>
    <col min="12795" max="12795" width="0" style="94" hidden="1" customWidth="1"/>
    <col min="12796" max="12796" width="11.26953125" style="94" bestFit="1" customWidth="1"/>
    <col min="12797" max="12803" width="0" style="94" hidden="1" customWidth="1"/>
    <col min="12804" max="12804" width="11.26953125" style="94" bestFit="1" customWidth="1"/>
    <col min="12805" max="12806" width="0" style="94" hidden="1" customWidth="1"/>
    <col min="12807" max="12807" width="11.54296875" style="94" bestFit="1" customWidth="1"/>
    <col min="12808" max="12808" width="16" style="94" bestFit="1" customWidth="1"/>
    <col min="12809" max="12809" width="9.1796875" style="94"/>
    <col min="12810" max="12810" width="15" style="94" bestFit="1" customWidth="1"/>
    <col min="12811" max="12811" width="14" style="94" bestFit="1" customWidth="1"/>
    <col min="12812" max="13040" width="9.1796875" style="94"/>
    <col min="13041" max="13041" width="16.26953125" style="94" customWidth="1"/>
    <col min="13042" max="13043" width="0" style="94" hidden="1" customWidth="1"/>
    <col min="13044" max="13044" width="13.26953125" style="94" bestFit="1" customWidth="1"/>
    <col min="13045" max="13046" width="16" style="94" bestFit="1" customWidth="1"/>
    <col min="13047" max="13047" width="9.1796875" style="94"/>
    <col min="13048" max="13049" width="16" style="94" bestFit="1" customWidth="1"/>
    <col min="13050" max="13050" width="9.1796875" style="94"/>
    <col min="13051" max="13051" width="0" style="94" hidden="1" customWidth="1"/>
    <col min="13052" max="13052" width="11.26953125" style="94" bestFit="1" customWidth="1"/>
    <col min="13053" max="13059" width="0" style="94" hidden="1" customWidth="1"/>
    <col min="13060" max="13060" width="11.26953125" style="94" bestFit="1" customWidth="1"/>
    <col min="13061" max="13062" width="0" style="94" hidden="1" customWidth="1"/>
    <col min="13063" max="13063" width="11.54296875" style="94" bestFit="1" customWidth="1"/>
    <col min="13064" max="13064" width="16" style="94" bestFit="1" customWidth="1"/>
    <col min="13065" max="13065" width="9.1796875" style="94"/>
    <col min="13066" max="13066" width="15" style="94" bestFit="1" customWidth="1"/>
    <col min="13067" max="13067" width="14" style="94" bestFit="1" customWidth="1"/>
    <col min="13068" max="13296" width="9.1796875" style="94"/>
    <col min="13297" max="13297" width="16.26953125" style="94" customWidth="1"/>
    <col min="13298" max="13299" width="0" style="94" hidden="1" customWidth="1"/>
    <col min="13300" max="13300" width="13.26953125" style="94" bestFit="1" customWidth="1"/>
    <col min="13301" max="13302" width="16" style="94" bestFit="1" customWidth="1"/>
    <col min="13303" max="13303" width="9.1796875" style="94"/>
    <col min="13304" max="13305" width="16" style="94" bestFit="1" customWidth="1"/>
    <col min="13306" max="13306" width="9.1796875" style="94"/>
    <col min="13307" max="13307" width="0" style="94" hidden="1" customWidth="1"/>
    <col min="13308" max="13308" width="11.26953125" style="94" bestFit="1" customWidth="1"/>
    <col min="13309" max="13315" width="0" style="94" hidden="1" customWidth="1"/>
    <col min="13316" max="13316" width="11.26953125" style="94" bestFit="1" customWidth="1"/>
    <col min="13317" max="13318" width="0" style="94" hidden="1" customWidth="1"/>
    <col min="13319" max="13319" width="11.54296875" style="94" bestFit="1" customWidth="1"/>
    <col min="13320" max="13320" width="16" style="94" bestFit="1" customWidth="1"/>
    <col min="13321" max="13321" width="9.1796875" style="94"/>
    <col min="13322" max="13322" width="15" style="94" bestFit="1" customWidth="1"/>
    <col min="13323" max="13323" width="14" style="94" bestFit="1" customWidth="1"/>
    <col min="13324" max="13552" width="9.1796875" style="94"/>
    <col min="13553" max="13553" width="16.26953125" style="94" customWidth="1"/>
    <col min="13554" max="13555" width="0" style="94" hidden="1" customWidth="1"/>
    <col min="13556" max="13556" width="13.26953125" style="94" bestFit="1" customWidth="1"/>
    <col min="13557" max="13558" width="16" style="94" bestFit="1" customWidth="1"/>
    <col min="13559" max="13559" width="9.1796875" style="94"/>
    <col min="13560" max="13561" width="16" style="94" bestFit="1" customWidth="1"/>
    <col min="13562" max="13562" width="9.1796875" style="94"/>
    <col min="13563" max="13563" width="0" style="94" hidden="1" customWidth="1"/>
    <col min="13564" max="13564" width="11.26953125" style="94" bestFit="1" customWidth="1"/>
    <col min="13565" max="13571" width="0" style="94" hidden="1" customWidth="1"/>
    <col min="13572" max="13572" width="11.26953125" style="94" bestFit="1" customWidth="1"/>
    <col min="13573" max="13574" width="0" style="94" hidden="1" customWidth="1"/>
    <col min="13575" max="13575" width="11.54296875" style="94" bestFit="1" customWidth="1"/>
    <col min="13576" max="13576" width="16" style="94" bestFit="1" customWidth="1"/>
    <col min="13577" max="13577" width="9.1796875" style="94"/>
    <col min="13578" max="13578" width="15" style="94" bestFit="1" customWidth="1"/>
    <col min="13579" max="13579" width="14" style="94" bestFit="1" customWidth="1"/>
    <col min="13580" max="13808" width="9.1796875" style="94"/>
    <col min="13809" max="13809" width="16.26953125" style="94" customWidth="1"/>
    <col min="13810" max="13811" width="0" style="94" hidden="1" customWidth="1"/>
    <col min="13812" max="13812" width="13.26953125" style="94" bestFit="1" customWidth="1"/>
    <col min="13813" max="13814" width="16" style="94" bestFit="1" customWidth="1"/>
    <col min="13815" max="13815" width="9.1796875" style="94"/>
    <col min="13816" max="13817" width="16" style="94" bestFit="1" customWidth="1"/>
    <col min="13818" max="13818" width="9.1796875" style="94"/>
    <col min="13819" max="13819" width="0" style="94" hidden="1" customWidth="1"/>
    <col min="13820" max="13820" width="11.26953125" style="94" bestFit="1" customWidth="1"/>
    <col min="13821" max="13827" width="0" style="94" hidden="1" customWidth="1"/>
    <col min="13828" max="13828" width="11.26953125" style="94" bestFit="1" customWidth="1"/>
    <col min="13829" max="13830" width="0" style="94" hidden="1" customWidth="1"/>
    <col min="13831" max="13831" width="11.54296875" style="94" bestFit="1" customWidth="1"/>
    <col min="13832" max="13832" width="16" style="94" bestFit="1" customWidth="1"/>
    <col min="13833" max="13833" width="9.1796875" style="94"/>
    <col min="13834" max="13834" width="15" style="94" bestFit="1" customWidth="1"/>
    <col min="13835" max="13835" width="14" style="94" bestFit="1" customWidth="1"/>
    <col min="13836" max="14064" width="9.1796875" style="94"/>
    <col min="14065" max="14065" width="16.26953125" style="94" customWidth="1"/>
    <col min="14066" max="14067" width="0" style="94" hidden="1" customWidth="1"/>
    <col min="14068" max="14068" width="13.26953125" style="94" bestFit="1" customWidth="1"/>
    <col min="14069" max="14070" width="16" style="94" bestFit="1" customWidth="1"/>
    <col min="14071" max="14071" width="9.1796875" style="94"/>
    <col min="14072" max="14073" width="16" style="94" bestFit="1" customWidth="1"/>
    <col min="14074" max="14074" width="9.1796875" style="94"/>
    <col min="14075" max="14075" width="0" style="94" hidden="1" customWidth="1"/>
    <col min="14076" max="14076" width="11.26953125" style="94" bestFit="1" customWidth="1"/>
    <col min="14077" max="14083" width="0" style="94" hidden="1" customWidth="1"/>
    <col min="14084" max="14084" width="11.26953125" style="94" bestFit="1" customWidth="1"/>
    <col min="14085" max="14086" width="0" style="94" hidden="1" customWidth="1"/>
    <col min="14087" max="14087" width="11.54296875" style="94" bestFit="1" customWidth="1"/>
    <col min="14088" max="14088" width="16" style="94" bestFit="1" customWidth="1"/>
    <col min="14089" max="14089" width="9.1796875" style="94"/>
    <col min="14090" max="14090" width="15" style="94" bestFit="1" customWidth="1"/>
    <col min="14091" max="14091" width="14" style="94" bestFit="1" customWidth="1"/>
    <col min="14092" max="14320" width="9.1796875" style="94"/>
    <col min="14321" max="14321" width="16.26953125" style="94" customWidth="1"/>
    <col min="14322" max="14323" width="0" style="94" hidden="1" customWidth="1"/>
    <col min="14324" max="14324" width="13.26953125" style="94" bestFit="1" customWidth="1"/>
    <col min="14325" max="14326" width="16" style="94" bestFit="1" customWidth="1"/>
    <col min="14327" max="14327" width="9.1796875" style="94"/>
    <col min="14328" max="14329" width="16" style="94" bestFit="1" customWidth="1"/>
    <col min="14330" max="14330" width="9.1796875" style="94"/>
    <col min="14331" max="14331" width="0" style="94" hidden="1" customWidth="1"/>
    <col min="14332" max="14332" width="11.26953125" style="94" bestFit="1" customWidth="1"/>
    <col min="14333" max="14339" width="0" style="94" hidden="1" customWidth="1"/>
    <col min="14340" max="14340" width="11.26953125" style="94" bestFit="1" customWidth="1"/>
    <col min="14341" max="14342" width="0" style="94" hidden="1" customWidth="1"/>
    <col min="14343" max="14343" width="11.54296875" style="94" bestFit="1" customWidth="1"/>
    <col min="14344" max="14344" width="16" style="94" bestFit="1" customWidth="1"/>
    <col min="14345" max="14345" width="9.1796875" style="94"/>
    <col min="14346" max="14346" width="15" style="94" bestFit="1" customWidth="1"/>
    <col min="14347" max="14347" width="14" style="94" bestFit="1" customWidth="1"/>
    <col min="14348" max="14576" width="9.1796875" style="94"/>
    <col min="14577" max="14577" width="16.26953125" style="94" customWidth="1"/>
    <col min="14578" max="14579" width="0" style="94" hidden="1" customWidth="1"/>
    <col min="14580" max="14580" width="13.26953125" style="94" bestFit="1" customWidth="1"/>
    <col min="14581" max="14582" width="16" style="94" bestFit="1" customWidth="1"/>
    <col min="14583" max="14583" width="9.1796875" style="94"/>
    <col min="14584" max="14585" width="16" style="94" bestFit="1" customWidth="1"/>
    <col min="14586" max="14586" width="9.1796875" style="94"/>
    <col min="14587" max="14587" width="0" style="94" hidden="1" customWidth="1"/>
    <col min="14588" max="14588" width="11.26953125" style="94" bestFit="1" customWidth="1"/>
    <col min="14589" max="14595" width="0" style="94" hidden="1" customWidth="1"/>
    <col min="14596" max="14596" width="11.26953125" style="94" bestFit="1" customWidth="1"/>
    <col min="14597" max="14598" width="0" style="94" hidden="1" customWidth="1"/>
    <col min="14599" max="14599" width="11.54296875" style="94" bestFit="1" customWidth="1"/>
    <col min="14600" max="14600" width="16" style="94" bestFit="1" customWidth="1"/>
    <col min="14601" max="14601" width="9.1796875" style="94"/>
    <col min="14602" max="14602" width="15" style="94" bestFit="1" customWidth="1"/>
    <col min="14603" max="14603" width="14" style="94" bestFit="1" customWidth="1"/>
    <col min="14604" max="14832" width="9.1796875" style="94"/>
    <col min="14833" max="14833" width="16.26953125" style="94" customWidth="1"/>
    <col min="14834" max="14835" width="0" style="94" hidden="1" customWidth="1"/>
    <col min="14836" max="14836" width="13.26953125" style="94" bestFit="1" customWidth="1"/>
    <col min="14837" max="14838" width="16" style="94" bestFit="1" customWidth="1"/>
    <col min="14839" max="14839" width="9.1796875" style="94"/>
    <col min="14840" max="14841" width="16" style="94" bestFit="1" customWidth="1"/>
    <col min="14842" max="14842" width="9.1796875" style="94"/>
    <col min="14843" max="14843" width="0" style="94" hidden="1" customWidth="1"/>
    <col min="14844" max="14844" width="11.26953125" style="94" bestFit="1" customWidth="1"/>
    <col min="14845" max="14851" width="0" style="94" hidden="1" customWidth="1"/>
    <col min="14852" max="14852" width="11.26953125" style="94" bestFit="1" customWidth="1"/>
    <col min="14853" max="14854" width="0" style="94" hidden="1" customWidth="1"/>
    <col min="14855" max="14855" width="11.54296875" style="94" bestFit="1" customWidth="1"/>
    <col min="14856" max="14856" width="16" style="94" bestFit="1" customWidth="1"/>
    <col min="14857" max="14857" width="9.1796875" style="94"/>
    <col min="14858" max="14858" width="15" style="94" bestFit="1" customWidth="1"/>
    <col min="14859" max="14859" width="14" style="94" bestFit="1" customWidth="1"/>
    <col min="14860" max="15088" width="9.1796875" style="94"/>
    <col min="15089" max="15089" width="16.26953125" style="94" customWidth="1"/>
    <col min="15090" max="15091" width="0" style="94" hidden="1" customWidth="1"/>
    <col min="15092" max="15092" width="13.26953125" style="94" bestFit="1" customWidth="1"/>
    <col min="15093" max="15094" width="16" style="94" bestFit="1" customWidth="1"/>
    <col min="15095" max="15095" width="9.1796875" style="94"/>
    <col min="15096" max="15097" width="16" style="94" bestFit="1" customWidth="1"/>
    <col min="15098" max="15098" width="9.1796875" style="94"/>
    <col min="15099" max="15099" width="0" style="94" hidden="1" customWidth="1"/>
    <col min="15100" max="15100" width="11.26953125" style="94" bestFit="1" customWidth="1"/>
    <col min="15101" max="15107" width="0" style="94" hidden="1" customWidth="1"/>
    <col min="15108" max="15108" width="11.26953125" style="94" bestFit="1" customWidth="1"/>
    <col min="15109" max="15110" width="0" style="94" hidden="1" customWidth="1"/>
    <col min="15111" max="15111" width="11.54296875" style="94" bestFit="1" customWidth="1"/>
    <col min="15112" max="15112" width="16" style="94" bestFit="1" customWidth="1"/>
    <col min="15113" max="15113" width="9.1796875" style="94"/>
    <col min="15114" max="15114" width="15" style="94" bestFit="1" customWidth="1"/>
    <col min="15115" max="15115" width="14" style="94" bestFit="1" customWidth="1"/>
    <col min="15116" max="15344" width="9.1796875" style="94"/>
    <col min="15345" max="15345" width="16.26953125" style="94" customWidth="1"/>
    <col min="15346" max="15347" width="0" style="94" hidden="1" customWidth="1"/>
    <col min="15348" max="15348" width="13.26953125" style="94" bestFit="1" customWidth="1"/>
    <col min="15349" max="15350" width="16" style="94" bestFit="1" customWidth="1"/>
    <col min="15351" max="15351" width="9.1796875" style="94"/>
    <col min="15352" max="15353" width="16" style="94" bestFit="1" customWidth="1"/>
    <col min="15354" max="15354" width="9.1796875" style="94"/>
    <col min="15355" max="15355" width="0" style="94" hidden="1" customWidth="1"/>
    <col min="15356" max="15356" width="11.26953125" style="94" bestFit="1" customWidth="1"/>
    <col min="15357" max="15363" width="0" style="94" hidden="1" customWidth="1"/>
    <col min="15364" max="15364" width="11.26953125" style="94" bestFit="1" customWidth="1"/>
    <col min="15365" max="15366" width="0" style="94" hidden="1" customWidth="1"/>
    <col min="15367" max="15367" width="11.54296875" style="94" bestFit="1" customWidth="1"/>
    <col min="15368" max="15368" width="16" style="94" bestFit="1" customWidth="1"/>
    <col min="15369" max="15369" width="9.1796875" style="94"/>
    <col min="15370" max="15370" width="15" style="94" bestFit="1" customWidth="1"/>
    <col min="15371" max="15371" width="14" style="94" bestFit="1" customWidth="1"/>
    <col min="15372" max="15600" width="9.1796875" style="94"/>
    <col min="15601" max="15601" width="16.26953125" style="94" customWidth="1"/>
    <col min="15602" max="15603" width="0" style="94" hidden="1" customWidth="1"/>
    <col min="15604" max="15604" width="13.26953125" style="94" bestFit="1" customWidth="1"/>
    <col min="15605" max="15606" width="16" style="94" bestFit="1" customWidth="1"/>
    <col min="15607" max="15607" width="9.1796875" style="94"/>
    <col min="15608" max="15609" width="16" style="94" bestFit="1" customWidth="1"/>
    <col min="15610" max="15610" width="9.1796875" style="94"/>
    <col min="15611" max="15611" width="0" style="94" hidden="1" customWidth="1"/>
    <col min="15612" max="15612" width="11.26953125" style="94" bestFit="1" customWidth="1"/>
    <col min="15613" max="15619" width="0" style="94" hidden="1" customWidth="1"/>
    <col min="15620" max="15620" width="11.26953125" style="94" bestFit="1" customWidth="1"/>
    <col min="15621" max="15622" width="0" style="94" hidden="1" customWidth="1"/>
    <col min="15623" max="15623" width="11.54296875" style="94" bestFit="1" customWidth="1"/>
    <col min="15624" max="15624" width="16" style="94" bestFit="1" customWidth="1"/>
    <col min="15625" max="15625" width="9.1796875" style="94"/>
    <col min="15626" max="15626" width="15" style="94" bestFit="1" customWidth="1"/>
    <col min="15627" max="15627" width="14" style="94" bestFit="1" customWidth="1"/>
    <col min="15628" max="15856" width="9.1796875" style="94"/>
    <col min="15857" max="15857" width="16.26953125" style="94" customWidth="1"/>
    <col min="15858" max="15859" width="0" style="94" hidden="1" customWidth="1"/>
    <col min="15860" max="15860" width="13.26953125" style="94" bestFit="1" customWidth="1"/>
    <col min="15861" max="15862" width="16" style="94" bestFit="1" customWidth="1"/>
    <col min="15863" max="15863" width="9.1796875" style="94"/>
    <col min="15864" max="15865" width="16" style="94" bestFit="1" customWidth="1"/>
    <col min="15866" max="15866" width="9.1796875" style="94"/>
    <col min="15867" max="15867" width="0" style="94" hidden="1" customWidth="1"/>
    <col min="15868" max="15868" width="11.26953125" style="94" bestFit="1" customWidth="1"/>
    <col min="15869" max="15875" width="0" style="94" hidden="1" customWidth="1"/>
    <col min="15876" max="15876" width="11.26953125" style="94" bestFit="1" customWidth="1"/>
    <col min="15877" max="15878" width="0" style="94" hidden="1" customWidth="1"/>
    <col min="15879" max="15879" width="11.54296875" style="94" bestFit="1" customWidth="1"/>
    <col min="15880" max="15880" width="16" style="94" bestFit="1" customWidth="1"/>
    <col min="15881" max="15881" width="9.1796875" style="94"/>
    <col min="15882" max="15882" width="15" style="94" bestFit="1" customWidth="1"/>
    <col min="15883" max="15883" width="14" style="94" bestFit="1" customWidth="1"/>
    <col min="15884" max="16112" width="9.1796875" style="94"/>
    <col min="16113" max="16113" width="16.26953125" style="94" customWidth="1"/>
    <col min="16114" max="16115" width="0" style="94" hidden="1" customWidth="1"/>
    <col min="16116" max="16116" width="13.26953125" style="94" bestFit="1" customWidth="1"/>
    <col min="16117" max="16118" width="16" style="94" bestFit="1" customWidth="1"/>
    <col min="16119" max="16119" width="9.1796875" style="94"/>
    <col min="16120" max="16121" width="16" style="94" bestFit="1" customWidth="1"/>
    <col min="16122" max="16122" width="9.1796875" style="94"/>
    <col min="16123" max="16123" width="0" style="94" hidden="1" customWidth="1"/>
    <col min="16124" max="16124" width="11.26953125" style="94" bestFit="1" customWidth="1"/>
    <col min="16125" max="16131" width="0" style="94" hidden="1" customWidth="1"/>
    <col min="16132" max="16132" width="11.26953125" style="94" bestFit="1" customWidth="1"/>
    <col min="16133" max="16134" width="0" style="94" hidden="1" customWidth="1"/>
    <col min="16135" max="16135" width="11.54296875" style="94" bestFit="1" customWidth="1"/>
    <col min="16136" max="16136" width="16" style="94" bestFit="1" customWidth="1"/>
    <col min="16137" max="16137" width="9.1796875" style="94"/>
    <col min="16138" max="16138" width="15" style="94" bestFit="1" customWidth="1"/>
    <col min="16139" max="16139" width="14" style="94" bestFit="1" customWidth="1"/>
    <col min="16140" max="16384" width="9.1796875" style="94"/>
  </cols>
  <sheetData>
    <row r="1" spans="1:12" ht="15.75" customHeight="1" x14ac:dyDescent="0.35">
      <c r="A1" s="373" t="s">
        <v>87</v>
      </c>
      <c r="B1" s="373"/>
      <c r="C1" s="373"/>
      <c r="D1" s="373"/>
      <c r="E1" s="373"/>
      <c r="F1" s="373"/>
      <c r="G1" s="373"/>
      <c r="H1" s="373"/>
      <c r="I1" s="373"/>
      <c r="J1" s="92"/>
      <c r="K1" s="93"/>
      <c r="L1" s="93"/>
    </row>
    <row r="2" spans="1:12" ht="15" customHeight="1" x14ac:dyDescent="0.35">
      <c r="A2" s="373" t="s">
        <v>43</v>
      </c>
      <c r="B2" s="373"/>
      <c r="C2" s="373"/>
      <c r="D2" s="373"/>
      <c r="E2" s="373"/>
      <c r="F2" s="373"/>
      <c r="G2" s="373"/>
      <c r="H2" s="373"/>
      <c r="I2" s="373"/>
      <c r="J2" s="93"/>
      <c r="K2" s="93"/>
      <c r="L2" s="93"/>
    </row>
    <row r="3" spans="1:12" x14ac:dyDescent="0.35">
      <c r="A3" s="374" t="s">
        <v>53</v>
      </c>
      <c r="B3" s="374"/>
      <c r="C3" s="374"/>
      <c r="D3" s="374"/>
      <c r="E3" s="374"/>
      <c r="F3" s="374"/>
      <c r="G3" s="374"/>
      <c r="H3" s="374"/>
      <c r="I3" s="374"/>
    </row>
    <row r="4" spans="1:12" x14ac:dyDescent="0.35">
      <c r="A4" s="95" t="s">
        <v>0</v>
      </c>
      <c r="B4" s="95"/>
      <c r="C4" s="96"/>
      <c r="D4" s="97"/>
      <c r="E4" s="95"/>
      <c r="F4" s="95"/>
      <c r="G4" s="98"/>
      <c r="H4" s="97"/>
    </row>
    <row r="5" spans="1:12" x14ac:dyDescent="0.35">
      <c r="A5" s="100" t="s">
        <v>29</v>
      </c>
      <c r="B5" s="132">
        <v>5</v>
      </c>
      <c r="C5" s="100" t="s">
        <v>30</v>
      </c>
      <c r="D5" s="183"/>
      <c r="E5" s="100" t="s">
        <v>41</v>
      </c>
      <c r="F5" s="184">
        <f>+B5*12</f>
        <v>60</v>
      </c>
      <c r="G5" s="102"/>
      <c r="H5" s="101"/>
    </row>
    <row r="6" spans="1:12" x14ac:dyDescent="0.35">
      <c r="A6" s="100" t="s">
        <v>39</v>
      </c>
      <c r="B6" s="133">
        <f>+'Assumptions and Inputs'!C7</f>
        <v>8.299999999999999E-2</v>
      </c>
      <c r="C6" s="100" t="s">
        <v>52</v>
      </c>
      <c r="D6" s="106" t="s">
        <v>0</v>
      </c>
      <c r="E6" s="104" t="s">
        <v>28</v>
      </c>
      <c r="F6" s="185">
        <f>F13/12</f>
        <v>6.9166666666666656E-3</v>
      </c>
      <c r="G6" s="105"/>
      <c r="H6" s="103"/>
    </row>
    <row r="7" spans="1:12" ht="15" customHeight="1" x14ac:dyDescent="0.35">
      <c r="A7" s="100" t="s">
        <v>42</v>
      </c>
      <c r="B7" s="134">
        <f>PMT(F13/12,F5,-H13,0,1)</f>
        <v>3651584.1278573517</v>
      </c>
      <c r="C7" s="108"/>
      <c r="D7" s="106"/>
      <c r="E7" s="174"/>
      <c r="F7" s="100"/>
      <c r="G7" s="102"/>
      <c r="H7" s="106" t="s">
        <v>2</v>
      </c>
      <c r="I7" s="107"/>
    </row>
    <row r="8" spans="1:12" x14ac:dyDescent="0.35">
      <c r="A8" s="100"/>
      <c r="B8" s="100"/>
      <c r="C8" s="108" t="s">
        <v>2</v>
      </c>
      <c r="D8" s="106"/>
      <c r="E8" s="109" t="s">
        <v>50</v>
      </c>
      <c r="F8" s="100"/>
      <c r="G8" s="110" t="s">
        <v>4</v>
      </c>
      <c r="H8" s="106" t="s">
        <v>3</v>
      </c>
      <c r="I8" s="107"/>
    </row>
    <row r="9" spans="1:12" x14ac:dyDescent="0.35">
      <c r="A9" s="109" t="s">
        <v>5</v>
      </c>
      <c r="B9" s="100"/>
      <c r="C9" s="108" t="s">
        <v>3</v>
      </c>
      <c r="D9" s="106" t="s">
        <v>6</v>
      </c>
      <c r="E9" s="108" t="s">
        <v>3</v>
      </c>
      <c r="F9" s="109" t="s">
        <v>7</v>
      </c>
      <c r="G9" s="110" t="s">
        <v>7</v>
      </c>
      <c r="H9" s="106" t="s">
        <v>8</v>
      </c>
      <c r="I9" s="107" t="s">
        <v>89</v>
      </c>
    </row>
    <row r="10" spans="1:12" x14ac:dyDescent="0.35">
      <c r="A10" s="111" t="s">
        <v>9</v>
      </c>
      <c r="B10" s="111" t="s">
        <v>10</v>
      </c>
      <c r="C10" s="112" t="s">
        <v>11</v>
      </c>
      <c r="D10" s="113" t="s">
        <v>12</v>
      </c>
      <c r="E10" s="112" t="s">
        <v>11</v>
      </c>
      <c r="F10" s="111" t="s">
        <v>13</v>
      </c>
      <c r="G10" s="114" t="s">
        <v>14</v>
      </c>
      <c r="H10" s="113" t="s">
        <v>47</v>
      </c>
      <c r="I10" s="115" t="s">
        <v>88</v>
      </c>
    </row>
    <row r="11" spans="1:12" x14ac:dyDescent="0.35">
      <c r="A11" s="116"/>
      <c r="B11" s="116"/>
      <c r="C11" s="117"/>
      <c r="D11" s="118"/>
      <c r="E11" s="116"/>
      <c r="F11" s="116"/>
      <c r="G11" s="119"/>
      <c r="H11" s="118"/>
      <c r="I11" s="120">
        <f>-SUM(I13:I73)</f>
        <v>178821506.39849246</v>
      </c>
    </row>
    <row r="12" spans="1:12" x14ac:dyDescent="0.35">
      <c r="C12" s="121"/>
      <c r="D12" s="121"/>
      <c r="E12" s="121"/>
      <c r="F12" s="122"/>
      <c r="G12" s="123"/>
      <c r="H12" s="121"/>
      <c r="J12" s="124"/>
    </row>
    <row r="13" spans="1:12" x14ac:dyDescent="0.35">
      <c r="A13" s="99"/>
      <c r="B13" s="125">
        <v>45108</v>
      </c>
      <c r="C13" s="121"/>
      <c r="D13" s="121"/>
      <c r="E13" s="121"/>
      <c r="F13" s="126">
        <f>+B6</f>
        <v>8.299999999999999E-2</v>
      </c>
      <c r="G13" s="127"/>
      <c r="H13" s="127">
        <f>+'Assumptions and Inputs'!C9-'Assumptions and Inputs'!C11</f>
        <v>180058355.15108186</v>
      </c>
      <c r="I13" s="129"/>
    </row>
    <row r="14" spans="1:12" x14ac:dyDescent="0.35">
      <c r="A14" s="99">
        <v>1</v>
      </c>
      <c r="B14" s="125">
        <f>B13+31</f>
        <v>45139</v>
      </c>
      <c r="C14" s="128">
        <f>H13</f>
        <v>180058355.15108186</v>
      </c>
      <c r="D14" s="128">
        <f>-$B$7</f>
        <v>-3651584.1278573517</v>
      </c>
      <c r="E14" s="128">
        <f t="shared" ref="E14:E73" si="0">+D14+C14</f>
        <v>176406771.0232245</v>
      </c>
      <c r="F14" s="126">
        <f>F13</f>
        <v>8.299999999999999E-2</v>
      </c>
      <c r="G14" s="127">
        <f t="shared" ref="G14:G73" si="1">ROUND(((+E14))*F$13/12,4)</f>
        <v>1220146.8329</v>
      </c>
      <c r="H14" s="128">
        <f t="shared" ref="H14:H45" si="2">E14+G14</f>
        <v>177626917.85612449</v>
      </c>
      <c r="I14" s="129">
        <f t="shared" ref="I14:I45" si="3">IF(A14&gt;$F$5,"",((1/((1+($B$6/12))^A14))*D14))</f>
        <v>-3626500.8304467616</v>
      </c>
      <c r="J14" s="124"/>
    </row>
    <row r="15" spans="1:12" x14ac:dyDescent="0.35">
      <c r="A15" s="99">
        <v>2</v>
      </c>
      <c r="B15" s="125">
        <f>B14+28</f>
        <v>45167</v>
      </c>
      <c r="C15" s="128">
        <f t="shared" ref="C15:C22" si="4">H14</f>
        <v>177626917.85612449</v>
      </c>
      <c r="D15" s="128">
        <f>+D14</f>
        <v>-3651584.1278573517</v>
      </c>
      <c r="E15" s="128">
        <f t="shared" si="0"/>
        <v>173975333.72826713</v>
      </c>
      <c r="F15" s="126">
        <f t="shared" ref="F15:F22" si="5">F14</f>
        <v>8.299999999999999E-2</v>
      </c>
      <c r="G15" s="127">
        <f t="shared" si="1"/>
        <v>1203329.3916</v>
      </c>
      <c r="H15" s="128">
        <f t="shared" si="2"/>
        <v>175178663.11986715</v>
      </c>
      <c r="I15" s="129">
        <f t="shared" si="3"/>
        <v>-3601589.8340942762</v>
      </c>
      <c r="J15" s="124"/>
    </row>
    <row r="16" spans="1:12" x14ac:dyDescent="0.35">
      <c r="A16" s="99">
        <v>3</v>
      </c>
      <c r="B16" s="125">
        <f>B15+31</f>
        <v>45198</v>
      </c>
      <c r="C16" s="128">
        <f t="shared" si="4"/>
        <v>175178663.11986715</v>
      </c>
      <c r="D16" s="128">
        <f>+D15</f>
        <v>-3651584.1278573517</v>
      </c>
      <c r="E16" s="128">
        <f t="shared" si="0"/>
        <v>171527078.99200979</v>
      </c>
      <c r="F16" s="126">
        <f t="shared" si="5"/>
        <v>8.299999999999999E-2</v>
      </c>
      <c r="G16" s="127">
        <f t="shared" si="1"/>
        <v>1186395.6296999999</v>
      </c>
      <c r="H16" s="128">
        <f t="shared" si="2"/>
        <v>172713474.62170979</v>
      </c>
      <c r="I16" s="129">
        <f t="shared" si="3"/>
        <v>-3576849.9552372191</v>
      </c>
      <c r="J16" s="124"/>
    </row>
    <row r="17" spans="1:11" x14ac:dyDescent="0.35">
      <c r="A17" s="99">
        <v>4</v>
      </c>
      <c r="B17" s="125">
        <f t="shared" ref="B17:B22" si="6">B16+30</f>
        <v>45228</v>
      </c>
      <c r="C17" s="128">
        <f t="shared" si="4"/>
        <v>172713474.62170979</v>
      </c>
      <c r="D17" s="128">
        <f>+D16</f>
        <v>-3651584.1278573517</v>
      </c>
      <c r="E17" s="128">
        <f t="shared" si="0"/>
        <v>169061890.49385244</v>
      </c>
      <c r="F17" s="126">
        <f t="shared" si="5"/>
        <v>8.299999999999999E-2</v>
      </c>
      <c r="G17" s="127">
        <f t="shared" si="1"/>
        <v>1169344.7426</v>
      </c>
      <c r="H17" s="128">
        <f t="shared" si="2"/>
        <v>170231235.23645243</v>
      </c>
      <c r="I17" s="129">
        <f t="shared" si="3"/>
        <v>-3552280.0184429889</v>
      </c>
      <c r="J17" s="124"/>
    </row>
    <row r="18" spans="1:11" x14ac:dyDescent="0.35">
      <c r="A18" s="99">
        <v>5</v>
      </c>
      <c r="B18" s="125">
        <f>B17+31</f>
        <v>45259</v>
      </c>
      <c r="C18" s="128">
        <f t="shared" si="4"/>
        <v>170231235.23645243</v>
      </c>
      <c r="D18" s="128">
        <f>D17</f>
        <v>-3651584.1278573517</v>
      </c>
      <c r="E18" s="128">
        <f t="shared" si="0"/>
        <v>166579651.10859507</v>
      </c>
      <c r="F18" s="126">
        <f t="shared" si="5"/>
        <v>8.299999999999999E-2</v>
      </c>
      <c r="G18" s="127">
        <f t="shared" si="1"/>
        <v>1152175.9202000001</v>
      </c>
      <c r="H18" s="128">
        <f t="shared" si="2"/>
        <v>167731827.02879506</v>
      </c>
      <c r="I18" s="129">
        <f t="shared" si="3"/>
        <v>-3527878.8563532126</v>
      </c>
      <c r="J18" s="124"/>
    </row>
    <row r="19" spans="1:11" x14ac:dyDescent="0.35">
      <c r="A19" s="99">
        <v>6</v>
      </c>
      <c r="B19" s="125">
        <f t="shared" si="6"/>
        <v>45289</v>
      </c>
      <c r="C19" s="128">
        <f t="shared" si="4"/>
        <v>167731827.02879506</v>
      </c>
      <c r="D19" s="128">
        <f t="shared" ref="D19:D22" si="7">D18</f>
        <v>-3651584.1278573517</v>
      </c>
      <c r="E19" s="128">
        <f t="shared" si="0"/>
        <v>164080242.90093771</v>
      </c>
      <c r="F19" s="126">
        <f t="shared" si="5"/>
        <v>8.299999999999999E-2</v>
      </c>
      <c r="G19" s="127">
        <f t="shared" si="1"/>
        <v>1134888.3467000001</v>
      </c>
      <c r="H19" s="128">
        <f t="shared" si="2"/>
        <v>165215131.24763772</v>
      </c>
      <c r="I19" s="129">
        <f t="shared" si="3"/>
        <v>-3503645.3096282836</v>
      </c>
      <c r="J19" s="124"/>
    </row>
    <row r="20" spans="1:11" x14ac:dyDescent="0.35">
      <c r="A20" s="99">
        <v>7</v>
      </c>
      <c r="B20" s="125">
        <f>B19+31</f>
        <v>45320</v>
      </c>
      <c r="C20" s="128">
        <f t="shared" si="4"/>
        <v>165215131.24763772</v>
      </c>
      <c r="D20" s="128">
        <f t="shared" si="7"/>
        <v>-3651584.1278573517</v>
      </c>
      <c r="E20" s="128">
        <f t="shared" si="0"/>
        <v>161563547.11978036</v>
      </c>
      <c r="F20" s="126">
        <f t="shared" si="5"/>
        <v>8.299999999999999E-2</v>
      </c>
      <c r="G20" s="127">
        <f t="shared" si="1"/>
        <v>1117481.2009000001</v>
      </c>
      <c r="H20" s="128">
        <f t="shared" si="2"/>
        <v>162681028.32068035</v>
      </c>
      <c r="I20" s="129">
        <f t="shared" si="3"/>
        <v>-3479578.2268922785</v>
      </c>
      <c r="J20" s="124"/>
    </row>
    <row r="21" spans="1:11" x14ac:dyDescent="0.35">
      <c r="A21" s="99">
        <v>8</v>
      </c>
      <c r="B21" s="125">
        <f>B20+31</f>
        <v>45351</v>
      </c>
      <c r="C21" s="128">
        <f t="shared" si="4"/>
        <v>162681028.32068035</v>
      </c>
      <c r="D21" s="128">
        <f t="shared" si="7"/>
        <v>-3651584.1278573517</v>
      </c>
      <c r="E21" s="128">
        <f t="shared" si="0"/>
        <v>159029444.19282299</v>
      </c>
      <c r="F21" s="126">
        <f t="shared" si="5"/>
        <v>8.299999999999999E-2</v>
      </c>
      <c r="G21" s="127">
        <f t="shared" si="1"/>
        <v>1099953.6557</v>
      </c>
      <c r="H21" s="128">
        <f t="shared" si="2"/>
        <v>160129397.84852299</v>
      </c>
      <c r="I21" s="129">
        <f t="shared" si="3"/>
        <v>-3455676.4646782544</v>
      </c>
      <c r="J21" s="124"/>
    </row>
    <row r="22" spans="1:11" x14ac:dyDescent="0.35">
      <c r="A22" s="99">
        <v>9</v>
      </c>
      <c r="B22" s="125">
        <f t="shared" si="6"/>
        <v>45381</v>
      </c>
      <c r="C22" s="128">
        <f t="shared" si="4"/>
        <v>160129397.84852299</v>
      </c>
      <c r="D22" s="128">
        <f t="shared" si="7"/>
        <v>-3651584.1278573517</v>
      </c>
      <c r="E22" s="128">
        <f t="shared" si="0"/>
        <v>156477813.72066563</v>
      </c>
      <c r="F22" s="126">
        <f t="shared" si="5"/>
        <v>8.299999999999999E-2</v>
      </c>
      <c r="G22" s="127">
        <f t="shared" si="1"/>
        <v>1082304.8781999999</v>
      </c>
      <c r="H22" s="128">
        <f t="shared" si="2"/>
        <v>157560118.59886563</v>
      </c>
      <c r="I22" s="129">
        <f t="shared" si="3"/>
        <v>-3431938.8873739177</v>
      </c>
      <c r="J22" s="124"/>
    </row>
    <row r="23" spans="1:11" x14ac:dyDescent="0.35">
      <c r="A23" s="99">
        <v>10</v>
      </c>
      <c r="B23" s="125">
        <f>B22+31</f>
        <v>45412</v>
      </c>
      <c r="C23" s="128">
        <f>H22</f>
        <v>157560118.59886563</v>
      </c>
      <c r="D23" s="128">
        <f>D22</f>
        <v>-3651584.1278573517</v>
      </c>
      <c r="E23" s="128">
        <f t="shared" si="0"/>
        <v>153908534.47100827</v>
      </c>
      <c r="F23" s="126">
        <f>F22</f>
        <v>8.299999999999999E-2</v>
      </c>
      <c r="G23" s="127">
        <f t="shared" si="1"/>
        <v>1064534.0301000001</v>
      </c>
      <c r="H23" s="128">
        <f t="shared" si="2"/>
        <v>154973068.50110826</v>
      </c>
      <c r="I23" s="129">
        <f t="shared" si="3"/>
        <v>-3408364.3671676749</v>
      </c>
      <c r="J23" s="124"/>
    </row>
    <row r="24" spans="1:11" x14ac:dyDescent="0.35">
      <c r="A24" s="99">
        <v>11</v>
      </c>
      <c r="B24" s="125">
        <f>B23+30</f>
        <v>45442</v>
      </c>
      <c r="C24" s="128">
        <f>H23</f>
        <v>154973068.50110826</v>
      </c>
      <c r="D24" s="128">
        <f>D23</f>
        <v>-3651584.1278573517</v>
      </c>
      <c r="E24" s="128">
        <f t="shared" si="0"/>
        <v>151321484.3732509</v>
      </c>
      <c r="F24" s="126">
        <f>F23</f>
        <v>8.299999999999999E-2</v>
      </c>
      <c r="G24" s="127">
        <f t="shared" si="1"/>
        <v>1046640.2669</v>
      </c>
      <c r="H24" s="128">
        <f t="shared" si="2"/>
        <v>152368124.6401509</v>
      </c>
      <c r="I24" s="129">
        <f t="shared" si="3"/>
        <v>-3384951.7839950426</v>
      </c>
      <c r="J24" s="124"/>
    </row>
    <row r="25" spans="1:11" x14ac:dyDescent="0.35">
      <c r="A25" s="99">
        <v>12</v>
      </c>
      <c r="B25" s="125">
        <f>B24+31</f>
        <v>45473</v>
      </c>
      <c r="C25" s="128">
        <f t="shared" ref="C25:C34" si="8">H24</f>
        <v>152368124.6401509</v>
      </c>
      <c r="D25" s="128">
        <f t="shared" ref="D25:D30" si="9">D24</f>
        <v>-3651584.1278573517</v>
      </c>
      <c r="E25" s="128">
        <f t="shared" si="0"/>
        <v>148716540.51229355</v>
      </c>
      <c r="F25" s="126">
        <f t="shared" ref="F25:F73" si="10">F24</f>
        <v>8.299999999999999E-2</v>
      </c>
      <c r="G25" s="127">
        <f t="shared" si="1"/>
        <v>1028622.7385</v>
      </c>
      <c r="H25" s="128">
        <f t="shared" si="2"/>
        <v>149745163.25079355</v>
      </c>
      <c r="I25" s="129">
        <f t="shared" si="3"/>
        <v>-3361700.0254854355</v>
      </c>
      <c r="J25" s="124"/>
    </row>
    <row r="26" spans="1:11" x14ac:dyDescent="0.35">
      <c r="A26" s="99">
        <v>13</v>
      </c>
      <c r="B26" s="125">
        <f>B25+31</f>
        <v>45504</v>
      </c>
      <c r="C26" s="128">
        <f t="shared" si="8"/>
        <v>149745163.25079355</v>
      </c>
      <c r="D26" s="128">
        <f t="shared" si="9"/>
        <v>-3651584.1278573517</v>
      </c>
      <c r="E26" s="128">
        <f t="shared" si="0"/>
        <v>146093579.12293619</v>
      </c>
      <c r="F26" s="126">
        <f t="shared" si="10"/>
        <v>8.299999999999999E-2</v>
      </c>
      <c r="G26" s="127">
        <f t="shared" si="1"/>
        <v>1010480.5889</v>
      </c>
      <c r="H26" s="128">
        <f t="shared" si="2"/>
        <v>147104059.71183619</v>
      </c>
      <c r="I26" s="129">
        <f t="shared" si="3"/>
        <v>-3338607.9869093131</v>
      </c>
      <c r="J26" s="124"/>
    </row>
    <row r="27" spans="1:11" x14ac:dyDescent="0.35">
      <c r="A27" s="99">
        <v>14</v>
      </c>
      <c r="B27" s="125">
        <f>B26+29</f>
        <v>45533</v>
      </c>
      <c r="C27" s="128">
        <f t="shared" si="8"/>
        <v>147104059.71183619</v>
      </c>
      <c r="D27" s="128">
        <f t="shared" si="9"/>
        <v>-3651584.1278573517</v>
      </c>
      <c r="E27" s="128">
        <f t="shared" si="0"/>
        <v>143452475.58397883</v>
      </c>
      <c r="F27" s="126">
        <f t="shared" si="10"/>
        <v>8.299999999999999E-2</v>
      </c>
      <c r="G27" s="127">
        <f t="shared" si="1"/>
        <v>992212.95609999995</v>
      </c>
      <c r="H27" s="128">
        <f t="shared" si="2"/>
        <v>144444688.54007882</v>
      </c>
      <c r="I27" s="129">
        <f t="shared" si="3"/>
        <v>-3315674.5711256932</v>
      </c>
      <c r="J27" s="124"/>
    </row>
    <row r="28" spans="1:11" x14ac:dyDescent="0.35">
      <c r="A28" s="99">
        <v>15</v>
      </c>
      <c r="B28" s="125">
        <f>B27+31</f>
        <v>45564</v>
      </c>
      <c r="C28" s="128">
        <f t="shared" si="8"/>
        <v>144444688.54007882</v>
      </c>
      <c r="D28" s="128">
        <f t="shared" si="9"/>
        <v>-3651584.1278573517</v>
      </c>
      <c r="E28" s="128">
        <f t="shared" si="0"/>
        <v>140793104.41222146</v>
      </c>
      <c r="F28" s="126">
        <f t="shared" si="10"/>
        <v>8.299999999999999E-2</v>
      </c>
      <c r="G28" s="127">
        <f t="shared" si="1"/>
        <v>973818.97219999996</v>
      </c>
      <c r="H28" s="128">
        <f t="shared" si="2"/>
        <v>141766923.38442147</v>
      </c>
      <c r="I28" s="129">
        <f t="shared" si="3"/>
        <v>-3292898.6885300274</v>
      </c>
      <c r="J28" s="124"/>
    </row>
    <row r="29" spans="1:11" x14ac:dyDescent="0.35">
      <c r="A29" s="99">
        <v>16</v>
      </c>
      <c r="B29" s="125">
        <f t="shared" ref="B29:B34" si="11">B28+30</f>
        <v>45594</v>
      </c>
      <c r="C29" s="128">
        <f t="shared" si="8"/>
        <v>141766923.38442147</v>
      </c>
      <c r="D29" s="128">
        <f t="shared" si="9"/>
        <v>-3651584.1278573517</v>
      </c>
      <c r="E29" s="128">
        <f t="shared" si="0"/>
        <v>138115339.25656411</v>
      </c>
      <c r="F29" s="126">
        <f t="shared" si="10"/>
        <v>8.299999999999999E-2</v>
      </c>
      <c r="G29" s="127">
        <f t="shared" si="1"/>
        <v>955297.76320000004</v>
      </c>
      <c r="H29" s="128">
        <f t="shared" si="2"/>
        <v>139070637.01976413</v>
      </c>
      <c r="I29" s="129">
        <f t="shared" si="3"/>
        <v>-3270279.2570024277</v>
      </c>
      <c r="J29" s="124"/>
    </row>
    <row r="30" spans="1:11" x14ac:dyDescent="0.35">
      <c r="A30" s="99">
        <v>17</v>
      </c>
      <c r="B30" s="125">
        <f>B29+31</f>
        <v>45625</v>
      </c>
      <c r="C30" s="128">
        <f t="shared" si="8"/>
        <v>139070637.01976413</v>
      </c>
      <c r="D30" s="128">
        <f t="shared" si="9"/>
        <v>-3651584.1278573517</v>
      </c>
      <c r="E30" s="128">
        <f t="shared" si="0"/>
        <v>135419052.89190677</v>
      </c>
      <c r="F30" s="126">
        <f t="shared" si="10"/>
        <v>8.299999999999999E-2</v>
      </c>
      <c r="G30" s="127">
        <f t="shared" si="1"/>
        <v>936648.44920000003</v>
      </c>
      <c r="H30" s="128">
        <f t="shared" si="2"/>
        <v>136355701.34110677</v>
      </c>
      <c r="I30" s="129">
        <f t="shared" si="3"/>
        <v>-3247815.2018562555</v>
      </c>
      <c r="J30" s="124"/>
    </row>
    <row r="31" spans="1:11" x14ac:dyDescent="0.35">
      <c r="A31" s="99">
        <v>18</v>
      </c>
      <c r="B31" s="125">
        <f t="shared" si="11"/>
        <v>45655</v>
      </c>
      <c r="C31" s="128">
        <f t="shared" si="8"/>
        <v>136355701.34110677</v>
      </c>
      <c r="D31" s="128">
        <f>D30</f>
        <v>-3651584.1278573517</v>
      </c>
      <c r="E31" s="128">
        <f t="shared" si="0"/>
        <v>132704117.21324942</v>
      </c>
      <c r="F31" s="126">
        <f t="shared" si="10"/>
        <v>8.299999999999999E-2</v>
      </c>
      <c r="G31" s="127">
        <f t="shared" si="1"/>
        <v>917870.14410000003</v>
      </c>
      <c r="H31" s="128">
        <f t="shared" si="2"/>
        <v>133621987.35734941</v>
      </c>
      <c r="I31" s="129">
        <f t="shared" si="3"/>
        <v>-3225505.4557870617</v>
      </c>
      <c r="K31" s="124"/>
    </row>
    <row r="32" spans="1:11" x14ac:dyDescent="0.35">
      <c r="A32" s="99">
        <v>19</v>
      </c>
      <c r="B32" s="125">
        <f>B31+31</f>
        <v>45686</v>
      </c>
      <c r="C32" s="128">
        <f t="shared" si="8"/>
        <v>133621987.35734941</v>
      </c>
      <c r="D32" s="128">
        <f t="shared" ref="D32:D34" si="12">D31</f>
        <v>-3651584.1278573517</v>
      </c>
      <c r="E32" s="128">
        <f t="shared" si="0"/>
        <v>129970403.22949205</v>
      </c>
      <c r="F32" s="126">
        <f t="shared" si="10"/>
        <v>8.299999999999999E-2</v>
      </c>
      <c r="G32" s="127">
        <f t="shared" si="1"/>
        <v>898961.95570000005</v>
      </c>
      <c r="H32" s="128">
        <f t="shared" si="2"/>
        <v>130869365.18519205</v>
      </c>
      <c r="I32" s="129">
        <f t="shared" si="3"/>
        <v>-3203348.9588218769</v>
      </c>
    </row>
    <row r="33" spans="1:10" x14ac:dyDescent="0.35">
      <c r="A33" s="99">
        <v>20</v>
      </c>
      <c r="B33" s="125">
        <f>B32+31</f>
        <v>45717</v>
      </c>
      <c r="C33" s="128">
        <f t="shared" si="8"/>
        <v>130869365.18519205</v>
      </c>
      <c r="D33" s="128">
        <f t="shared" si="12"/>
        <v>-3651584.1278573517</v>
      </c>
      <c r="E33" s="128">
        <f t="shared" si="0"/>
        <v>127217781.05733469</v>
      </c>
      <c r="F33" s="126">
        <f t="shared" si="10"/>
        <v>8.299999999999999E-2</v>
      </c>
      <c r="G33" s="127">
        <f t="shared" si="1"/>
        <v>879922.98560000001</v>
      </c>
      <c r="H33" s="128">
        <f t="shared" si="2"/>
        <v>128097704.04293469</v>
      </c>
      <c r="I33" s="129">
        <f t="shared" si="3"/>
        <v>-3181344.6582688508</v>
      </c>
    </row>
    <row r="34" spans="1:10" x14ac:dyDescent="0.35">
      <c r="A34" s="99">
        <v>21</v>
      </c>
      <c r="B34" s="125">
        <f t="shared" si="11"/>
        <v>45747</v>
      </c>
      <c r="C34" s="128">
        <f t="shared" si="8"/>
        <v>128097704.04293469</v>
      </c>
      <c r="D34" s="128">
        <f t="shared" si="12"/>
        <v>-3651584.1278573517</v>
      </c>
      <c r="E34" s="128">
        <f t="shared" si="0"/>
        <v>124446119.91507733</v>
      </c>
      <c r="F34" s="126">
        <f t="shared" si="10"/>
        <v>8.299999999999999E-2</v>
      </c>
      <c r="G34" s="127">
        <f t="shared" si="1"/>
        <v>860752.32940000005</v>
      </c>
      <c r="H34" s="128">
        <f t="shared" si="2"/>
        <v>125306872.24447733</v>
      </c>
      <c r="I34" s="129">
        <f t="shared" si="3"/>
        <v>-3159491.5086672367</v>
      </c>
      <c r="J34" s="124"/>
    </row>
    <row r="35" spans="1:10" x14ac:dyDescent="0.35">
      <c r="A35" s="99">
        <v>22</v>
      </c>
      <c r="B35" s="125">
        <f>B34+31</f>
        <v>45778</v>
      </c>
      <c r="C35" s="128">
        <f>H34</f>
        <v>125306872.24447733</v>
      </c>
      <c r="D35" s="128">
        <f>D34</f>
        <v>-3651584.1278573517</v>
      </c>
      <c r="E35" s="128">
        <f t="shared" si="0"/>
        <v>121655288.11661997</v>
      </c>
      <c r="F35" s="126">
        <f t="shared" si="10"/>
        <v>8.299999999999999E-2</v>
      </c>
      <c r="G35" s="127">
        <f t="shared" si="1"/>
        <v>841449.07609999995</v>
      </c>
      <c r="H35" s="128">
        <f t="shared" si="2"/>
        <v>122496737.19271998</v>
      </c>
      <c r="I35" s="129">
        <f t="shared" si="3"/>
        <v>-3137788.4717377168</v>
      </c>
    </row>
    <row r="36" spans="1:10" x14ac:dyDescent="0.35">
      <c r="A36" s="99">
        <v>23</v>
      </c>
      <c r="B36" s="125">
        <f>B35+30</f>
        <v>45808</v>
      </c>
      <c r="C36" s="128">
        <f>H35</f>
        <v>122496737.19271998</v>
      </c>
      <c r="D36" s="128">
        <f>D35</f>
        <v>-3651584.1278573517</v>
      </c>
      <c r="E36" s="128">
        <f t="shared" si="0"/>
        <v>118845153.06486262</v>
      </c>
      <c r="F36" s="126">
        <f t="shared" si="10"/>
        <v>8.299999999999999E-2</v>
      </c>
      <c r="G36" s="127">
        <f t="shared" si="1"/>
        <v>822012.30870000005</v>
      </c>
      <c r="H36" s="128">
        <f t="shared" si="2"/>
        <v>119667165.37356262</v>
      </c>
      <c r="I36" s="129">
        <f t="shared" si="3"/>
        <v>-3116234.5163330799</v>
      </c>
    </row>
    <row r="37" spans="1:10" x14ac:dyDescent="0.35">
      <c r="A37" s="99">
        <v>24</v>
      </c>
      <c r="B37" s="125">
        <f>B36+31</f>
        <v>45839</v>
      </c>
      <c r="C37" s="128">
        <f t="shared" ref="C37:C46" si="13">H36</f>
        <v>119667165.37356262</v>
      </c>
      <c r="D37" s="128">
        <f t="shared" ref="D37:D58" si="14">D36</f>
        <v>-3651584.1278573517</v>
      </c>
      <c r="E37" s="128">
        <f t="shared" si="0"/>
        <v>116015581.24570526</v>
      </c>
      <c r="F37" s="126">
        <f t="shared" si="10"/>
        <v>8.299999999999999E-2</v>
      </c>
      <c r="G37" s="127">
        <f t="shared" si="1"/>
        <v>802441.10360000003</v>
      </c>
      <c r="H37" s="128">
        <f t="shared" si="2"/>
        <v>116818022.34930526</v>
      </c>
      <c r="I37" s="129">
        <f t="shared" si="3"/>
        <v>-3094828.6183892218</v>
      </c>
      <c r="J37" s="124"/>
    </row>
    <row r="38" spans="1:10" x14ac:dyDescent="0.35">
      <c r="A38" s="99">
        <v>25</v>
      </c>
      <c r="B38" s="125">
        <f>B37+31</f>
        <v>45870</v>
      </c>
      <c r="C38" s="128">
        <f t="shared" si="13"/>
        <v>116818022.34930526</v>
      </c>
      <c r="D38" s="128">
        <f t="shared" si="14"/>
        <v>-3651584.1278573517</v>
      </c>
      <c r="E38" s="128">
        <f t="shared" si="0"/>
        <v>113166438.2214479</v>
      </c>
      <c r="F38" s="126">
        <f t="shared" si="10"/>
        <v>8.299999999999999E-2</v>
      </c>
      <c r="G38" s="127">
        <f t="shared" si="1"/>
        <v>782734.53099999996</v>
      </c>
      <c r="H38" s="128">
        <f t="shared" si="2"/>
        <v>113949172.7524479</v>
      </c>
      <c r="I38" s="129">
        <f t="shared" si="3"/>
        <v>-3073569.7608764921</v>
      </c>
    </row>
    <row r="39" spans="1:10" x14ac:dyDescent="0.35">
      <c r="A39" s="99">
        <v>26</v>
      </c>
      <c r="B39" s="125">
        <f>B38+28</f>
        <v>45898</v>
      </c>
      <c r="C39" s="128">
        <f t="shared" si="13"/>
        <v>113949172.7524479</v>
      </c>
      <c r="D39" s="128">
        <f t="shared" si="14"/>
        <v>-3651584.1278573517</v>
      </c>
      <c r="E39" s="128">
        <f t="shared" si="0"/>
        <v>110297588.62459055</v>
      </c>
      <c r="F39" s="126">
        <f t="shared" si="10"/>
        <v>8.299999999999999E-2</v>
      </c>
      <c r="G39" s="127">
        <f t="shared" si="1"/>
        <v>762891.65469999996</v>
      </c>
      <c r="H39" s="128">
        <f t="shared" si="2"/>
        <v>111060480.27929054</v>
      </c>
      <c r="I39" s="129">
        <f t="shared" si="3"/>
        <v>-3052456.9337513782</v>
      </c>
    </row>
    <row r="40" spans="1:10" x14ac:dyDescent="0.35">
      <c r="A40" s="99">
        <v>27</v>
      </c>
      <c r="B40" s="125">
        <f>B39+31</f>
        <v>45929</v>
      </c>
      <c r="C40" s="128">
        <f t="shared" si="13"/>
        <v>111060480.27929054</v>
      </c>
      <c r="D40" s="128">
        <f t="shared" si="14"/>
        <v>-3651584.1278573517</v>
      </c>
      <c r="E40" s="128">
        <f t="shared" si="0"/>
        <v>107408896.15143318</v>
      </c>
      <c r="F40" s="126">
        <f t="shared" si="10"/>
        <v>8.299999999999999E-2</v>
      </c>
      <c r="G40" s="127">
        <f t="shared" si="1"/>
        <v>742911.53170000005</v>
      </c>
      <c r="H40" s="128">
        <f t="shared" si="2"/>
        <v>108151807.68313318</v>
      </c>
      <c r="I40" s="129">
        <f t="shared" si="3"/>
        <v>-3031489.1339085111</v>
      </c>
    </row>
    <row r="41" spans="1:10" x14ac:dyDescent="0.35">
      <c r="A41" s="99">
        <v>28</v>
      </c>
      <c r="B41" s="125">
        <f t="shared" ref="B41:B46" si="15">B40+30</f>
        <v>45959</v>
      </c>
      <c r="C41" s="128">
        <f t="shared" si="13"/>
        <v>108151807.68313318</v>
      </c>
      <c r="D41" s="128">
        <f t="shared" si="14"/>
        <v>-3651584.1278573517</v>
      </c>
      <c r="E41" s="128">
        <f t="shared" si="0"/>
        <v>104500223.55527583</v>
      </c>
      <c r="F41" s="126">
        <f t="shared" si="10"/>
        <v>8.299999999999999E-2</v>
      </c>
      <c r="G41" s="127">
        <f t="shared" si="1"/>
        <v>722793.21290000004</v>
      </c>
      <c r="H41" s="128">
        <f t="shared" si="2"/>
        <v>105223016.76817583</v>
      </c>
      <c r="I41" s="129">
        <f t="shared" si="3"/>
        <v>-3010665.3651330085</v>
      </c>
    </row>
    <row r="42" spans="1:10" x14ac:dyDescent="0.35">
      <c r="A42" s="99">
        <v>29</v>
      </c>
      <c r="B42" s="125">
        <f>B41+31</f>
        <v>45990</v>
      </c>
      <c r="C42" s="128">
        <f t="shared" si="13"/>
        <v>105223016.76817583</v>
      </c>
      <c r="D42" s="128">
        <f t="shared" si="14"/>
        <v>-3651584.1278573517</v>
      </c>
      <c r="E42" s="128">
        <f t="shared" si="0"/>
        <v>101571432.64031847</v>
      </c>
      <c r="F42" s="126">
        <f t="shared" si="10"/>
        <v>8.299999999999999E-2</v>
      </c>
      <c r="G42" s="127">
        <f t="shared" si="1"/>
        <v>702535.74239999999</v>
      </c>
      <c r="H42" s="128">
        <f t="shared" si="2"/>
        <v>102273968.38271847</v>
      </c>
      <c r="I42" s="129">
        <f t="shared" si="3"/>
        <v>-2989984.6380531415</v>
      </c>
    </row>
    <row r="43" spans="1:10" x14ac:dyDescent="0.35">
      <c r="A43" s="99">
        <v>30</v>
      </c>
      <c r="B43" s="125">
        <f t="shared" si="15"/>
        <v>46020</v>
      </c>
      <c r="C43" s="128">
        <f t="shared" si="13"/>
        <v>102273968.38271847</v>
      </c>
      <c r="D43" s="128">
        <f t="shared" si="14"/>
        <v>-3651584.1278573517</v>
      </c>
      <c r="E43" s="128">
        <f t="shared" si="0"/>
        <v>98622384.254861116</v>
      </c>
      <c r="F43" s="126">
        <f t="shared" si="10"/>
        <v>8.299999999999999E-2</v>
      </c>
      <c r="G43" s="127">
        <f t="shared" si="1"/>
        <v>682138.15780000004</v>
      </c>
      <c r="H43" s="128">
        <f t="shared" si="2"/>
        <v>99304522.41266112</v>
      </c>
      <c r="I43" s="129">
        <f t="shared" si="3"/>
        <v>-2969445.970093329</v>
      </c>
    </row>
    <row r="44" spans="1:10" x14ac:dyDescent="0.35">
      <c r="A44" s="99">
        <v>31</v>
      </c>
      <c r="B44" s="125">
        <f>B43+31</f>
        <v>46051</v>
      </c>
      <c r="C44" s="128">
        <f t="shared" si="13"/>
        <v>99304522.41266112</v>
      </c>
      <c r="D44" s="128">
        <f t="shared" si="14"/>
        <v>-3651584.1278573517</v>
      </c>
      <c r="E44" s="128">
        <f t="shared" si="0"/>
        <v>95652938.284803763</v>
      </c>
      <c r="F44" s="126">
        <f t="shared" si="10"/>
        <v>8.299999999999999E-2</v>
      </c>
      <c r="G44" s="127">
        <f t="shared" si="1"/>
        <v>661599.48979999998</v>
      </c>
      <c r="H44" s="128">
        <f t="shared" si="2"/>
        <v>96314537.774603769</v>
      </c>
      <c r="I44" s="129">
        <f t="shared" si="3"/>
        <v>-2949048.3854274563</v>
      </c>
      <c r="J44" s="121"/>
    </row>
    <row r="45" spans="1:10" x14ac:dyDescent="0.35">
      <c r="A45" s="99">
        <v>32</v>
      </c>
      <c r="B45" s="125">
        <f>B44+31</f>
        <v>46082</v>
      </c>
      <c r="C45" s="128">
        <f t="shared" si="13"/>
        <v>96314537.774603769</v>
      </c>
      <c r="D45" s="128">
        <f t="shared" si="14"/>
        <v>-3651584.1278573517</v>
      </c>
      <c r="E45" s="128">
        <f t="shared" si="0"/>
        <v>92662953.646746412</v>
      </c>
      <c r="F45" s="126">
        <f t="shared" si="10"/>
        <v>8.299999999999999E-2</v>
      </c>
      <c r="G45" s="127">
        <f t="shared" si="1"/>
        <v>640918.76269999996</v>
      </c>
      <c r="H45" s="128">
        <f t="shared" si="2"/>
        <v>93303872.409446418</v>
      </c>
      <c r="I45" s="129">
        <f t="shared" si="3"/>
        <v>-2928790.9149325062</v>
      </c>
      <c r="J45" s="124"/>
    </row>
    <row r="46" spans="1:10" x14ac:dyDescent="0.35">
      <c r="A46" s="99">
        <v>33</v>
      </c>
      <c r="B46" s="125">
        <f t="shared" si="15"/>
        <v>46112</v>
      </c>
      <c r="C46" s="128">
        <f t="shared" si="13"/>
        <v>93303872.409446418</v>
      </c>
      <c r="D46" s="128">
        <f t="shared" si="14"/>
        <v>-3651584.1278573517</v>
      </c>
      <c r="E46" s="128">
        <f t="shared" si="0"/>
        <v>89652288.281589061</v>
      </c>
      <c r="F46" s="126">
        <f t="shared" si="10"/>
        <v>8.299999999999999E-2</v>
      </c>
      <c r="G46" s="127">
        <f t="shared" si="1"/>
        <v>620094.9939</v>
      </c>
      <c r="H46" s="128">
        <f t="shared" ref="H46:H73" si="16">E46+G46</f>
        <v>90272383.275489062</v>
      </c>
      <c r="I46" s="129">
        <f t="shared" ref="I46:I73" si="17">IF(A46&gt;$F$5,"",((1/((1+($B$6/12))^A46))*D46))</f>
        <v>-2908672.5961425202</v>
      </c>
    </row>
    <row r="47" spans="1:10" x14ac:dyDescent="0.35">
      <c r="A47" s="99">
        <v>34</v>
      </c>
      <c r="B47" s="125">
        <f>B46+31</f>
        <v>46143</v>
      </c>
      <c r="C47" s="128">
        <f>H46</f>
        <v>90272383.275489062</v>
      </c>
      <c r="D47" s="128">
        <f>D46</f>
        <v>-3651584.1278573517</v>
      </c>
      <c r="E47" s="128">
        <f t="shared" si="0"/>
        <v>86620799.147631705</v>
      </c>
      <c r="F47" s="126">
        <f t="shared" si="10"/>
        <v>8.299999999999999E-2</v>
      </c>
      <c r="G47" s="127">
        <f t="shared" si="1"/>
        <v>599127.19409999996</v>
      </c>
      <c r="H47" s="128">
        <f t="shared" si="16"/>
        <v>87219926.341731697</v>
      </c>
      <c r="I47" s="129">
        <f t="shared" si="17"/>
        <v>-2888692.4732028674</v>
      </c>
    </row>
    <row r="48" spans="1:10" x14ac:dyDescent="0.35">
      <c r="A48" s="99">
        <v>35</v>
      </c>
      <c r="B48" s="125">
        <f>B47+30</f>
        <v>46173</v>
      </c>
      <c r="C48" s="128">
        <f>H47</f>
        <v>87219926.341731697</v>
      </c>
      <c r="D48" s="128">
        <f t="shared" si="14"/>
        <v>-3651584.1278573517</v>
      </c>
      <c r="E48" s="128">
        <f t="shared" si="0"/>
        <v>83568342.21387434</v>
      </c>
      <c r="F48" s="126">
        <f t="shared" si="10"/>
        <v>8.299999999999999E-2</v>
      </c>
      <c r="G48" s="127">
        <f t="shared" si="1"/>
        <v>578014.36699999997</v>
      </c>
      <c r="H48" s="128">
        <f t="shared" si="16"/>
        <v>84146356.580874339</v>
      </c>
      <c r="I48" s="129">
        <f t="shared" si="17"/>
        <v>-2868849.5968248295</v>
      </c>
    </row>
    <row r="49" spans="1:9" x14ac:dyDescent="0.35">
      <c r="A49" s="99">
        <v>36</v>
      </c>
      <c r="B49" s="125">
        <f>B48+31</f>
        <v>46204</v>
      </c>
      <c r="C49" s="128">
        <f t="shared" ref="C49:C58" si="18">H48</f>
        <v>84146356.580874339</v>
      </c>
      <c r="D49" s="128">
        <f t="shared" si="14"/>
        <v>-3651584.1278573517</v>
      </c>
      <c r="E49" s="128">
        <f t="shared" si="0"/>
        <v>80494772.453016981</v>
      </c>
      <c r="F49" s="126">
        <f t="shared" si="10"/>
        <v>8.299999999999999E-2</v>
      </c>
      <c r="G49" s="127">
        <f t="shared" si="1"/>
        <v>556755.50950000004</v>
      </c>
      <c r="H49" s="128">
        <f t="shared" si="16"/>
        <v>81051527.962516978</v>
      </c>
      <c r="I49" s="129">
        <f t="shared" si="17"/>
        <v>-2849143.0242404994</v>
      </c>
    </row>
    <row r="50" spans="1:9" x14ac:dyDescent="0.35">
      <c r="A50" s="99">
        <v>37</v>
      </c>
      <c r="B50" s="125">
        <f>B49+31</f>
        <v>46235</v>
      </c>
      <c r="C50" s="128">
        <f t="shared" si="18"/>
        <v>81051527.962516978</v>
      </c>
      <c r="D50" s="128">
        <f t="shared" si="14"/>
        <v>-3651584.1278573517</v>
      </c>
      <c r="E50" s="128">
        <f t="shared" si="0"/>
        <v>77399943.834659621</v>
      </c>
      <c r="F50" s="126">
        <f t="shared" si="10"/>
        <v>8.299999999999999E-2</v>
      </c>
      <c r="G50" s="127">
        <f t="shared" si="1"/>
        <v>535349.6115</v>
      </c>
      <c r="H50" s="128">
        <f t="shared" si="16"/>
        <v>77935293.446159616</v>
      </c>
      <c r="I50" s="129">
        <f t="shared" si="17"/>
        <v>-2829571.8191579902</v>
      </c>
    </row>
    <row r="51" spans="1:9" x14ac:dyDescent="0.35">
      <c r="A51" s="99">
        <v>38</v>
      </c>
      <c r="B51" s="125">
        <f>B50+28</f>
        <v>46263</v>
      </c>
      <c r="C51" s="128">
        <f t="shared" si="18"/>
        <v>77935293.446159616</v>
      </c>
      <c r="D51" s="128">
        <f t="shared" si="14"/>
        <v>-3651584.1278573517</v>
      </c>
      <c r="E51" s="128">
        <f t="shared" si="0"/>
        <v>74283709.318302259</v>
      </c>
      <c r="F51" s="126">
        <f t="shared" si="10"/>
        <v>8.299999999999999E-2</v>
      </c>
      <c r="G51" s="127">
        <f t="shared" si="1"/>
        <v>513795.65610000002</v>
      </c>
      <c r="H51" s="128">
        <f t="shared" si="16"/>
        <v>74797504.974402264</v>
      </c>
      <c r="I51" s="129">
        <f t="shared" si="17"/>
        <v>-2810135.0517169479</v>
      </c>
    </row>
    <row r="52" spans="1:9" x14ac:dyDescent="0.35">
      <c r="A52" s="99">
        <v>39</v>
      </c>
      <c r="B52" s="125">
        <f>B51+31</f>
        <v>46294</v>
      </c>
      <c r="C52" s="128">
        <f t="shared" si="18"/>
        <v>74797504.974402264</v>
      </c>
      <c r="D52" s="128">
        <f t="shared" si="14"/>
        <v>-3651584.1278573517</v>
      </c>
      <c r="E52" s="128">
        <f t="shared" si="0"/>
        <v>71145920.846544906</v>
      </c>
      <c r="F52" s="126">
        <f t="shared" si="10"/>
        <v>8.299999999999999E-2</v>
      </c>
      <c r="G52" s="127">
        <f t="shared" si="1"/>
        <v>492092.61920000002</v>
      </c>
      <c r="H52" s="128">
        <f t="shared" si="16"/>
        <v>71638013.465744913</v>
      </c>
      <c r="I52" s="129">
        <f t="shared" si="17"/>
        <v>-2790831.798444374</v>
      </c>
    </row>
    <row r="53" spans="1:9" x14ac:dyDescent="0.35">
      <c r="A53" s="99">
        <v>40</v>
      </c>
      <c r="B53" s="125">
        <f t="shared" ref="B53:B58" si="19">B52+30</f>
        <v>46324</v>
      </c>
      <c r="C53" s="128">
        <f t="shared" si="18"/>
        <v>71638013.465744913</v>
      </c>
      <c r="D53" s="128">
        <f t="shared" si="14"/>
        <v>-3651584.1278573517</v>
      </c>
      <c r="E53" s="128">
        <f t="shared" si="0"/>
        <v>67986429.337887555</v>
      </c>
      <c r="F53" s="126">
        <f t="shared" si="10"/>
        <v>8.299999999999999E-2</v>
      </c>
      <c r="G53" s="127">
        <f t="shared" si="1"/>
        <v>470239.46960000001</v>
      </c>
      <c r="H53" s="128">
        <f t="shared" si="16"/>
        <v>68456668.807487562</v>
      </c>
      <c r="I53" s="129">
        <f t="shared" si="17"/>
        <v>-2771661.1422107499</v>
      </c>
    </row>
    <row r="54" spans="1:9" x14ac:dyDescent="0.35">
      <c r="A54" s="99">
        <v>41</v>
      </c>
      <c r="B54" s="125">
        <f>B53+31</f>
        <v>46355</v>
      </c>
      <c r="C54" s="128">
        <f t="shared" si="18"/>
        <v>68456668.807487562</v>
      </c>
      <c r="D54" s="128">
        <f t="shared" si="14"/>
        <v>-3651584.1278573517</v>
      </c>
      <c r="E54" s="128">
        <f t="shared" si="0"/>
        <v>64805084.679630212</v>
      </c>
      <c r="F54" s="126">
        <f t="shared" si="10"/>
        <v>8.299999999999999E-2</v>
      </c>
      <c r="G54" s="127">
        <f t="shared" si="1"/>
        <v>448235.16899999999</v>
      </c>
      <c r="H54" s="128">
        <f t="shared" si="16"/>
        <v>65253319.848630212</v>
      </c>
      <c r="I54" s="129">
        <f t="shared" si="17"/>
        <v>-2752622.1721864603</v>
      </c>
    </row>
    <row r="55" spans="1:9" x14ac:dyDescent="0.35">
      <c r="A55" s="99">
        <v>42</v>
      </c>
      <c r="B55" s="125">
        <f t="shared" si="19"/>
        <v>46385</v>
      </c>
      <c r="C55" s="128">
        <f t="shared" si="18"/>
        <v>65253319.848630212</v>
      </c>
      <c r="D55" s="128">
        <f t="shared" si="14"/>
        <v>-3651584.1278573517</v>
      </c>
      <c r="E55" s="128">
        <f t="shared" si="0"/>
        <v>61601735.720772862</v>
      </c>
      <c r="F55" s="126">
        <f t="shared" si="10"/>
        <v>8.299999999999999E-2</v>
      </c>
      <c r="G55" s="127">
        <f t="shared" si="1"/>
        <v>426078.67210000003</v>
      </c>
      <c r="H55" s="128">
        <f t="shared" si="16"/>
        <v>62027814.392872863</v>
      </c>
      <c r="I55" s="129">
        <f t="shared" si="17"/>
        <v>-2733713.9837985206</v>
      </c>
    </row>
    <row r="56" spans="1:9" x14ac:dyDescent="0.35">
      <c r="A56" s="99">
        <v>43</v>
      </c>
      <c r="B56" s="125">
        <f>B55+31</f>
        <v>46416</v>
      </c>
      <c r="C56" s="128">
        <f t="shared" si="18"/>
        <v>62027814.392872863</v>
      </c>
      <c r="D56" s="128">
        <f t="shared" si="14"/>
        <v>-3651584.1278573517</v>
      </c>
      <c r="E56" s="128">
        <f t="shared" si="0"/>
        <v>58376230.265015513</v>
      </c>
      <c r="F56" s="126">
        <f t="shared" si="10"/>
        <v>8.299999999999999E-2</v>
      </c>
      <c r="G56" s="127">
        <f t="shared" si="1"/>
        <v>403768.92599999998</v>
      </c>
      <c r="H56" s="128">
        <f t="shared" si="16"/>
        <v>58779999.191015512</v>
      </c>
      <c r="I56" s="129">
        <f t="shared" si="17"/>
        <v>-2714935.6786875981</v>
      </c>
    </row>
    <row r="57" spans="1:9" x14ac:dyDescent="0.35">
      <c r="A57" s="99">
        <v>44</v>
      </c>
      <c r="B57" s="125">
        <f>B56+31</f>
        <v>46447</v>
      </c>
      <c r="C57" s="128">
        <f t="shared" si="18"/>
        <v>58779999.191015512</v>
      </c>
      <c r="D57" s="128">
        <f t="shared" si="14"/>
        <v>-3651584.1278573517</v>
      </c>
      <c r="E57" s="128">
        <f t="shared" si="0"/>
        <v>55128415.063158162</v>
      </c>
      <c r="F57" s="126">
        <f t="shared" si="10"/>
        <v>8.299999999999999E-2</v>
      </c>
      <c r="G57" s="127">
        <f t="shared" si="1"/>
        <v>381304.87089999998</v>
      </c>
      <c r="H57" s="128">
        <f t="shared" si="16"/>
        <v>55509719.93405816</v>
      </c>
      <c r="I57" s="129">
        <f t="shared" si="17"/>
        <v>-2696286.3646653295</v>
      </c>
    </row>
    <row r="58" spans="1:9" x14ac:dyDescent="0.35">
      <c r="A58" s="99">
        <v>45</v>
      </c>
      <c r="B58" s="125">
        <f t="shared" si="19"/>
        <v>46477</v>
      </c>
      <c r="C58" s="128">
        <f t="shared" si="18"/>
        <v>55509719.93405816</v>
      </c>
      <c r="D58" s="128">
        <f t="shared" si="14"/>
        <v>-3651584.1278573517</v>
      </c>
      <c r="E58" s="128">
        <f t="shared" si="0"/>
        <v>51858135.80620081</v>
      </c>
      <c r="F58" s="126">
        <f t="shared" si="10"/>
        <v>8.299999999999999E-2</v>
      </c>
      <c r="G58" s="127">
        <f t="shared" si="1"/>
        <v>358685.43930000003</v>
      </c>
      <c r="H58" s="128">
        <f t="shared" si="16"/>
        <v>52216821.24550081</v>
      </c>
      <c r="I58" s="129">
        <f t="shared" si="17"/>
        <v>-2677765.1556719327</v>
      </c>
    </row>
    <row r="59" spans="1:9" x14ac:dyDescent="0.35">
      <c r="A59" s="99">
        <v>46</v>
      </c>
      <c r="B59" s="125">
        <f>B58+31</f>
        <v>46508</v>
      </c>
      <c r="C59" s="128">
        <f>H58</f>
        <v>52216821.24550081</v>
      </c>
      <c r="D59" s="128">
        <f>D58</f>
        <v>-3651584.1278573517</v>
      </c>
      <c r="E59" s="128">
        <f t="shared" si="0"/>
        <v>48565237.117643461</v>
      </c>
      <c r="F59" s="126">
        <f t="shared" si="10"/>
        <v>8.299999999999999E-2</v>
      </c>
      <c r="G59" s="127">
        <f t="shared" si="1"/>
        <v>335909.55670000002</v>
      </c>
      <c r="H59" s="128">
        <f t="shared" si="16"/>
        <v>48901146.674343459</v>
      </c>
      <c r="I59" s="129">
        <f t="shared" si="17"/>
        <v>-2659371.1717341049</v>
      </c>
    </row>
    <row r="60" spans="1:9" x14ac:dyDescent="0.35">
      <c r="A60" s="99">
        <v>47</v>
      </c>
      <c r="B60" s="125">
        <f>B59+30</f>
        <v>46538</v>
      </c>
      <c r="C60" s="128">
        <f>H59</f>
        <v>48901146.674343459</v>
      </c>
      <c r="D60" s="128">
        <f>D59</f>
        <v>-3651584.1278573517</v>
      </c>
      <c r="E60" s="128">
        <f t="shared" si="0"/>
        <v>45249562.546486109</v>
      </c>
      <c r="F60" s="126">
        <f t="shared" si="10"/>
        <v>8.299999999999999E-2</v>
      </c>
      <c r="G60" s="127">
        <f t="shared" si="1"/>
        <v>312976.1409</v>
      </c>
      <c r="H60" s="128">
        <f t="shared" si="16"/>
        <v>45562538.68738611</v>
      </c>
      <c r="I60" s="129">
        <f t="shared" si="17"/>
        <v>-2641103.5389232193</v>
      </c>
    </row>
    <row r="61" spans="1:9" x14ac:dyDescent="0.35">
      <c r="A61" s="99">
        <v>48</v>
      </c>
      <c r="B61" s="125">
        <f>B60+31</f>
        <v>46569</v>
      </c>
      <c r="C61" s="128">
        <f t="shared" ref="C61:C70" si="20">H60</f>
        <v>45562538.68738611</v>
      </c>
      <c r="D61" s="128">
        <f t="shared" ref="D61:D70" si="21">D60</f>
        <v>-3651584.1278573517</v>
      </c>
      <c r="E61" s="128">
        <f t="shared" si="0"/>
        <v>41910954.559528761</v>
      </c>
      <c r="F61" s="126">
        <f t="shared" si="10"/>
        <v>8.299999999999999E-2</v>
      </c>
      <c r="G61" s="127">
        <f t="shared" si="1"/>
        <v>289884.10239999997</v>
      </c>
      <c r="H61" s="128">
        <f t="shared" si="16"/>
        <v>42200838.661928758</v>
      </c>
      <c r="I61" s="129">
        <f t="shared" si="17"/>
        <v>-2622961.3893137993</v>
      </c>
    </row>
    <row r="62" spans="1:9" x14ac:dyDescent="0.35">
      <c r="A62" s="99">
        <v>49</v>
      </c>
      <c r="B62" s="125">
        <f>B61+31</f>
        <v>46600</v>
      </c>
      <c r="C62" s="128">
        <f t="shared" si="20"/>
        <v>42200838.661928758</v>
      </c>
      <c r="D62" s="128">
        <f t="shared" si="21"/>
        <v>-3651584.1278573517</v>
      </c>
      <c r="E62" s="128">
        <f t="shared" si="0"/>
        <v>38549254.534071408</v>
      </c>
      <c r="F62" s="126">
        <f t="shared" si="10"/>
        <v>8.299999999999999E-2</v>
      </c>
      <c r="G62" s="127">
        <f t="shared" si="1"/>
        <v>266632.34389999998</v>
      </c>
      <c r="H62" s="128">
        <f t="shared" si="16"/>
        <v>38815886.877971411</v>
      </c>
      <c r="I62" s="129">
        <f t="shared" si="17"/>
        <v>-2604943.8609422818</v>
      </c>
    </row>
    <row r="63" spans="1:9" x14ac:dyDescent="0.35">
      <c r="A63" s="99">
        <v>50</v>
      </c>
      <c r="B63" s="125">
        <f>B62+28</f>
        <v>46628</v>
      </c>
      <c r="C63" s="128">
        <f t="shared" si="20"/>
        <v>38815886.877971411</v>
      </c>
      <c r="D63" s="128">
        <f t="shared" si="21"/>
        <v>-3651584.1278573517</v>
      </c>
      <c r="E63" s="128">
        <f t="shared" si="0"/>
        <v>35164302.750114061</v>
      </c>
      <c r="F63" s="126">
        <f t="shared" si="10"/>
        <v>8.299999999999999E-2</v>
      </c>
      <c r="G63" s="127">
        <f t="shared" si="1"/>
        <v>243219.76070000001</v>
      </c>
      <c r="H63" s="128">
        <f t="shared" si="16"/>
        <v>35407522.510814063</v>
      </c>
      <c r="I63" s="129">
        <f t="shared" si="17"/>
        <v>-2587050.0977660664</v>
      </c>
    </row>
    <row r="64" spans="1:9" x14ac:dyDescent="0.35">
      <c r="A64" s="99">
        <v>51</v>
      </c>
      <c r="B64" s="125">
        <f>B63+31</f>
        <v>46659</v>
      </c>
      <c r="C64" s="128">
        <f t="shared" si="20"/>
        <v>35407522.510814063</v>
      </c>
      <c r="D64" s="128">
        <f t="shared" si="21"/>
        <v>-3651584.1278573517</v>
      </c>
      <c r="E64" s="128">
        <f t="shared" si="0"/>
        <v>31755938.382956713</v>
      </c>
      <c r="F64" s="126">
        <f t="shared" si="10"/>
        <v>8.299999999999999E-2</v>
      </c>
      <c r="G64" s="127">
        <f t="shared" si="1"/>
        <v>219645.24050000001</v>
      </c>
      <c r="H64" s="128">
        <f t="shared" si="16"/>
        <v>31975583.623456713</v>
      </c>
      <c r="I64" s="129">
        <f t="shared" si="17"/>
        <v>-2569279.2496228423</v>
      </c>
    </row>
    <row r="65" spans="1:9" x14ac:dyDescent="0.35">
      <c r="A65" s="99">
        <v>52</v>
      </c>
      <c r="B65" s="125">
        <f t="shared" ref="B65:B70" si="22">B64+30</f>
        <v>46689</v>
      </c>
      <c r="C65" s="128">
        <f t="shared" si="20"/>
        <v>31975583.623456713</v>
      </c>
      <c r="D65" s="128">
        <f t="shared" si="21"/>
        <v>-3651584.1278573517</v>
      </c>
      <c r="E65" s="128">
        <f t="shared" si="0"/>
        <v>28323999.495599359</v>
      </c>
      <c r="F65" s="126">
        <f t="shared" si="10"/>
        <v>8.299999999999999E-2</v>
      </c>
      <c r="G65" s="127">
        <f t="shared" si="1"/>
        <v>195907.66320000001</v>
      </c>
      <c r="H65" s="128">
        <f t="shared" si="16"/>
        <v>28519907.158799358</v>
      </c>
      <c r="I65" s="129">
        <f t="shared" si="17"/>
        <v>-2551630.4721901929</v>
      </c>
    </row>
    <row r="66" spans="1:9" x14ac:dyDescent="0.35">
      <c r="A66" s="99">
        <v>53</v>
      </c>
      <c r="B66" s="125">
        <f>B65+31</f>
        <v>46720</v>
      </c>
      <c r="C66" s="128">
        <f t="shared" si="20"/>
        <v>28519907.158799358</v>
      </c>
      <c r="D66" s="128">
        <f t="shared" si="21"/>
        <v>-3651584.1278573517</v>
      </c>
      <c r="E66" s="128">
        <f t="shared" si="0"/>
        <v>24868323.030942008</v>
      </c>
      <c r="F66" s="126">
        <f t="shared" si="10"/>
        <v>8.299999999999999E-2</v>
      </c>
      <c r="G66" s="127">
        <f t="shared" si="1"/>
        <v>172005.90100000001</v>
      </c>
      <c r="H66" s="128">
        <f t="shared" si="16"/>
        <v>25040328.931942008</v>
      </c>
      <c r="I66" s="129">
        <f t="shared" si="17"/>
        <v>-2534102.9269454875</v>
      </c>
    </row>
    <row r="67" spans="1:9" x14ac:dyDescent="0.35">
      <c r="A67" s="99">
        <v>54</v>
      </c>
      <c r="B67" s="125">
        <f t="shared" si="22"/>
        <v>46750</v>
      </c>
      <c r="C67" s="128">
        <f t="shared" si="20"/>
        <v>25040328.931942008</v>
      </c>
      <c r="D67" s="128">
        <f t="shared" si="21"/>
        <v>-3651584.1278573517</v>
      </c>
      <c r="E67" s="128">
        <f t="shared" si="0"/>
        <v>21388744.804084659</v>
      </c>
      <c r="F67" s="126">
        <f t="shared" si="10"/>
        <v>8.299999999999999E-2</v>
      </c>
      <c r="G67" s="127">
        <f t="shared" si="1"/>
        <v>147938.81820000001</v>
      </c>
      <c r="H67" s="128">
        <f t="shared" si="16"/>
        <v>21536683.622284658</v>
      </c>
      <c r="I67" s="129">
        <f t="shared" si="17"/>
        <v>-2516695.7811260321</v>
      </c>
    </row>
    <row r="68" spans="1:9" x14ac:dyDescent="0.35">
      <c r="A68" s="99">
        <v>55</v>
      </c>
      <c r="B68" s="125">
        <f>B67+31</f>
        <v>46781</v>
      </c>
      <c r="C68" s="128">
        <f t="shared" si="20"/>
        <v>21536683.622284658</v>
      </c>
      <c r="D68" s="128">
        <f t="shared" si="21"/>
        <v>-3651584.1278573517</v>
      </c>
      <c r="E68" s="128">
        <f t="shared" si="0"/>
        <v>17885099.494427308</v>
      </c>
      <c r="F68" s="126">
        <f t="shared" si="10"/>
        <v>8.299999999999999E-2</v>
      </c>
      <c r="G68" s="127">
        <f t="shared" si="1"/>
        <v>123705.2715</v>
      </c>
      <c r="H68" s="128">
        <f t="shared" si="16"/>
        <v>18008804.765927307</v>
      </c>
      <c r="I68" s="129">
        <f t="shared" si="17"/>
        <v>-2499408.207689513</v>
      </c>
    </row>
    <row r="69" spans="1:9" x14ac:dyDescent="0.35">
      <c r="A69" s="99">
        <v>56</v>
      </c>
      <c r="B69" s="125">
        <f>B68+31</f>
        <v>46812</v>
      </c>
      <c r="C69" s="128">
        <f t="shared" si="20"/>
        <v>18008804.765927307</v>
      </c>
      <c r="D69" s="128">
        <f t="shared" si="21"/>
        <v>-3651584.1278573517</v>
      </c>
      <c r="E69" s="128">
        <f t="shared" si="0"/>
        <v>14357220.638069956</v>
      </c>
      <c r="F69" s="126">
        <f t="shared" si="10"/>
        <v>8.299999999999999E-2</v>
      </c>
      <c r="G69" s="127">
        <f t="shared" si="1"/>
        <v>99304.109400000001</v>
      </c>
      <c r="H69" s="128">
        <f t="shared" si="16"/>
        <v>14456524.747469956</v>
      </c>
      <c r="I69" s="129">
        <f t="shared" si="17"/>
        <v>-2482239.3852746971</v>
      </c>
    </row>
    <row r="70" spans="1:9" x14ac:dyDescent="0.35">
      <c r="A70" s="99">
        <v>57</v>
      </c>
      <c r="B70" s="125">
        <f t="shared" si="22"/>
        <v>46842</v>
      </c>
      <c r="C70" s="128">
        <f t="shared" si="20"/>
        <v>14456524.747469956</v>
      </c>
      <c r="D70" s="128">
        <f t="shared" si="21"/>
        <v>-3651584.1278573517</v>
      </c>
      <c r="E70" s="128">
        <f t="shared" si="0"/>
        <v>10804940.619612604</v>
      </c>
      <c r="F70" s="126">
        <f t="shared" si="10"/>
        <v>8.299999999999999E-2</v>
      </c>
      <c r="G70" s="127">
        <f t="shared" si="1"/>
        <v>74734.172600000005</v>
      </c>
      <c r="H70" s="128">
        <f t="shared" si="16"/>
        <v>10879674.792212604</v>
      </c>
      <c r="I70" s="129">
        <f t="shared" si="17"/>
        <v>-2465188.4981624065</v>
      </c>
    </row>
    <row r="71" spans="1:9" x14ac:dyDescent="0.35">
      <c r="A71" s="99">
        <v>58</v>
      </c>
      <c r="B71" s="125">
        <f>B70+31</f>
        <v>46873</v>
      </c>
      <c r="C71" s="128">
        <f>H70</f>
        <v>10879674.792212604</v>
      </c>
      <c r="D71" s="128">
        <f>D70</f>
        <v>-3651584.1278573517</v>
      </c>
      <c r="E71" s="128">
        <f t="shared" si="0"/>
        <v>7228090.6643552519</v>
      </c>
      <c r="F71" s="126">
        <f t="shared" si="10"/>
        <v>8.299999999999999E-2</v>
      </c>
      <c r="G71" s="127">
        <f t="shared" si="1"/>
        <v>49994.293799999999</v>
      </c>
      <c r="H71" s="128">
        <f t="shared" si="16"/>
        <v>7278084.958155252</v>
      </c>
      <c r="I71" s="129">
        <f t="shared" si="17"/>
        <v>-2448254.7362367688</v>
      </c>
    </row>
    <row r="72" spans="1:9" x14ac:dyDescent="0.35">
      <c r="A72" s="99">
        <v>59</v>
      </c>
      <c r="B72" s="125">
        <f>B71+30</f>
        <v>46903</v>
      </c>
      <c r="C72" s="128">
        <f>H71</f>
        <v>7278084.958155252</v>
      </c>
      <c r="D72" s="128">
        <f>D71</f>
        <v>-3651584.1278573517</v>
      </c>
      <c r="E72" s="128">
        <f t="shared" si="0"/>
        <v>3626500.8302979004</v>
      </c>
      <c r="F72" s="126">
        <f t="shared" si="10"/>
        <v>8.299999999999999E-2</v>
      </c>
      <c r="G72" s="127">
        <f t="shared" si="1"/>
        <v>25083.297399999999</v>
      </c>
      <c r="H72" s="128">
        <f t="shared" si="16"/>
        <v>3651584.1276979004</v>
      </c>
      <c r="I72" s="129">
        <f t="shared" si="17"/>
        <v>-2431437.2949467208</v>
      </c>
    </row>
    <row r="73" spans="1:9" x14ac:dyDescent="0.35">
      <c r="A73" s="99">
        <v>60</v>
      </c>
      <c r="B73" s="125">
        <f>B72+31</f>
        <v>46934</v>
      </c>
      <c r="C73" s="128">
        <f t="shared" ref="C73" si="23">H72</f>
        <v>3651584.1276979004</v>
      </c>
      <c r="D73" s="128">
        <f>D72</f>
        <v>-3651584.1278573517</v>
      </c>
      <c r="E73" s="128">
        <f t="shared" si="0"/>
        <v>-1.5945127233862877E-4</v>
      </c>
      <c r="F73" s="126">
        <f t="shared" si="10"/>
        <v>8.299999999999999E-2</v>
      </c>
      <c r="G73" s="127">
        <f t="shared" si="1"/>
        <v>0</v>
      </c>
      <c r="H73" s="128">
        <f t="shared" si="16"/>
        <v>-1.5945127233862877E-4</v>
      </c>
      <c r="I73" s="129">
        <f t="shared" si="17"/>
        <v>-2414735.3752677855</v>
      </c>
    </row>
    <row r="74" spans="1:9" x14ac:dyDescent="0.35">
      <c r="A74" s="99"/>
    </row>
    <row r="75" spans="1:9" x14ac:dyDescent="0.35">
      <c r="A75" s="99"/>
      <c r="D75" s="130">
        <f>SUM(D13:D73)</f>
        <v>-219095047.67144129</v>
      </c>
      <c r="I75" s="131">
        <f>SUM(I13:I73)</f>
        <v>-178821506.39849246</v>
      </c>
    </row>
    <row r="76" spans="1:9" x14ac:dyDescent="0.35">
      <c r="A76" s="99"/>
    </row>
    <row r="77" spans="1:9" x14ac:dyDescent="0.35">
      <c r="A77" s="99"/>
      <c r="D77" s="130"/>
    </row>
    <row r="78" spans="1:9" x14ac:dyDescent="0.35">
      <c r="A78" s="99"/>
    </row>
    <row r="79" spans="1:9" x14ac:dyDescent="0.35">
      <c r="A79" s="99"/>
    </row>
    <row r="80" spans="1:9" x14ac:dyDescent="0.35">
      <c r="A80" s="99"/>
    </row>
    <row r="81" spans="1:1" x14ac:dyDescent="0.35">
      <c r="A81" s="99"/>
    </row>
    <row r="82" spans="1:1" x14ac:dyDescent="0.35">
      <c r="A82" s="99"/>
    </row>
    <row r="83" spans="1:1" x14ac:dyDescent="0.35">
      <c r="A83" s="99"/>
    </row>
    <row r="84" spans="1:1" x14ac:dyDescent="0.35">
      <c r="A84" s="99"/>
    </row>
    <row r="85" spans="1:1" x14ac:dyDescent="0.35">
      <c r="A85" s="99"/>
    </row>
    <row r="86" spans="1:1" x14ac:dyDescent="0.35">
      <c r="A86" s="99"/>
    </row>
    <row r="87" spans="1:1" x14ac:dyDescent="0.35">
      <c r="A87" s="99"/>
    </row>
    <row r="88" spans="1:1" x14ac:dyDescent="0.35">
      <c r="A88" s="99"/>
    </row>
    <row r="89" spans="1:1" x14ac:dyDescent="0.35">
      <c r="A89" s="99"/>
    </row>
    <row r="90" spans="1:1" x14ac:dyDescent="0.35">
      <c r="A90" s="99"/>
    </row>
    <row r="91" spans="1:1" x14ac:dyDescent="0.35">
      <c r="A91" s="99"/>
    </row>
    <row r="92" spans="1:1" x14ac:dyDescent="0.35">
      <c r="A92" s="99"/>
    </row>
    <row r="93" spans="1:1" x14ac:dyDescent="0.35">
      <c r="A93" s="99"/>
    </row>
    <row r="94" spans="1:1" x14ac:dyDescent="0.35">
      <c r="A94" s="99"/>
    </row>
    <row r="95" spans="1:1" x14ac:dyDescent="0.35">
      <c r="A95" s="99"/>
    </row>
    <row r="96" spans="1:1" x14ac:dyDescent="0.35">
      <c r="A96" s="99"/>
    </row>
    <row r="97" spans="1:1" x14ac:dyDescent="0.35">
      <c r="A97" s="99"/>
    </row>
    <row r="98" spans="1:1" x14ac:dyDescent="0.35">
      <c r="A98" s="99"/>
    </row>
    <row r="99" spans="1:1" x14ac:dyDescent="0.35">
      <c r="A99" s="99"/>
    </row>
    <row r="100" spans="1:1" x14ac:dyDescent="0.35">
      <c r="A100" s="99"/>
    </row>
    <row r="101" spans="1:1" x14ac:dyDescent="0.35">
      <c r="A101" s="99"/>
    </row>
    <row r="102" spans="1:1" x14ac:dyDescent="0.35">
      <c r="A102" s="99"/>
    </row>
    <row r="103" spans="1:1" x14ac:dyDescent="0.35">
      <c r="A103" s="99"/>
    </row>
    <row r="104" spans="1:1" x14ac:dyDescent="0.35">
      <c r="A104" s="99"/>
    </row>
    <row r="105" spans="1:1" x14ac:dyDescent="0.35">
      <c r="A105" s="99"/>
    </row>
    <row r="106" spans="1:1" x14ac:dyDescent="0.35">
      <c r="A106" s="99"/>
    </row>
    <row r="107" spans="1:1" x14ac:dyDescent="0.35">
      <c r="A107" s="99"/>
    </row>
    <row r="108" spans="1:1" x14ac:dyDescent="0.35">
      <c r="A108" s="99"/>
    </row>
    <row r="109" spans="1:1" x14ac:dyDescent="0.35">
      <c r="A109" s="99"/>
    </row>
  </sheetData>
  <mergeCells count="3">
    <mergeCell ref="A1:I1"/>
    <mergeCell ref="A2:I2"/>
    <mergeCell ref="A3:I3"/>
  </mergeCells>
  <pageMargins left="0.7" right="0.7" top="0.75" bottom="0.75" header="0.3" footer="0.3"/>
  <pageSetup scale="26" fitToHeight="3"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634A-1148-4272-8018-FB2EB51AD655}">
  <dimension ref="A1:H36"/>
  <sheetViews>
    <sheetView zoomScaleNormal="100" workbookViewId="0"/>
  </sheetViews>
  <sheetFormatPr defaultRowHeight="14.5" x14ac:dyDescent="0.35"/>
  <cols>
    <col min="1" max="1" width="44.453125" bestFit="1" customWidth="1"/>
    <col min="2" max="2" width="17" bestFit="1" customWidth="1"/>
    <col min="3" max="3" width="8.26953125" customWidth="1"/>
    <col min="5" max="5" width="16.81640625" customWidth="1"/>
    <col min="6" max="6" width="15.26953125" customWidth="1"/>
    <col min="7" max="7" width="16.81640625" customWidth="1"/>
    <col min="8" max="8" width="13.453125" customWidth="1"/>
    <col min="9" max="9" width="9.1796875" customWidth="1"/>
  </cols>
  <sheetData>
    <row r="1" spans="1:8" x14ac:dyDescent="0.35">
      <c r="D1" s="365" t="s">
        <v>283</v>
      </c>
    </row>
    <row r="2" spans="1:8" x14ac:dyDescent="0.35">
      <c r="A2" s="283" t="s">
        <v>16</v>
      </c>
      <c r="B2" s="284" t="s">
        <v>17</v>
      </c>
      <c r="C2" s="4"/>
      <c r="D2" s="4"/>
      <c r="E2" s="19">
        <v>446766414</v>
      </c>
      <c r="F2" s="19">
        <f>'20 Yr Securitization'!C10</f>
        <v>446700000.09547132</v>
      </c>
    </row>
    <row r="3" spans="1:8" x14ac:dyDescent="0.35">
      <c r="A3" s="5"/>
      <c r="B3" s="5"/>
      <c r="C3" s="5"/>
      <c r="D3" s="196"/>
      <c r="E3" s="65"/>
    </row>
    <row r="4" spans="1:8" x14ac:dyDescent="0.35">
      <c r="A4" s="6" t="s">
        <v>18</v>
      </c>
      <c r="B4" s="7"/>
      <c r="C4" s="197"/>
      <c r="D4" s="196"/>
    </row>
    <row r="5" spans="1:8" x14ac:dyDescent="0.35">
      <c r="A5" s="8" t="s">
        <v>19</v>
      </c>
      <c r="B5" s="9">
        <v>2750000</v>
      </c>
      <c r="C5" s="10"/>
      <c r="D5" s="196"/>
      <c r="F5" s="21">
        <v>5.7499999999999999E-4</v>
      </c>
      <c r="G5" s="21">
        <v>7.5000000000000002E-4</v>
      </c>
      <c r="H5" s="16">
        <v>4.0000000000000002E-4</v>
      </c>
    </row>
    <row r="6" spans="1:8" x14ac:dyDescent="0.35">
      <c r="A6" s="8" t="s">
        <v>54</v>
      </c>
      <c r="B6" s="9">
        <v>750000</v>
      </c>
      <c r="C6" s="10"/>
      <c r="D6" s="196"/>
      <c r="G6" s="19"/>
    </row>
    <row r="7" spans="1:8" x14ac:dyDescent="0.35">
      <c r="A7" s="8"/>
      <c r="B7" s="9"/>
      <c r="C7" s="10"/>
      <c r="D7" s="196"/>
      <c r="F7" t="s">
        <v>55</v>
      </c>
      <c r="G7" t="s">
        <v>56</v>
      </c>
      <c r="H7" s="287" t="s">
        <v>57</v>
      </c>
    </row>
    <row r="8" spans="1:8" x14ac:dyDescent="0.35">
      <c r="A8" s="8" t="s">
        <v>20</v>
      </c>
      <c r="B8" s="9">
        <v>75000</v>
      </c>
      <c r="C8" s="10"/>
      <c r="D8" s="196"/>
      <c r="F8" t="s">
        <v>58</v>
      </c>
      <c r="G8" t="s">
        <v>60</v>
      </c>
      <c r="H8" s="287" t="s">
        <v>61</v>
      </c>
    </row>
    <row r="9" spans="1:8" x14ac:dyDescent="0.35">
      <c r="A9" s="8" t="s">
        <v>21</v>
      </c>
      <c r="B9" s="9">
        <v>31242</v>
      </c>
      <c r="C9" s="10"/>
      <c r="D9" s="196"/>
      <c r="F9" t="s">
        <v>59</v>
      </c>
      <c r="G9" t="s">
        <v>63</v>
      </c>
      <c r="H9" s="287" t="s">
        <v>62</v>
      </c>
    </row>
    <row r="10" spans="1:8" x14ac:dyDescent="0.35">
      <c r="A10" s="8" t="s">
        <v>22</v>
      </c>
      <c r="B10" s="9">
        <f>+F10+G10+H10</f>
        <v>591965.49855000002</v>
      </c>
      <c r="C10" s="10"/>
      <c r="D10" s="196"/>
      <c r="F10" s="17">
        <f>IF($E$2*F$5&gt;650000,650000,IF($E2*F$5&lt;200000,200000, $E2*F$5))</f>
        <v>256890.68805</v>
      </c>
      <c r="G10" s="17">
        <f>IF($E$2*G$5&gt;2000000000*G5,2000000000*G5,IF($E2*G$5&lt;250000,250000, $E2*G$5))</f>
        <v>335074.81050000002</v>
      </c>
      <c r="H10" s="288">
        <v>0</v>
      </c>
    </row>
    <row r="11" spans="1:8" x14ac:dyDescent="0.35">
      <c r="A11" s="8" t="s">
        <v>23</v>
      </c>
      <c r="B11" s="9">
        <v>150000</v>
      </c>
      <c r="C11" s="10"/>
      <c r="D11" s="196"/>
      <c r="F11" s="17"/>
    </row>
    <row r="12" spans="1:8" x14ac:dyDescent="0.35">
      <c r="A12" s="8" t="s">
        <v>24</v>
      </c>
      <c r="B12" s="9">
        <v>125000</v>
      </c>
      <c r="C12" s="10"/>
      <c r="D12" s="196"/>
      <c r="E12" s="247"/>
    </row>
    <row r="13" spans="1:8" x14ac:dyDescent="0.35">
      <c r="A13" s="8" t="s">
        <v>25</v>
      </c>
      <c r="B13" s="9">
        <v>25000</v>
      </c>
      <c r="C13" s="10"/>
      <c r="D13" s="245" t="s">
        <v>13</v>
      </c>
      <c r="E13" s="247"/>
    </row>
    <row r="14" spans="1:8" x14ac:dyDescent="0.35">
      <c r="A14" s="8" t="s">
        <v>195</v>
      </c>
      <c r="B14" s="9">
        <f>D14*E2</f>
        <v>1787065.656</v>
      </c>
      <c r="C14" s="198"/>
      <c r="D14" s="246">
        <v>4.0000000000000001E-3</v>
      </c>
      <c r="E14" s="248" t="s">
        <v>227</v>
      </c>
      <c r="F14" s="2"/>
    </row>
    <row r="15" spans="1:8" x14ac:dyDescent="0.35">
      <c r="A15" s="8" t="s">
        <v>26</v>
      </c>
      <c r="B15" s="366">
        <f>+D15*E2</f>
        <v>24929.5659012</v>
      </c>
      <c r="C15" s="197"/>
      <c r="D15" s="246">
        <v>5.5800000000000001E-5</v>
      </c>
      <c r="E15" s="249"/>
    </row>
    <row r="16" spans="1:8" x14ac:dyDescent="0.35">
      <c r="A16" s="5"/>
      <c r="B16" s="5"/>
      <c r="C16" s="5"/>
      <c r="D16" s="5"/>
      <c r="G16" s="2"/>
    </row>
    <row r="17" spans="1:8" ht="15" thickBot="1" x14ac:dyDescent="0.4">
      <c r="A17" s="11" t="s">
        <v>27</v>
      </c>
      <c r="B17" s="12">
        <f>SUM(B5:B15)</f>
        <v>6310202.7204511994</v>
      </c>
      <c r="C17" s="5"/>
      <c r="D17" s="196"/>
      <c r="G17" s="2"/>
    </row>
    <row r="18" spans="1:8" ht="15" thickTop="1" x14ac:dyDescent="0.35">
      <c r="B18" s="2"/>
    </row>
    <row r="19" spans="1:8" x14ac:dyDescent="0.35">
      <c r="A19" t="s">
        <v>31</v>
      </c>
      <c r="B19" s="13">
        <f>+B17/F2</f>
        <v>1.4126265321474247E-2</v>
      </c>
    </row>
    <row r="20" spans="1:8" x14ac:dyDescent="0.35">
      <c r="G20" s="19"/>
      <c r="H20" s="65"/>
    </row>
    <row r="21" spans="1:8" x14ac:dyDescent="0.35">
      <c r="B21" s="3" t="s">
        <v>282</v>
      </c>
      <c r="H21" s="65"/>
    </row>
    <row r="22" spans="1:8" x14ac:dyDescent="0.35">
      <c r="D22" s="199"/>
    </row>
    <row r="24" spans="1:8" x14ac:dyDescent="0.35">
      <c r="A24" s="200" t="s">
        <v>33</v>
      </c>
      <c r="B24" s="9">
        <f>+D24*E2</f>
        <v>446766.41399999999</v>
      </c>
      <c r="C24" s="200"/>
      <c r="D24" s="367">
        <v>1E-3</v>
      </c>
    </row>
    <row r="25" spans="1:8" x14ac:dyDescent="0.35">
      <c r="A25" s="200" t="s">
        <v>34</v>
      </c>
      <c r="B25" s="201">
        <v>100000</v>
      </c>
      <c r="C25" s="200"/>
    </row>
    <row r="26" spans="1:8" x14ac:dyDescent="0.35">
      <c r="A26" s="200" t="s">
        <v>35</v>
      </c>
      <c r="B26" s="201">
        <v>75000</v>
      </c>
      <c r="C26" s="200"/>
    </row>
    <row r="27" spans="1:8" x14ac:dyDescent="0.35">
      <c r="A27" s="200" t="s">
        <v>36</v>
      </c>
      <c r="B27" s="201">
        <v>50000</v>
      </c>
      <c r="C27" s="200"/>
    </row>
    <row r="28" spans="1:8" x14ac:dyDescent="0.35">
      <c r="A28" s="200" t="s">
        <v>25</v>
      </c>
      <c r="B28" s="201">
        <v>10000</v>
      </c>
      <c r="C28" s="200"/>
    </row>
    <row r="29" spans="1:8" x14ac:dyDescent="0.35">
      <c r="A29" s="200" t="s">
        <v>37</v>
      </c>
      <c r="B29" s="201">
        <v>2750</v>
      </c>
      <c r="C29" s="200"/>
    </row>
    <row r="30" spans="1:8" x14ac:dyDescent="0.35">
      <c r="A30" s="200" t="s">
        <v>22</v>
      </c>
      <c r="B30" s="201">
        <v>75000</v>
      </c>
      <c r="C30" s="200"/>
    </row>
    <row r="31" spans="1:8" x14ac:dyDescent="0.35">
      <c r="A31" s="200" t="s">
        <v>196</v>
      </c>
      <c r="B31" s="14">
        <f>(0.5%*(E2+B17))*'Assumptions and Inputs'!C7</f>
        <v>188026.79593898723</v>
      </c>
      <c r="C31" s="200"/>
    </row>
    <row r="32" spans="1:8" x14ac:dyDescent="0.35">
      <c r="A32" s="200" t="s">
        <v>38</v>
      </c>
      <c r="B32" s="202">
        <v>25000</v>
      </c>
      <c r="C32" s="200"/>
    </row>
    <row r="33" spans="1:3" x14ac:dyDescent="0.35">
      <c r="A33" s="200"/>
      <c r="B33" s="203"/>
      <c r="C33" s="200"/>
    </row>
    <row r="34" spans="1:3" ht="15" thickBot="1" x14ac:dyDescent="0.4">
      <c r="A34" s="15" t="s">
        <v>281</v>
      </c>
      <c r="B34" s="204">
        <f>SUM(B24:B33)</f>
        <v>972543.20993898716</v>
      </c>
      <c r="C34" s="200"/>
    </row>
    <row r="35" spans="1:3" ht="15" thickTop="1" x14ac:dyDescent="0.35">
      <c r="A35" s="15"/>
      <c r="B35" s="205"/>
      <c r="C35" s="200"/>
    </row>
    <row r="36" spans="1:3" x14ac:dyDescent="0.35">
      <c r="A36" s="15"/>
      <c r="B36" s="206"/>
      <c r="C36" s="200"/>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19"/>
  <sheetViews>
    <sheetView zoomScaleNormal="100" workbookViewId="0"/>
  </sheetViews>
  <sheetFormatPr defaultRowHeight="14.5" x14ac:dyDescent="0.35"/>
  <cols>
    <col min="1" max="1" width="12.54296875" style="135" customWidth="1"/>
    <col min="2" max="3" width="12.54296875" style="135" bestFit="1" customWidth="1"/>
    <col min="4" max="4" width="14.54296875" style="135" customWidth="1"/>
    <col min="5" max="5" width="16" style="135" customWidth="1"/>
    <col min="6" max="6" width="16.1796875" style="135" bestFit="1" customWidth="1"/>
    <col min="7" max="7" width="13.1796875" style="135" bestFit="1" customWidth="1"/>
    <col min="8" max="8" width="14.7265625" style="135" customWidth="1"/>
    <col min="9" max="10" width="16.1796875" style="135" bestFit="1" customWidth="1"/>
    <col min="11" max="11" width="1.1796875" style="135" customWidth="1"/>
    <col min="12" max="12" width="23.1796875" style="135" bestFit="1" customWidth="1"/>
    <col min="13" max="13" width="12.54296875" style="135" bestFit="1" customWidth="1"/>
    <col min="14" max="14" width="13.7265625" style="135" bestFit="1" customWidth="1"/>
    <col min="15" max="16" width="11.54296875" style="135" bestFit="1" customWidth="1"/>
    <col min="17" max="17" width="12.54296875" style="135" bestFit="1" customWidth="1"/>
    <col min="18" max="18" width="13.7265625" style="135" bestFit="1" customWidth="1"/>
    <col min="19" max="19" width="1.7265625" style="135" customWidth="1"/>
    <col min="20" max="20" width="10" style="255" bestFit="1" customWidth="1"/>
    <col min="21" max="21" width="13.7265625" style="135" bestFit="1" customWidth="1"/>
    <col min="22" max="242" width="9.1796875" style="135"/>
    <col min="243" max="243" width="16.26953125" style="135" customWidth="1"/>
    <col min="244" max="245" width="0" style="135" hidden="1" customWidth="1"/>
    <col min="246" max="246" width="13.26953125" style="135" bestFit="1" customWidth="1"/>
    <col min="247" max="248" width="16" style="135" bestFit="1" customWidth="1"/>
    <col min="249" max="249" width="9.1796875" style="135"/>
    <col min="250" max="251" width="16" style="135" bestFit="1" customWidth="1"/>
    <col min="252" max="252" width="9.1796875" style="135"/>
    <col min="253" max="253" width="0" style="135" hidden="1" customWidth="1"/>
    <col min="254" max="254" width="11.26953125" style="135" bestFit="1" customWidth="1"/>
    <col min="255" max="261" width="0" style="135" hidden="1" customWidth="1"/>
    <col min="262" max="262" width="11.26953125" style="135" bestFit="1" customWidth="1"/>
    <col min="263" max="264" width="0" style="135" hidden="1" customWidth="1"/>
    <col min="265" max="265" width="11.54296875" style="135" bestFit="1" customWidth="1"/>
    <col min="266" max="266" width="16" style="135" bestFit="1" customWidth="1"/>
    <col min="267" max="267" width="9.1796875" style="135"/>
    <col min="268" max="268" width="15" style="135" bestFit="1" customWidth="1"/>
    <col min="269" max="269" width="14" style="135" bestFit="1" customWidth="1"/>
    <col min="270" max="498" width="9.1796875" style="135"/>
    <col min="499" max="499" width="16.26953125" style="135" customWidth="1"/>
    <col min="500" max="501" width="0" style="135" hidden="1" customWidth="1"/>
    <col min="502" max="502" width="13.26953125" style="135" bestFit="1" customWidth="1"/>
    <col min="503" max="504" width="16" style="135" bestFit="1" customWidth="1"/>
    <col min="505" max="505" width="9.1796875" style="135"/>
    <col min="506" max="507" width="16" style="135" bestFit="1" customWidth="1"/>
    <col min="508" max="508" width="9.1796875" style="135"/>
    <col min="509" max="509" width="0" style="135" hidden="1" customWidth="1"/>
    <col min="510" max="510" width="11.26953125" style="135" bestFit="1" customWidth="1"/>
    <col min="511" max="517" width="0" style="135" hidden="1" customWidth="1"/>
    <col min="518" max="518" width="11.26953125" style="135" bestFit="1" customWidth="1"/>
    <col min="519" max="520" width="0" style="135" hidden="1" customWidth="1"/>
    <col min="521" max="521" width="11.54296875" style="135" bestFit="1" customWidth="1"/>
    <col min="522" max="522" width="16" style="135" bestFit="1" customWidth="1"/>
    <col min="523" max="523" width="9.1796875" style="135"/>
    <col min="524" max="524" width="15" style="135" bestFit="1" customWidth="1"/>
    <col min="525" max="525" width="14" style="135" bestFit="1" customWidth="1"/>
    <col min="526" max="754" width="9.1796875" style="135"/>
    <col min="755" max="755" width="16.26953125" style="135" customWidth="1"/>
    <col min="756" max="757" width="0" style="135" hidden="1" customWidth="1"/>
    <col min="758" max="758" width="13.26953125" style="135" bestFit="1" customWidth="1"/>
    <col min="759" max="760" width="16" style="135" bestFit="1" customWidth="1"/>
    <col min="761" max="761" width="9.1796875" style="135"/>
    <col min="762" max="763" width="16" style="135" bestFit="1" customWidth="1"/>
    <col min="764" max="764" width="9.1796875" style="135"/>
    <col min="765" max="765" width="0" style="135" hidden="1" customWidth="1"/>
    <col min="766" max="766" width="11.26953125" style="135" bestFit="1" customWidth="1"/>
    <col min="767" max="773" width="0" style="135" hidden="1" customWidth="1"/>
    <col min="774" max="774" width="11.26953125" style="135" bestFit="1" customWidth="1"/>
    <col min="775" max="776" width="0" style="135" hidden="1" customWidth="1"/>
    <col min="777" max="777" width="11.54296875" style="135" bestFit="1" customWidth="1"/>
    <col min="778" max="778" width="16" style="135" bestFit="1" customWidth="1"/>
    <col min="779" max="779" width="9.1796875" style="135"/>
    <col min="780" max="780" width="15" style="135" bestFit="1" customWidth="1"/>
    <col min="781" max="781" width="14" style="135" bestFit="1" customWidth="1"/>
    <col min="782" max="1010" width="9.1796875" style="135"/>
    <col min="1011" max="1011" width="16.26953125" style="135" customWidth="1"/>
    <col min="1012" max="1013" width="0" style="135" hidden="1" customWidth="1"/>
    <col min="1014" max="1014" width="13.26953125" style="135" bestFit="1" customWidth="1"/>
    <col min="1015" max="1016" width="16" style="135" bestFit="1" customWidth="1"/>
    <col min="1017" max="1017" width="9.1796875" style="135"/>
    <col min="1018" max="1019" width="16" style="135" bestFit="1" customWidth="1"/>
    <col min="1020" max="1020" width="9.1796875" style="135"/>
    <col min="1021" max="1021" width="0" style="135" hidden="1" customWidth="1"/>
    <col min="1022" max="1022" width="11.26953125" style="135" bestFit="1" customWidth="1"/>
    <col min="1023" max="1029" width="0" style="135" hidden="1" customWidth="1"/>
    <col min="1030" max="1030" width="11.26953125" style="135" bestFit="1" customWidth="1"/>
    <col min="1031" max="1032" width="0" style="135" hidden="1" customWidth="1"/>
    <col min="1033" max="1033" width="11.54296875" style="135" bestFit="1" customWidth="1"/>
    <col min="1034" max="1034" width="16" style="135" bestFit="1" customWidth="1"/>
    <col min="1035" max="1035" width="9.1796875" style="135"/>
    <col min="1036" max="1036" width="15" style="135" bestFit="1" customWidth="1"/>
    <col min="1037" max="1037" width="14" style="135" bestFit="1" customWidth="1"/>
    <col min="1038" max="1266" width="9.1796875" style="135"/>
    <col min="1267" max="1267" width="16.26953125" style="135" customWidth="1"/>
    <col min="1268" max="1269" width="0" style="135" hidden="1" customWidth="1"/>
    <col min="1270" max="1270" width="13.26953125" style="135" bestFit="1" customWidth="1"/>
    <col min="1271" max="1272" width="16" style="135" bestFit="1" customWidth="1"/>
    <col min="1273" max="1273" width="9.1796875" style="135"/>
    <col min="1274" max="1275" width="16" style="135" bestFit="1" customWidth="1"/>
    <col min="1276" max="1276" width="9.1796875" style="135"/>
    <col min="1277" max="1277" width="0" style="135" hidden="1" customWidth="1"/>
    <col min="1278" max="1278" width="11.26953125" style="135" bestFit="1" customWidth="1"/>
    <col min="1279" max="1285" width="0" style="135" hidden="1" customWidth="1"/>
    <col min="1286" max="1286" width="11.26953125" style="135" bestFit="1" customWidth="1"/>
    <col min="1287" max="1288" width="0" style="135" hidden="1" customWidth="1"/>
    <col min="1289" max="1289" width="11.54296875" style="135" bestFit="1" customWidth="1"/>
    <col min="1290" max="1290" width="16" style="135" bestFit="1" customWidth="1"/>
    <col min="1291" max="1291" width="9.1796875" style="135"/>
    <col min="1292" max="1292" width="15" style="135" bestFit="1" customWidth="1"/>
    <col min="1293" max="1293" width="14" style="135" bestFit="1" customWidth="1"/>
    <col min="1294" max="1522" width="9.1796875" style="135"/>
    <col min="1523" max="1523" width="16.26953125" style="135" customWidth="1"/>
    <col min="1524" max="1525" width="0" style="135" hidden="1" customWidth="1"/>
    <col min="1526" max="1526" width="13.26953125" style="135" bestFit="1" customWidth="1"/>
    <col min="1527" max="1528" width="16" style="135" bestFit="1" customWidth="1"/>
    <col min="1529" max="1529" width="9.1796875" style="135"/>
    <col min="1530" max="1531" width="16" style="135" bestFit="1" customWidth="1"/>
    <col min="1532" max="1532" width="9.1796875" style="135"/>
    <col min="1533" max="1533" width="0" style="135" hidden="1" customWidth="1"/>
    <col min="1534" max="1534" width="11.26953125" style="135" bestFit="1" customWidth="1"/>
    <col min="1535" max="1541" width="0" style="135" hidden="1" customWidth="1"/>
    <col min="1542" max="1542" width="11.26953125" style="135" bestFit="1" customWidth="1"/>
    <col min="1543" max="1544" width="0" style="135" hidden="1" customWidth="1"/>
    <col min="1545" max="1545" width="11.54296875" style="135" bestFit="1" customWidth="1"/>
    <col min="1546" max="1546" width="16" style="135" bestFit="1" customWidth="1"/>
    <col min="1547" max="1547" width="9.1796875" style="135"/>
    <col min="1548" max="1548" width="15" style="135" bestFit="1" customWidth="1"/>
    <col min="1549" max="1549" width="14" style="135" bestFit="1" customWidth="1"/>
    <col min="1550" max="1778" width="9.1796875" style="135"/>
    <col min="1779" max="1779" width="16.26953125" style="135" customWidth="1"/>
    <col min="1780" max="1781" width="0" style="135" hidden="1" customWidth="1"/>
    <col min="1782" max="1782" width="13.26953125" style="135" bestFit="1" customWidth="1"/>
    <col min="1783" max="1784" width="16" style="135" bestFit="1" customWidth="1"/>
    <col min="1785" max="1785" width="9.1796875" style="135"/>
    <col min="1786" max="1787" width="16" style="135" bestFit="1" customWidth="1"/>
    <col min="1788" max="1788" width="9.1796875" style="135"/>
    <col min="1789" max="1789" width="0" style="135" hidden="1" customWidth="1"/>
    <col min="1790" max="1790" width="11.26953125" style="135" bestFit="1" customWidth="1"/>
    <col min="1791" max="1797" width="0" style="135" hidden="1" customWidth="1"/>
    <col min="1798" max="1798" width="11.26953125" style="135" bestFit="1" customWidth="1"/>
    <col min="1799" max="1800" width="0" style="135" hidden="1" customWidth="1"/>
    <col min="1801" max="1801" width="11.54296875" style="135" bestFit="1" customWidth="1"/>
    <col min="1802" max="1802" width="16" style="135" bestFit="1" customWidth="1"/>
    <col min="1803" max="1803" width="9.1796875" style="135"/>
    <col min="1804" max="1804" width="15" style="135" bestFit="1" customWidth="1"/>
    <col min="1805" max="1805" width="14" style="135" bestFit="1" customWidth="1"/>
    <col min="1806" max="2034" width="9.1796875" style="135"/>
    <col min="2035" max="2035" width="16.26953125" style="135" customWidth="1"/>
    <col min="2036" max="2037" width="0" style="135" hidden="1" customWidth="1"/>
    <col min="2038" max="2038" width="13.26953125" style="135" bestFit="1" customWidth="1"/>
    <col min="2039" max="2040" width="16" style="135" bestFit="1" customWidth="1"/>
    <col min="2041" max="2041" width="9.1796875" style="135"/>
    <col min="2042" max="2043" width="16" style="135" bestFit="1" customWidth="1"/>
    <col min="2044" max="2044" width="9.1796875" style="135"/>
    <col min="2045" max="2045" width="0" style="135" hidden="1" customWidth="1"/>
    <col min="2046" max="2046" width="11.26953125" style="135" bestFit="1" customWidth="1"/>
    <col min="2047" max="2053" width="0" style="135" hidden="1" customWidth="1"/>
    <col min="2054" max="2054" width="11.26953125" style="135" bestFit="1" customWidth="1"/>
    <col min="2055" max="2056" width="0" style="135" hidden="1" customWidth="1"/>
    <col min="2057" max="2057" width="11.54296875" style="135" bestFit="1" customWidth="1"/>
    <col min="2058" max="2058" width="16" style="135" bestFit="1" customWidth="1"/>
    <col min="2059" max="2059" width="9.1796875" style="135"/>
    <col min="2060" max="2060" width="15" style="135" bestFit="1" customWidth="1"/>
    <col min="2061" max="2061" width="14" style="135" bestFit="1" customWidth="1"/>
    <col min="2062" max="2290" width="9.1796875" style="135"/>
    <col min="2291" max="2291" width="16.26953125" style="135" customWidth="1"/>
    <col min="2292" max="2293" width="0" style="135" hidden="1" customWidth="1"/>
    <col min="2294" max="2294" width="13.26953125" style="135" bestFit="1" customWidth="1"/>
    <col min="2295" max="2296" width="16" style="135" bestFit="1" customWidth="1"/>
    <col min="2297" max="2297" width="9.1796875" style="135"/>
    <col min="2298" max="2299" width="16" style="135" bestFit="1" customWidth="1"/>
    <col min="2300" max="2300" width="9.1796875" style="135"/>
    <col min="2301" max="2301" width="0" style="135" hidden="1" customWidth="1"/>
    <col min="2302" max="2302" width="11.26953125" style="135" bestFit="1" customWidth="1"/>
    <col min="2303" max="2309" width="0" style="135" hidden="1" customWidth="1"/>
    <col min="2310" max="2310" width="11.26953125" style="135" bestFit="1" customWidth="1"/>
    <col min="2311" max="2312" width="0" style="135" hidden="1" customWidth="1"/>
    <col min="2313" max="2313" width="11.54296875" style="135" bestFit="1" customWidth="1"/>
    <col min="2314" max="2314" width="16" style="135" bestFit="1" customWidth="1"/>
    <col min="2315" max="2315" width="9.1796875" style="135"/>
    <col min="2316" max="2316" width="15" style="135" bestFit="1" customWidth="1"/>
    <col min="2317" max="2317" width="14" style="135" bestFit="1" customWidth="1"/>
    <col min="2318" max="2546" width="9.1796875" style="135"/>
    <col min="2547" max="2547" width="16.26953125" style="135" customWidth="1"/>
    <col min="2548" max="2549" width="0" style="135" hidden="1" customWidth="1"/>
    <col min="2550" max="2550" width="13.26953125" style="135" bestFit="1" customWidth="1"/>
    <col min="2551" max="2552" width="16" style="135" bestFit="1" customWidth="1"/>
    <col min="2553" max="2553" width="9.1796875" style="135"/>
    <col min="2554" max="2555" width="16" style="135" bestFit="1" customWidth="1"/>
    <col min="2556" max="2556" width="9.1796875" style="135"/>
    <col min="2557" max="2557" width="0" style="135" hidden="1" customWidth="1"/>
    <col min="2558" max="2558" width="11.26953125" style="135" bestFit="1" customWidth="1"/>
    <col min="2559" max="2565" width="0" style="135" hidden="1" customWidth="1"/>
    <col min="2566" max="2566" width="11.26953125" style="135" bestFit="1" customWidth="1"/>
    <col min="2567" max="2568" width="0" style="135" hidden="1" customWidth="1"/>
    <col min="2569" max="2569" width="11.54296875" style="135" bestFit="1" customWidth="1"/>
    <col min="2570" max="2570" width="16" style="135" bestFit="1" customWidth="1"/>
    <col min="2571" max="2571" width="9.1796875" style="135"/>
    <col min="2572" max="2572" width="15" style="135" bestFit="1" customWidth="1"/>
    <col min="2573" max="2573" width="14" style="135" bestFit="1" customWidth="1"/>
    <col min="2574" max="2802" width="9.1796875" style="135"/>
    <col min="2803" max="2803" width="16.26953125" style="135" customWidth="1"/>
    <col min="2804" max="2805" width="0" style="135" hidden="1" customWidth="1"/>
    <col min="2806" max="2806" width="13.26953125" style="135" bestFit="1" customWidth="1"/>
    <col min="2807" max="2808" width="16" style="135" bestFit="1" customWidth="1"/>
    <col min="2809" max="2809" width="9.1796875" style="135"/>
    <col min="2810" max="2811" width="16" style="135" bestFit="1" customWidth="1"/>
    <col min="2812" max="2812" width="9.1796875" style="135"/>
    <col min="2813" max="2813" width="0" style="135" hidden="1" customWidth="1"/>
    <col min="2814" max="2814" width="11.26953125" style="135" bestFit="1" customWidth="1"/>
    <col min="2815" max="2821" width="0" style="135" hidden="1" customWidth="1"/>
    <col min="2822" max="2822" width="11.26953125" style="135" bestFit="1" customWidth="1"/>
    <col min="2823" max="2824" width="0" style="135" hidden="1" customWidth="1"/>
    <col min="2825" max="2825" width="11.54296875" style="135" bestFit="1" customWidth="1"/>
    <col min="2826" max="2826" width="16" style="135" bestFit="1" customWidth="1"/>
    <col min="2827" max="2827" width="9.1796875" style="135"/>
    <col min="2828" max="2828" width="15" style="135" bestFit="1" customWidth="1"/>
    <col min="2829" max="2829" width="14" style="135" bestFit="1" customWidth="1"/>
    <col min="2830" max="3058" width="9.1796875" style="135"/>
    <col min="3059" max="3059" width="16.26953125" style="135" customWidth="1"/>
    <col min="3060" max="3061" width="0" style="135" hidden="1" customWidth="1"/>
    <col min="3062" max="3062" width="13.26953125" style="135" bestFit="1" customWidth="1"/>
    <col min="3063" max="3064" width="16" style="135" bestFit="1" customWidth="1"/>
    <col min="3065" max="3065" width="9.1796875" style="135"/>
    <col min="3066" max="3067" width="16" style="135" bestFit="1" customWidth="1"/>
    <col min="3068" max="3068" width="9.1796875" style="135"/>
    <col min="3069" max="3069" width="0" style="135" hidden="1" customWidth="1"/>
    <col min="3070" max="3070" width="11.26953125" style="135" bestFit="1" customWidth="1"/>
    <col min="3071" max="3077" width="0" style="135" hidden="1" customWidth="1"/>
    <col min="3078" max="3078" width="11.26953125" style="135" bestFit="1" customWidth="1"/>
    <col min="3079" max="3080" width="0" style="135" hidden="1" customWidth="1"/>
    <col min="3081" max="3081" width="11.54296875" style="135" bestFit="1" customWidth="1"/>
    <col min="3082" max="3082" width="16" style="135" bestFit="1" customWidth="1"/>
    <col min="3083" max="3083" width="9.1796875" style="135"/>
    <col min="3084" max="3084" width="15" style="135" bestFit="1" customWidth="1"/>
    <col min="3085" max="3085" width="14" style="135" bestFit="1" customWidth="1"/>
    <col min="3086" max="3314" width="9.1796875" style="135"/>
    <col min="3315" max="3315" width="16.26953125" style="135" customWidth="1"/>
    <col min="3316" max="3317" width="0" style="135" hidden="1" customWidth="1"/>
    <col min="3318" max="3318" width="13.26953125" style="135" bestFit="1" customWidth="1"/>
    <col min="3319" max="3320" width="16" style="135" bestFit="1" customWidth="1"/>
    <col min="3321" max="3321" width="9.1796875" style="135"/>
    <col min="3322" max="3323" width="16" style="135" bestFit="1" customWidth="1"/>
    <col min="3324" max="3324" width="9.1796875" style="135"/>
    <col min="3325" max="3325" width="0" style="135" hidden="1" customWidth="1"/>
    <col min="3326" max="3326" width="11.26953125" style="135" bestFit="1" customWidth="1"/>
    <col min="3327" max="3333" width="0" style="135" hidden="1" customWidth="1"/>
    <col min="3334" max="3334" width="11.26953125" style="135" bestFit="1" customWidth="1"/>
    <col min="3335" max="3336" width="0" style="135" hidden="1" customWidth="1"/>
    <col min="3337" max="3337" width="11.54296875" style="135" bestFit="1" customWidth="1"/>
    <col min="3338" max="3338" width="16" style="135" bestFit="1" customWidth="1"/>
    <col min="3339" max="3339" width="9.1796875" style="135"/>
    <col min="3340" max="3340" width="15" style="135" bestFit="1" customWidth="1"/>
    <col min="3341" max="3341" width="14" style="135" bestFit="1" customWidth="1"/>
    <col min="3342" max="3570" width="9.1796875" style="135"/>
    <col min="3571" max="3571" width="16.26953125" style="135" customWidth="1"/>
    <col min="3572" max="3573" width="0" style="135" hidden="1" customWidth="1"/>
    <col min="3574" max="3574" width="13.26953125" style="135" bestFit="1" customWidth="1"/>
    <col min="3575" max="3576" width="16" style="135" bestFit="1" customWidth="1"/>
    <col min="3577" max="3577" width="9.1796875" style="135"/>
    <col min="3578" max="3579" width="16" style="135" bestFit="1" customWidth="1"/>
    <col min="3580" max="3580" width="9.1796875" style="135"/>
    <col min="3581" max="3581" width="0" style="135" hidden="1" customWidth="1"/>
    <col min="3582" max="3582" width="11.26953125" style="135" bestFit="1" customWidth="1"/>
    <col min="3583" max="3589" width="0" style="135" hidden="1" customWidth="1"/>
    <col min="3590" max="3590" width="11.26953125" style="135" bestFit="1" customWidth="1"/>
    <col min="3591" max="3592" width="0" style="135" hidden="1" customWidth="1"/>
    <col min="3593" max="3593" width="11.54296875" style="135" bestFit="1" customWidth="1"/>
    <col min="3594" max="3594" width="16" style="135" bestFit="1" customWidth="1"/>
    <col min="3595" max="3595" width="9.1796875" style="135"/>
    <col min="3596" max="3596" width="15" style="135" bestFit="1" customWidth="1"/>
    <col min="3597" max="3597" width="14" style="135" bestFit="1" customWidth="1"/>
    <col min="3598" max="3826" width="9.1796875" style="135"/>
    <col min="3827" max="3827" width="16.26953125" style="135" customWidth="1"/>
    <col min="3828" max="3829" width="0" style="135" hidden="1" customWidth="1"/>
    <col min="3830" max="3830" width="13.26953125" style="135" bestFit="1" customWidth="1"/>
    <col min="3831" max="3832" width="16" style="135" bestFit="1" customWidth="1"/>
    <col min="3833" max="3833" width="9.1796875" style="135"/>
    <col min="3834" max="3835" width="16" style="135" bestFit="1" customWidth="1"/>
    <col min="3836" max="3836" width="9.1796875" style="135"/>
    <col min="3837" max="3837" width="0" style="135" hidden="1" customWidth="1"/>
    <col min="3838" max="3838" width="11.26953125" style="135" bestFit="1" customWidth="1"/>
    <col min="3839" max="3845" width="0" style="135" hidden="1" customWidth="1"/>
    <col min="3846" max="3846" width="11.26953125" style="135" bestFit="1" customWidth="1"/>
    <col min="3847" max="3848" width="0" style="135" hidden="1" customWidth="1"/>
    <col min="3849" max="3849" width="11.54296875" style="135" bestFit="1" customWidth="1"/>
    <col min="3850" max="3850" width="16" style="135" bestFit="1" customWidth="1"/>
    <col min="3851" max="3851" width="9.1796875" style="135"/>
    <col min="3852" max="3852" width="15" style="135" bestFit="1" customWidth="1"/>
    <col min="3853" max="3853" width="14" style="135" bestFit="1" customWidth="1"/>
    <col min="3854" max="4082" width="9.1796875" style="135"/>
    <col min="4083" max="4083" width="16.26953125" style="135" customWidth="1"/>
    <col min="4084" max="4085" width="0" style="135" hidden="1" customWidth="1"/>
    <col min="4086" max="4086" width="13.26953125" style="135" bestFit="1" customWidth="1"/>
    <col min="4087" max="4088" width="16" style="135" bestFit="1" customWidth="1"/>
    <col min="4089" max="4089" width="9.1796875" style="135"/>
    <col min="4090" max="4091" width="16" style="135" bestFit="1" customWidth="1"/>
    <col min="4092" max="4092" width="9.1796875" style="135"/>
    <col min="4093" max="4093" width="0" style="135" hidden="1" customWidth="1"/>
    <col min="4094" max="4094" width="11.26953125" style="135" bestFit="1" customWidth="1"/>
    <col min="4095" max="4101" width="0" style="135" hidden="1" customWidth="1"/>
    <col min="4102" max="4102" width="11.26953125" style="135" bestFit="1" customWidth="1"/>
    <col min="4103" max="4104" width="0" style="135" hidden="1" customWidth="1"/>
    <col min="4105" max="4105" width="11.54296875" style="135" bestFit="1" customWidth="1"/>
    <col min="4106" max="4106" width="16" style="135" bestFit="1" customWidth="1"/>
    <col min="4107" max="4107" width="9.1796875" style="135"/>
    <col min="4108" max="4108" width="15" style="135" bestFit="1" customWidth="1"/>
    <col min="4109" max="4109" width="14" style="135" bestFit="1" customWidth="1"/>
    <col min="4110" max="4338" width="9.1796875" style="135"/>
    <col min="4339" max="4339" width="16.26953125" style="135" customWidth="1"/>
    <col min="4340" max="4341" width="0" style="135" hidden="1" customWidth="1"/>
    <col min="4342" max="4342" width="13.26953125" style="135" bestFit="1" customWidth="1"/>
    <col min="4343" max="4344" width="16" style="135" bestFit="1" customWidth="1"/>
    <col min="4345" max="4345" width="9.1796875" style="135"/>
    <col min="4346" max="4347" width="16" style="135" bestFit="1" customWidth="1"/>
    <col min="4348" max="4348" width="9.1796875" style="135"/>
    <col min="4349" max="4349" width="0" style="135" hidden="1" customWidth="1"/>
    <col min="4350" max="4350" width="11.26953125" style="135" bestFit="1" customWidth="1"/>
    <col min="4351" max="4357" width="0" style="135" hidden="1" customWidth="1"/>
    <col min="4358" max="4358" width="11.26953125" style="135" bestFit="1" customWidth="1"/>
    <col min="4359" max="4360" width="0" style="135" hidden="1" customWidth="1"/>
    <col min="4361" max="4361" width="11.54296875" style="135" bestFit="1" customWidth="1"/>
    <col min="4362" max="4362" width="16" style="135" bestFit="1" customWidth="1"/>
    <col min="4363" max="4363" width="9.1796875" style="135"/>
    <col min="4364" max="4364" width="15" style="135" bestFit="1" customWidth="1"/>
    <col min="4365" max="4365" width="14" style="135" bestFit="1" customWidth="1"/>
    <col min="4366" max="4594" width="9.1796875" style="135"/>
    <col min="4595" max="4595" width="16.26953125" style="135" customWidth="1"/>
    <col min="4596" max="4597" width="0" style="135" hidden="1" customWidth="1"/>
    <col min="4598" max="4598" width="13.26953125" style="135" bestFit="1" customWidth="1"/>
    <col min="4599" max="4600" width="16" style="135" bestFit="1" customWidth="1"/>
    <col min="4601" max="4601" width="9.1796875" style="135"/>
    <col min="4602" max="4603" width="16" style="135" bestFit="1" customWidth="1"/>
    <col min="4604" max="4604" width="9.1796875" style="135"/>
    <col min="4605" max="4605" width="0" style="135" hidden="1" customWidth="1"/>
    <col min="4606" max="4606" width="11.26953125" style="135" bestFit="1" customWidth="1"/>
    <col min="4607" max="4613" width="0" style="135" hidden="1" customWidth="1"/>
    <col min="4614" max="4614" width="11.26953125" style="135" bestFit="1" customWidth="1"/>
    <col min="4615" max="4616" width="0" style="135" hidden="1" customWidth="1"/>
    <col min="4617" max="4617" width="11.54296875" style="135" bestFit="1" customWidth="1"/>
    <col min="4618" max="4618" width="16" style="135" bestFit="1" customWidth="1"/>
    <col min="4619" max="4619" width="9.1796875" style="135"/>
    <col min="4620" max="4620" width="15" style="135" bestFit="1" customWidth="1"/>
    <col min="4621" max="4621" width="14" style="135" bestFit="1" customWidth="1"/>
    <col min="4622" max="4850" width="9.1796875" style="135"/>
    <col min="4851" max="4851" width="16.26953125" style="135" customWidth="1"/>
    <col min="4852" max="4853" width="0" style="135" hidden="1" customWidth="1"/>
    <col min="4854" max="4854" width="13.26953125" style="135" bestFit="1" customWidth="1"/>
    <col min="4855" max="4856" width="16" style="135" bestFit="1" customWidth="1"/>
    <col min="4857" max="4857" width="9.1796875" style="135"/>
    <col min="4858" max="4859" width="16" style="135" bestFit="1" customWidth="1"/>
    <col min="4860" max="4860" width="9.1796875" style="135"/>
    <col min="4861" max="4861" width="0" style="135" hidden="1" customWidth="1"/>
    <col min="4862" max="4862" width="11.26953125" style="135" bestFit="1" customWidth="1"/>
    <col min="4863" max="4869" width="0" style="135" hidden="1" customWidth="1"/>
    <col min="4870" max="4870" width="11.26953125" style="135" bestFit="1" customWidth="1"/>
    <col min="4871" max="4872" width="0" style="135" hidden="1" customWidth="1"/>
    <col min="4873" max="4873" width="11.54296875" style="135" bestFit="1" customWidth="1"/>
    <col min="4874" max="4874" width="16" style="135" bestFit="1" customWidth="1"/>
    <col min="4875" max="4875" width="9.1796875" style="135"/>
    <col min="4876" max="4876" width="15" style="135" bestFit="1" customWidth="1"/>
    <col min="4877" max="4877" width="14" style="135" bestFit="1" customWidth="1"/>
    <col min="4878" max="5106" width="9.1796875" style="135"/>
    <col min="5107" max="5107" width="16.26953125" style="135" customWidth="1"/>
    <col min="5108" max="5109" width="0" style="135" hidden="1" customWidth="1"/>
    <col min="5110" max="5110" width="13.26953125" style="135" bestFit="1" customWidth="1"/>
    <col min="5111" max="5112" width="16" style="135" bestFit="1" customWidth="1"/>
    <col min="5113" max="5113" width="9.1796875" style="135"/>
    <col min="5114" max="5115" width="16" style="135" bestFit="1" customWidth="1"/>
    <col min="5116" max="5116" width="9.1796875" style="135"/>
    <col min="5117" max="5117" width="0" style="135" hidden="1" customWidth="1"/>
    <col min="5118" max="5118" width="11.26953125" style="135" bestFit="1" customWidth="1"/>
    <col min="5119" max="5125" width="0" style="135" hidden="1" customWidth="1"/>
    <col min="5126" max="5126" width="11.26953125" style="135" bestFit="1" customWidth="1"/>
    <col min="5127" max="5128" width="0" style="135" hidden="1" customWidth="1"/>
    <col min="5129" max="5129" width="11.54296875" style="135" bestFit="1" customWidth="1"/>
    <col min="5130" max="5130" width="16" style="135" bestFit="1" customWidth="1"/>
    <col min="5131" max="5131" width="9.1796875" style="135"/>
    <col min="5132" max="5132" width="15" style="135" bestFit="1" customWidth="1"/>
    <col min="5133" max="5133" width="14" style="135" bestFit="1" customWidth="1"/>
    <col min="5134" max="5362" width="9.1796875" style="135"/>
    <col min="5363" max="5363" width="16.26953125" style="135" customWidth="1"/>
    <col min="5364" max="5365" width="0" style="135" hidden="1" customWidth="1"/>
    <col min="5366" max="5366" width="13.26953125" style="135" bestFit="1" customWidth="1"/>
    <col min="5367" max="5368" width="16" style="135" bestFit="1" customWidth="1"/>
    <col min="5369" max="5369" width="9.1796875" style="135"/>
    <col min="5370" max="5371" width="16" style="135" bestFit="1" customWidth="1"/>
    <col min="5372" max="5372" width="9.1796875" style="135"/>
    <col min="5373" max="5373" width="0" style="135" hidden="1" customWidth="1"/>
    <col min="5374" max="5374" width="11.26953125" style="135" bestFit="1" customWidth="1"/>
    <col min="5375" max="5381" width="0" style="135" hidden="1" customWidth="1"/>
    <col min="5382" max="5382" width="11.26953125" style="135" bestFit="1" customWidth="1"/>
    <col min="5383" max="5384" width="0" style="135" hidden="1" customWidth="1"/>
    <col min="5385" max="5385" width="11.54296875" style="135" bestFit="1" customWidth="1"/>
    <col min="5386" max="5386" width="16" style="135" bestFit="1" customWidth="1"/>
    <col min="5387" max="5387" width="9.1796875" style="135"/>
    <col min="5388" max="5388" width="15" style="135" bestFit="1" customWidth="1"/>
    <col min="5389" max="5389" width="14" style="135" bestFit="1" customWidth="1"/>
    <col min="5390" max="5618" width="9.1796875" style="135"/>
    <col min="5619" max="5619" width="16.26953125" style="135" customWidth="1"/>
    <col min="5620" max="5621" width="0" style="135" hidden="1" customWidth="1"/>
    <col min="5622" max="5622" width="13.26953125" style="135" bestFit="1" customWidth="1"/>
    <col min="5623" max="5624" width="16" style="135" bestFit="1" customWidth="1"/>
    <col min="5625" max="5625" width="9.1796875" style="135"/>
    <col min="5626" max="5627" width="16" style="135" bestFit="1" customWidth="1"/>
    <col min="5628" max="5628" width="9.1796875" style="135"/>
    <col min="5629" max="5629" width="0" style="135" hidden="1" customWidth="1"/>
    <col min="5630" max="5630" width="11.26953125" style="135" bestFit="1" customWidth="1"/>
    <col min="5631" max="5637" width="0" style="135" hidden="1" customWidth="1"/>
    <col min="5638" max="5638" width="11.26953125" style="135" bestFit="1" customWidth="1"/>
    <col min="5639" max="5640" width="0" style="135" hidden="1" customWidth="1"/>
    <col min="5641" max="5641" width="11.54296875" style="135" bestFit="1" customWidth="1"/>
    <col min="5642" max="5642" width="16" style="135" bestFit="1" customWidth="1"/>
    <col min="5643" max="5643" width="9.1796875" style="135"/>
    <col min="5644" max="5644" width="15" style="135" bestFit="1" customWidth="1"/>
    <col min="5645" max="5645" width="14" style="135" bestFit="1" customWidth="1"/>
    <col min="5646" max="5874" width="9.1796875" style="135"/>
    <col min="5875" max="5875" width="16.26953125" style="135" customWidth="1"/>
    <col min="5876" max="5877" width="0" style="135" hidden="1" customWidth="1"/>
    <col min="5878" max="5878" width="13.26953125" style="135" bestFit="1" customWidth="1"/>
    <col min="5879" max="5880" width="16" style="135" bestFit="1" customWidth="1"/>
    <col min="5881" max="5881" width="9.1796875" style="135"/>
    <col min="5882" max="5883" width="16" style="135" bestFit="1" customWidth="1"/>
    <col min="5884" max="5884" width="9.1796875" style="135"/>
    <col min="5885" max="5885" width="0" style="135" hidden="1" customWidth="1"/>
    <col min="5886" max="5886" width="11.26953125" style="135" bestFit="1" customWidth="1"/>
    <col min="5887" max="5893" width="0" style="135" hidden="1" customWidth="1"/>
    <col min="5894" max="5894" width="11.26953125" style="135" bestFit="1" customWidth="1"/>
    <col min="5895" max="5896" width="0" style="135" hidden="1" customWidth="1"/>
    <col min="5897" max="5897" width="11.54296875" style="135" bestFit="1" customWidth="1"/>
    <col min="5898" max="5898" width="16" style="135" bestFit="1" customWidth="1"/>
    <col min="5899" max="5899" width="9.1796875" style="135"/>
    <col min="5900" max="5900" width="15" style="135" bestFit="1" customWidth="1"/>
    <col min="5901" max="5901" width="14" style="135" bestFit="1" customWidth="1"/>
    <col min="5902" max="6130" width="9.1796875" style="135"/>
    <col min="6131" max="6131" width="16.26953125" style="135" customWidth="1"/>
    <col min="6132" max="6133" width="0" style="135" hidden="1" customWidth="1"/>
    <col min="6134" max="6134" width="13.26953125" style="135" bestFit="1" customWidth="1"/>
    <col min="6135" max="6136" width="16" style="135" bestFit="1" customWidth="1"/>
    <col min="6137" max="6137" width="9.1796875" style="135"/>
    <col min="6138" max="6139" width="16" style="135" bestFit="1" customWidth="1"/>
    <col min="6140" max="6140" width="9.1796875" style="135"/>
    <col min="6141" max="6141" width="0" style="135" hidden="1" customWidth="1"/>
    <col min="6142" max="6142" width="11.26953125" style="135" bestFit="1" customWidth="1"/>
    <col min="6143" max="6149" width="0" style="135" hidden="1" customWidth="1"/>
    <col min="6150" max="6150" width="11.26953125" style="135" bestFit="1" customWidth="1"/>
    <col min="6151" max="6152" width="0" style="135" hidden="1" customWidth="1"/>
    <col min="6153" max="6153" width="11.54296875" style="135" bestFit="1" customWidth="1"/>
    <col min="6154" max="6154" width="16" style="135" bestFit="1" customWidth="1"/>
    <col min="6155" max="6155" width="9.1796875" style="135"/>
    <col min="6156" max="6156" width="15" style="135" bestFit="1" customWidth="1"/>
    <col min="6157" max="6157" width="14" style="135" bestFit="1" customWidth="1"/>
    <col min="6158" max="6386" width="9.1796875" style="135"/>
    <col min="6387" max="6387" width="16.26953125" style="135" customWidth="1"/>
    <col min="6388" max="6389" width="0" style="135" hidden="1" customWidth="1"/>
    <col min="6390" max="6390" width="13.26953125" style="135" bestFit="1" customWidth="1"/>
    <col min="6391" max="6392" width="16" style="135" bestFit="1" customWidth="1"/>
    <col min="6393" max="6393" width="9.1796875" style="135"/>
    <col min="6394" max="6395" width="16" style="135" bestFit="1" customWidth="1"/>
    <col min="6396" max="6396" width="9.1796875" style="135"/>
    <col min="6397" max="6397" width="0" style="135" hidden="1" customWidth="1"/>
    <col min="6398" max="6398" width="11.26953125" style="135" bestFit="1" customWidth="1"/>
    <col min="6399" max="6405" width="0" style="135" hidden="1" customWidth="1"/>
    <col min="6406" max="6406" width="11.26953125" style="135" bestFit="1" customWidth="1"/>
    <col min="6407" max="6408" width="0" style="135" hidden="1" customWidth="1"/>
    <col min="6409" max="6409" width="11.54296875" style="135" bestFit="1" customWidth="1"/>
    <col min="6410" max="6410" width="16" style="135" bestFit="1" customWidth="1"/>
    <col min="6411" max="6411" width="9.1796875" style="135"/>
    <col min="6412" max="6412" width="15" style="135" bestFit="1" customWidth="1"/>
    <col min="6413" max="6413" width="14" style="135" bestFit="1" customWidth="1"/>
    <col min="6414" max="6642" width="9.1796875" style="135"/>
    <col min="6643" max="6643" width="16.26953125" style="135" customWidth="1"/>
    <col min="6644" max="6645" width="0" style="135" hidden="1" customWidth="1"/>
    <col min="6646" max="6646" width="13.26953125" style="135" bestFit="1" customWidth="1"/>
    <col min="6647" max="6648" width="16" style="135" bestFit="1" customWidth="1"/>
    <col min="6649" max="6649" width="9.1796875" style="135"/>
    <col min="6650" max="6651" width="16" style="135" bestFit="1" customWidth="1"/>
    <col min="6652" max="6652" width="9.1796875" style="135"/>
    <col min="6653" max="6653" width="0" style="135" hidden="1" customWidth="1"/>
    <col min="6654" max="6654" width="11.26953125" style="135" bestFit="1" customWidth="1"/>
    <col min="6655" max="6661" width="0" style="135" hidden="1" customWidth="1"/>
    <col min="6662" max="6662" width="11.26953125" style="135" bestFit="1" customWidth="1"/>
    <col min="6663" max="6664" width="0" style="135" hidden="1" customWidth="1"/>
    <col min="6665" max="6665" width="11.54296875" style="135" bestFit="1" customWidth="1"/>
    <col min="6666" max="6666" width="16" style="135" bestFit="1" customWidth="1"/>
    <col min="6667" max="6667" width="9.1796875" style="135"/>
    <col min="6668" max="6668" width="15" style="135" bestFit="1" customWidth="1"/>
    <col min="6669" max="6669" width="14" style="135" bestFit="1" customWidth="1"/>
    <col min="6670" max="6898" width="9.1796875" style="135"/>
    <col min="6899" max="6899" width="16.26953125" style="135" customWidth="1"/>
    <col min="6900" max="6901" width="0" style="135" hidden="1" customWidth="1"/>
    <col min="6902" max="6902" width="13.26953125" style="135" bestFit="1" customWidth="1"/>
    <col min="6903" max="6904" width="16" style="135" bestFit="1" customWidth="1"/>
    <col min="6905" max="6905" width="9.1796875" style="135"/>
    <col min="6906" max="6907" width="16" style="135" bestFit="1" customWidth="1"/>
    <col min="6908" max="6908" width="9.1796875" style="135"/>
    <col min="6909" max="6909" width="0" style="135" hidden="1" customWidth="1"/>
    <col min="6910" max="6910" width="11.26953125" style="135" bestFit="1" customWidth="1"/>
    <col min="6911" max="6917" width="0" style="135" hidden="1" customWidth="1"/>
    <col min="6918" max="6918" width="11.26953125" style="135" bestFit="1" customWidth="1"/>
    <col min="6919" max="6920" width="0" style="135" hidden="1" customWidth="1"/>
    <col min="6921" max="6921" width="11.54296875" style="135" bestFit="1" customWidth="1"/>
    <col min="6922" max="6922" width="16" style="135" bestFit="1" customWidth="1"/>
    <col min="6923" max="6923" width="9.1796875" style="135"/>
    <col min="6924" max="6924" width="15" style="135" bestFit="1" customWidth="1"/>
    <col min="6925" max="6925" width="14" style="135" bestFit="1" customWidth="1"/>
    <col min="6926" max="7154" width="9.1796875" style="135"/>
    <col min="7155" max="7155" width="16.26953125" style="135" customWidth="1"/>
    <col min="7156" max="7157" width="0" style="135" hidden="1" customWidth="1"/>
    <col min="7158" max="7158" width="13.26953125" style="135" bestFit="1" customWidth="1"/>
    <col min="7159" max="7160" width="16" style="135" bestFit="1" customWidth="1"/>
    <col min="7161" max="7161" width="9.1796875" style="135"/>
    <col min="7162" max="7163" width="16" style="135" bestFit="1" customWidth="1"/>
    <col min="7164" max="7164" width="9.1796875" style="135"/>
    <col min="7165" max="7165" width="0" style="135" hidden="1" customWidth="1"/>
    <col min="7166" max="7166" width="11.26953125" style="135" bestFit="1" customWidth="1"/>
    <col min="7167" max="7173" width="0" style="135" hidden="1" customWidth="1"/>
    <col min="7174" max="7174" width="11.26953125" style="135" bestFit="1" customWidth="1"/>
    <col min="7175" max="7176" width="0" style="135" hidden="1" customWidth="1"/>
    <col min="7177" max="7177" width="11.54296875" style="135" bestFit="1" customWidth="1"/>
    <col min="7178" max="7178" width="16" style="135" bestFit="1" customWidth="1"/>
    <col min="7179" max="7179" width="9.1796875" style="135"/>
    <col min="7180" max="7180" width="15" style="135" bestFit="1" customWidth="1"/>
    <col min="7181" max="7181" width="14" style="135" bestFit="1" customWidth="1"/>
    <col min="7182" max="7410" width="9.1796875" style="135"/>
    <col min="7411" max="7411" width="16.26953125" style="135" customWidth="1"/>
    <col min="7412" max="7413" width="0" style="135" hidden="1" customWidth="1"/>
    <col min="7414" max="7414" width="13.26953125" style="135" bestFit="1" customWidth="1"/>
    <col min="7415" max="7416" width="16" style="135" bestFit="1" customWidth="1"/>
    <col min="7417" max="7417" width="9.1796875" style="135"/>
    <col min="7418" max="7419" width="16" style="135" bestFit="1" customWidth="1"/>
    <col min="7420" max="7420" width="9.1796875" style="135"/>
    <col min="7421" max="7421" width="0" style="135" hidden="1" customWidth="1"/>
    <col min="7422" max="7422" width="11.26953125" style="135" bestFit="1" customWidth="1"/>
    <col min="7423" max="7429" width="0" style="135" hidden="1" customWidth="1"/>
    <col min="7430" max="7430" width="11.26953125" style="135" bestFit="1" customWidth="1"/>
    <col min="7431" max="7432" width="0" style="135" hidden="1" customWidth="1"/>
    <col min="7433" max="7433" width="11.54296875" style="135" bestFit="1" customWidth="1"/>
    <col min="7434" max="7434" width="16" style="135" bestFit="1" customWidth="1"/>
    <col min="7435" max="7435" width="9.1796875" style="135"/>
    <col min="7436" max="7436" width="15" style="135" bestFit="1" customWidth="1"/>
    <col min="7437" max="7437" width="14" style="135" bestFit="1" customWidth="1"/>
    <col min="7438" max="7666" width="9.1796875" style="135"/>
    <col min="7667" max="7667" width="16.26953125" style="135" customWidth="1"/>
    <col min="7668" max="7669" width="0" style="135" hidden="1" customWidth="1"/>
    <col min="7670" max="7670" width="13.26953125" style="135" bestFit="1" customWidth="1"/>
    <col min="7671" max="7672" width="16" style="135" bestFit="1" customWidth="1"/>
    <col min="7673" max="7673" width="9.1796875" style="135"/>
    <col min="7674" max="7675" width="16" style="135" bestFit="1" customWidth="1"/>
    <col min="7676" max="7676" width="9.1796875" style="135"/>
    <col min="7677" max="7677" width="0" style="135" hidden="1" customWidth="1"/>
    <col min="7678" max="7678" width="11.26953125" style="135" bestFit="1" customWidth="1"/>
    <col min="7679" max="7685" width="0" style="135" hidden="1" customWidth="1"/>
    <col min="7686" max="7686" width="11.26953125" style="135" bestFit="1" customWidth="1"/>
    <col min="7687" max="7688" width="0" style="135" hidden="1" customWidth="1"/>
    <col min="7689" max="7689" width="11.54296875" style="135" bestFit="1" customWidth="1"/>
    <col min="7690" max="7690" width="16" style="135" bestFit="1" customWidth="1"/>
    <col min="7691" max="7691" width="9.1796875" style="135"/>
    <col min="7692" max="7692" width="15" style="135" bestFit="1" customWidth="1"/>
    <col min="7693" max="7693" width="14" style="135" bestFit="1" customWidth="1"/>
    <col min="7694" max="7922" width="9.1796875" style="135"/>
    <col min="7923" max="7923" width="16.26953125" style="135" customWidth="1"/>
    <col min="7924" max="7925" width="0" style="135" hidden="1" customWidth="1"/>
    <col min="7926" max="7926" width="13.26953125" style="135" bestFit="1" customWidth="1"/>
    <col min="7927" max="7928" width="16" style="135" bestFit="1" customWidth="1"/>
    <col min="7929" max="7929" width="9.1796875" style="135"/>
    <col min="7930" max="7931" width="16" style="135" bestFit="1" customWidth="1"/>
    <col min="7932" max="7932" width="9.1796875" style="135"/>
    <col min="7933" max="7933" width="0" style="135" hidden="1" customWidth="1"/>
    <col min="7934" max="7934" width="11.26953125" style="135" bestFit="1" customWidth="1"/>
    <col min="7935" max="7941" width="0" style="135" hidden="1" customWidth="1"/>
    <col min="7942" max="7942" width="11.26953125" style="135" bestFit="1" customWidth="1"/>
    <col min="7943" max="7944" width="0" style="135" hidden="1" customWidth="1"/>
    <col min="7945" max="7945" width="11.54296875" style="135" bestFit="1" customWidth="1"/>
    <col min="7946" max="7946" width="16" style="135" bestFit="1" customWidth="1"/>
    <col min="7947" max="7947" width="9.1796875" style="135"/>
    <col min="7948" max="7948" width="15" style="135" bestFit="1" customWidth="1"/>
    <col min="7949" max="7949" width="14" style="135" bestFit="1" customWidth="1"/>
    <col min="7950" max="8178" width="9.1796875" style="135"/>
    <col min="8179" max="8179" width="16.26953125" style="135" customWidth="1"/>
    <col min="8180" max="8181" width="0" style="135" hidden="1" customWidth="1"/>
    <col min="8182" max="8182" width="13.26953125" style="135" bestFit="1" customWidth="1"/>
    <col min="8183" max="8184" width="16" style="135" bestFit="1" customWidth="1"/>
    <col min="8185" max="8185" width="9.1796875" style="135"/>
    <col min="8186" max="8187" width="16" style="135" bestFit="1" customWidth="1"/>
    <col min="8188" max="8188" width="9.1796875" style="135"/>
    <col min="8189" max="8189" width="0" style="135" hidden="1" customWidth="1"/>
    <col min="8190" max="8190" width="11.26953125" style="135" bestFit="1" customWidth="1"/>
    <col min="8191" max="8197" width="0" style="135" hidden="1" customWidth="1"/>
    <col min="8198" max="8198" width="11.26953125" style="135" bestFit="1" customWidth="1"/>
    <col min="8199" max="8200" width="0" style="135" hidden="1" customWidth="1"/>
    <col min="8201" max="8201" width="11.54296875" style="135" bestFit="1" customWidth="1"/>
    <col min="8202" max="8202" width="16" style="135" bestFit="1" customWidth="1"/>
    <col min="8203" max="8203" width="9.1796875" style="135"/>
    <col min="8204" max="8204" width="15" style="135" bestFit="1" customWidth="1"/>
    <col min="8205" max="8205" width="14" style="135" bestFit="1" customWidth="1"/>
    <col min="8206" max="8434" width="9.1796875" style="135"/>
    <col min="8435" max="8435" width="16.26953125" style="135" customWidth="1"/>
    <col min="8436" max="8437" width="0" style="135" hidden="1" customWidth="1"/>
    <col min="8438" max="8438" width="13.26953125" style="135" bestFit="1" customWidth="1"/>
    <col min="8439" max="8440" width="16" style="135" bestFit="1" customWidth="1"/>
    <col min="8441" max="8441" width="9.1796875" style="135"/>
    <col min="8442" max="8443" width="16" style="135" bestFit="1" customWidth="1"/>
    <col min="8444" max="8444" width="9.1796875" style="135"/>
    <col min="8445" max="8445" width="0" style="135" hidden="1" customWidth="1"/>
    <col min="8446" max="8446" width="11.26953125" style="135" bestFit="1" customWidth="1"/>
    <col min="8447" max="8453" width="0" style="135" hidden="1" customWidth="1"/>
    <col min="8454" max="8454" width="11.26953125" style="135" bestFit="1" customWidth="1"/>
    <col min="8455" max="8456" width="0" style="135" hidden="1" customWidth="1"/>
    <col min="8457" max="8457" width="11.54296875" style="135" bestFit="1" customWidth="1"/>
    <col min="8458" max="8458" width="16" style="135" bestFit="1" customWidth="1"/>
    <col min="8459" max="8459" width="9.1796875" style="135"/>
    <col min="8460" max="8460" width="15" style="135" bestFit="1" customWidth="1"/>
    <col min="8461" max="8461" width="14" style="135" bestFit="1" customWidth="1"/>
    <col min="8462" max="8690" width="9.1796875" style="135"/>
    <col min="8691" max="8691" width="16.26953125" style="135" customWidth="1"/>
    <col min="8692" max="8693" width="0" style="135" hidden="1" customWidth="1"/>
    <col min="8694" max="8694" width="13.26953125" style="135" bestFit="1" customWidth="1"/>
    <col min="8695" max="8696" width="16" style="135" bestFit="1" customWidth="1"/>
    <col min="8697" max="8697" width="9.1796875" style="135"/>
    <col min="8698" max="8699" width="16" style="135" bestFit="1" customWidth="1"/>
    <col min="8700" max="8700" width="9.1796875" style="135"/>
    <col min="8701" max="8701" width="0" style="135" hidden="1" customWidth="1"/>
    <col min="8702" max="8702" width="11.26953125" style="135" bestFit="1" customWidth="1"/>
    <col min="8703" max="8709" width="0" style="135" hidden="1" customWidth="1"/>
    <col min="8710" max="8710" width="11.26953125" style="135" bestFit="1" customWidth="1"/>
    <col min="8711" max="8712" width="0" style="135" hidden="1" customWidth="1"/>
    <col min="8713" max="8713" width="11.54296875" style="135" bestFit="1" customWidth="1"/>
    <col min="8714" max="8714" width="16" style="135" bestFit="1" customWidth="1"/>
    <col min="8715" max="8715" width="9.1796875" style="135"/>
    <col min="8716" max="8716" width="15" style="135" bestFit="1" customWidth="1"/>
    <col min="8717" max="8717" width="14" style="135" bestFit="1" customWidth="1"/>
    <col min="8718" max="8946" width="9.1796875" style="135"/>
    <col min="8947" max="8947" width="16.26953125" style="135" customWidth="1"/>
    <col min="8948" max="8949" width="0" style="135" hidden="1" customWidth="1"/>
    <col min="8950" max="8950" width="13.26953125" style="135" bestFit="1" customWidth="1"/>
    <col min="8951" max="8952" width="16" style="135" bestFit="1" customWidth="1"/>
    <col min="8953" max="8953" width="9.1796875" style="135"/>
    <col min="8954" max="8955" width="16" style="135" bestFit="1" customWidth="1"/>
    <col min="8956" max="8956" width="9.1796875" style="135"/>
    <col min="8957" max="8957" width="0" style="135" hidden="1" customWidth="1"/>
    <col min="8958" max="8958" width="11.26953125" style="135" bestFit="1" customWidth="1"/>
    <col min="8959" max="8965" width="0" style="135" hidden="1" customWidth="1"/>
    <col min="8966" max="8966" width="11.26953125" style="135" bestFit="1" customWidth="1"/>
    <col min="8967" max="8968" width="0" style="135" hidden="1" customWidth="1"/>
    <col min="8969" max="8969" width="11.54296875" style="135" bestFit="1" customWidth="1"/>
    <col min="8970" max="8970" width="16" style="135" bestFit="1" customWidth="1"/>
    <col min="8971" max="8971" width="9.1796875" style="135"/>
    <col min="8972" max="8972" width="15" style="135" bestFit="1" customWidth="1"/>
    <col min="8973" max="8973" width="14" style="135" bestFit="1" customWidth="1"/>
    <col min="8974" max="9202" width="9.1796875" style="135"/>
    <col min="9203" max="9203" width="16.26953125" style="135" customWidth="1"/>
    <col min="9204" max="9205" width="0" style="135" hidden="1" customWidth="1"/>
    <col min="9206" max="9206" width="13.26953125" style="135" bestFit="1" customWidth="1"/>
    <col min="9207" max="9208" width="16" style="135" bestFit="1" customWidth="1"/>
    <col min="9209" max="9209" width="9.1796875" style="135"/>
    <col min="9210" max="9211" width="16" style="135" bestFit="1" customWidth="1"/>
    <col min="9212" max="9212" width="9.1796875" style="135"/>
    <col min="9213" max="9213" width="0" style="135" hidden="1" customWidth="1"/>
    <col min="9214" max="9214" width="11.26953125" style="135" bestFit="1" customWidth="1"/>
    <col min="9215" max="9221" width="0" style="135" hidden="1" customWidth="1"/>
    <col min="9222" max="9222" width="11.26953125" style="135" bestFit="1" customWidth="1"/>
    <col min="9223" max="9224" width="0" style="135" hidden="1" customWidth="1"/>
    <col min="9225" max="9225" width="11.54296875" style="135" bestFit="1" customWidth="1"/>
    <col min="9226" max="9226" width="16" style="135" bestFit="1" customWidth="1"/>
    <col min="9227" max="9227" width="9.1796875" style="135"/>
    <col min="9228" max="9228" width="15" style="135" bestFit="1" customWidth="1"/>
    <col min="9229" max="9229" width="14" style="135" bestFit="1" customWidth="1"/>
    <col min="9230" max="9458" width="9.1796875" style="135"/>
    <col min="9459" max="9459" width="16.26953125" style="135" customWidth="1"/>
    <col min="9460" max="9461" width="0" style="135" hidden="1" customWidth="1"/>
    <col min="9462" max="9462" width="13.26953125" style="135" bestFit="1" customWidth="1"/>
    <col min="9463" max="9464" width="16" style="135" bestFit="1" customWidth="1"/>
    <col min="9465" max="9465" width="9.1796875" style="135"/>
    <col min="9466" max="9467" width="16" style="135" bestFit="1" customWidth="1"/>
    <col min="9468" max="9468" width="9.1796875" style="135"/>
    <col min="9469" max="9469" width="0" style="135" hidden="1" customWidth="1"/>
    <col min="9470" max="9470" width="11.26953125" style="135" bestFit="1" customWidth="1"/>
    <col min="9471" max="9477" width="0" style="135" hidden="1" customWidth="1"/>
    <col min="9478" max="9478" width="11.26953125" style="135" bestFit="1" customWidth="1"/>
    <col min="9479" max="9480" width="0" style="135" hidden="1" customWidth="1"/>
    <col min="9481" max="9481" width="11.54296875" style="135" bestFit="1" customWidth="1"/>
    <col min="9482" max="9482" width="16" style="135" bestFit="1" customWidth="1"/>
    <col min="9483" max="9483" width="9.1796875" style="135"/>
    <col min="9484" max="9484" width="15" style="135" bestFit="1" customWidth="1"/>
    <col min="9485" max="9485" width="14" style="135" bestFit="1" customWidth="1"/>
    <col min="9486" max="9714" width="9.1796875" style="135"/>
    <col min="9715" max="9715" width="16.26953125" style="135" customWidth="1"/>
    <col min="9716" max="9717" width="0" style="135" hidden="1" customWidth="1"/>
    <col min="9718" max="9718" width="13.26953125" style="135" bestFit="1" customWidth="1"/>
    <col min="9719" max="9720" width="16" style="135" bestFit="1" customWidth="1"/>
    <col min="9721" max="9721" width="9.1796875" style="135"/>
    <col min="9722" max="9723" width="16" style="135" bestFit="1" customWidth="1"/>
    <col min="9724" max="9724" width="9.1796875" style="135"/>
    <col min="9725" max="9725" width="0" style="135" hidden="1" customWidth="1"/>
    <col min="9726" max="9726" width="11.26953125" style="135" bestFit="1" customWidth="1"/>
    <col min="9727" max="9733" width="0" style="135" hidden="1" customWidth="1"/>
    <col min="9734" max="9734" width="11.26953125" style="135" bestFit="1" customWidth="1"/>
    <col min="9735" max="9736" width="0" style="135" hidden="1" customWidth="1"/>
    <col min="9737" max="9737" width="11.54296875" style="135" bestFit="1" customWidth="1"/>
    <col min="9738" max="9738" width="16" style="135" bestFit="1" customWidth="1"/>
    <col min="9739" max="9739" width="9.1796875" style="135"/>
    <col min="9740" max="9740" width="15" style="135" bestFit="1" customWidth="1"/>
    <col min="9741" max="9741" width="14" style="135" bestFit="1" customWidth="1"/>
    <col min="9742" max="9970" width="9.1796875" style="135"/>
    <col min="9971" max="9971" width="16.26953125" style="135" customWidth="1"/>
    <col min="9972" max="9973" width="0" style="135" hidden="1" customWidth="1"/>
    <col min="9974" max="9974" width="13.26953125" style="135" bestFit="1" customWidth="1"/>
    <col min="9975" max="9976" width="16" style="135" bestFit="1" customWidth="1"/>
    <col min="9977" max="9977" width="9.1796875" style="135"/>
    <col min="9978" max="9979" width="16" style="135" bestFit="1" customWidth="1"/>
    <col min="9980" max="9980" width="9.1796875" style="135"/>
    <col min="9981" max="9981" width="0" style="135" hidden="1" customWidth="1"/>
    <col min="9982" max="9982" width="11.26953125" style="135" bestFit="1" customWidth="1"/>
    <col min="9983" max="9989" width="0" style="135" hidden="1" customWidth="1"/>
    <col min="9990" max="9990" width="11.26953125" style="135" bestFit="1" customWidth="1"/>
    <col min="9991" max="9992" width="0" style="135" hidden="1" customWidth="1"/>
    <col min="9993" max="9993" width="11.54296875" style="135" bestFit="1" customWidth="1"/>
    <col min="9994" max="9994" width="16" style="135" bestFit="1" customWidth="1"/>
    <col min="9995" max="9995" width="9.1796875" style="135"/>
    <col min="9996" max="9996" width="15" style="135" bestFit="1" customWidth="1"/>
    <col min="9997" max="9997" width="14" style="135" bestFit="1" customWidth="1"/>
    <col min="9998" max="10226" width="9.1796875" style="135"/>
    <col min="10227" max="10227" width="16.26953125" style="135" customWidth="1"/>
    <col min="10228" max="10229" width="0" style="135" hidden="1" customWidth="1"/>
    <col min="10230" max="10230" width="13.26953125" style="135" bestFit="1" customWidth="1"/>
    <col min="10231" max="10232" width="16" style="135" bestFit="1" customWidth="1"/>
    <col min="10233" max="10233" width="9.1796875" style="135"/>
    <col min="10234" max="10235" width="16" style="135" bestFit="1" customWidth="1"/>
    <col min="10236" max="10236" width="9.1796875" style="135"/>
    <col min="10237" max="10237" width="0" style="135" hidden="1" customWidth="1"/>
    <col min="10238" max="10238" width="11.26953125" style="135" bestFit="1" customWidth="1"/>
    <col min="10239" max="10245" width="0" style="135" hidden="1" customWidth="1"/>
    <col min="10246" max="10246" width="11.26953125" style="135" bestFit="1" customWidth="1"/>
    <col min="10247" max="10248" width="0" style="135" hidden="1" customWidth="1"/>
    <col min="10249" max="10249" width="11.54296875" style="135" bestFit="1" customWidth="1"/>
    <col min="10250" max="10250" width="16" style="135" bestFit="1" customWidth="1"/>
    <col min="10251" max="10251" width="9.1796875" style="135"/>
    <col min="10252" max="10252" width="15" style="135" bestFit="1" customWidth="1"/>
    <col min="10253" max="10253" width="14" style="135" bestFit="1" customWidth="1"/>
    <col min="10254" max="10482" width="9.1796875" style="135"/>
    <col min="10483" max="10483" width="16.26953125" style="135" customWidth="1"/>
    <col min="10484" max="10485" width="0" style="135" hidden="1" customWidth="1"/>
    <col min="10486" max="10486" width="13.26953125" style="135" bestFit="1" customWidth="1"/>
    <col min="10487" max="10488" width="16" style="135" bestFit="1" customWidth="1"/>
    <col min="10489" max="10489" width="9.1796875" style="135"/>
    <col min="10490" max="10491" width="16" style="135" bestFit="1" customWidth="1"/>
    <col min="10492" max="10492" width="9.1796875" style="135"/>
    <col min="10493" max="10493" width="0" style="135" hidden="1" customWidth="1"/>
    <col min="10494" max="10494" width="11.26953125" style="135" bestFit="1" customWidth="1"/>
    <col min="10495" max="10501" width="0" style="135" hidden="1" customWidth="1"/>
    <col min="10502" max="10502" width="11.26953125" style="135" bestFit="1" customWidth="1"/>
    <col min="10503" max="10504" width="0" style="135" hidden="1" customWidth="1"/>
    <col min="10505" max="10505" width="11.54296875" style="135" bestFit="1" customWidth="1"/>
    <col min="10506" max="10506" width="16" style="135" bestFit="1" customWidth="1"/>
    <col min="10507" max="10507" width="9.1796875" style="135"/>
    <col min="10508" max="10508" width="15" style="135" bestFit="1" customWidth="1"/>
    <col min="10509" max="10509" width="14" style="135" bestFit="1" customWidth="1"/>
    <col min="10510" max="10738" width="9.1796875" style="135"/>
    <col min="10739" max="10739" width="16.26953125" style="135" customWidth="1"/>
    <col min="10740" max="10741" width="0" style="135" hidden="1" customWidth="1"/>
    <col min="10742" max="10742" width="13.26953125" style="135" bestFit="1" customWidth="1"/>
    <col min="10743" max="10744" width="16" style="135" bestFit="1" customWidth="1"/>
    <col min="10745" max="10745" width="9.1796875" style="135"/>
    <col min="10746" max="10747" width="16" style="135" bestFit="1" customWidth="1"/>
    <col min="10748" max="10748" width="9.1796875" style="135"/>
    <col min="10749" max="10749" width="0" style="135" hidden="1" customWidth="1"/>
    <col min="10750" max="10750" width="11.26953125" style="135" bestFit="1" customWidth="1"/>
    <col min="10751" max="10757" width="0" style="135" hidden="1" customWidth="1"/>
    <col min="10758" max="10758" width="11.26953125" style="135" bestFit="1" customWidth="1"/>
    <col min="10759" max="10760" width="0" style="135" hidden="1" customWidth="1"/>
    <col min="10761" max="10761" width="11.54296875" style="135" bestFit="1" customWidth="1"/>
    <col min="10762" max="10762" width="16" style="135" bestFit="1" customWidth="1"/>
    <col min="10763" max="10763" width="9.1796875" style="135"/>
    <col min="10764" max="10764" width="15" style="135" bestFit="1" customWidth="1"/>
    <col min="10765" max="10765" width="14" style="135" bestFit="1" customWidth="1"/>
    <col min="10766" max="10994" width="9.1796875" style="135"/>
    <col min="10995" max="10995" width="16.26953125" style="135" customWidth="1"/>
    <col min="10996" max="10997" width="0" style="135" hidden="1" customWidth="1"/>
    <col min="10998" max="10998" width="13.26953125" style="135" bestFit="1" customWidth="1"/>
    <col min="10999" max="11000" width="16" style="135" bestFit="1" customWidth="1"/>
    <col min="11001" max="11001" width="9.1796875" style="135"/>
    <col min="11002" max="11003" width="16" style="135" bestFit="1" customWidth="1"/>
    <col min="11004" max="11004" width="9.1796875" style="135"/>
    <col min="11005" max="11005" width="0" style="135" hidden="1" customWidth="1"/>
    <col min="11006" max="11006" width="11.26953125" style="135" bestFit="1" customWidth="1"/>
    <col min="11007" max="11013" width="0" style="135" hidden="1" customWidth="1"/>
    <col min="11014" max="11014" width="11.26953125" style="135" bestFit="1" customWidth="1"/>
    <col min="11015" max="11016" width="0" style="135" hidden="1" customWidth="1"/>
    <col min="11017" max="11017" width="11.54296875" style="135" bestFit="1" customWidth="1"/>
    <col min="11018" max="11018" width="16" style="135" bestFit="1" customWidth="1"/>
    <col min="11019" max="11019" width="9.1796875" style="135"/>
    <col min="11020" max="11020" width="15" style="135" bestFit="1" customWidth="1"/>
    <col min="11021" max="11021" width="14" style="135" bestFit="1" customWidth="1"/>
    <col min="11022" max="11250" width="9.1796875" style="135"/>
    <col min="11251" max="11251" width="16.26953125" style="135" customWidth="1"/>
    <col min="11252" max="11253" width="0" style="135" hidden="1" customWidth="1"/>
    <col min="11254" max="11254" width="13.26953125" style="135" bestFit="1" customWidth="1"/>
    <col min="11255" max="11256" width="16" style="135" bestFit="1" customWidth="1"/>
    <col min="11257" max="11257" width="9.1796875" style="135"/>
    <col min="11258" max="11259" width="16" style="135" bestFit="1" customWidth="1"/>
    <col min="11260" max="11260" width="9.1796875" style="135"/>
    <col min="11261" max="11261" width="0" style="135" hidden="1" customWidth="1"/>
    <col min="11262" max="11262" width="11.26953125" style="135" bestFit="1" customWidth="1"/>
    <col min="11263" max="11269" width="0" style="135" hidden="1" customWidth="1"/>
    <col min="11270" max="11270" width="11.26953125" style="135" bestFit="1" customWidth="1"/>
    <col min="11271" max="11272" width="0" style="135" hidden="1" customWidth="1"/>
    <col min="11273" max="11273" width="11.54296875" style="135" bestFit="1" customWidth="1"/>
    <col min="11274" max="11274" width="16" style="135" bestFit="1" customWidth="1"/>
    <col min="11275" max="11275" width="9.1796875" style="135"/>
    <col min="11276" max="11276" width="15" style="135" bestFit="1" customWidth="1"/>
    <col min="11277" max="11277" width="14" style="135" bestFit="1" customWidth="1"/>
    <col min="11278" max="11506" width="9.1796875" style="135"/>
    <col min="11507" max="11507" width="16.26953125" style="135" customWidth="1"/>
    <col min="11508" max="11509" width="0" style="135" hidden="1" customWidth="1"/>
    <col min="11510" max="11510" width="13.26953125" style="135" bestFit="1" customWidth="1"/>
    <col min="11511" max="11512" width="16" style="135" bestFit="1" customWidth="1"/>
    <col min="11513" max="11513" width="9.1796875" style="135"/>
    <col min="11514" max="11515" width="16" style="135" bestFit="1" customWidth="1"/>
    <col min="11516" max="11516" width="9.1796875" style="135"/>
    <col min="11517" max="11517" width="0" style="135" hidden="1" customWidth="1"/>
    <col min="11518" max="11518" width="11.26953125" style="135" bestFit="1" customWidth="1"/>
    <col min="11519" max="11525" width="0" style="135" hidden="1" customWidth="1"/>
    <col min="11526" max="11526" width="11.26953125" style="135" bestFit="1" customWidth="1"/>
    <col min="11527" max="11528" width="0" style="135" hidden="1" customWidth="1"/>
    <col min="11529" max="11529" width="11.54296875" style="135" bestFit="1" customWidth="1"/>
    <col min="11530" max="11530" width="16" style="135" bestFit="1" customWidth="1"/>
    <col min="11531" max="11531" width="9.1796875" style="135"/>
    <col min="11532" max="11532" width="15" style="135" bestFit="1" customWidth="1"/>
    <col min="11533" max="11533" width="14" style="135" bestFit="1" customWidth="1"/>
    <col min="11534" max="11762" width="9.1796875" style="135"/>
    <col min="11763" max="11763" width="16.26953125" style="135" customWidth="1"/>
    <col min="11764" max="11765" width="0" style="135" hidden="1" customWidth="1"/>
    <col min="11766" max="11766" width="13.26953125" style="135" bestFit="1" customWidth="1"/>
    <col min="11767" max="11768" width="16" style="135" bestFit="1" customWidth="1"/>
    <col min="11769" max="11769" width="9.1796875" style="135"/>
    <col min="11770" max="11771" width="16" style="135" bestFit="1" customWidth="1"/>
    <col min="11772" max="11772" width="9.1796875" style="135"/>
    <col min="11773" max="11773" width="0" style="135" hidden="1" customWidth="1"/>
    <col min="11774" max="11774" width="11.26953125" style="135" bestFit="1" customWidth="1"/>
    <col min="11775" max="11781" width="0" style="135" hidden="1" customWidth="1"/>
    <col min="11782" max="11782" width="11.26953125" style="135" bestFit="1" customWidth="1"/>
    <col min="11783" max="11784" width="0" style="135" hidden="1" customWidth="1"/>
    <col min="11785" max="11785" width="11.54296875" style="135" bestFit="1" customWidth="1"/>
    <col min="11786" max="11786" width="16" style="135" bestFit="1" customWidth="1"/>
    <col min="11787" max="11787" width="9.1796875" style="135"/>
    <col min="11788" max="11788" width="15" style="135" bestFit="1" customWidth="1"/>
    <col min="11789" max="11789" width="14" style="135" bestFit="1" customWidth="1"/>
    <col min="11790" max="12018" width="9.1796875" style="135"/>
    <col min="12019" max="12019" width="16.26953125" style="135" customWidth="1"/>
    <col min="12020" max="12021" width="0" style="135" hidden="1" customWidth="1"/>
    <col min="12022" max="12022" width="13.26953125" style="135" bestFit="1" customWidth="1"/>
    <col min="12023" max="12024" width="16" style="135" bestFit="1" customWidth="1"/>
    <col min="12025" max="12025" width="9.1796875" style="135"/>
    <col min="12026" max="12027" width="16" style="135" bestFit="1" customWidth="1"/>
    <col min="12028" max="12028" width="9.1796875" style="135"/>
    <col min="12029" max="12029" width="0" style="135" hidden="1" customWidth="1"/>
    <col min="12030" max="12030" width="11.26953125" style="135" bestFit="1" customWidth="1"/>
    <col min="12031" max="12037" width="0" style="135" hidden="1" customWidth="1"/>
    <col min="12038" max="12038" width="11.26953125" style="135" bestFit="1" customWidth="1"/>
    <col min="12039" max="12040" width="0" style="135" hidden="1" customWidth="1"/>
    <col min="12041" max="12041" width="11.54296875" style="135" bestFit="1" customWidth="1"/>
    <col min="12042" max="12042" width="16" style="135" bestFit="1" customWidth="1"/>
    <col min="12043" max="12043" width="9.1796875" style="135"/>
    <col min="12044" max="12044" width="15" style="135" bestFit="1" customWidth="1"/>
    <col min="12045" max="12045" width="14" style="135" bestFit="1" customWidth="1"/>
    <col min="12046" max="12274" width="9.1796875" style="135"/>
    <col min="12275" max="12275" width="16.26953125" style="135" customWidth="1"/>
    <col min="12276" max="12277" width="0" style="135" hidden="1" customWidth="1"/>
    <col min="12278" max="12278" width="13.26953125" style="135" bestFit="1" customWidth="1"/>
    <col min="12279" max="12280" width="16" style="135" bestFit="1" customWidth="1"/>
    <col min="12281" max="12281" width="9.1796875" style="135"/>
    <col min="12282" max="12283" width="16" style="135" bestFit="1" customWidth="1"/>
    <col min="12284" max="12284" width="9.1796875" style="135"/>
    <col min="12285" max="12285" width="0" style="135" hidden="1" customWidth="1"/>
    <col min="12286" max="12286" width="11.26953125" style="135" bestFit="1" customWidth="1"/>
    <col min="12287" max="12293" width="0" style="135" hidden="1" customWidth="1"/>
    <col min="12294" max="12294" width="11.26953125" style="135" bestFit="1" customWidth="1"/>
    <col min="12295" max="12296" width="0" style="135" hidden="1" customWidth="1"/>
    <col min="12297" max="12297" width="11.54296875" style="135" bestFit="1" customWidth="1"/>
    <col min="12298" max="12298" width="16" style="135" bestFit="1" customWidth="1"/>
    <col min="12299" max="12299" width="9.1796875" style="135"/>
    <col min="12300" max="12300" width="15" style="135" bestFit="1" customWidth="1"/>
    <col min="12301" max="12301" width="14" style="135" bestFit="1" customWidth="1"/>
    <col min="12302" max="12530" width="9.1796875" style="135"/>
    <col min="12531" max="12531" width="16.26953125" style="135" customWidth="1"/>
    <col min="12532" max="12533" width="0" style="135" hidden="1" customWidth="1"/>
    <col min="12534" max="12534" width="13.26953125" style="135" bestFit="1" customWidth="1"/>
    <col min="12535" max="12536" width="16" style="135" bestFit="1" customWidth="1"/>
    <col min="12537" max="12537" width="9.1796875" style="135"/>
    <col min="12538" max="12539" width="16" style="135" bestFit="1" customWidth="1"/>
    <col min="12540" max="12540" width="9.1796875" style="135"/>
    <col min="12541" max="12541" width="0" style="135" hidden="1" customWidth="1"/>
    <col min="12542" max="12542" width="11.26953125" style="135" bestFit="1" customWidth="1"/>
    <col min="12543" max="12549" width="0" style="135" hidden="1" customWidth="1"/>
    <col min="12550" max="12550" width="11.26953125" style="135" bestFit="1" customWidth="1"/>
    <col min="12551" max="12552" width="0" style="135" hidden="1" customWidth="1"/>
    <col min="12553" max="12553" width="11.54296875" style="135" bestFit="1" customWidth="1"/>
    <col min="12554" max="12554" width="16" style="135" bestFit="1" customWidth="1"/>
    <col min="12555" max="12555" width="9.1796875" style="135"/>
    <col min="12556" max="12556" width="15" style="135" bestFit="1" customWidth="1"/>
    <col min="12557" max="12557" width="14" style="135" bestFit="1" customWidth="1"/>
    <col min="12558" max="12786" width="9.1796875" style="135"/>
    <col min="12787" max="12787" width="16.26953125" style="135" customWidth="1"/>
    <col min="12788" max="12789" width="0" style="135" hidden="1" customWidth="1"/>
    <col min="12790" max="12790" width="13.26953125" style="135" bestFit="1" customWidth="1"/>
    <col min="12791" max="12792" width="16" style="135" bestFit="1" customWidth="1"/>
    <col min="12793" max="12793" width="9.1796875" style="135"/>
    <col min="12794" max="12795" width="16" style="135" bestFit="1" customWidth="1"/>
    <col min="12796" max="12796" width="9.1796875" style="135"/>
    <col min="12797" max="12797" width="0" style="135" hidden="1" customWidth="1"/>
    <col min="12798" max="12798" width="11.26953125" style="135" bestFit="1" customWidth="1"/>
    <col min="12799" max="12805" width="0" style="135" hidden="1" customWidth="1"/>
    <col min="12806" max="12806" width="11.26953125" style="135" bestFit="1" customWidth="1"/>
    <col min="12807" max="12808" width="0" style="135" hidden="1" customWidth="1"/>
    <col min="12809" max="12809" width="11.54296875" style="135" bestFit="1" customWidth="1"/>
    <col min="12810" max="12810" width="16" style="135" bestFit="1" customWidth="1"/>
    <col min="12811" max="12811" width="9.1796875" style="135"/>
    <col min="12812" max="12812" width="15" style="135" bestFit="1" customWidth="1"/>
    <col min="12813" max="12813" width="14" style="135" bestFit="1" customWidth="1"/>
    <col min="12814" max="13042" width="9.1796875" style="135"/>
    <col min="13043" max="13043" width="16.26953125" style="135" customWidth="1"/>
    <col min="13044" max="13045" width="0" style="135" hidden="1" customWidth="1"/>
    <col min="13046" max="13046" width="13.26953125" style="135" bestFit="1" customWidth="1"/>
    <col min="13047" max="13048" width="16" style="135" bestFit="1" customWidth="1"/>
    <col min="13049" max="13049" width="9.1796875" style="135"/>
    <col min="13050" max="13051" width="16" style="135" bestFit="1" customWidth="1"/>
    <col min="13052" max="13052" width="9.1796875" style="135"/>
    <col min="13053" max="13053" width="0" style="135" hidden="1" customWidth="1"/>
    <col min="13054" max="13054" width="11.26953125" style="135" bestFit="1" customWidth="1"/>
    <col min="13055" max="13061" width="0" style="135" hidden="1" customWidth="1"/>
    <col min="13062" max="13062" width="11.26953125" style="135" bestFit="1" customWidth="1"/>
    <col min="13063" max="13064" width="0" style="135" hidden="1" customWidth="1"/>
    <col min="13065" max="13065" width="11.54296875" style="135" bestFit="1" customWidth="1"/>
    <col min="13066" max="13066" width="16" style="135" bestFit="1" customWidth="1"/>
    <col min="13067" max="13067" width="9.1796875" style="135"/>
    <col min="13068" max="13068" width="15" style="135" bestFit="1" customWidth="1"/>
    <col min="13069" max="13069" width="14" style="135" bestFit="1" customWidth="1"/>
    <col min="13070" max="13298" width="9.1796875" style="135"/>
    <col min="13299" max="13299" width="16.26953125" style="135" customWidth="1"/>
    <col min="13300" max="13301" width="0" style="135" hidden="1" customWidth="1"/>
    <col min="13302" max="13302" width="13.26953125" style="135" bestFit="1" customWidth="1"/>
    <col min="13303" max="13304" width="16" style="135" bestFit="1" customWidth="1"/>
    <col min="13305" max="13305" width="9.1796875" style="135"/>
    <col min="13306" max="13307" width="16" style="135" bestFit="1" customWidth="1"/>
    <col min="13308" max="13308" width="9.1796875" style="135"/>
    <col min="13309" max="13309" width="0" style="135" hidden="1" customWidth="1"/>
    <col min="13310" max="13310" width="11.26953125" style="135" bestFit="1" customWidth="1"/>
    <col min="13311" max="13317" width="0" style="135" hidden="1" customWidth="1"/>
    <col min="13318" max="13318" width="11.26953125" style="135" bestFit="1" customWidth="1"/>
    <col min="13319" max="13320" width="0" style="135" hidden="1" customWidth="1"/>
    <col min="13321" max="13321" width="11.54296875" style="135" bestFit="1" customWidth="1"/>
    <col min="13322" max="13322" width="16" style="135" bestFit="1" customWidth="1"/>
    <col min="13323" max="13323" width="9.1796875" style="135"/>
    <col min="13324" max="13324" width="15" style="135" bestFit="1" customWidth="1"/>
    <col min="13325" max="13325" width="14" style="135" bestFit="1" customWidth="1"/>
    <col min="13326" max="13554" width="9.1796875" style="135"/>
    <col min="13555" max="13555" width="16.26953125" style="135" customWidth="1"/>
    <col min="13556" max="13557" width="0" style="135" hidden="1" customWidth="1"/>
    <col min="13558" max="13558" width="13.26953125" style="135" bestFit="1" customWidth="1"/>
    <col min="13559" max="13560" width="16" style="135" bestFit="1" customWidth="1"/>
    <col min="13561" max="13561" width="9.1796875" style="135"/>
    <col min="13562" max="13563" width="16" style="135" bestFit="1" customWidth="1"/>
    <col min="13564" max="13564" width="9.1796875" style="135"/>
    <col min="13565" max="13565" width="0" style="135" hidden="1" customWidth="1"/>
    <col min="13566" max="13566" width="11.26953125" style="135" bestFit="1" customWidth="1"/>
    <col min="13567" max="13573" width="0" style="135" hidden="1" customWidth="1"/>
    <col min="13574" max="13574" width="11.26953125" style="135" bestFit="1" customWidth="1"/>
    <col min="13575" max="13576" width="0" style="135" hidden="1" customWidth="1"/>
    <col min="13577" max="13577" width="11.54296875" style="135" bestFit="1" customWidth="1"/>
    <col min="13578" max="13578" width="16" style="135" bestFit="1" customWidth="1"/>
    <col min="13579" max="13579" width="9.1796875" style="135"/>
    <col min="13580" max="13580" width="15" style="135" bestFit="1" customWidth="1"/>
    <col min="13581" max="13581" width="14" style="135" bestFit="1" customWidth="1"/>
    <col min="13582" max="13810" width="9.1796875" style="135"/>
    <col min="13811" max="13811" width="16.26953125" style="135" customWidth="1"/>
    <col min="13812" max="13813" width="0" style="135" hidden="1" customWidth="1"/>
    <col min="13814" max="13814" width="13.26953125" style="135" bestFit="1" customWidth="1"/>
    <col min="13815" max="13816" width="16" style="135" bestFit="1" customWidth="1"/>
    <col min="13817" max="13817" width="9.1796875" style="135"/>
    <col min="13818" max="13819" width="16" style="135" bestFit="1" customWidth="1"/>
    <col min="13820" max="13820" width="9.1796875" style="135"/>
    <col min="13821" max="13821" width="0" style="135" hidden="1" customWidth="1"/>
    <col min="13822" max="13822" width="11.26953125" style="135" bestFit="1" customWidth="1"/>
    <col min="13823" max="13829" width="0" style="135" hidden="1" customWidth="1"/>
    <col min="13830" max="13830" width="11.26953125" style="135" bestFit="1" customWidth="1"/>
    <col min="13831" max="13832" width="0" style="135" hidden="1" customWidth="1"/>
    <col min="13833" max="13833" width="11.54296875" style="135" bestFit="1" customWidth="1"/>
    <col min="13834" max="13834" width="16" style="135" bestFit="1" customWidth="1"/>
    <col min="13835" max="13835" width="9.1796875" style="135"/>
    <col min="13836" max="13836" width="15" style="135" bestFit="1" customWidth="1"/>
    <col min="13837" max="13837" width="14" style="135" bestFit="1" customWidth="1"/>
    <col min="13838" max="14066" width="9.1796875" style="135"/>
    <col min="14067" max="14067" width="16.26953125" style="135" customWidth="1"/>
    <col min="14068" max="14069" width="0" style="135" hidden="1" customWidth="1"/>
    <col min="14070" max="14070" width="13.26953125" style="135" bestFit="1" customWidth="1"/>
    <col min="14071" max="14072" width="16" style="135" bestFit="1" customWidth="1"/>
    <col min="14073" max="14073" width="9.1796875" style="135"/>
    <col min="14074" max="14075" width="16" style="135" bestFit="1" customWidth="1"/>
    <col min="14076" max="14076" width="9.1796875" style="135"/>
    <col min="14077" max="14077" width="0" style="135" hidden="1" customWidth="1"/>
    <col min="14078" max="14078" width="11.26953125" style="135" bestFit="1" customWidth="1"/>
    <col min="14079" max="14085" width="0" style="135" hidden="1" customWidth="1"/>
    <col min="14086" max="14086" width="11.26953125" style="135" bestFit="1" customWidth="1"/>
    <col min="14087" max="14088" width="0" style="135" hidden="1" customWidth="1"/>
    <col min="14089" max="14089" width="11.54296875" style="135" bestFit="1" customWidth="1"/>
    <col min="14090" max="14090" width="16" style="135" bestFit="1" customWidth="1"/>
    <col min="14091" max="14091" width="9.1796875" style="135"/>
    <col min="14092" max="14092" width="15" style="135" bestFit="1" customWidth="1"/>
    <col min="14093" max="14093" width="14" style="135" bestFit="1" customWidth="1"/>
    <col min="14094" max="14322" width="9.1796875" style="135"/>
    <col min="14323" max="14323" width="16.26953125" style="135" customWidth="1"/>
    <col min="14324" max="14325" width="0" style="135" hidden="1" customWidth="1"/>
    <col min="14326" max="14326" width="13.26953125" style="135" bestFit="1" customWidth="1"/>
    <col min="14327" max="14328" width="16" style="135" bestFit="1" customWidth="1"/>
    <col min="14329" max="14329" width="9.1796875" style="135"/>
    <col min="14330" max="14331" width="16" style="135" bestFit="1" customWidth="1"/>
    <col min="14332" max="14332" width="9.1796875" style="135"/>
    <col min="14333" max="14333" width="0" style="135" hidden="1" customWidth="1"/>
    <col min="14334" max="14334" width="11.26953125" style="135" bestFit="1" customWidth="1"/>
    <col min="14335" max="14341" width="0" style="135" hidden="1" customWidth="1"/>
    <col min="14342" max="14342" width="11.26953125" style="135" bestFit="1" customWidth="1"/>
    <col min="14343" max="14344" width="0" style="135" hidden="1" customWidth="1"/>
    <col min="14345" max="14345" width="11.54296875" style="135" bestFit="1" customWidth="1"/>
    <col min="14346" max="14346" width="16" style="135" bestFit="1" customWidth="1"/>
    <col min="14347" max="14347" width="9.1796875" style="135"/>
    <col min="14348" max="14348" width="15" style="135" bestFit="1" customWidth="1"/>
    <col min="14349" max="14349" width="14" style="135" bestFit="1" customWidth="1"/>
    <col min="14350" max="14578" width="9.1796875" style="135"/>
    <col min="14579" max="14579" width="16.26953125" style="135" customWidth="1"/>
    <col min="14580" max="14581" width="0" style="135" hidden="1" customWidth="1"/>
    <col min="14582" max="14582" width="13.26953125" style="135" bestFit="1" customWidth="1"/>
    <col min="14583" max="14584" width="16" style="135" bestFit="1" customWidth="1"/>
    <col min="14585" max="14585" width="9.1796875" style="135"/>
    <col min="14586" max="14587" width="16" style="135" bestFit="1" customWidth="1"/>
    <col min="14588" max="14588" width="9.1796875" style="135"/>
    <col min="14589" max="14589" width="0" style="135" hidden="1" customWidth="1"/>
    <col min="14590" max="14590" width="11.26953125" style="135" bestFit="1" customWidth="1"/>
    <col min="14591" max="14597" width="0" style="135" hidden="1" customWidth="1"/>
    <col min="14598" max="14598" width="11.26953125" style="135" bestFit="1" customWidth="1"/>
    <col min="14599" max="14600" width="0" style="135" hidden="1" customWidth="1"/>
    <col min="14601" max="14601" width="11.54296875" style="135" bestFit="1" customWidth="1"/>
    <col min="14602" max="14602" width="16" style="135" bestFit="1" customWidth="1"/>
    <col min="14603" max="14603" width="9.1796875" style="135"/>
    <col min="14604" max="14604" width="15" style="135" bestFit="1" customWidth="1"/>
    <col min="14605" max="14605" width="14" style="135" bestFit="1" customWidth="1"/>
    <col min="14606" max="14834" width="9.1796875" style="135"/>
    <col min="14835" max="14835" width="16.26953125" style="135" customWidth="1"/>
    <col min="14836" max="14837" width="0" style="135" hidden="1" customWidth="1"/>
    <col min="14838" max="14838" width="13.26953125" style="135" bestFit="1" customWidth="1"/>
    <col min="14839" max="14840" width="16" style="135" bestFit="1" customWidth="1"/>
    <col min="14841" max="14841" width="9.1796875" style="135"/>
    <col min="14842" max="14843" width="16" style="135" bestFit="1" customWidth="1"/>
    <col min="14844" max="14844" width="9.1796875" style="135"/>
    <col min="14845" max="14845" width="0" style="135" hidden="1" customWidth="1"/>
    <col min="14846" max="14846" width="11.26953125" style="135" bestFit="1" customWidth="1"/>
    <col min="14847" max="14853" width="0" style="135" hidden="1" customWidth="1"/>
    <col min="14854" max="14854" width="11.26953125" style="135" bestFit="1" customWidth="1"/>
    <col min="14855" max="14856" width="0" style="135" hidden="1" customWidth="1"/>
    <col min="14857" max="14857" width="11.54296875" style="135" bestFit="1" customWidth="1"/>
    <col min="14858" max="14858" width="16" style="135" bestFit="1" customWidth="1"/>
    <col min="14859" max="14859" width="9.1796875" style="135"/>
    <col min="14860" max="14860" width="15" style="135" bestFit="1" customWidth="1"/>
    <col min="14861" max="14861" width="14" style="135" bestFit="1" customWidth="1"/>
    <col min="14862" max="15090" width="9.1796875" style="135"/>
    <col min="15091" max="15091" width="16.26953125" style="135" customWidth="1"/>
    <col min="15092" max="15093" width="0" style="135" hidden="1" customWidth="1"/>
    <col min="15094" max="15094" width="13.26953125" style="135" bestFit="1" customWidth="1"/>
    <col min="15095" max="15096" width="16" style="135" bestFit="1" customWidth="1"/>
    <col min="15097" max="15097" width="9.1796875" style="135"/>
    <col min="15098" max="15099" width="16" style="135" bestFit="1" customWidth="1"/>
    <col min="15100" max="15100" width="9.1796875" style="135"/>
    <col min="15101" max="15101" width="0" style="135" hidden="1" customWidth="1"/>
    <col min="15102" max="15102" width="11.26953125" style="135" bestFit="1" customWidth="1"/>
    <col min="15103" max="15109" width="0" style="135" hidden="1" customWidth="1"/>
    <col min="15110" max="15110" width="11.26953125" style="135" bestFit="1" customWidth="1"/>
    <col min="15111" max="15112" width="0" style="135" hidden="1" customWidth="1"/>
    <col min="15113" max="15113" width="11.54296875" style="135" bestFit="1" customWidth="1"/>
    <col min="15114" max="15114" width="16" style="135" bestFit="1" customWidth="1"/>
    <col min="15115" max="15115" width="9.1796875" style="135"/>
    <col min="15116" max="15116" width="15" style="135" bestFit="1" customWidth="1"/>
    <col min="15117" max="15117" width="14" style="135" bestFit="1" customWidth="1"/>
    <col min="15118" max="15346" width="9.1796875" style="135"/>
    <col min="15347" max="15347" width="16.26953125" style="135" customWidth="1"/>
    <col min="15348" max="15349" width="0" style="135" hidden="1" customWidth="1"/>
    <col min="15350" max="15350" width="13.26953125" style="135" bestFit="1" customWidth="1"/>
    <col min="15351" max="15352" width="16" style="135" bestFit="1" customWidth="1"/>
    <col min="15353" max="15353" width="9.1796875" style="135"/>
    <col min="15354" max="15355" width="16" style="135" bestFit="1" customWidth="1"/>
    <col min="15356" max="15356" width="9.1796875" style="135"/>
    <col min="15357" max="15357" width="0" style="135" hidden="1" customWidth="1"/>
    <col min="15358" max="15358" width="11.26953125" style="135" bestFit="1" customWidth="1"/>
    <col min="15359" max="15365" width="0" style="135" hidden="1" customWidth="1"/>
    <col min="15366" max="15366" width="11.26953125" style="135" bestFit="1" customWidth="1"/>
    <col min="15367" max="15368" width="0" style="135" hidden="1" customWidth="1"/>
    <col min="15369" max="15369" width="11.54296875" style="135" bestFit="1" customWidth="1"/>
    <col min="15370" max="15370" width="16" style="135" bestFit="1" customWidth="1"/>
    <col min="15371" max="15371" width="9.1796875" style="135"/>
    <col min="15372" max="15372" width="15" style="135" bestFit="1" customWidth="1"/>
    <col min="15373" max="15373" width="14" style="135" bestFit="1" customWidth="1"/>
    <col min="15374" max="15602" width="9.1796875" style="135"/>
    <col min="15603" max="15603" width="16.26953125" style="135" customWidth="1"/>
    <col min="15604" max="15605" width="0" style="135" hidden="1" customWidth="1"/>
    <col min="15606" max="15606" width="13.26953125" style="135" bestFit="1" customWidth="1"/>
    <col min="15607" max="15608" width="16" style="135" bestFit="1" customWidth="1"/>
    <col min="15609" max="15609" width="9.1796875" style="135"/>
    <col min="15610" max="15611" width="16" style="135" bestFit="1" customWidth="1"/>
    <col min="15612" max="15612" width="9.1796875" style="135"/>
    <col min="15613" max="15613" width="0" style="135" hidden="1" customWidth="1"/>
    <col min="15614" max="15614" width="11.26953125" style="135" bestFit="1" customWidth="1"/>
    <col min="15615" max="15621" width="0" style="135" hidden="1" customWidth="1"/>
    <col min="15622" max="15622" width="11.26953125" style="135" bestFit="1" customWidth="1"/>
    <col min="15623" max="15624" width="0" style="135" hidden="1" customWidth="1"/>
    <col min="15625" max="15625" width="11.54296875" style="135" bestFit="1" customWidth="1"/>
    <col min="15626" max="15626" width="16" style="135" bestFit="1" customWidth="1"/>
    <col min="15627" max="15627" width="9.1796875" style="135"/>
    <col min="15628" max="15628" width="15" style="135" bestFit="1" customWidth="1"/>
    <col min="15629" max="15629" width="14" style="135" bestFit="1" customWidth="1"/>
    <col min="15630" max="15858" width="9.1796875" style="135"/>
    <col min="15859" max="15859" width="16.26953125" style="135" customWidth="1"/>
    <col min="15860" max="15861" width="0" style="135" hidden="1" customWidth="1"/>
    <col min="15862" max="15862" width="13.26953125" style="135" bestFit="1" customWidth="1"/>
    <col min="15863" max="15864" width="16" style="135" bestFit="1" customWidth="1"/>
    <col min="15865" max="15865" width="9.1796875" style="135"/>
    <col min="15866" max="15867" width="16" style="135" bestFit="1" customWidth="1"/>
    <col min="15868" max="15868" width="9.1796875" style="135"/>
    <col min="15869" max="15869" width="0" style="135" hidden="1" customWidth="1"/>
    <col min="15870" max="15870" width="11.26953125" style="135" bestFit="1" customWidth="1"/>
    <col min="15871" max="15877" width="0" style="135" hidden="1" customWidth="1"/>
    <col min="15878" max="15878" width="11.26953125" style="135" bestFit="1" customWidth="1"/>
    <col min="15879" max="15880" width="0" style="135" hidden="1" customWidth="1"/>
    <col min="15881" max="15881" width="11.54296875" style="135" bestFit="1" customWidth="1"/>
    <col min="15882" max="15882" width="16" style="135" bestFit="1" customWidth="1"/>
    <col min="15883" max="15883" width="9.1796875" style="135"/>
    <col min="15884" max="15884" width="15" style="135" bestFit="1" customWidth="1"/>
    <col min="15885" max="15885" width="14" style="135" bestFit="1" customWidth="1"/>
    <col min="15886" max="16114" width="9.1796875" style="135"/>
    <col min="16115" max="16115" width="16.26953125" style="135" customWidth="1"/>
    <col min="16116" max="16117" width="0" style="135" hidden="1" customWidth="1"/>
    <col min="16118" max="16118" width="13.26953125" style="135" bestFit="1" customWidth="1"/>
    <col min="16119" max="16120" width="16" style="135" bestFit="1" customWidth="1"/>
    <col min="16121" max="16121" width="9.1796875" style="135"/>
    <col min="16122" max="16123" width="16" style="135" bestFit="1" customWidth="1"/>
    <col min="16124" max="16124" width="9.1796875" style="135"/>
    <col min="16125" max="16125" width="0" style="135" hidden="1" customWidth="1"/>
    <col min="16126" max="16126" width="11.26953125" style="135" bestFit="1" customWidth="1"/>
    <col min="16127" max="16133" width="0" style="135" hidden="1" customWidth="1"/>
    <col min="16134" max="16134" width="11.26953125" style="135" bestFit="1" customWidth="1"/>
    <col min="16135" max="16136" width="0" style="135" hidden="1" customWidth="1"/>
    <col min="16137" max="16137" width="11.54296875" style="135" bestFit="1" customWidth="1"/>
    <col min="16138" max="16138" width="16" style="135" bestFit="1" customWidth="1"/>
    <col min="16139" max="16139" width="9.1796875" style="135"/>
    <col min="16140" max="16140" width="15" style="135" bestFit="1" customWidth="1"/>
    <col min="16141" max="16141" width="14" style="135" bestFit="1" customWidth="1"/>
    <col min="16142" max="16384" width="9.1796875" style="135"/>
  </cols>
  <sheetData>
    <row r="1" spans="1:20" x14ac:dyDescent="0.35">
      <c r="A1" s="251"/>
      <c r="B1" s="80"/>
      <c r="C1" s="80"/>
      <c r="D1" s="252"/>
      <c r="E1" s="252"/>
      <c r="F1" s="253"/>
      <c r="G1" s="251"/>
      <c r="H1" s="80"/>
      <c r="I1" s="254"/>
      <c r="K1" s="76"/>
    </row>
    <row r="2" spans="1:20" x14ac:dyDescent="0.35">
      <c r="A2" s="251" t="s">
        <v>90</v>
      </c>
      <c r="B2" s="80"/>
      <c r="C2" s="80"/>
      <c r="D2" s="252"/>
      <c r="E2" s="252"/>
      <c r="F2" s="253"/>
      <c r="G2" s="251"/>
      <c r="H2" s="80"/>
      <c r="I2" s="254"/>
    </row>
    <row r="3" spans="1:20" x14ac:dyDescent="0.35">
      <c r="A3" s="375" t="s">
        <v>91</v>
      </c>
      <c r="B3" s="375"/>
      <c r="C3" s="375"/>
      <c r="D3" s="375"/>
      <c r="E3" s="375"/>
      <c r="F3" s="375"/>
      <c r="G3" s="375"/>
      <c r="H3" s="375"/>
      <c r="I3" s="375"/>
    </row>
    <row r="4" spans="1:20" x14ac:dyDescent="0.35">
      <c r="A4" s="256"/>
      <c r="B4" s="256"/>
      <c r="C4" s="256"/>
      <c r="D4" s="256"/>
      <c r="E4" s="256"/>
      <c r="F4" s="256"/>
      <c r="G4" s="256"/>
      <c r="H4" s="256"/>
      <c r="I4" s="256"/>
    </row>
    <row r="5" spans="1:20" x14ac:dyDescent="0.35">
      <c r="A5" s="257" t="s">
        <v>51</v>
      </c>
      <c r="B5" s="80"/>
      <c r="C5" s="80">
        <v>20</v>
      </c>
      <c r="D5" s="258" t="s">
        <v>30</v>
      </c>
      <c r="E5" s="258"/>
      <c r="F5" s="258"/>
      <c r="G5" s="258"/>
      <c r="H5" s="80"/>
      <c r="I5" s="254"/>
    </row>
    <row r="6" spans="1:20" x14ac:dyDescent="0.35">
      <c r="A6" s="257"/>
      <c r="B6" s="80"/>
      <c r="C6" s="80"/>
      <c r="D6" s="258"/>
      <c r="E6" s="258"/>
      <c r="F6" s="258"/>
      <c r="G6" s="258"/>
      <c r="H6" s="80"/>
      <c r="I6" s="254"/>
    </row>
    <row r="7" spans="1:20" x14ac:dyDescent="0.35">
      <c r="A7" s="188" t="s">
        <v>185</v>
      </c>
      <c r="B7" s="188"/>
      <c r="C7" s="259">
        <f>+'Assumptions and Inputs'!C21-'Assumptions and Inputs'!C20</f>
        <v>440389797.37502015</v>
      </c>
      <c r="D7" s="260"/>
      <c r="E7" s="260"/>
      <c r="F7" s="260" t="s">
        <v>183</v>
      </c>
      <c r="G7" s="260">
        <f>20*2</f>
        <v>40</v>
      </c>
      <c r="H7" s="83"/>
      <c r="I7" s="260" t="s">
        <v>230</v>
      </c>
      <c r="J7" s="281">
        <f>SUM(G16:G55)</f>
        <v>349314720.55878222</v>
      </c>
    </row>
    <row r="8" spans="1:20" x14ac:dyDescent="0.35">
      <c r="A8" s="188"/>
      <c r="B8" s="188"/>
      <c r="C8" s="261"/>
      <c r="D8" s="260"/>
      <c r="E8" s="260"/>
      <c r="F8" s="260" t="s">
        <v>232</v>
      </c>
      <c r="G8" s="262">
        <f>+'Assumptions and Inputs'!C17</f>
        <v>5.1659999999999998E-2</v>
      </c>
      <c r="H8" s="137"/>
      <c r="I8" s="260" t="s">
        <v>231</v>
      </c>
      <c r="J8" s="282">
        <f>SUM(I16:I55)</f>
        <v>9413508.13693057</v>
      </c>
    </row>
    <row r="9" spans="1:20" ht="16" x14ac:dyDescent="0.5">
      <c r="A9" s="188" t="s">
        <v>17</v>
      </c>
      <c r="B9" s="188"/>
      <c r="C9" s="263">
        <f>+'Upfront &amp; Ongoing Costs'!B17</f>
        <v>6310202.7204511994</v>
      </c>
      <c r="D9" s="188"/>
      <c r="E9" s="188"/>
      <c r="F9" s="190" t="s">
        <v>45</v>
      </c>
      <c r="G9" s="250">
        <f>PMT($G$8/2,$G$7,-$C$10)</f>
        <v>18044476.86608953</v>
      </c>
      <c r="I9" s="260" t="s">
        <v>106</v>
      </c>
      <c r="J9" s="281">
        <f>+J7+J8</f>
        <v>358728228.6957128</v>
      </c>
    </row>
    <row r="10" spans="1:20" x14ac:dyDescent="0.35">
      <c r="A10" s="188" t="s">
        <v>44</v>
      </c>
      <c r="B10" s="188"/>
      <c r="C10" s="261">
        <f>+C9+C8+C7</f>
        <v>446700000.09547132</v>
      </c>
      <c r="D10" s="188"/>
      <c r="E10" s="188"/>
      <c r="F10" s="190" t="s">
        <v>39</v>
      </c>
      <c r="G10" s="264">
        <f>+'Conventional Big Sandy'!B6</f>
        <v>8.299999999999999E-2</v>
      </c>
      <c r="H10" s="83"/>
      <c r="I10" s="190"/>
      <c r="J10" s="260"/>
    </row>
    <row r="11" spans="1:20" x14ac:dyDescent="0.35">
      <c r="A11" s="83"/>
      <c r="B11" s="83"/>
      <c r="C11" s="83"/>
      <c r="D11" s="276"/>
      <c r="E11" s="83"/>
      <c r="F11" s="87"/>
      <c r="H11" s="87"/>
      <c r="I11" s="87"/>
    </row>
    <row r="12" spans="1:20" x14ac:dyDescent="0.35">
      <c r="A12" s="265"/>
      <c r="B12" s="83"/>
      <c r="C12" s="266"/>
      <c r="D12" s="267"/>
      <c r="E12" s="267"/>
      <c r="F12" s="87"/>
      <c r="G12" s="265"/>
      <c r="H12" s="87"/>
      <c r="I12" s="87"/>
    </row>
    <row r="13" spans="1:20" x14ac:dyDescent="0.35">
      <c r="A13" s="273" t="s">
        <v>129</v>
      </c>
      <c r="B13" s="273" t="s">
        <v>179</v>
      </c>
      <c r="C13" s="273" t="s">
        <v>182</v>
      </c>
      <c r="D13" s="273" t="s">
        <v>7</v>
      </c>
      <c r="E13" s="273" t="s">
        <v>180</v>
      </c>
      <c r="F13" s="273" t="s">
        <v>181</v>
      </c>
      <c r="G13" s="273" t="s">
        <v>15</v>
      </c>
      <c r="H13" s="273" t="s">
        <v>229</v>
      </c>
      <c r="I13" s="273" t="s">
        <v>15</v>
      </c>
      <c r="J13" s="260"/>
      <c r="K13" s="260"/>
      <c r="L13" s="273" t="s">
        <v>233</v>
      </c>
      <c r="T13" s="135"/>
    </row>
    <row r="14" spans="1:20" x14ac:dyDescent="0.35">
      <c r="A14" s="273"/>
      <c r="B14" s="273"/>
      <c r="C14" s="273"/>
      <c r="D14" s="273"/>
      <c r="E14" s="273"/>
      <c r="F14" s="273"/>
      <c r="G14" s="273" t="s">
        <v>183</v>
      </c>
      <c r="H14" s="273" t="s">
        <v>228</v>
      </c>
      <c r="I14" s="273" t="s">
        <v>229</v>
      </c>
      <c r="J14" s="260"/>
      <c r="K14" s="260"/>
      <c r="L14" s="273" t="s">
        <v>234</v>
      </c>
      <c r="T14" s="135"/>
    </row>
    <row r="15" spans="1:20" x14ac:dyDescent="0.35">
      <c r="A15" s="274"/>
      <c r="B15" s="274"/>
      <c r="C15" s="274"/>
      <c r="D15" s="274"/>
      <c r="E15" s="274"/>
      <c r="F15" s="274"/>
      <c r="G15" s="274"/>
      <c r="H15" s="274"/>
      <c r="I15" s="274" t="s">
        <v>228</v>
      </c>
      <c r="J15" s="275"/>
      <c r="K15" s="275"/>
      <c r="L15" s="274" t="s">
        <v>235</v>
      </c>
      <c r="T15" s="135"/>
    </row>
    <row r="16" spans="1:20" x14ac:dyDescent="0.35">
      <c r="A16" s="135">
        <v>1</v>
      </c>
      <c r="B16" s="18">
        <f>+C10</f>
        <v>446700000.09547132</v>
      </c>
      <c r="C16" s="162">
        <f t="shared" ref="C16:C55" si="0">PMT($G$8/2,$G$7,-$C$10)</f>
        <v>18044476.86608953</v>
      </c>
      <c r="D16" s="18">
        <f t="shared" ref="D16:D55" si="1">+B16*$G$8/2</f>
        <v>11538261.002466023</v>
      </c>
      <c r="E16" s="162">
        <f>+C16-D16</f>
        <v>6506215.8636235073</v>
      </c>
      <c r="F16" s="162">
        <f>+B16+D16-C16</f>
        <v>440193784.23184782</v>
      </c>
      <c r="G16" s="268">
        <f t="shared" ref="G16:G55" si="2">IF(A16&gt;$G$7,"",((1/((1+($G$10/2))^A16))*C16))</f>
        <v>17325469.866624609</v>
      </c>
      <c r="H16" s="268">
        <f>+'Upfront &amp; Ongoing Costs'!$B$34/2</f>
        <v>486271.60496949358</v>
      </c>
      <c r="I16" s="268">
        <f t="shared" ref="I16:I55" si="3">IF(A16&gt;$G$7,"",((1/((1+($G$10/2))^A16))*H16))</f>
        <v>466895.44404176046</v>
      </c>
      <c r="L16" s="272">
        <f>+C16+H16</f>
        <v>18530748.471059024</v>
      </c>
      <c r="M16" s="268"/>
      <c r="T16" s="135"/>
    </row>
    <row r="17" spans="1:20" x14ac:dyDescent="0.35">
      <c r="A17" s="135">
        <v>2</v>
      </c>
      <c r="B17" s="18">
        <f t="shared" ref="B17:B55" si="4">+F16</f>
        <v>440193784.23184782</v>
      </c>
      <c r="C17" s="162">
        <f t="shared" si="0"/>
        <v>18044476.86608953</v>
      </c>
      <c r="D17" s="18">
        <f t="shared" si="1"/>
        <v>11370205.446708629</v>
      </c>
      <c r="E17" s="162">
        <f t="shared" ref="E17:E55" si="5">+C17-D17</f>
        <v>6674271.4193809014</v>
      </c>
      <c r="F17" s="162">
        <f t="shared" ref="F17:F55" si="6">+B17+D17-C17</f>
        <v>433519512.81246692</v>
      </c>
      <c r="G17" s="268">
        <f t="shared" si="2"/>
        <v>16635112.689990019</v>
      </c>
      <c r="H17" s="268">
        <f>+'Upfront &amp; Ongoing Costs'!$B$34/2</f>
        <v>486271.60496949358</v>
      </c>
      <c r="I17" s="268">
        <f t="shared" si="3"/>
        <v>448291.35289655346</v>
      </c>
      <c r="L17" s="272">
        <f t="shared" ref="L17:L55" si="7">+C17+H17</f>
        <v>18530748.471059024</v>
      </c>
      <c r="M17" s="268"/>
      <c r="T17" s="135"/>
    </row>
    <row r="18" spans="1:20" x14ac:dyDescent="0.35">
      <c r="A18" s="135">
        <v>3</v>
      </c>
      <c r="B18" s="18">
        <f t="shared" si="4"/>
        <v>433519512.81246692</v>
      </c>
      <c r="C18" s="162">
        <f t="shared" si="0"/>
        <v>18044476.86608953</v>
      </c>
      <c r="D18" s="18">
        <f t="shared" si="1"/>
        <v>11197809.015946019</v>
      </c>
      <c r="E18" s="162">
        <f t="shared" si="5"/>
        <v>6846667.8501435108</v>
      </c>
      <c r="F18" s="162">
        <f t="shared" si="6"/>
        <v>426672844.96232343</v>
      </c>
      <c r="G18" s="268">
        <f t="shared" si="2"/>
        <v>15972263.744589552</v>
      </c>
      <c r="H18" s="268">
        <f>+'Upfront &amp; Ongoing Costs'!$B$34/2</f>
        <v>486271.60496949358</v>
      </c>
      <c r="I18" s="268">
        <f t="shared" si="3"/>
        <v>430428.5673514675</v>
      </c>
      <c r="L18" s="272">
        <f t="shared" si="7"/>
        <v>18530748.471059024</v>
      </c>
      <c r="M18" s="268"/>
      <c r="T18" s="135"/>
    </row>
    <row r="19" spans="1:20" x14ac:dyDescent="0.35">
      <c r="A19" s="135">
        <v>4</v>
      </c>
      <c r="B19" s="18">
        <f t="shared" si="4"/>
        <v>426672844.96232343</v>
      </c>
      <c r="C19" s="162">
        <f t="shared" si="0"/>
        <v>18044476.86608953</v>
      </c>
      <c r="D19" s="18">
        <f t="shared" si="1"/>
        <v>11020959.585376814</v>
      </c>
      <c r="E19" s="162">
        <f t="shared" si="5"/>
        <v>7023517.2807127163</v>
      </c>
      <c r="F19" s="162">
        <f t="shared" si="6"/>
        <v>419649327.6816107</v>
      </c>
      <c r="G19" s="268">
        <f t="shared" si="2"/>
        <v>15335826.927114306</v>
      </c>
      <c r="H19" s="268">
        <f>+'Upfront &amp; Ongoing Costs'!$B$34/2</f>
        <v>486271.60496949358</v>
      </c>
      <c r="I19" s="268">
        <f t="shared" si="3"/>
        <v>413277.54906525923</v>
      </c>
      <c r="L19" s="272">
        <f t="shared" si="7"/>
        <v>18530748.471059024</v>
      </c>
      <c r="M19" s="268"/>
      <c r="T19" s="135"/>
    </row>
    <row r="20" spans="1:20" x14ac:dyDescent="0.35">
      <c r="A20" s="135">
        <v>5</v>
      </c>
      <c r="B20" s="18">
        <f t="shared" si="4"/>
        <v>419649327.6816107</v>
      </c>
      <c r="C20" s="162">
        <f t="shared" si="0"/>
        <v>18044476.86608953</v>
      </c>
      <c r="D20" s="18">
        <f t="shared" si="1"/>
        <v>10839542.134016003</v>
      </c>
      <c r="E20" s="162">
        <f t="shared" si="5"/>
        <v>7204934.7320735268</v>
      </c>
      <c r="F20" s="162">
        <f t="shared" si="6"/>
        <v>412444392.94953716</v>
      </c>
      <c r="G20" s="268">
        <f t="shared" si="2"/>
        <v>14724749.809999336</v>
      </c>
      <c r="H20" s="268">
        <f>+'Upfront &amp; Ongoing Costs'!$B$34/2</f>
        <v>486271.60496949358</v>
      </c>
      <c r="I20" s="268">
        <f t="shared" si="3"/>
        <v>396809.9366925197</v>
      </c>
      <c r="L20" s="272">
        <f t="shared" si="7"/>
        <v>18530748.471059024</v>
      </c>
      <c r="M20" s="268"/>
      <c r="T20" s="135"/>
    </row>
    <row r="21" spans="1:20" x14ac:dyDescent="0.35">
      <c r="A21" s="135">
        <v>6</v>
      </c>
      <c r="B21" s="18">
        <f t="shared" si="4"/>
        <v>412444392.94953716</v>
      </c>
      <c r="C21" s="162">
        <f t="shared" si="0"/>
        <v>18044476.86608953</v>
      </c>
      <c r="D21" s="18">
        <f t="shared" si="1"/>
        <v>10653438.669886544</v>
      </c>
      <c r="E21" s="162">
        <f t="shared" si="5"/>
        <v>7391038.1962029859</v>
      </c>
      <c r="F21" s="162">
        <f t="shared" si="6"/>
        <v>405053354.75333416</v>
      </c>
      <c r="G21" s="268">
        <f t="shared" si="2"/>
        <v>14138021.901103534</v>
      </c>
      <c r="H21" s="268">
        <f>+'Upfront &amp; Ongoing Costs'!$B$34/2</f>
        <v>486271.60496949358</v>
      </c>
      <c r="I21" s="268">
        <f t="shared" si="3"/>
        <v>380998.49898465635</v>
      </c>
      <c r="L21" s="272">
        <f t="shared" si="7"/>
        <v>18530748.471059024</v>
      </c>
      <c r="M21" s="268"/>
      <c r="T21" s="135"/>
    </row>
    <row r="22" spans="1:20" x14ac:dyDescent="0.35">
      <c r="A22" s="135">
        <v>7</v>
      </c>
      <c r="B22" s="18">
        <f t="shared" si="4"/>
        <v>405053354.75333416</v>
      </c>
      <c r="C22" s="162">
        <f t="shared" si="0"/>
        <v>18044476.86608953</v>
      </c>
      <c r="D22" s="18">
        <f t="shared" si="1"/>
        <v>10462528.153278621</v>
      </c>
      <c r="E22" s="162">
        <f t="shared" si="5"/>
        <v>7581948.7128109094</v>
      </c>
      <c r="F22" s="162">
        <f t="shared" si="6"/>
        <v>397471406.04052329</v>
      </c>
      <c r="G22" s="268">
        <f t="shared" si="2"/>
        <v>13574672.972735029</v>
      </c>
      <c r="H22" s="268">
        <f>+'Upfront &amp; Ongoing Costs'!$B$34/2</f>
        <v>486271.60496949358</v>
      </c>
      <c r="I22" s="268">
        <f t="shared" si="3"/>
        <v>365817.08975963161</v>
      </c>
      <c r="L22" s="272">
        <f t="shared" si="7"/>
        <v>18530748.471059024</v>
      </c>
      <c r="M22" s="268"/>
      <c r="T22" s="135"/>
    </row>
    <row r="23" spans="1:20" x14ac:dyDescent="0.35">
      <c r="A23" s="135">
        <v>8</v>
      </c>
      <c r="B23" s="18">
        <f t="shared" si="4"/>
        <v>397471406.04052329</v>
      </c>
      <c r="C23" s="162">
        <f t="shared" si="0"/>
        <v>18044476.86608953</v>
      </c>
      <c r="D23" s="18">
        <f t="shared" si="1"/>
        <v>10266686.418026716</v>
      </c>
      <c r="E23" s="162">
        <f t="shared" si="5"/>
        <v>7777790.4480628148</v>
      </c>
      <c r="F23" s="162">
        <f t="shared" si="6"/>
        <v>389693615.59246045</v>
      </c>
      <c r="G23" s="268">
        <f t="shared" si="2"/>
        <v>13033771.457258791</v>
      </c>
      <c r="H23" s="268">
        <f>+'Upfront &amp; Ongoing Costs'!$B$34/2</f>
        <v>486271.60496949358</v>
      </c>
      <c r="I23" s="268">
        <f t="shared" si="3"/>
        <v>351240.6046659929</v>
      </c>
      <c r="L23" s="272">
        <f t="shared" si="7"/>
        <v>18530748.471059024</v>
      </c>
      <c r="M23" s="268"/>
      <c r="T23" s="135"/>
    </row>
    <row r="24" spans="1:20" x14ac:dyDescent="0.35">
      <c r="A24" s="135">
        <v>9</v>
      </c>
      <c r="B24" s="18">
        <f t="shared" si="4"/>
        <v>389693615.59246045</v>
      </c>
      <c r="C24" s="162">
        <f t="shared" si="0"/>
        <v>18044476.86608953</v>
      </c>
      <c r="D24" s="18">
        <f t="shared" si="1"/>
        <v>10065786.090753254</v>
      </c>
      <c r="E24" s="162">
        <f t="shared" si="5"/>
        <v>7978690.7753362767</v>
      </c>
      <c r="F24" s="162">
        <f t="shared" si="6"/>
        <v>381714924.81712419</v>
      </c>
      <c r="G24" s="268">
        <f t="shared" si="2"/>
        <v>12514422.9066335</v>
      </c>
      <c r="H24" s="268">
        <f>+'Upfront &amp; Ongoing Costs'!$B$34/2</f>
        <v>486271.60496949358</v>
      </c>
      <c r="I24" s="268">
        <f t="shared" si="3"/>
        <v>337244.93966970034</v>
      </c>
      <c r="L24" s="272">
        <f t="shared" si="7"/>
        <v>18530748.471059024</v>
      </c>
      <c r="M24" s="268"/>
      <c r="T24" s="135"/>
    </row>
    <row r="25" spans="1:20" x14ac:dyDescent="0.35">
      <c r="A25" s="135">
        <v>10</v>
      </c>
      <c r="B25" s="18">
        <f t="shared" si="4"/>
        <v>381714924.81712419</v>
      </c>
      <c r="C25" s="162">
        <f t="shared" si="0"/>
        <v>18044476.86608953</v>
      </c>
      <c r="D25" s="18">
        <f t="shared" si="1"/>
        <v>9859696.5080263168</v>
      </c>
      <c r="E25" s="162">
        <f t="shared" si="5"/>
        <v>8184780.3580632135</v>
      </c>
      <c r="F25" s="162">
        <f t="shared" si="6"/>
        <v>373530144.45906097</v>
      </c>
      <c r="G25" s="268">
        <f t="shared" si="2"/>
        <v>12015768.51333029</v>
      </c>
      <c r="H25" s="268">
        <f>+'Upfront &amp; Ongoing Costs'!$B$34/2</f>
        <v>486271.60496949358</v>
      </c>
      <c r="I25" s="268">
        <f t="shared" si="3"/>
        <v>323806.95119510347</v>
      </c>
      <c r="L25" s="272">
        <f t="shared" si="7"/>
        <v>18530748.471059024</v>
      </c>
      <c r="M25" s="268"/>
      <c r="T25" s="135"/>
    </row>
    <row r="26" spans="1:20" x14ac:dyDescent="0.35">
      <c r="A26" s="135">
        <v>11</v>
      </c>
      <c r="B26" s="18">
        <f t="shared" si="4"/>
        <v>373530144.45906097</v>
      </c>
      <c r="C26" s="162">
        <f t="shared" si="0"/>
        <v>18044476.86608953</v>
      </c>
      <c r="D26" s="18">
        <f t="shared" si="1"/>
        <v>9648283.6313775443</v>
      </c>
      <c r="E26" s="162">
        <f t="shared" si="5"/>
        <v>8396193.234711986</v>
      </c>
      <c r="F26" s="162">
        <f t="shared" si="6"/>
        <v>365133951.22434896</v>
      </c>
      <c r="G26" s="268">
        <f t="shared" si="2"/>
        <v>11536983.690187508</v>
      </c>
      <c r="H26" s="268">
        <f>+'Upfront &amp; Ongoing Costs'!$B$34/2</f>
        <v>486271.60496949358</v>
      </c>
      <c r="I26" s="268">
        <f t="shared" si="3"/>
        <v>310904.417854156</v>
      </c>
      <c r="L26" s="272">
        <f t="shared" si="7"/>
        <v>18530748.471059024</v>
      </c>
      <c r="M26" s="268"/>
      <c r="T26" s="135"/>
    </row>
    <row r="27" spans="1:20" x14ac:dyDescent="0.35">
      <c r="A27" s="135">
        <v>12</v>
      </c>
      <c r="B27" s="18">
        <f t="shared" si="4"/>
        <v>365133951.22434896</v>
      </c>
      <c r="C27" s="162">
        <f t="shared" si="0"/>
        <v>18044476.86608953</v>
      </c>
      <c r="D27" s="18">
        <f t="shared" si="1"/>
        <v>9431409.9601249341</v>
      </c>
      <c r="E27" s="162">
        <f t="shared" si="5"/>
        <v>8613066.9059645962</v>
      </c>
      <c r="F27" s="162">
        <f t="shared" si="6"/>
        <v>356520884.31838435</v>
      </c>
      <c r="G27" s="268">
        <f t="shared" si="2"/>
        <v>11077276.706853105</v>
      </c>
      <c r="H27" s="268">
        <f>+'Upfront &amp; Ongoing Costs'!$B$34/2</f>
        <v>486271.60496949358</v>
      </c>
      <c r="I27" s="268">
        <f t="shared" si="3"/>
        <v>298516.00370058184</v>
      </c>
      <c r="L27" s="272">
        <f t="shared" si="7"/>
        <v>18530748.471059024</v>
      </c>
      <c r="M27" s="268"/>
      <c r="T27" s="135"/>
    </row>
    <row r="28" spans="1:20" x14ac:dyDescent="0.35">
      <c r="A28" s="135">
        <v>13</v>
      </c>
      <c r="B28" s="18">
        <f t="shared" si="4"/>
        <v>356520884.31838435</v>
      </c>
      <c r="C28" s="162">
        <f t="shared" si="0"/>
        <v>18044476.86608953</v>
      </c>
      <c r="D28" s="18">
        <f t="shared" si="1"/>
        <v>9208934.4419438671</v>
      </c>
      <c r="E28" s="162">
        <f t="shared" si="5"/>
        <v>8835542.4241456632</v>
      </c>
      <c r="F28" s="162">
        <f t="shared" si="6"/>
        <v>347685341.89423871</v>
      </c>
      <c r="G28" s="268">
        <f t="shared" si="2"/>
        <v>10635887.380559869</v>
      </c>
      <c r="H28" s="268">
        <f>+'Upfront &amp; Ongoing Costs'!$B$34/2</f>
        <v>486271.60496949358</v>
      </c>
      <c r="I28" s="268">
        <f t="shared" si="3"/>
        <v>286621.22294823022</v>
      </c>
      <c r="L28" s="272">
        <f t="shared" si="7"/>
        <v>18530748.471059024</v>
      </c>
      <c r="M28" s="268"/>
      <c r="T28" s="135"/>
    </row>
    <row r="29" spans="1:20" x14ac:dyDescent="0.35">
      <c r="A29" s="135">
        <v>14</v>
      </c>
      <c r="B29" s="18">
        <f t="shared" si="4"/>
        <v>347685341.89423871</v>
      </c>
      <c r="C29" s="162">
        <f t="shared" si="0"/>
        <v>18044476.86608953</v>
      </c>
      <c r="D29" s="18">
        <f t="shared" si="1"/>
        <v>8980712.3811281864</v>
      </c>
      <c r="E29" s="162">
        <f t="shared" si="5"/>
        <v>9063764.4849613439</v>
      </c>
      <c r="F29" s="162">
        <f t="shared" si="6"/>
        <v>338621577.40927738</v>
      </c>
      <c r="G29" s="268">
        <f t="shared" si="2"/>
        <v>10212085.819068523</v>
      </c>
      <c r="H29" s="268">
        <f>+'Upfront &amp; Ongoing Costs'!$B$34/2</f>
        <v>486271.60496949358</v>
      </c>
      <c r="I29" s="268">
        <f t="shared" si="3"/>
        <v>275200.40609527624</v>
      </c>
      <c r="L29" s="272">
        <f t="shared" si="7"/>
        <v>18530748.471059024</v>
      </c>
      <c r="M29" s="268"/>
      <c r="T29" s="135"/>
    </row>
    <row r="30" spans="1:20" x14ac:dyDescent="0.35">
      <c r="A30" s="135">
        <v>15</v>
      </c>
      <c r="B30" s="18">
        <f t="shared" si="4"/>
        <v>338621577.40927738</v>
      </c>
      <c r="C30" s="162">
        <f t="shared" si="0"/>
        <v>18044476.86608953</v>
      </c>
      <c r="D30" s="18">
        <f t="shared" si="1"/>
        <v>8746595.344481634</v>
      </c>
      <c r="E30" s="162">
        <f t="shared" si="5"/>
        <v>9297881.5216078963</v>
      </c>
      <c r="F30" s="162">
        <f t="shared" si="6"/>
        <v>329323695.8876695</v>
      </c>
      <c r="G30" s="268">
        <f t="shared" si="2"/>
        <v>9805171.2136999741</v>
      </c>
      <c r="H30" s="268">
        <f>+'Upfront &amp; Ongoing Costs'!$B$34/2</f>
        <v>486271.60496949358</v>
      </c>
      <c r="I30" s="268">
        <f t="shared" si="3"/>
        <v>264234.66739824892</v>
      </c>
      <c r="L30" s="272">
        <f t="shared" si="7"/>
        <v>18530748.471059024</v>
      </c>
      <c r="M30" s="268"/>
      <c r="T30" s="135"/>
    </row>
    <row r="31" spans="1:20" x14ac:dyDescent="0.35">
      <c r="A31" s="135">
        <v>16</v>
      </c>
      <c r="B31" s="18">
        <f t="shared" si="4"/>
        <v>329323695.8876695</v>
      </c>
      <c r="C31" s="162">
        <f t="shared" si="0"/>
        <v>18044476.86608953</v>
      </c>
      <c r="D31" s="18">
        <f t="shared" si="1"/>
        <v>8506431.064778503</v>
      </c>
      <c r="E31" s="162">
        <f t="shared" si="5"/>
        <v>9538045.8013110273</v>
      </c>
      <c r="F31" s="162">
        <f t="shared" si="6"/>
        <v>319785650.08635849</v>
      </c>
      <c r="G31" s="268">
        <f t="shared" si="2"/>
        <v>9414470.6804608498</v>
      </c>
      <c r="H31" s="268">
        <f>+'Upfront &amp; Ongoing Costs'!$B$34/2</f>
        <v>486271.60496949358</v>
      </c>
      <c r="I31" s="268">
        <f t="shared" si="3"/>
        <v>253705.87364210168</v>
      </c>
      <c r="L31" s="272">
        <f t="shared" si="7"/>
        <v>18530748.471059024</v>
      </c>
      <c r="M31" s="268"/>
      <c r="T31" s="135"/>
    </row>
    <row r="32" spans="1:20" x14ac:dyDescent="0.35">
      <c r="A32" s="135">
        <v>17</v>
      </c>
      <c r="B32" s="18">
        <f t="shared" si="4"/>
        <v>319785650.08635849</v>
      </c>
      <c r="C32" s="162">
        <f t="shared" si="0"/>
        <v>18044476.86608953</v>
      </c>
      <c r="D32" s="18">
        <f t="shared" si="1"/>
        <v>8260063.3417306393</v>
      </c>
      <c r="E32" s="162">
        <f t="shared" si="5"/>
        <v>9784413.524358891</v>
      </c>
      <c r="F32" s="162">
        <f t="shared" si="6"/>
        <v>310001236.56199962</v>
      </c>
      <c r="G32" s="268">
        <f t="shared" si="2"/>
        <v>9039338.1473459881</v>
      </c>
      <c r="H32" s="268">
        <f>+'Upfront &amp; Ongoing Costs'!$B$34/2</f>
        <v>486271.60496949358</v>
      </c>
      <c r="I32" s="268">
        <f t="shared" si="3"/>
        <v>243596.61415468232</v>
      </c>
      <c r="L32" s="272">
        <f t="shared" si="7"/>
        <v>18530748.471059024</v>
      </c>
      <c r="M32" s="268"/>
      <c r="T32" s="135"/>
    </row>
    <row r="33" spans="1:20" x14ac:dyDescent="0.35">
      <c r="A33" s="135">
        <v>18</v>
      </c>
      <c r="B33" s="18">
        <f t="shared" si="4"/>
        <v>310001236.56199962</v>
      </c>
      <c r="C33" s="162">
        <f t="shared" si="0"/>
        <v>18044476.86608953</v>
      </c>
      <c r="D33" s="18">
        <f t="shared" si="1"/>
        <v>8007331.9403964495</v>
      </c>
      <c r="E33" s="162">
        <f t="shared" si="5"/>
        <v>10037144.92569308</v>
      </c>
      <c r="F33" s="162">
        <f t="shared" si="6"/>
        <v>299964091.63630652</v>
      </c>
      <c r="G33" s="268">
        <f t="shared" si="2"/>
        <v>8679153.2859779056</v>
      </c>
      <c r="H33" s="268">
        <f>+'Upfront &amp; Ongoing Costs'!$B$34/2</f>
        <v>486271.60496949358</v>
      </c>
      <c r="I33" s="268">
        <f t="shared" si="3"/>
        <v>233890.17201601758</v>
      </c>
      <c r="L33" s="272">
        <f t="shared" si="7"/>
        <v>18530748.471059024</v>
      </c>
      <c r="M33" s="268"/>
      <c r="T33" s="135"/>
    </row>
    <row r="34" spans="1:20" x14ac:dyDescent="0.35">
      <c r="A34" s="135">
        <v>19</v>
      </c>
      <c r="B34" s="18">
        <f t="shared" si="4"/>
        <v>299964091.63630652</v>
      </c>
      <c r="C34" s="162">
        <f t="shared" si="0"/>
        <v>18044476.86608953</v>
      </c>
      <c r="D34" s="18">
        <f t="shared" si="1"/>
        <v>7748072.4869657969</v>
      </c>
      <c r="E34" s="162">
        <f t="shared" si="5"/>
        <v>10296404.379123732</v>
      </c>
      <c r="F34" s="162">
        <f t="shared" si="6"/>
        <v>289667687.25718278</v>
      </c>
      <c r="G34" s="268">
        <f t="shared" si="2"/>
        <v>8333320.4858165188</v>
      </c>
      <c r="H34" s="268">
        <f>+'Upfront &amp; Ongoing Costs'!$B$34/2</f>
        <v>486271.60496949358</v>
      </c>
      <c r="I34" s="268">
        <f t="shared" si="3"/>
        <v>224570.49641480323</v>
      </c>
      <c r="L34" s="272">
        <f t="shared" si="7"/>
        <v>18530748.471059024</v>
      </c>
      <c r="M34" s="268"/>
      <c r="T34" s="135"/>
    </row>
    <row r="35" spans="1:20" x14ac:dyDescent="0.35">
      <c r="A35" s="135">
        <v>20</v>
      </c>
      <c r="B35" s="18">
        <f t="shared" si="4"/>
        <v>289667687.25718278</v>
      </c>
      <c r="C35" s="162">
        <f t="shared" si="0"/>
        <v>18044476.86608953</v>
      </c>
      <c r="D35" s="18">
        <f t="shared" si="1"/>
        <v>7482116.3618530305</v>
      </c>
      <c r="E35" s="162">
        <f t="shared" si="5"/>
        <v>10562360.504236501</v>
      </c>
      <c r="F35" s="162">
        <f t="shared" si="6"/>
        <v>279105326.75294626</v>
      </c>
      <c r="G35" s="268">
        <f t="shared" si="2"/>
        <v>8001267.8692429364</v>
      </c>
      <c r="H35" s="268">
        <f>+'Upfront &amp; Ongoing Costs'!$B$34/2</f>
        <v>486271.60496949358</v>
      </c>
      <c r="I35" s="268">
        <f t="shared" si="3"/>
        <v>215622.1761063881</v>
      </c>
      <c r="L35" s="272">
        <f t="shared" si="7"/>
        <v>18530748.471059024</v>
      </c>
      <c r="M35" s="268"/>
      <c r="T35" s="135"/>
    </row>
    <row r="36" spans="1:20" x14ac:dyDescent="0.35">
      <c r="A36" s="135">
        <v>21</v>
      </c>
      <c r="B36" s="18">
        <f t="shared" si="4"/>
        <v>279105326.75294626</v>
      </c>
      <c r="C36" s="162">
        <f t="shared" si="0"/>
        <v>18044476.86608953</v>
      </c>
      <c r="D36" s="18">
        <f t="shared" si="1"/>
        <v>7209290.5900286017</v>
      </c>
      <c r="E36" s="162">
        <f t="shared" si="5"/>
        <v>10835186.276060928</v>
      </c>
      <c r="F36" s="162">
        <f t="shared" si="6"/>
        <v>268270140.47688532</v>
      </c>
      <c r="G36" s="268">
        <f t="shared" si="2"/>
        <v>7682446.3458885606</v>
      </c>
      <c r="H36" s="268">
        <f>+'Upfront &amp; Ongoing Costs'!$B$34/2</f>
        <v>486271.60496949358</v>
      </c>
      <c r="I36" s="268">
        <f t="shared" si="3"/>
        <v>207030.41392836111</v>
      </c>
      <c r="L36" s="272">
        <f t="shared" si="7"/>
        <v>18530748.471059024</v>
      </c>
      <c r="M36" s="268"/>
      <c r="T36" s="135"/>
    </row>
    <row r="37" spans="1:20" x14ac:dyDescent="0.35">
      <c r="A37" s="135">
        <v>22</v>
      </c>
      <c r="B37" s="18">
        <f t="shared" si="4"/>
        <v>268270140.47688532</v>
      </c>
      <c r="C37" s="162">
        <f t="shared" si="0"/>
        <v>18044476.86608953</v>
      </c>
      <c r="D37" s="18">
        <f t="shared" si="1"/>
        <v>6929417.7285179477</v>
      </c>
      <c r="E37" s="162">
        <f t="shared" si="5"/>
        <v>11115059.137571583</v>
      </c>
      <c r="F37" s="162">
        <f t="shared" si="6"/>
        <v>257155081.33931375</v>
      </c>
      <c r="G37" s="268">
        <f t="shared" si="2"/>
        <v>7376328.7046457594</v>
      </c>
      <c r="H37" s="268">
        <f>+'Upfront &amp; Ongoing Costs'!$B$34/2</f>
        <v>486271.60496949358</v>
      </c>
      <c r="I37" s="268">
        <f t="shared" si="3"/>
        <v>198781.00233159965</v>
      </c>
      <c r="L37" s="272">
        <f t="shared" si="7"/>
        <v>18530748.471059024</v>
      </c>
      <c r="M37" s="268"/>
      <c r="T37" s="135"/>
    </row>
    <row r="38" spans="1:20" x14ac:dyDescent="0.35">
      <c r="A38" s="135">
        <v>23</v>
      </c>
      <c r="B38" s="18">
        <f t="shared" si="4"/>
        <v>257155081.33931375</v>
      </c>
      <c r="C38" s="162">
        <f t="shared" si="0"/>
        <v>18044476.86608953</v>
      </c>
      <c r="D38" s="18">
        <f t="shared" si="1"/>
        <v>6642315.7509944737</v>
      </c>
      <c r="E38" s="162">
        <f t="shared" si="5"/>
        <v>11402161.115095057</v>
      </c>
      <c r="F38" s="162">
        <f t="shared" si="6"/>
        <v>245752920.2242187</v>
      </c>
      <c r="G38" s="268">
        <f t="shared" si="2"/>
        <v>7082408.7418586276</v>
      </c>
      <c r="H38" s="268">
        <f>+'Upfront &amp; Ongoing Costs'!$B$34/2</f>
        <v>486271.60496949358</v>
      </c>
      <c r="I38" s="268">
        <f t="shared" si="3"/>
        <v>190860.29988631752</v>
      </c>
      <c r="L38" s="272">
        <f t="shared" si="7"/>
        <v>18530748.471059024</v>
      </c>
      <c r="M38" s="268"/>
      <c r="T38" s="135"/>
    </row>
    <row r="39" spans="1:20" x14ac:dyDescent="0.35">
      <c r="A39" s="135">
        <v>24</v>
      </c>
      <c r="B39" s="18">
        <f t="shared" si="4"/>
        <v>245752920.2242187</v>
      </c>
      <c r="C39" s="162">
        <f t="shared" si="0"/>
        <v>18044476.86608953</v>
      </c>
      <c r="D39" s="18">
        <f t="shared" si="1"/>
        <v>6347797.9293915685</v>
      </c>
      <c r="E39" s="162">
        <f t="shared" si="5"/>
        <v>11696678.936697962</v>
      </c>
      <c r="F39" s="162">
        <f t="shared" si="6"/>
        <v>234056241.28752074</v>
      </c>
      <c r="G39" s="268">
        <f t="shared" si="2"/>
        <v>6800200.4242521627</v>
      </c>
      <c r="H39" s="268">
        <f>+'Upfront &amp; Ongoing Costs'!$B$34/2</f>
        <v>486271.60496949358</v>
      </c>
      <c r="I39" s="268">
        <f t="shared" si="3"/>
        <v>183255.20872426071</v>
      </c>
      <c r="L39" s="272">
        <f t="shared" si="7"/>
        <v>18530748.471059024</v>
      </c>
      <c r="M39" s="268"/>
      <c r="T39" s="135"/>
    </row>
    <row r="40" spans="1:20" x14ac:dyDescent="0.35">
      <c r="A40" s="135">
        <v>25</v>
      </c>
      <c r="B40" s="18">
        <f t="shared" si="4"/>
        <v>234056241.28752074</v>
      </c>
      <c r="C40" s="162">
        <f t="shared" si="0"/>
        <v>18044476.86608953</v>
      </c>
      <c r="D40" s="18">
        <f t="shared" si="1"/>
        <v>6045672.7124566603</v>
      </c>
      <c r="E40" s="162">
        <f t="shared" si="5"/>
        <v>11998804.15363287</v>
      </c>
      <c r="F40" s="162">
        <f t="shared" si="6"/>
        <v>222057437.13388789</v>
      </c>
      <c r="G40" s="268">
        <f t="shared" si="2"/>
        <v>6529237.0852157101</v>
      </c>
      <c r="H40" s="268">
        <f>+'Upfront &amp; Ongoing Costs'!$B$34/2</f>
        <v>486271.60496949358</v>
      </c>
      <c r="I40" s="268">
        <f t="shared" si="3"/>
        <v>175953.152879751</v>
      </c>
      <c r="L40" s="272">
        <f t="shared" si="7"/>
        <v>18530748.471059024</v>
      </c>
      <c r="M40" s="268"/>
      <c r="T40" s="135"/>
    </row>
    <row r="41" spans="1:20" x14ac:dyDescent="0.35">
      <c r="A41" s="135">
        <v>26</v>
      </c>
      <c r="B41" s="18">
        <f t="shared" si="4"/>
        <v>222057437.13388789</v>
      </c>
      <c r="C41" s="162">
        <f t="shared" si="0"/>
        <v>18044476.86608953</v>
      </c>
      <c r="D41" s="18">
        <f t="shared" si="1"/>
        <v>5735743.6011683242</v>
      </c>
      <c r="E41" s="162">
        <f t="shared" si="5"/>
        <v>12308733.264921207</v>
      </c>
      <c r="F41" s="162">
        <f t="shared" si="6"/>
        <v>209748703.8689667</v>
      </c>
      <c r="G41" s="268">
        <f t="shared" si="2"/>
        <v>6269070.6531115789</v>
      </c>
      <c r="H41" s="268">
        <f>+'Upfront &amp; Ongoing Costs'!$B$34/2</f>
        <v>486271.60496949358</v>
      </c>
      <c r="I41" s="268">
        <f t="shared" si="3"/>
        <v>168942.05749375996</v>
      </c>
      <c r="L41" s="272">
        <f t="shared" si="7"/>
        <v>18530748.471059024</v>
      </c>
      <c r="M41" s="268"/>
      <c r="T41" s="135"/>
    </row>
    <row r="42" spans="1:20" x14ac:dyDescent="0.35">
      <c r="A42" s="135">
        <v>27</v>
      </c>
      <c r="B42" s="18">
        <f t="shared" si="4"/>
        <v>209748703.8689667</v>
      </c>
      <c r="C42" s="162">
        <f t="shared" si="0"/>
        <v>18044476.86608953</v>
      </c>
      <c r="D42" s="18">
        <f t="shared" si="1"/>
        <v>5417809.0209354097</v>
      </c>
      <c r="E42" s="162">
        <f t="shared" si="5"/>
        <v>12626667.845154122</v>
      </c>
      <c r="F42" s="162">
        <f t="shared" si="6"/>
        <v>197122036.02381259</v>
      </c>
      <c r="G42" s="268">
        <f t="shared" si="2"/>
        <v>6019270.9103327682</v>
      </c>
      <c r="H42" s="268">
        <f>+'Upfront &amp; Ongoing Costs'!$B$34/2</f>
        <v>486271.60496949358</v>
      </c>
      <c r="I42" s="268">
        <f t="shared" si="3"/>
        <v>162210.32884662499</v>
      </c>
      <c r="L42" s="272">
        <f t="shared" si="7"/>
        <v>18530748.471059024</v>
      </c>
      <c r="M42" s="268"/>
      <c r="T42" s="135"/>
    </row>
    <row r="43" spans="1:20" x14ac:dyDescent="0.35">
      <c r="A43" s="135">
        <v>28</v>
      </c>
      <c r="B43" s="18">
        <f t="shared" si="4"/>
        <v>197122036.02381259</v>
      </c>
      <c r="C43" s="162">
        <f t="shared" si="0"/>
        <v>18044476.86608953</v>
      </c>
      <c r="D43" s="18">
        <f t="shared" si="1"/>
        <v>5091662.1904950794</v>
      </c>
      <c r="E43" s="162">
        <f t="shared" si="5"/>
        <v>12952814.675594451</v>
      </c>
      <c r="F43" s="162">
        <f t="shared" si="6"/>
        <v>184169221.34821814</v>
      </c>
      <c r="G43" s="268">
        <f t="shared" si="2"/>
        <v>5779424.7818845585</v>
      </c>
      <c r="H43" s="268">
        <f>+'Upfront &amp; Ongoing Costs'!$B$34/2</f>
        <v>486271.60496949358</v>
      </c>
      <c r="I43" s="268">
        <f t="shared" si="3"/>
        <v>155746.8351863898</v>
      </c>
      <c r="L43" s="272">
        <f t="shared" si="7"/>
        <v>18530748.471059024</v>
      </c>
      <c r="M43" s="268"/>
      <c r="T43" s="135"/>
    </row>
    <row r="44" spans="1:20" x14ac:dyDescent="0.35">
      <c r="A44" s="135">
        <v>29</v>
      </c>
      <c r="B44" s="18">
        <f t="shared" si="4"/>
        <v>184169221.34821814</v>
      </c>
      <c r="C44" s="162">
        <f t="shared" si="0"/>
        <v>18044476.86608953</v>
      </c>
      <c r="D44" s="18">
        <f t="shared" si="1"/>
        <v>4757090.9874244742</v>
      </c>
      <c r="E44" s="162">
        <f t="shared" si="5"/>
        <v>13287385.878665056</v>
      </c>
      <c r="F44" s="162">
        <f t="shared" si="6"/>
        <v>170881835.46955308</v>
      </c>
      <c r="G44" s="268">
        <f t="shared" si="2"/>
        <v>5549135.6523135472</v>
      </c>
      <c r="H44" s="268">
        <f>+'Upfront &amp; Ongoing Costs'!$B$34/2</f>
        <v>486271.60496949358</v>
      </c>
      <c r="I44" s="268">
        <f t="shared" si="3"/>
        <v>149540.88832106561</v>
      </c>
      <c r="L44" s="272">
        <f t="shared" si="7"/>
        <v>18530748.471059024</v>
      </c>
      <c r="M44" s="268"/>
      <c r="T44" s="135"/>
    </row>
    <row r="45" spans="1:20" x14ac:dyDescent="0.35">
      <c r="A45" s="135">
        <v>30</v>
      </c>
      <c r="B45" s="18">
        <f t="shared" si="4"/>
        <v>170881835.46955308</v>
      </c>
      <c r="C45" s="162">
        <f t="shared" si="0"/>
        <v>18044476.86608953</v>
      </c>
      <c r="D45" s="18">
        <f t="shared" si="1"/>
        <v>4413877.8101785555</v>
      </c>
      <c r="E45" s="162">
        <f t="shared" si="5"/>
        <v>13630599.055910975</v>
      </c>
      <c r="F45" s="162">
        <f t="shared" si="6"/>
        <v>157251236.41364211</v>
      </c>
      <c r="G45" s="268">
        <f t="shared" si="2"/>
        <v>5328022.7098545805</v>
      </c>
      <c r="H45" s="268">
        <f>+'Upfront &amp; Ongoing Costs'!$B$34/2</f>
        <v>486271.60496949358</v>
      </c>
      <c r="I45" s="268">
        <f t="shared" si="3"/>
        <v>143582.22594437402</v>
      </c>
      <c r="L45" s="272">
        <f t="shared" si="7"/>
        <v>18530748.471059024</v>
      </c>
      <c r="M45" s="268"/>
      <c r="T45" s="135"/>
    </row>
    <row r="46" spans="1:20" x14ac:dyDescent="0.35">
      <c r="A46" s="135">
        <v>31</v>
      </c>
      <c r="B46" s="18">
        <f t="shared" si="4"/>
        <v>157251236.41364211</v>
      </c>
      <c r="C46" s="162">
        <f t="shared" si="0"/>
        <v>18044476.86608953</v>
      </c>
      <c r="D46" s="18">
        <f t="shared" si="1"/>
        <v>4061799.4365643756</v>
      </c>
      <c r="E46" s="162">
        <f t="shared" si="5"/>
        <v>13982677.429525156</v>
      </c>
      <c r="F46" s="162">
        <f t="shared" si="6"/>
        <v>143268558.98411697</v>
      </c>
      <c r="G46" s="268">
        <f t="shared" si="2"/>
        <v>5115720.3167110709</v>
      </c>
      <c r="H46" s="268">
        <f>+'Upfront &amp; Ongoing Costs'!$B$34/2</f>
        <v>486271.60496949358</v>
      </c>
      <c r="I46" s="268">
        <f t="shared" si="3"/>
        <v>137860.99466574559</v>
      </c>
      <c r="L46" s="272">
        <f t="shared" si="7"/>
        <v>18530748.471059024</v>
      </c>
      <c r="M46" s="268"/>
      <c r="T46" s="135"/>
    </row>
    <row r="47" spans="1:20" x14ac:dyDescent="0.35">
      <c r="A47" s="135">
        <v>32</v>
      </c>
      <c r="B47" s="18">
        <f t="shared" si="4"/>
        <v>143268558.98411697</v>
      </c>
      <c r="C47" s="162">
        <f t="shared" si="0"/>
        <v>18044476.86608953</v>
      </c>
      <c r="D47" s="18">
        <f t="shared" si="1"/>
        <v>3700626.8785597412</v>
      </c>
      <c r="E47" s="162">
        <f t="shared" si="5"/>
        <v>14343849.987529788</v>
      </c>
      <c r="F47" s="162">
        <f t="shared" si="6"/>
        <v>128924708.99658719</v>
      </c>
      <c r="G47" s="268">
        <f t="shared" si="2"/>
        <v>4911877.4044273356</v>
      </c>
      <c r="H47" s="268">
        <f>+'Upfront &amp; Ongoing Costs'!$B$34/2</f>
        <v>486271.60496949358</v>
      </c>
      <c r="I47" s="268">
        <f t="shared" si="3"/>
        <v>132367.73371651038</v>
      </c>
      <c r="L47" s="272">
        <f t="shared" si="7"/>
        <v>18530748.471059024</v>
      </c>
      <c r="M47" s="268"/>
      <c r="T47" s="135"/>
    </row>
    <row r="48" spans="1:20" x14ac:dyDescent="0.35">
      <c r="A48" s="135">
        <v>33</v>
      </c>
      <c r="B48" s="18">
        <f t="shared" si="4"/>
        <v>128924708.99658719</v>
      </c>
      <c r="C48" s="162">
        <f t="shared" si="0"/>
        <v>18044476.86608953</v>
      </c>
      <c r="D48" s="18">
        <f t="shared" si="1"/>
        <v>3330125.2333818469</v>
      </c>
      <c r="E48" s="162">
        <f t="shared" si="5"/>
        <v>14714351.632707683</v>
      </c>
      <c r="F48" s="162">
        <f t="shared" si="6"/>
        <v>114210357.3638795</v>
      </c>
      <c r="G48" s="268">
        <f t="shared" si="2"/>
        <v>4716156.8933531782</v>
      </c>
      <c r="H48" s="268">
        <f>+'Upfront &amp; Ongoing Costs'!$B$34/2</f>
        <v>486271.60496949358</v>
      </c>
      <c r="I48" s="268">
        <f t="shared" si="3"/>
        <v>127093.35930533882</v>
      </c>
      <c r="L48" s="272">
        <f t="shared" si="7"/>
        <v>18530748.471059024</v>
      </c>
      <c r="M48" s="268"/>
      <c r="T48" s="135"/>
    </row>
    <row r="49" spans="1:20" x14ac:dyDescent="0.35">
      <c r="A49" s="135">
        <v>34</v>
      </c>
      <c r="B49" s="18">
        <f t="shared" si="4"/>
        <v>114210357.3638795</v>
      </c>
      <c r="C49" s="162">
        <f t="shared" si="0"/>
        <v>18044476.86608953</v>
      </c>
      <c r="D49" s="18">
        <f t="shared" si="1"/>
        <v>2950053.5307090073</v>
      </c>
      <c r="E49" s="162">
        <f t="shared" si="5"/>
        <v>15094423.335380523</v>
      </c>
      <c r="F49" s="162">
        <f t="shared" si="6"/>
        <v>99115934.028498977</v>
      </c>
      <c r="G49" s="268">
        <f t="shared" si="2"/>
        <v>4528235.1352406889</v>
      </c>
      <c r="H49" s="268">
        <f>+'Upfront &amp; Ongoing Costs'!$B$34/2</f>
        <v>486271.60496949358</v>
      </c>
      <c r="I49" s="268">
        <f t="shared" si="3"/>
        <v>122029.14959706078</v>
      </c>
      <c r="L49" s="272">
        <f t="shared" si="7"/>
        <v>18530748.471059024</v>
      </c>
      <c r="M49" s="268"/>
      <c r="T49" s="135"/>
    </row>
    <row r="50" spans="1:20" x14ac:dyDescent="0.35">
      <c r="A50" s="135">
        <v>35</v>
      </c>
      <c r="B50" s="18">
        <f t="shared" si="4"/>
        <v>99115934.028498977</v>
      </c>
      <c r="C50" s="162">
        <f t="shared" si="0"/>
        <v>18044476.86608953</v>
      </c>
      <c r="D50" s="18">
        <f t="shared" si="1"/>
        <v>2560164.5759561285</v>
      </c>
      <c r="E50" s="162">
        <f t="shared" si="5"/>
        <v>15484312.290133402</v>
      </c>
      <c r="F50" s="162">
        <f t="shared" si="6"/>
        <v>83631621.738365591</v>
      </c>
      <c r="G50" s="268">
        <f t="shared" si="2"/>
        <v>4347801.3780515492</v>
      </c>
      <c r="H50" s="268">
        <f>+'Upfront &amp; Ongoing Costs'!$B$34/2</f>
        <v>486271.60496949358</v>
      </c>
      <c r="I50" s="268">
        <f t="shared" si="3"/>
        <v>117166.73029002475</v>
      </c>
      <c r="L50" s="272">
        <f t="shared" si="7"/>
        <v>18530748.471059024</v>
      </c>
      <c r="M50" s="268"/>
      <c r="T50" s="135"/>
    </row>
    <row r="51" spans="1:20" x14ac:dyDescent="0.35">
      <c r="A51" s="135">
        <v>36</v>
      </c>
      <c r="B51" s="18">
        <f t="shared" si="4"/>
        <v>83631621.738365591</v>
      </c>
      <c r="C51" s="162">
        <f t="shared" si="0"/>
        <v>18044476.86608953</v>
      </c>
      <c r="D51" s="18">
        <f t="shared" si="1"/>
        <v>2160204.7895019832</v>
      </c>
      <c r="E51" s="162">
        <f t="shared" si="5"/>
        <v>15884272.076587547</v>
      </c>
      <c r="F51" s="162">
        <f t="shared" si="6"/>
        <v>67747349.661778033</v>
      </c>
      <c r="G51" s="268">
        <f t="shared" si="2"/>
        <v>4174557.2520898222</v>
      </c>
      <c r="H51" s="268">
        <f>+'Upfront &amp; Ongoing Costs'!$B$34/2</f>
        <v>486271.60496949358</v>
      </c>
      <c r="I51" s="268">
        <f t="shared" si="3"/>
        <v>112498.06076814666</v>
      </c>
      <c r="L51" s="272">
        <f t="shared" si="7"/>
        <v>18530748.471059024</v>
      </c>
      <c r="M51" s="268"/>
      <c r="T51" s="135"/>
    </row>
    <row r="52" spans="1:20" x14ac:dyDescent="0.35">
      <c r="A52" s="135">
        <v>37</v>
      </c>
      <c r="B52" s="18">
        <f t="shared" si="4"/>
        <v>67747349.661778033</v>
      </c>
      <c r="C52" s="162">
        <f t="shared" si="0"/>
        <v>18044476.86608953</v>
      </c>
      <c r="D52" s="18">
        <f t="shared" si="1"/>
        <v>1749914.0417637264</v>
      </c>
      <c r="E52" s="162">
        <f t="shared" si="5"/>
        <v>16294562.824325804</v>
      </c>
      <c r="F52" s="162">
        <f t="shared" si="6"/>
        <v>51452786.837452225</v>
      </c>
      <c r="G52" s="268">
        <f t="shared" si="2"/>
        <v>4008216.2766104867</v>
      </c>
      <c r="H52" s="268">
        <f>+'Upfront &amp; Ongoing Costs'!$B$34/2</f>
        <v>486271.60496949358</v>
      </c>
      <c r="I52" s="268">
        <f t="shared" si="3"/>
        <v>108015.42080474955</v>
      </c>
      <c r="L52" s="272">
        <f t="shared" si="7"/>
        <v>18530748.471059024</v>
      </c>
      <c r="M52" s="268"/>
      <c r="T52" s="135"/>
    </row>
    <row r="53" spans="1:20" x14ac:dyDescent="0.35">
      <c r="A53" s="135">
        <v>38</v>
      </c>
      <c r="B53" s="18">
        <f t="shared" si="4"/>
        <v>51452786.837452225</v>
      </c>
      <c r="C53" s="162">
        <f t="shared" si="0"/>
        <v>18044476.86608953</v>
      </c>
      <c r="D53" s="18">
        <f t="shared" si="1"/>
        <v>1329025.4840113909</v>
      </c>
      <c r="E53" s="162">
        <f t="shared" si="5"/>
        <v>16715451.382078139</v>
      </c>
      <c r="F53" s="162">
        <f t="shared" si="6"/>
        <v>34737335.455374084</v>
      </c>
      <c r="G53" s="268">
        <f t="shared" si="2"/>
        <v>3848503.3860878409</v>
      </c>
      <c r="H53" s="268">
        <f>+'Upfront &amp; Ongoing Costs'!$B$34/2</f>
        <v>486271.60496949358</v>
      </c>
      <c r="I53" s="268">
        <f t="shared" si="3"/>
        <v>103711.39779620695</v>
      </c>
      <c r="L53" s="272">
        <f t="shared" si="7"/>
        <v>18530748.471059024</v>
      </c>
      <c r="M53" s="268"/>
      <c r="T53" s="135"/>
    </row>
    <row r="54" spans="1:20" x14ac:dyDescent="0.35">
      <c r="A54" s="135">
        <v>39</v>
      </c>
      <c r="B54" s="18">
        <f t="shared" si="4"/>
        <v>34737335.455374084</v>
      </c>
      <c r="C54" s="162">
        <f t="shared" si="0"/>
        <v>18044476.86608953</v>
      </c>
      <c r="D54" s="18">
        <f t="shared" si="1"/>
        <v>897265.37481231254</v>
      </c>
      <c r="E54" s="162">
        <f t="shared" si="5"/>
        <v>17147211.491277218</v>
      </c>
      <c r="F54" s="162">
        <f t="shared" si="6"/>
        <v>17590123.964096867</v>
      </c>
      <c r="G54" s="268">
        <f t="shared" si="2"/>
        <v>3695154.4753603842</v>
      </c>
      <c r="H54" s="268">
        <f>+'Upfront &amp; Ongoing Costs'!$B$34/2</f>
        <v>486271.60496949358</v>
      </c>
      <c r="I54" s="268">
        <f t="shared" si="3"/>
        <v>99578.874504279331</v>
      </c>
      <c r="L54" s="272">
        <f t="shared" si="7"/>
        <v>18530748.471059024</v>
      </c>
      <c r="M54" s="268"/>
      <c r="T54" s="135"/>
    </row>
    <row r="55" spans="1:20" x14ac:dyDescent="0.35">
      <c r="A55" s="135">
        <v>40</v>
      </c>
      <c r="B55" s="18">
        <f t="shared" si="4"/>
        <v>17590123.964096867</v>
      </c>
      <c r="C55" s="162">
        <f t="shared" si="0"/>
        <v>18044476.86608953</v>
      </c>
      <c r="D55" s="18">
        <f t="shared" si="1"/>
        <v>454352.90199262206</v>
      </c>
      <c r="E55" s="162">
        <f t="shared" si="5"/>
        <v>17590123.964096908</v>
      </c>
      <c r="F55" s="162">
        <f t="shared" si="6"/>
        <v>-4.0978193283081055E-8</v>
      </c>
      <c r="G55" s="268">
        <f t="shared" si="2"/>
        <v>3547915.9629000332</v>
      </c>
      <c r="H55" s="268">
        <f>+'Upfront &amp; Ongoing Costs'!$B$34/2</f>
        <v>486271.60496949358</v>
      </c>
      <c r="I55" s="268">
        <f t="shared" si="3"/>
        <v>95611.017286874063</v>
      </c>
      <c r="L55" s="272">
        <f t="shared" si="7"/>
        <v>18530748.471059024</v>
      </c>
      <c r="M55" s="268"/>
      <c r="T55" s="135"/>
    </row>
    <row r="56" spans="1:20" x14ac:dyDescent="0.35">
      <c r="A56" s="255"/>
      <c r="B56" s="255"/>
      <c r="C56" s="1"/>
      <c r="D56" s="18"/>
      <c r="E56" s="18"/>
      <c r="F56" s="269"/>
      <c r="G56" s="18"/>
      <c r="H56" s="18"/>
      <c r="I56" s="18"/>
      <c r="J56" s="268"/>
      <c r="M56" s="18"/>
      <c r="N56" s="18"/>
      <c r="O56" s="18"/>
      <c r="P56" s="162"/>
      <c r="Q56" s="162"/>
    </row>
    <row r="57" spans="1:20" x14ac:dyDescent="0.35">
      <c r="A57" s="255"/>
      <c r="B57" s="255"/>
      <c r="C57" s="1"/>
      <c r="D57" s="18"/>
      <c r="E57" s="18"/>
      <c r="F57" s="269"/>
      <c r="G57" s="18"/>
      <c r="H57" s="18"/>
      <c r="I57" s="18"/>
      <c r="J57" s="268"/>
      <c r="L57" s="272"/>
      <c r="M57" s="162"/>
      <c r="N57" s="162"/>
      <c r="O57" s="18"/>
      <c r="P57" s="162"/>
      <c r="Q57" s="162"/>
    </row>
    <row r="58" spans="1:20" x14ac:dyDescent="0.35">
      <c r="A58" s="255"/>
      <c r="B58" s="255"/>
      <c r="C58" s="1"/>
      <c r="D58" s="18"/>
      <c r="E58" s="18"/>
      <c r="F58" s="269"/>
      <c r="G58" s="18"/>
      <c r="H58" s="18"/>
      <c r="I58" s="18"/>
      <c r="J58" s="268"/>
      <c r="M58" s="162"/>
      <c r="N58" s="162"/>
      <c r="O58" s="18"/>
      <c r="P58" s="162"/>
      <c r="Q58" s="162"/>
    </row>
    <row r="59" spans="1:20" x14ac:dyDescent="0.35">
      <c r="A59" s="255"/>
      <c r="B59" s="255"/>
      <c r="C59" s="1"/>
      <c r="D59" s="18"/>
      <c r="E59" s="18"/>
      <c r="F59" s="269"/>
      <c r="G59" s="18"/>
      <c r="H59" s="18"/>
      <c r="I59" s="18"/>
      <c r="J59" s="268"/>
      <c r="M59" s="162"/>
      <c r="N59" s="162"/>
      <c r="O59" s="18"/>
      <c r="P59" s="162"/>
      <c r="Q59" s="162"/>
    </row>
    <row r="60" spans="1:20" x14ac:dyDescent="0.35">
      <c r="A60" s="255"/>
      <c r="B60" s="255"/>
      <c r="C60" s="1"/>
      <c r="D60" s="18"/>
      <c r="E60" s="18"/>
      <c r="F60" s="269"/>
      <c r="G60" s="18"/>
      <c r="H60" s="18"/>
      <c r="I60" s="18"/>
      <c r="J60" s="268"/>
      <c r="M60" s="162"/>
      <c r="N60" s="162"/>
      <c r="O60" s="18"/>
      <c r="P60" s="162"/>
      <c r="Q60" s="162"/>
    </row>
    <row r="61" spans="1:20" x14ac:dyDescent="0.35">
      <c r="A61" s="255"/>
      <c r="B61" s="255"/>
      <c r="C61" s="1"/>
      <c r="D61" s="18"/>
      <c r="E61" s="18"/>
      <c r="F61" s="269"/>
      <c r="G61" s="18"/>
      <c r="H61" s="18"/>
      <c r="I61" s="18"/>
      <c r="J61" s="268"/>
      <c r="M61" s="162"/>
      <c r="N61" s="162"/>
      <c r="O61" s="18"/>
      <c r="P61" s="162"/>
      <c r="Q61" s="162"/>
    </row>
    <row r="62" spans="1:20" x14ac:dyDescent="0.35">
      <c r="A62" s="255"/>
      <c r="B62" s="255"/>
      <c r="C62" s="1"/>
      <c r="D62" s="18"/>
      <c r="E62" s="18"/>
      <c r="F62" s="269"/>
      <c r="G62" s="18"/>
      <c r="H62" s="18"/>
      <c r="I62" s="18"/>
      <c r="J62" s="268"/>
      <c r="M62" s="162"/>
      <c r="N62" s="162"/>
      <c r="O62" s="18"/>
      <c r="P62" s="162"/>
      <c r="Q62" s="162"/>
    </row>
    <row r="63" spans="1:20" x14ac:dyDescent="0.35">
      <c r="A63" s="255"/>
      <c r="B63" s="255"/>
      <c r="C63" s="1"/>
      <c r="D63" s="18"/>
      <c r="E63" s="18"/>
      <c r="F63" s="269"/>
      <c r="G63" s="18"/>
      <c r="H63" s="18"/>
      <c r="I63" s="18"/>
      <c r="J63" s="268"/>
      <c r="M63" s="162"/>
      <c r="N63" s="162"/>
      <c r="O63" s="18"/>
      <c r="P63" s="162"/>
      <c r="Q63" s="162"/>
    </row>
    <row r="64" spans="1:20" x14ac:dyDescent="0.35">
      <c r="A64" s="255"/>
      <c r="B64" s="255"/>
      <c r="C64" s="1"/>
      <c r="D64" s="18"/>
      <c r="E64" s="18"/>
      <c r="F64" s="269"/>
      <c r="G64" s="18"/>
      <c r="H64" s="18"/>
      <c r="I64" s="18"/>
      <c r="J64" s="268"/>
      <c r="M64" s="162"/>
      <c r="N64" s="162"/>
      <c r="O64" s="18"/>
      <c r="P64" s="162"/>
      <c r="Q64" s="162"/>
    </row>
    <row r="65" spans="1:17" x14ac:dyDescent="0.35">
      <c r="A65" s="255"/>
      <c r="B65" s="255"/>
      <c r="C65" s="1"/>
      <c r="D65" s="18"/>
      <c r="E65" s="18"/>
      <c r="F65" s="269"/>
      <c r="G65" s="18"/>
      <c r="H65" s="18"/>
      <c r="I65" s="18"/>
      <c r="J65" s="268"/>
      <c r="M65" s="162"/>
      <c r="N65" s="162"/>
      <c r="O65" s="18"/>
      <c r="P65" s="162"/>
      <c r="Q65" s="162"/>
    </row>
    <row r="66" spans="1:17" x14ac:dyDescent="0.35">
      <c r="A66" s="255"/>
      <c r="B66" s="255"/>
      <c r="C66" s="1"/>
      <c r="D66" s="18"/>
      <c r="E66" s="18"/>
      <c r="F66" s="269"/>
      <c r="G66" s="18"/>
      <c r="H66" s="18"/>
      <c r="I66" s="18"/>
      <c r="J66" s="268"/>
      <c r="M66" s="162"/>
      <c r="N66" s="162"/>
      <c r="O66" s="18"/>
      <c r="P66" s="162"/>
      <c r="Q66" s="162"/>
    </row>
    <row r="67" spans="1:17" x14ac:dyDescent="0.35">
      <c r="A67" s="255"/>
      <c r="B67" s="255"/>
      <c r="C67" s="1"/>
      <c r="D67" s="18"/>
      <c r="E67" s="18"/>
      <c r="F67" s="269"/>
      <c r="G67" s="18"/>
      <c r="H67" s="18"/>
      <c r="I67" s="18"/>
      <c r="J67" s="268"/>
      <c r="M67" s="162"/>
      <c r="N67" s="162"/>
      <c r="O67" s="18"/>
      <c r="P67" s="162"/>
      <c r="Q67" s="162"/>
    </row>
    <row r="68" spans="1:17" x14ac:dyDescent="0.35">
      <c r="A68" s="255"/>
      <c r="B68" s="255"/>
      <c r="C68" s="1"/>
      <c r="D68" s="18"/>
      <c r="E68" s="18"/>
      <c r="F68" s="269"/>
      <c r="G68" s="18"/>
      <c r="H68" s="18"/>
      <c r="I68" s="18"/>
      <c r="J68" s="268"/>
      <c r="M68" s="162"/>
      <c r="N68" s="162"/>
      <c r="O68" s="18"/>
      <c r="P68" s="162"/>
      <c r="Q68" s="162"/>
    </row>
    <row r="69" spans="1:17" x14ac:dyDescent="0.35">
      <c r="A69" s="255"/>
      <c r="B69" s="255"/>
      <c r="C69" s="1"/>
      <c r="D69" s="18"/>
      <c r="E69" s="18"/>
      <c r="F69" s="269"/>
      <c r="G69" s="18"/>
      <c r="H69" s="18"/>
      <c r="I69" s="18"/>
      <c r="J69" s="268"/>
      <c r="M69" s="162"/>
      <c r="N69" s="162"/>
      <c r="O69" s="18"/>
      <c r="P69" s="162"/>
      <c r="Q69" s="162"/>
    </row>
    <row r="70" spans="1:17" x14ac:dyDescent="0.35">
      <c r="A70" s="255"/>
      <c r="B70" s="255"/>
      <c r="C70" s="1"/>
      <c r="D70" s="18"/>
      <c r="E70" s="18"/>
      <c r="F70" s="269"/>
      <c r="G70" s="18"/>
      <c r="H70" s="18"/>
      <c r="I70" s="18"/>
      <c r="J70" s="268"/>
      <c r="M70" s="162"/>
      <c r="N70" s="162"/>
      <c r="O70" s="18"/>
      <c r="P70" s="162"/>
      <c r="Q70" s="162"/>
    </row>
    <row r="71" spans="1:17" x14ac:dyDescent="0.35">
      <c r="A71" s="255"/>
      <c r="B71" s="255"/>
      <c r="C71" s="1"/>
      <c r="D71" s="18"/>
      <c r="E71" s="18"/>
      <c r="F71" s="269"/>
      <c r="G71" s="18"/>
      <c r="H71" s="18"/>
      <c r="I71" s="18"/>
      <c r="J71" s="268"/>
      <c r="M71" s="162"/>
      <c r="N71" s="162"/>
      <c r="O71" s="18"/>
      <c r="P71" s="162"/>
      <c r="Q71" s="162"/>
    </row>
    <row r="72" spans="1:17" x14ac:dyDescent="0.35">
      <c r="A72" s="255"/>
      <c r="B72" s="255"/>
      <c r="C72" s="1"/>
      <c r="D72" s="18"/>
      <c r="E72" s="18"/>
      <c r="F72" s="269"/>
      <c r="G72" s="18"/>
      <c r="H72" s="18"/>
      <c r="I72" s="18"/>
      <c r="J72" s="268"/>
      <c r="M72" s="162"/>
      <c r="N72" s="162"/>
      <c r="O72" s="18"/>
      <c r="P72" s="162"/>
      <c r="Q72" s="162"/>
    </row>
    <row r="73" spans="1:17" x14ac:dyDescent="0.35">
      <c r="A73" s="255"/>
      <c r="B73" s="255"/>
      <c r="C73" s="1"/>
      <c r="D73" s="18"/>
      <c r="E73" s="18"/>
      <c r="F73" s="269"/>
      <c r="G73" s="18"/>
      <c r="H73" s="18"/>
      <c r="I73" s="18"/>
      <c r="J73" s="268"/>
      <c r="M73" s="162"/>
      <c r="N73" s="162"/>
      <c r="O73" s="18"/>
      <c r="P73" s="162"/>
      <c r="Q73" s="162"/>
    </row>
    <row r="74" spans="1:17" x14ac:dyDescent="0.35">
      <c r="A74" s="255"/>
      <c r="B74" s="255"/>
      <c r="C74" s="1"/>
      <c r="D74" s="18"/>
      <c r="E74" s="18"/>
      <c r="F74" s="269"/>
      <c r="G74" s="18"/>
      <c r="H74" s="18"/>
      <c r="I74" s="18"/>
      <c r="J74" s="268"/>
      <c r="M74" s="162"/>
      <c r="N74" s="162"/>
      <c r="O74" s="18"/>
      <c r="P74" s="162"/>
      <c r="Q74" s="162"/>
    </row>
    <row r="75" spans="1:17" x14ac:dyDescent="0.35">
      <c r="A75" s="255"/>
      <c r="B75" s="255"/>
      <c r="C75" s="1"/>
      <c r="D75" s="18"/>
      <c r="E75" s="18"/>
      <c r="F75" s="269"/>
      <c r="G75" s="18"/>
      <c r="H75" s="18"/>
      <c r="I75" s="18"/>
      <c r="J75" s="268"/>
      <c r="M75" s="162"/>
      <c r="N75" s="162"/>
      <c r="O75" s="18"/>
      <c r="P75" s="162"/>
      <c r="Q75" s="162"/>
    </row>
    <row r="76" spans="1:17" x14ac:dyDescent="0.35">
      <c r="A76" s="255"/>
      <c r="B76" s="255"/>
      <c r="C76" s="1"/>
      <c r="D76" s="18"/>
      <c r="E76" s="18"/>
      <c r="F76" s="269"/>
      <c r="G76" s="18"/>
      <c r="H76" s="18"/>
      <c r="I76" s="18"/>
      <c r="J76" s="268"/>
      <c r="M76" s="162"/>
      <c r="N76" s="162"/>
      <c r="O76" s="18"/>
      <c r="P76" s="162"/>
      <c r="Q76" s="162"/>
    </row>
    <row r="77" spans="1:17" x14ac:dyDescent="0.35">
      <c r="A77" s="255"/>
      <c r="B77" s="255"/>
      <c r="C77" s="1"/>
      <c r="D77" s="18"/>
      <c r="E77" s="18"/>
      <c r="F77" s="269"/>
      <c r="G77" s="18"/>
      <c r="H77" s="18"/>
      <c r="I77" s="18"/>
      <c r="J77" s="268"/>
      <c r="M77" s="162"/>
      <c r="N77" s="162"/>
      <c r="O77" s="18"/>
      <c r="P77" s="162"/>
      <c r="Q77" s="162"/>
    </row>
    <row r="78" spans="1:17" x14ac:dyDescent="0.35">
      <c r="A78" s="255"/>
      <c r="B78" s="255"/>
      <c r="C78" s="1"/>
      <c r="D78" s="18"/>
      <c r="E78" s="18"/>
      <c r="F78" s="269"/>
      <c r="G78" s="18"/>
      <c r="H78" s="18"/>
      <c r="I78" s="18"/>
      <c r="J78" s="268"/>
      <c r="M78" s="162"/>
      <c r="N78" s="162"/>
      <c r="O78" s="18"/>
      <c r="P78" s="162"/>
      <c r="Q78" s="162"/>
    </row>
    <row r="79" spans="1:17" x14ac:dyDescent="0.35">
      <c r="A79" s="255"/>
      <c r="B79" s="255"/>
      <c r="C79" s="1"/>
      <c r="D79" s="18"/>
      <c r="E79" s="18"/>
      <c r="F79" s="269"/>
      <c r="G79" s="18"/>
      <c r="H79" s="18"/>
      <c r="I79" s="18"/>
      <c r="J79" s="268"/>
      <c r="M79" s="162"/>
      <c r="N79" s="162"/>
      <c r="O79" s="18"/>
      <c r="P79" s="162"/>
      <c r="Q79" s="162"/>
    </row>
    <row r="80" spans="1:17" x14ac:dyDescent="0.35">
      <c r="A80" s="255"/>
      <c r="B80" s="255"/>
      <c r="C80" s="1"/>
      <c r="D80" s="18"/>
      <c r="E80" s="18"/>
      <c r="F80" s="269"/>
      <c r="G80" s="18"/>
      <c r="H80" s="18"/>
      <c r="I80" s="18"/>
      <c r="J80" s="268"/>
      <c r="M80" s="162"/>
      <c r="N80" s="162"/>
      <c r="O80" s="18"/>
      <c r="P80" s="162"/>
      <c r="Q80" s="162"/>
    </row>
    <row r="81" spans="1:17" x14ac:dyDescent="0.35">
      <c r="A81" s="255"/>
      <c r="B81" s="255"/>
      <c r="C81" s="1"/>
      <c r="D81" s="18"/>
      <c r="E81" s="18"/>
      <c r="F81" s="269"/>
      <c r="G81" s="18"/>
      <c r="H81" s="18"/>
      <c r="I81" s="18"/>
      <c r="J81" s="268"/>
      <c r="M81" s="162"/>
      <c r="N81" s="162"/>
      <c r="O81" s="18"/>
      <c r="P81" s="162"/>
      <c r="Q81" s="162"/>
    </row>
    <row r="82" spans="1:17" x14ac:dyDescent="0.35">
      <c r="A82" s="255"/>
      <c r="B82" s="255"/>
      <c r="C82" s="1"/>
      <c r="D82" s="18"/>
      <c r="E82" s="18"/>
      <c r="F82" s="269"/>
      <c r="G82" s="18"/>
      <c r="H82" s="18"/>
      <c r="I82" s="18"/>
      <c r="J82" s="268"/>
      <c r="M82" s="162"/>
      <c r="N82" s="162"/>
      <c r="O82" s="18"/>
      <c r="P82" s="162"/>
      <c r="Q82" s="162"/>
    </row>
    <row r="83" spans="1:17" x14ac:dyDescent="0.35">
      <c r="A83" s="255"/>
      <c r="B83" s="255"/>
      <c r="C83" s="1"/>
      <c r="D83" s="18"/>
      <c r="E83" s="18"/>
      <c r="F83" s="269"/>
      <c r="G83" s="18"/>
      <c r="H83" s="18"/>
      <c r="I83" s="18"/>
      <c r="J83" s="268"/>
      <c r="M83" s="162"/>
      <c r="N83" s="162"/>
      <c r="O83" s="18"/>
      <c r="P83" s="162"/>
      <c r="Q83" s="162"/>
    </row>
    <row r="84" spans="1:17" x14ac:dyDescent="0.35">
      <c r="A84" s="255"/>
      <c r="B84" s="255"/>
      <c r="C84" s="1"/>
      <c r="D84" s="18"/>
      <c r="E84" s="18"/>
      <c r="F84" s="269"/>
      <c r="G84" s="18"/>
      <c r="H84" s="18"/>
      <c r="I84" s="18"/>
      <c r="J84" s="268"/>
      <c r="M84" s="162"/>
      <c r="N84" s="162"/>
      <c r="O84" s="18"/>
      <c r="P84" s="162"/>
      <c r="Q84" s="162"/>
    </row>
    <row r="85" spans="1:17" x14ac:dyDescent="0.35">
      <c r="A85" s="255"/>
      <c r="B85" s="255"/>
      <c r="C85" s="1"/>
      <c r="D85" s="18"/>
      <c r="E85" s="18"/>
      <c r="F85" s="269"/>
      <c r="G85" s="18"/>
      <c r="H85" s="18"/>
      <c r="I85" s="18"/>
      <c r="J85" s="268"/>
      <c r="M85" s="162"/>
      <c r="N85" s="162"/>
      <c r="O85" s="18"/>
      <c r="P85" s="162"/>
      <c r="Q85" s="162"/>
    </row>
    <row r="86" spans="1:17" x14ac:dyDescent="0.35">
      <c r="A86" s="255"/>
      <c r="B86" s="255"/>
      <c r="C86" s="1"/>
      <c r="D86" s="18"/>
      <c r="E86" s="18"/>
      <c r="F86" s="269"/>
      <c r="G86" s="18"/>
      <c r="H86" s="18"/>
      <c r="I86" s="18"/>
      <c r="J86" s="268"/>
      <c r="M86" s="162"/>
      <c r="N86" s="162"/>
      <c r="O86" s="18"/>
      <c r="P86" s="162"/>
      <c r="Q86" s="162"/>
    </row>
    <row r="87" spans="1:17" x14ac:dyDescent="0.35">
      <c r="A87" s="255"/>
      <c r="B87" s="255"/>
      <c r="C87" s="1"/>
      <c r="D87" s="18"/>
      <c r="E87" s="18"/>
      <c r="F87" s="269"/>
      <c r="G87" s="18"/>
      <c r="H87" s="18"/>
      <c r="I87" s="18"/>
      <c r="J87" s="268"/>
      <c r="M87" s="162"/>
      <c r="N87" s="162"/>
      <c r="O87" s="18"/>
      <c r="P87" s="162"/>
      <c r="Q87" s="162"/>
    </row>
    <row r="88" spans="1:17" x14ac:dyDescent="0.35">
      <c r="A88" s="255"/>
      <c r="B88" s="255"/>
      <c r="D88" s="18"/>
      <c r="E88" s="18"/>
      <c r="F88" s="269"/>
      <c r="G88" s="18"/>
      <c r="H88" s="18"/>
      <c r="I88" s="18"/>
      <c r="J88" s="268"/>
      <c r="M88" s="162"/>
      <c r="N88" s="162"/>
      <c r="O88" s="18"/>
      <c r="P88" s="162"/>
      <c r="Q88" s="162"/>
    </row>
    <row r="89" spans="1:17" x14ac:dyDescent="0.35">
      <c r="A89" s="255"/>
      <c r="B89" s="255"/>
      <c r="D89" s="18"/>
      <c r="E89" s="18"/>
      <c r="F89" s="269"/>
      <c r="G89" s="18"/>
      <c r="H89" s="18"/>
      <c r="I89" s="18"/>
      <c r="J89" s="268"/>
      <c r="M89" s="162"/>
      <c r="N89" s="162"/>
      <c r="O89" s="18"/>
      <c r="P89" s="162"/>
      <c r="Q89" s="162"/>
    </row>
    <row r="90" spans="1:17" x14ac:dyDescent="0.35">
      <c r="A90" s="255"/>
      <c r="B90" s="255"/>
      <c r="D90" s="18"/>
      <c r="E90" s="18"/>
      <c r="F90" s="269"/>
      <c r="G90" s="18"/>
      <c r="H90" s="18"/>
      <c r="I90" s="18"/>
      <c r="J90" s="268"/>
      <c r="M90" s="162"/>
      <c r="N90" s="162"/>
      <c r="O90" s="18"/>
      <c r="P90" s="162"/>
      <c r="Q90" s="162"/>
    </row>
    <row r="91" spans="1:17" x14ac:dyDescent="0.35">
      <c r="A91" s="255"/>
      <c r="B91" s="255"/>
      <c r="D91" s="18"/>
      <c r="E91" s="18"/>
      <c r="F91" s="269"/>
      <c r="G91" s="18"/>
      <c r="H91" s="18"/>
      <c r="I91" s="18"/>
      <c r="J91" s="268"/>
      <c r="M91" s="162"/>
      <c r="N91" s="162"/>
      <c r="O91" s="18"/>
      <c r="P91" s="162"/>
      <c r="Q91" s="162"/>
    </row>
    <row r="92" spans="1:17" x14ac:dyDescent="0.35">
      <c r="A92" s="255"/>
      <c r="B92" s="255"/>
      <c r="D92" s="18"/>
      <c r="E92" s="18"/>
      <c r="F92" s="269"/>
      <c r="G92" s="18"/>
      <c r="H92" s="18"/>
      <c r="I92" s="18"/>
      <c r="J92" s="268"/>
      <c r="M92" s="162"/>
      <c r="N92" s="162"/>
      <c r="O92" s="18"/>
      <c r="P92" s="162"/>
      <c r="Q92" s="162"/>
    </row>
    <row r="93" spans="1:17" x14ac:dyDescent="0.35">
      <c r="A93" s="255"/>
      <c r="B93" s="255"/>
      <c r="D93" s="18"/>
      <c r="E93" s="18"/>
      <c r="F93" s="269"/>
      <c r="G93" s="18"/>
      <c r="H93" s="18"/>
      <c r="I93" s="18"/>
      <c r="J93" s="268"/>
      <c r="M93" s="162"/>
      <c r="N93" s="162"/>
      <c r="O93" s="18"/>
      <c r="P93" s="162"/>
      <c r="Q93" s="162"/>
    </row>
    <row r="94" spans="1:17" x14ac:dyDescent="0.35">
      <c r="A94" s="255"/>
      <c r="B94" s="255"/>
      <c r="D94" s="18"/>
      <c r="E94" s="18"/>
      <c r="F94" s="269"/>
      <c r="G94" s="18"/>
      <c r="H94" s="18"/>
      <c r="I94" s="18"/>
      <c r="J94" s="268"/>
      <c r="M94" s="162"/>
      <c r="N94" s="162"/>
      <c r="O94" s="18"/>
      <c r="P94" s="162"/>
      <c r="Q94" s="162"/>
    </row>
    <row r="95" spans="1:17" x14ac:dyDescent="0.35">
      <c r="A95" s="255"/>
      <c r="B95" s="255"/>
      <c r="D95" s="18"/>
      <c r="E95" s="18"/>
      <c r="F95" s="269"/>
      <c r="G95" s="18"/>
      <c r="H95" s="18"/>
      <c r="I95" s="18"/>
      <c r="J95" s="268"/>
      <c r="M95" s="162"/>
      <c r="N95" s="162"/>
      <c r="O95" s="18"/>
      <c r="P95" s="162"/>
      <c r="Q95" s="162"/>
    </row>
    <row r="96" spans="1:17" x14ac:dyDescent="0.35">
      <c r="A96" s="255"/>
      <c r="B96" s="255"/>
      <c r="D96" s="18"/>
      <c r="E96" s="18"/>
      <c r="F96" s="269"/>
      <c r="G96" s="18"/>
      <c r="H96" s="18"/>
      <c r="I96" s="18"/>
      <c r="J96" s="268"/>
      <c r="M96" s="162"/>
      <c r="N96" s="162"/>
      <c r="O96" s="18"/>
      <c r="P96" s="162"/>
      <c r="Q96" s="162"/>
    </row>
    <row r="97" spans="1:17" x14ac:dyDescent="0.35">
      <c r="A97" s="255"/>
      <c r="B97" s="255"/>
      <c r="D97" s="18"/>
      <c r="E97" s="18"/>
      <c r="F97" s="269"/>
      <c r="G97" s="18"/>
      <c r="H97" s="18"/>
      <c r="I97" s="18"/>
      <c r="J97" s="268"/>
      <c r="M97" s="162"/>
      <c r="N97" s="162"/>
      <c r="O97" s="18"/>
      <c r="P97" s="162"/>
      <c r="Q97" s="162"/>
    </row>
    <row r="98" spans="1:17" x14ac:dyDescent="0.35">
      <c r="A98" s="255"/>
      <c r="B98" s="255"/>
      <c r="D98" s="18"/>
      <c r="E98" s="18"/>
      <c r="F98" s="269"/>
      <c r="G98" s="18"/>
      <c r="H98" s="18"/>
      <c r="I98" s="18"/>
      <c r="J98" s="268"/>
      <c r="M98" s="162"/>
      <c r="N98" s="162"/>
      <c r="O98" s="18"/>
      <c r="P98" s="162"/>
      <c r="Q98" s="162"/>
    </row>
    <row r="99" spans="1:17" x14ac:dyDescent="0.35">
      <c r="A99" s="255"/>
      <c r="B99" s="255"/>
      <c r="D99" s="18"/>
      <c r="E99" s="18"/>
      <c r="F99" s="269"/>
      <c r="G99" s="18"/>
      <c r="H99" s="18"/>
      <c r="I99" s="18"/>
      <c r="J99" s="268"/>
      <c r="M99" s="162"/>
      <c r="N99" s="162"/>
      <c r="O99" s="18"/>
      <c r="P99" s="162"/>
      <c r="Q99" s="162"/>
    </row>
    <row r="100" spans="1:17" x14ac:dyDescent="0.35">
      <c r="A100" s="255"/>
      <c r="B100" s="255"/>
      <c r="D100" s="18"/>
      <c r="E100" s="18"/>
      <c r="F100" s="269"/>
      <c r="G100" s="18"/>
      <c r="H100" s="18"/>
      <c r="I100" s="18"/>
      <c r="J100" s="268"/>
      <c r="M100" s="162"/>
      <c r="N100" s="162"/>
      <c r="O100" s="18"/>
      <c r="P100" s="162"/>
      <c r="Q100" s="162"/>
    </row>
    <row r="101" spans="1:17" x14ac:dyDescent="0.35">
      <c r="A101" s="255"/>
      <c r="B101" s="255"/>
      <c r="D101" s="18"/>
      <c r="E101" s="18"/>
      <c r="F101" s="269"/>
      <c r="G101" s="18"/>
      <c r="H101" s="18"/>
      <c r="I101" s="18"/>
      <c r="J101" s="268"/>
      <c r="M101" s="162"/>
      <c r="N101" s="162"/>
      <c r="O101" s="18"/>
      <c r="P101" s="162"/>
      <c r="Q101" s="162"/>
    </row>
    <row r="102" spans="1:17" x14ac:dyDescent="0.35">
      <c r="A102" s="255"/>
      <c r="B102" s="255"/>
      <c r="D102" s="18"/>
      <c r="E102" s="18"/>
      <c r="F102" s="269"/>
      <c r="G102" s="18"/>
      <c r="H102" s="18"/>
      <c r="I102" s="18"/>
      <c r="J102" s="268"/>
      <c r="M102" s="162"/>
      <c r="N102" s="162"/>
      <c r="O102" s="18"/>
      <c r="P102" s="162"/>
      <c r="Q102" s="162"/>
    </row>
    <row r="103" spans="1:17" x14ac:dyDescent="0.35">
      <c r="A103" s="255"/>
      <c r="B103" s="255"/>
      <c r="D103" s="18"/>
      <c r="E103" s="18"/>
      <c r="F103" s="269"/>
      <c r="G103" s="18"/>
      <c r="H103" s="18"/>
      <c r="I103" s="18"/>
      <c r="J103" s="268"/>
      <c r="M103" s="162"/>
      <c r="N103" s="162"/>
      <c r="O103" s="18"/>
      <c r="P103" s="162"/>
      <c r="Q103" s="162"/>
    </row>
    <row r="104" spans="1:17" x14ac:dyDescent="0.35">
      <c r="A104" s="255"/>
      <c r="B104" s="255"/>
      <c r="D104" s="18"/>
      <c r="E104" s="18"/>
      <c r="F104" s="269"/>
      <c r="G104" s="18"/>
      <c r="H104" s="18"/>
      <c r="I104" s="18"/>
      <c r="J104" s="268"/>
      <c r="M104" s="162"/>
      <c r="N104" s="162"/>
      <c r="O104" s="18"/>
      <c r="P104" s="162"/>
      <c r="Q104" s="162"/>
    </row>
    <row r="105" spans="1:17" x14ac:dyDescent="0.35">
      <c r="A105" s="255"/>
      <c r="B105" s="255"/>
      <c r="D105" s="18"/>
      <c r="E105" s="18"/>
      <c r="F105" s="269"/>
      <c r="G105" s="18"/>
      <c r="H105" s="18"/>
      <c r="I105" s="18"/>
      <c r="J105" s="268"/>
      <c r="M105" s="162"/>
      <c r="N105" s="162"/>
      <c r="O105" s="18"/>
      <c r="P105" s="162"/>
      <c r="Q105" s="162"/>
    </row>
    <row r="106" spans="1:17" x14ac:dyDescent="0.35">
      <c r="A106" s="255"/>
      <c r="B106" s="255"/>
      <c r="D106" s="18"/>
      <c r="E106" s="18"/>
      <c r="F106" s="269"/>
      <c r="G106" s="18"/>
      <c r="H106" s="18"/>
      <c r="I106" s="18"/>
      <c r="J106" s="268"/>
      <c r="M106" s="162"/>
      <c r="N106" s="162"/>
      <c r="O106" s="18"/>
      <c r="P106" s="162"/>
      <c r="Q106" s="162"/>
    </row>
    <row r="107" spans="1:17" x14ac:dyDescent="0.35">
      <c r="A107" s="255"/>
      <c r="B107" s="255"/>
      <c r="D107" s="18"/>
      <c r="E107" s="18"/>
      <c r="F107" s="269"/>
      <c r="G107" s="18"/>
      <c r="H107" s="18"/>
      <c r="I107" s="18"/>
      <c r="J107" s="268"/>
      <c r="M107" s="162"/>
      <c r="N107" s="162"/>
      <c r="O107" s="18"/>
      <c r="P107" s="162"/>
      <c r="Q107" s="162"/>
    </row>
    <row r="108" spans="1:17" x14ac:dyDescent="0.35">
      <c r="A108" s="255"/>
      <c r="B108" s="255"/>
      <c r="D108" s="18"/>
      <c r="E108" s="18"/>
      <c r="F108" s="269"/>
      <c r="G108" s="18"/>
      <c r="H108" s="18"/>
      <c r="I108" s="18"/>
      <c r="J108" s="268"/>
      <c r="M108" s="162"/>
      <c r="N108" s="162"/>
      <c r="O108" s="18"/>
      <c r="P108" s="162"/>
      <c r="Q108" s="162"/>
    </row>
    <row r="109" spans="1:17" x14ac:dyDescent="0.35">
      <c r="A109" s="255"/>
      <c r="B109" s="255"/>
      <c r="D109" s="18"/>
      <c r="E109" s="18"/>
      <c r="F109" s="269"/>
      <c r="G109" s="18"/>
      <c r="H109" s="18"/>
      <c r="I109" s="18"/>
      <c r="J109" s="268"/>
      <c r="M109" s="162"/>
      <c r="N109" s="162"/>
      <c r="O109" s="18"/>
      <c r="P109" s="162"/>
      <c r="Q109" s="162"/>
    </row>
    <row r="110" spans="1:17" x14ac:dyDescent="0.35">
      <c r="A110" s="255"/>
      <c r="B110" s="255"/>
      <c r="D110" s="18"/>
      <c r="E110" s="18"/>
      <c r="F110" s="269"/>
      <c r="G110" s="18"/>
      <c r="H110" s="18"/>
      <c r="I110" s="18"/>
      <c r="J110" s="268"/>
      <c r="M110" s="162"/>
      <c r="N110" s="162"/>
      <c r="O110" s="18"/>
      <c r="P110" s="162"/>
      <c r="Q110" s="162"/>
    </row>
    <row r="111" spans="1:17" x14ac:dyDescent="0.35">
      <c r="A111" s="255"/>
      <c r="B111" s="255"/>
      <c r="D111" s="18"/>
      <c r="E111" s="18"/>
      <c r="F111" s="269"/>
      <c r="G111" s="18"/>
      <c r="H111" s="18"/>
      <c r="I111" s="18"/>
      <c r="J111" s="268"/>
      <c r="M111" s="162"/>
      <c r="N111" s="162"/>
      <c r="O111" s="18"/>
      <c r="P111" s="162"/>
      <c r="Q111" s="162"/>
    </row>
    <row r="112" spans="1:17" x14ac:dyDescent="0.35">
      <c r="A112" s="255"/>
      <c r="B112" s="255"/>
      <c r="D112" s="18"/>
      <c r="E112" s="18"/>
      <c r="F112" s="269"/>
      <c r="G112" s="18"/>
      <c r="H112" s="18"/>
      <c r="I112" s="18"/>
      <c r="J112" s="268"/>
      <c r="M112" s="162"/>
      <c r="N112" s="162"/>
      <c r="O112" s="18"/>
      <c r="P112" s="162"/>
      <c r="Q112" s="162"/>
    </row>
    <row r="113" spans="1:17" x14ac:dyDescent="0.35">
      <c r="A113" s="255"/>
      <c r="B113" s="255"/>
      <c r="D113" s="18"/>
      <c r="E113" s="18"/>
      <c r="F113" s="269"/>
      <c r="G113" s="18"/>
      <c r="H113" s="18"/>
      <c r="I113" s="18"/>
      <c r="J113" s="268"/>
      <c r="M113" s="162"/>
      <c r="N113" s="162"/>
      <c r="O113" s="18"/>
      <c r="P113" s="162"/>
      <c r="Q113" s="162"/>
    </row>
    <row r="114" spans="1:17" x14ac:dyDescent="0.35">
      <c r="A114" s="255"/>
      <c r="B114" s="255"/>
      <c r="D114" s="18"/>
      <c r="E114" s="18"/>
      <c r="F114" s="269"/>
      <c r="G114" s="18"/>
      <c r="H114" s="18"/>
      <c r="I114" s="18"/>
      <c r="J114" s="268"/>
      <c r="M114" s="162"/>
      <c r="N114" s="162"/>
      <c r="O114" s="18"/>
      <c r="P114" s="162"/>
      <c r="Q114" s="162"/>
    </row>
    <row r="115" spans="1:17" x14ac:dyDescent="0.35">
      <c r="A115" s="255"/>
      <c r="B115" s="255"/>
      <c r="D115" s="18"/>
      <c r="E115" s="18"/>
      <c r="F115" s="269"/>
      <c r="G115" s="18"/>
      <c r="H115" s="18"/>
      <c r="I115" s="18"/>
      <c r="J115" s="268"/>
      <c r="M115" s="162"/>
      <c r="N115" s="162"/>
      <c r="O115" s="18"/>
      <c r="P115" s="162"/>
      <c r="Q115" s="162"/>
    </row>
    <row r="116" spans="1:17" x14ac:dyDescent="0.35">
      <c r="A116" s="255"/>
      <c r="B116" s="255"/>
      <c r="D116" s="18"/>
      <c r="E116" s="18"/>
      <c r="F116" s="269"/>
      <c r="G116" s="18"/>
      <c r="H116" s="18"/>
      <c r="I116" s="18"/>
      <c r="J116" s="268"/>
      <c r="M116" s="162"/>
      <c r="N116" s="162"/>
      <c r="O116" s="18"/>
      <c r="P116" s="162"/>
      <c r="Q116" s="162"/>
    </row>
    <row r="117" spans="1:17" x14ac:dyDescent="0.35">
      <c r="A117" s="255"/>
      <c r="B117" s="255"/>
      <c r="D117" s="18"/>
      <c r="E117" s="18"/>
      <c r="F117" s="269"/>
      <c r="G117" s="18"/>
      <c r="H117" s="18"/>
      <c r="I117" s="18"/>
      <c r="J117" s="268"/>
      <c r="M117" s="162"/>
      <c r="N117" s="162"/>
      <c r="O117" s="18"/>
      <c r="P117" s="162"/>
      <c r="Q117" s="162"/>
    </row>
    <row r="118" spans="1:17" x14ac:dyDescent="0.35">
      <c r="A118" s="255"/>
      <c r="B118" s="255"/>
      <c r="D118" s="18"/>
      <c r="E118" s="18"/>
      <c r="F118" s="269"/>
      <c r="G118" s="18"/>
      <c r="H118" s="18"/>
      <c r="I118" s="18"/>
      <c r="J118" s="268"/>
      <c r="M118" s="162"/>
      <c r="N118" s="162"/>
      <c r="O118" s="18"/>
      <c r="P118" s="162"/>
      <c r="Q118" s="162"/>
    </row>
    <row r="119" spans="1:17" x14ac:dyDescent="0.35">
      <c r="A119" s="255"/>
      <c r="B119" s="255"/>
      <c r="D119" s="18"/>
      <c r="E119" s="18"/>
      <c r="F119" s="269"/>
      <c r="G119" s="18"/>
      <c r="H119" s="18"/>
      <c r="I119" s="18"/>
      <c r="J119" s="268"/>
      <c r="M119" s="162"/>
      <c r="N119" s="162"/>
      <c r="O119" s="18"/>
      <c r="P119" s="162"/>
      <c r="Q119" s="162"/>
    </row>
    <row r="120" spans="1:17" x14ac:dyDescent="0.35">
      <c r="A120" s="255"/>
      <c r="B120" s="255"/>
      <c r="D120" s="18"/>
      <c r="E120" s="18"/>
      <c r="F120" s="269"/>
      <c r="G120" s="18"/>
      <c r="H120" s="18"/>
      <c r="I120" s="18"/>
      <c r="J120" s="268"/>
      <c r="M120" s="162"/>
      <c r="N120" s="162"/>
      <c r="O120" s="18"/>
      <c r="P120" s="162"/>
      <c r="Q120" s="162"/>
    </row>
    <row r="121" spans="1:17" x14ac:dyDescent="0.35">
      <c r="A121" s="255"/>
      <c r="B121" s="255"/>
      <c r="D121" s="18"/>
      <c r="E121" s="18"/>
      <c r="F121" s="269"/>
      <c r="G121" s="18"/>
      <c r="H121" s="18"/>
      <c r="I121" s="18"/>
      <c r="J121" s="268"/>
      <c r="M121" s="162"/>
      <c r="N121" s="162"/>
      <c r="O121" s="18"/>
      <c r="P121" s="162"/>
      <c r="Q121" s="162"/>
    </row>
    <row r="122" spans="1:17" x14ac:dyDescent="0.35">
      <c r="A122" s="255"/>
      <c r="B122" s="255"/>
      <c r="D122" s="18"/>
      <c r="E122" s="18"/>
      <c r="F122" s="269"/>
      <c r="G122" s="18"/>
      <c r="H122" s="18"/>
      <c r="I122" s="18"/>
      <c r="J122" s="268"/>
      <c r="M122" s="162"/>
      <c r="N122" s="162"/>
      <c r="O122" s="18"/>
      <c r="P122" s="162"/>
      <c r="Q122" s="162"/>
    </row>
    <row r="123" spans="1:17" x14ac:dyDescent="0.35">
      <c r="A123" s="255"/>
      <c r="B123" s="255"/>
      <c r="D123" s="18"/>
      <c r="E123" s="18"/>
      <c r="F123" s="269"/>
      <c r="G123" s="18"/>
      <c r="H123" s="18"/>
      <c r="I123" s="18"/>
      <c r="J123" s="268"/>
      <c r="M123" s="162"/>
      <c r="N123" s="162"/>
      <c r="O123" s="18"/>
      <c r="P123" s="162"/>
      <c r="Q123" s="162"/>
    </row>
    <row r="124" spans="1:17" x14ac:dyDescent="0.35">
      <c r="A124" s="255"/>
      <c r="B124" s="255"/>
      <c r="D124" s="18"/>
      <c r="E124" s="18"/>
      <c r="F124" s="269"/>
      <c r="G124" s="18"/>
      <c r="H124" s="18"/>
      <c r="I124" s="18"/>
      <c r="J124" s="268"/>
      <c r="M124" s="162"/>
      <c r="N124" s="162"/>
      <c r="O124" s="18"/>
      <c r="P124" s="162"/>
      <c r="Q124" s="162"/>
    </row>
    <row r="125" spans="1:17" x14ac:dyDescent="0.35">
      <c r="A125" s="255"/>
      <c r="B125" s="255"/>
      <c r="D125" s="18"/>
      <c r="E125" s="18"/>
      <c r="F125" s="269"/>
      <c r="G125" s="18"/>
      <c r="H125" s="18"/>
      <c r="I125" s="18"/>
      <c r="J125" s="268"/>
      <c r="M125" s="162"/>
      <c r="N125" s="162"/>
      <c r="O125" s="18"/>
      <c r="P125" s="162"/>
      <c r="Q125" s="162"/>
    </row>
    <row r="126" spans="1:17" x14ac:dyDescent="0.35">
      <c r="A126" s="255"/>
      <c r="B126" s="255"/>
      <c r="D126" s="18"/>
      <c r="E126" s="18"/>
      <c r="F126" s="269"/>
      <c r="G126" s="18"/>
      <c r="H126" s="18"/>
      <c r="I126" s="18"/>
      <c r="J126" s="268"/>
      <c r="M126" s="162"/>
      <c r="N126" s="162"/>
      <c r="O126" s="18"/>
      <c r="P126" s="162"/>
      <c r="Q126" s="162"/>
    </row>
    <row r="127" spans="1:17" x14ac:dyDescent="0.35">
      <c r="A127" s="255"/>
      <c r="B127" s="255"/>
      <c r="D127" s="18"/>
      <c r="E127" s="18"/>
      <c r="F127" s="269"/>
      <c r="G127" s="18"/>
      <c r="H127" s="18"/>
      <c r="I127" s="18"/>
      <c r="J127" s="268"/>
      <c r="M127" s="162"/>
      <c r="N127" s="162"/>
      <c r="O127" s="18"/>
      <c r="P127" s="162"/>
      <c r="Q127" s="162"/>
    </row>
    <row r="128" spans="1:17" x14ac:dyDescent="0.35">
      <c r="A128" s="255"/>
      <c r="B128" s="255"/>
      <c r="D128" s="18"/>
      <c r="E128" s="18"/>
      <c r="F128" s="269"/>
      <c r="G128" s="18"/>
      <c r="H128" s="18"/>
      <c r="I128" s="18"/>
      <c r="J128" s="268"/>
      <c r="M128" s="162"/>
      <c r="N128" s="162"/>
      <c r="O128" s="18"/>
      <c r="P128" s="162"/>
      <c r="Q128" s="162"/>
    </row>
    <row r="129" spans="1:17" x14ac:dyDescent="0.35">
      <c r="A129" s="255"/>
      <c r="B129" s="255"/>
      <c r="D129" s="18"/>
      <c r="E129" s="18"/>
      <c r="F129" s="269"/>
      <c r="G129" s="18"/>
      <c r="H129" s="18"/>
      <c r="I129" s="18"/>
      <c r="J129" s="268"/>
      <c r="M129" s="162"/>
      <c r="N129" s="162"/>
      <c r="O129" s="18"/>
      <c r="P129" s="162"/>
      <c r="Q129" s="162"/>
    </row>
    <row r="130" spans="1:17" x14ac:dyDescent="0.35">
      <c r="A130" s="255"/>
      <c r="B130" s="255"/>
      <c r="D130" s="18"/>
      <c r="E130" s="18"/>
      <c r="F130" s="269"/>
      <c r="G130" s="18"/>
      <c r="H130" s="18"/>
      <c r="I130" s="18"/>
      <c r="J130" s="268"/>
      <c r="M130" s="162"/>
      <c r="N130" s="162"/>
      <c r="O130" s="18"/>
      <c r="P130" s="162"/>
      <c r="Q130" s="162"/>
    </row>
    <row r="131" spans="1:17" x14ac:dyDescent="0.35">
      <c r="A131" s="255"/>
      <c r="B131" s="255"/>
      <c r="D131" s="18"/>
      <c r="E131" s="18"/>
      <c r="F131" s="269"/>
      <c r="G131" s="18"/>
      <c r="H131" s="18"/>
      <c r="I131" s="18"/>
      <c r="J131" s="268"/>
      <c r="M131" s="162"/>
      <c r="N131" s="162"/>
      <c r="O131" s="18"/>
      <c r="P131" s="162"/>
      <c r="Q131" s="162"/>
    </row>
    <row r="132" spans="1:17" x14ac:dyDescent="0.35">
      <c r="A132" s="255"/>
      <c r="B132" s="255"/>
      <c r="D132" s="18"/>
      <c r="E132" s="18"/>
      <c r="F132" s="269"/>
      <c r="G132" s="18"/>
      <c r="H132" s="18"/>
      <c r="I132" s="18"/>
      <c r="J132" s="268"/>
      <c r="M132" s="162"/>
      <c r="N132" s="162"/>
      <c r="O132" s="18"/>
      <c r="P132" s="162"/>
      <c r="Q132" s="162"/>
    </row>
    <row r="133" spans="1:17" x14ac:dyDescent="0.35">
      <c r="A133" s="255"/>
      <c r="B133" s="255"/>
      <c r="D133" s="18"/>
      <c r="E133" s="18"/>
      <c r="F133" s="269"/>
      <c r="G133" s="18"/>
      <c r="H133" s="18"/>
      <c r="I133" s="18"/>
      <c r="J133" s="268"/>
      <c r="M133" s="162"/>
      <c r="N133" s="162"/>
      <c r="O133" s="18"/>
      <c r="P133" s="162"/>
      <c r="Q133" s="162"/>
    </row>
    <row r="134" spans="1:17" x14ac:dyDescent="0.35">
      <c r="A134" s="255"/>
      <c r="B134" s="255"/>
      <c r="D134" s="18"/>
      <c r="E134" s="18"/>
      <c r="F134" s="269"/>
      <c r="G134" s="18"/>
      <c r="H134" s="18"/>
      <c r="I134" s="18"/>
      <c r="J134" s="268"/>
      <c r="M134" s="162"/>
      <c r="N134" s="162"/>
      <c r="O134" s="18"/>
      <c r="P134" s="162"/>
      <c r="Q134" s="162"/>
    </row>
    <row r="135" spans="1:17" x14ac:dyDescent="0.35">
      <c r="A135" s="255"/>
      <c r="B135" s="255"/>
      <c r="D135" s="18"/>
      <c r="E135" s="18"/>
      <c r="F135" s="269"/>
      <c r="G135" s="18"/>
      <c r="H135" s="18"/>
      <c r="I135" s="18"/>
      <c r="J135" s="268"/>
      <c r="M135" s="162"/>
      <c r="N135" s="162"/>
      <c r="O135" s="18"/>
      <c r="P135" s="162"/>
      <c r="Q135" s="162"/>
    </row>
    <row r="136" spans="1:17" x14ac:dyDescent="0.35">
      <c r="A136" s="255"/>
      <c r="B136" s="255"/>
      <c r="C136" s="1"/>
      <c r="D136" s="18"/>
      <c r="E136" s="18"/>
      <c r="F136" s="269"/>
      <c r="G136" s="18"/>
      <c r="H136" s="18"/>
      <c r="I136" s="18"/>
      <c r="J136" s="268"/>
      <c r="M136" s="162"/>
      <c r="N136" s="162"/>
      <c r="O136" s="18"/>
      <c r="P136" s="162"/>
      <c r="Q136" s="162"/>
    </row>
    <row r="137" spans="1:17" x14ac:dyDescent="0.35">
      <c r="A137" s="255"/>
      <c r="B137" s="255"/>
      <c r="C137" s="1"/>
      <c r="D137" s="18"/>
      <c r="E137" s="18"/>
      <c r="F137" s="269"/>
      <c r="G137" s="18"/>
      <c r="H137" s="18"/>
      <c r="I137" s="18"/>
      <c r="J137" s="268"/>
      <c r="M137" s="162"/>
      <c r="N137" s="162"/>
      <c r="O137" s="18"/>
      <c r="P137" s="162"/>
      <c r="Q137" s="162"/>
    </row>
    <row r="138" spans="1:17" x14ac:dyDescent="0.35">
      <c r="A138" s="255"/>
      <c r="B138" s="255"/>
      <c r="C138" s="1"/>
      <c r="D138" s="18"/>
      <c r="E138" s="18"/>
      <c r="F138" s="269"/>
      <c r="G138" s="18"/>
      <c r="H138" s="18"/>
      <c r="I138" s="18"/>
      <c r="J138" s="268"/>
      <c r="M138" s="162"/>
      <c r="N138" s="162"/>
      <c r="O138" s="18"/>
      <c r="P138" s="162"/>
      <c r="Q138" s="162"/>
    </row>
    <row r="139" spans="1:17" x14ac:dyDescent="0.35">
      <c r="A139" s="255"/>
      <c r="B139" s="255"/>
      <c r="C139" s="1"/>
      <c r="D139" s="18"/>
      <c r="E139" s="18"/>
      <c r="F139" s="269"/>
      <c r="G139" s="18"/>
      <c r="H139" s="18"/>
      <c r="I139" s="18"/>
      <c r="J139" s="268"/>
      <c r="M139" s="162"/>
      <c r="N139" s="162"/>
      <c r="O139" s="18"/>
      <c r="P139" s="162"/>
      <c r="Q139" s="162"/>
    </row>
    <row r="140" spans="1:17" x14ac:dyDescent="0.35">
      <c r="A140" s="255"/>
      <c r="B140" s="255"/>
      <c r="C140" s="1"/>
      <c r="D140" s="18"/>
      <c r="E140" s="18"/>
      <c r="F140" s="269"/>
      <c r="G140" s="18"/>
      <c r="H140" s="18"/>
      <c r="I140" s="18"/>
      <c r="J140" s="268"/>
      <c r="M140" s="162"/>
      <c r="N140" s="162"/>
      <c r="O140" s="18"/>
      <c r="P140" s="162"/>
      <c r="Q140" s="162"/>
    </row>
    <row r="141" spans="1:17" x14ac:dyDescent="0.35">
      <c r="A141" s="255"/>
      <c r="B141" s="255"/>
      <c r="C141" s="1"/>
      <c r="D141" s="18"/>
      <c r="E141" s="18"/>
      <c r="F141" s="269"/>
      <c r="G141" s="18"/>
      <c r="H141" s="18"/>
      <c r="I141" s="18"/>
      <c r="J141" s="268"/>
      <c r="M141" s="162"/>
      <c r="N141" s="162"/>
      <c r="O141" s="18"/>
      <c r="P141" s="162"/>
      <c r="Q141" s="162"/>
    </row>
    <row r="142" spans="1:17" x14ac:dyDescent="0.35">
      <c r="A142" s="255"/>
      <c r="B142" s="255"/>
      <c r="C142" s="1"/>
      <c r="D142" s="18"/>
      <c r="E142" s="18"/>
      <c r="F142" s="269"/>
      <c r="G142" s="18"/>
      <c r="H142" s="18"/>
      <c r="I142" s="18"/>
      <c r="J142" s="268"/>
      <c r="M142" s="162"/>
      <c r="N142" s="162"/>
      <c r="O142" s="18"/>
      <c r="P142" s="162"/>
      <c r="Q142" s="162"/>
    </row>
    <row r="143" spans="1:17" x14ac:dyDescent="0.35">
      <c r="A143" s="255"/>
      <c r="B143" s="255"/>
      <c r="C143" s="1"/>
      <c r="D143" s="18"/>
      <c r="E143" s="18"/>
      <c r="F143" s="269"/>
      <c r="G143" s="18"/>
      <c r="H143" s="18"/>
      <c r="I143" s="18"/>
      <c r="J143" s="268"/>
      <c r="M143" s="162"/>
      <c r="N143" s="162"/>
      <c r="O143" s="18"/>
      <c r="P143" s="162"/>
      <c r="Q143" s="162"/>
    </row>
    <row r="144" spans="1:17" x14ac:dyDescent="0.35">
      <c r="A144" s="255"/>
      <c r="B144" s="255"/>
      <c r="C144" s="1"/>
      <c r="D144" s="18"/>
      <c r="E144" s="18"/>
      <c r="F144" s="269"/>
      <c r="G144" s="18"/>
      <c r="H144" s="18"/>
      <c r="I144" s="18"/>
      <c r="J144" s="268"/>
      <c r="M144" s="162"/>
      <c r="N144" s="162"/>
      <c r="O144" s="18"/>
      <c r="P144" s="162"/>
      <c r="Q144" s="162"/>
    </row>
    <row r="145" spans="1:17" x14ac:dyDescent="0.35">
      <c r="A145" s="255"/>
      <c r="B145" s="255"/>
      <c r="C145" s="1"/>
      <c r="D145" s="18"/>
      <c r="E145" s="18"/>
      <c r="F145" s="269"/>
      <c r="G145" s="18"/>
      <c r="H145" s="18"/>
      <c r="I145" s="18"/>
      <c r="J145" s="268"/>
      <c r="M145" s="162"/>
      <c r="N145" s="162"/>
      <c r="O145" s="18"/>
      <c r="P145" s="162"/>
      <c r="Q145" s="162"/>
    </row>
    <row r="146" spans="1:17" x14ac:dyDescent="0.35">
      <c r="A146" s="255"/>
      <c r="B146" s="255"/>
      <c r="C146" s="1"/>
      <c r="D146" s="18"/>
      <c r="E146" s="18"/>
      <c r="F146" s="269"/>
      <c r="G146" s="18"/>
      <c r="H146" s="18"/>
      <c r="I146" s="18"/>
      <c r="J146" s="268"/>
      <c r="M146" s="162"/>
      <c r="N146" s="162"/>
      <c r="O146" s="18"/>
      <c r="P146" s="162"/>
      <c r="Q146" s="162"/>
    </row>
    <row r="147" spans="1:17" x14ac:dyDescent="0.35">
      <c r="A147" s="255"/>
      <c r="B147" s="255"/>
      <c r="C147" s="1"/>
      <c r="D147" s="18"/>
      <c r="E147" s="18"/>
      <c r="F147" s="269"/>
      <c r="G147" s="18"/>
      <c r="H147" s="18"/>
      <c r="I147" s="18"/>
      <c r="J147" s="268"/>
      <c r="M147" s="162"/>
      <c r="N147" s="162"/>
      <c r="O147" s="18"/>
      <c r="P147" s="162"/>
      <c r="Q147" s="162"/>
    </row>
    <row r="148" spans="1:17" x14ac:dyDescent="0.35">
      <c r="A148" s="255"/>
      <c r="B148" s="255"/>
      <c r="C148" s="1"/>
      <c r="D148" s="18"/>
      <c r="E148" s="18"/>
      <c r="F148" s="269"/>
      <c r="G148" s="18"/>
      <c r="H148" s="18"/>
      <c r="I148" s="18"/>
      <c r="J148" s="268"/>
      <c r="M148" s="162"/>
      <c r="N148" s="162"/>
      <c r="O148" s="18"/>
      <c r="P148" s="162"/>
      <c r="Q148" s="162"/>
    </row>
    <row r="149" spans="1:17" x14ac:dyDescent="0.35">
      <c r="A149" s="255"/>
      <c r="B149" s="255"/>
      <c r="C149" s="1"/>
      <c r="D149" s="18"/>
      <c r="E149" s="18"/>
      <c r="F149" s="269"/>
      <c r="G149" s="18"/>
      <c r="H149" s="18"/>
      <c r="I149" s="18"/>
      <c r="J149" s="268"/>
      <c r="M149" s="162"/>
      <c r="N149" s="162"/>
      <c r="O149" s="18"/>
      <c r="P149" s="162"/>
      <c r="Q149" s="162"/>
    </row>
    <row r="150" spans="1:17" x14ac:dyDescent="0.35">
      <c r="A150" s="255"/>
      <c r="B150" s="255"/>
      <c r="C150" s="1"/>
      <c r="D150" s="18"/>
      <c r="E150" s="18"/>
      <c r="F150" s="269"/>
      <c r="G150" s="18"/>
      <c r="H150" s="18"/>
      <c r="I150" s="18"/>
      <c r="J150" s="268"/>
      <c r="M150" s="162"/>
      <c r="N150" s="162"/>
      <c r="O150" s="18"/>
      <c r="P150" s="162"/>
      <c r="Q150" s="162"/>
    </row>
    <row r="151" spans="1:17" x14ac:dyDescent="0.35">
      <c r="A151" s="255"/>
      <c r="B151" s="255"/>
      <c r="C151" s="1"/>
      <c r="D151" s="18"/>
      <c r="E151" s="18"/>
      <c r="F151" s="269"/>
      <c r="G151" s="18"/>
      <c r="H151" s="18"/>
      <c r="I151" s="18"/>
      <c r="J151" s="268"/>
      <c r="M151" s="162"/>
      <c r="N151" s="162"/>
      <c r="O151" s="18"/>
      <c r="P151" s="162"/>
      <c r="Q151" s="162"/>
    </row>
    <row r="152" spans="1:17" x14ac:dyDescent="0.35">
      <c r="A152" s="255"/>
      <c r="B152" s="255"/>
      <c r="C152" s="1"/>
      <c r="D152" s="18"/>
      <c r="E152" s="18"/>
      <c r="F152" s="269"/>
      <c r="G152" s="18"/>
      <c r="H152" s="18"/>
      <c r="I152" s="18"/>
      <c r="J152" s="268"/>
      <c r="M152" s="162"/>
      <c r="N152" s="162"/>
      <c r="O152" s="18"/>
      <c r="P152" s="162"/>
      <c r="Q152" s="162"/>
    </row>
    <row r="153" spans="1:17" x14ac:dyDescent="0.35">
      <c r="A153" s="255"/>
      <c r="B153" s="255"/>
      <c r="C153" s="1"/>
      <c r="D153" s="18"/>
      <c r="E153" s="18"/>
      <c r="F153" s="269"/>
      <c r="G153" s="18"/>
      <c r="H153" s="18"/>
      <c r="I153" s="18"/>
      <c r="J153" s="268"/>
      <c r="M153" s="162"/>
      <c r="N153" s="162"/>
      <c r="O153" s="18"/>
      <c r="P153" s="162"/>
      <c r="Q153" s="162"/>
    </row>
    <row r="154" spans="1:17" x14ac:dyDescent="0.35">
      <c r="A154" s="255"/>
      <c r="B154" s="255"/>
      <c r="C154" s="1"/>
      <c r="D154" s="18"/>
      <c r="E154" s="18"/>
      <c r="F154" s="269"/>
      <c r="G154" s="18"/>
      <c r="H154" s="18"/>
      <c r="I154" s="18"/>
      <c r="J154" s="268"/>
      <c r="M154" s="162"/>
      <c r="N154" s="162"/>
      <c r="O154" s="18"/>
      <c r="P154" s="162"/>
      <c r="Q154" s="162"/>
    </row>
    <row r="155" spans="1:17" x14ac:dyDescent="0.35">
      <c r="A155" s="255"/>
      <c r="B155" s="255"/>
      <c r="C155" s="1"/>
      <c r="D155" s="18"/>
      <c r="E155" s="18"/>
      <c r="F155" s="269"/>
      <c r="G155" s="18"/>
      <c r="H155" s="18"/>
      <c r="I155" s="18"/>
      <c r="J155" s="268"/>
      <c r="M155" s="162"/>
      <c r="N155" s="162"/>
      <c r="O155" s="18"/>
      <c r="P155" s="162"/>
      <c r="Q155" s="162"/>
    </row>
    <row r="156" spans="1:17" x14ac:dyDescent="0.35">
      <c r="A156" s="255"/>
      <c r="B156" s="255"/>
      <c r="C156" s="1"/>
      <c r="D156" s="18"/>
      <c r="E156" s="18"/>
      <c r="F156" s="269"/>
      <c r="G156" s="18"/>
      <c r="H156" s="18"/>
      <c r="I156" s="18"/>
      <c r="J156" s="268"/>
      <c r="K156" s="270"/>
      <c r="M156" s="162"/>
      <c r="N156" s="162"/>
      <c r="O156" s="18"/>
      <c r="P156" s="162"/>
      <c r="Q156" s="162"/>
    </row>
    <row r="157" spans="1:17" x14ac:dyDescent="0.35">
      <c r="A157" s="255"/>
      <c r="B157" s="255"/>
      <c r="C157" s="1"/>
      <c r="D157" s="18"/>
      <c r="E157" s="18"/>
      <c r="F157" s="269"/>
      <c r="G157" s="18"/>
      <c r="H157" s="18"/>
      <c r="I157" s="18"/>
      <c r="J157" s="268"/>
      <c r="M157" s="162"/>
      <c r="N157" s="162"/>
      <c r="O157" s="18"/>
      <c r="P157" s="162"/>
      <c r="Q157" s="162"/>
    </row>
    <row r="158" spans="1:17" x14ac:dyDescent="0.35">
      <c r="A158" s="255"/>
      <c r="B158" s="255"/>
      <c r="C158" s="1"/>
      <c r="D158" s="18"/>
      <c r="E158" s="18"/>
      <c r="F158" s="269"/>
      <c r="G158" s="18"/>
      <c r="H158" s="18"/>
      <c r="I158" s="18"/>
      <c r="J158" s="268"/>
      <c r="M158" s="162"/>
      <c r="N158" s="162"/>
      <c r="O158" s="18"/>
      <c r="P158" s="162"/>
      <c r="Q158" s="162"/>
    </row>
    <row r="159" spans="1:17" x14ac:dyDescent="0.35">
      <c r="A159" s="255"/>
      <c r="B159" s="255"/>
      <c r="C159" s="1"/>
      <c r="D159" s="18"/>
      <c r="E159" s="18"/>
      <c r="F159" s="269"/>
      <c r="G159" s="18"/>
      <c r="H159" s="18"/>
      <c r="I159" s="18"/>
      <c r="J159" s="268"/>
      <c r="K159" s="270"/>
      <c r="M159" s="162"/>
      <c r="N159" s="162"/>
      <c r="O159" s="18"/>
      <c r="P159" s="162"/>
      <c r="Q159" s="162"/>
    </row>
    <row r="160" spans="1:17" x14ac:dyDescent="0.35">
      <c r="A160" s="255"/>
      <c r="B160" s="255"/>
      <c r="C160" s="1"/>
      <c r="D160" s="18"/>
      <c r="E160" s="18"/>
      <c r="F160" s="269"/>
      <c r="G160" s="18"/>
      <c r="H160" s="18"/>
      <c r="I160" s="18"/>
      <c r="J160" s="268"/>
      <c r="L160" s="162"/>
    </row>
    <row r="161" spans="1:12" x14ac:dyDescent="0.35">
      <c r="A161" s="255"/>
      <c r="B161" s="255"/>
      <c r="C161" s="1"/>
      <c r="D161" s="18"/>
      <c r="E161" s="18"/>
      <c r="F161" s="269"/>
      <c r="G161" s="18"/>
      <c r="H161" s="18"/>
      <c r="I161" s="18"/>
      <c r="J161" s="268"/>
      <c r="L161" s="162"/>
    </row>
    <row r="162" spans="1:12" x14ac:dyDescent="0.35">
      <c r="A162" s="255"/>
      <c r="B162" s="255"/>
      <c r="C162" s="1"/>
      <c r="D162" s="18"/>
      <c r="E162" s="18"/>
      <c r="F162" s="269"/>
      <c r="G162" s="18"/>
      <c r="H162" s="18"/>
      <c r="I162" s="18"/>
      <c r="J162" s="268"/>
      <c r="L162" s="162"/>
    </row>
    <row r="163" spans="1:12" x14ac:dyDescent="0.35">
      <c r="A163" s="255"/>
      <c r="B163" s="255"/>
      <c r="C163" s="1"/>
      <c r="D163" s="18"/>
      <c r="E163" s="18"/>
      <c r="F163" s="269"/>
      <c r="G163" s="18"/>
      <c r="H163" s="18"/>
      <c r="I163" s="18"/>
      <c r="J163" s="268"/>
      <c r="L163" s="162"/>
    </row>
    <row r="164" spans="1:12" x14ac:dyDescent="0.35">
      <c r="A164" s="255"/>
      <c r="B164" s="255"/>
      <c r="C164" s="1"/>
      <c r="D164" s="18"/>
      <c r="E164" s="18"/>
      <c r="F164" s="269"/>
      <c r="G164" s="18"/>
      <c r="H164" s="18"/>
      <c r="I164" s="18"/>
      <c r="J164" s="268"/>
      <c r="L164" s="162"/>
    </row>
    <row r="165" spans="1:12" x14ac:dyDescent="0.35">
      <c r="A165" s="255"/>
      <c r="B165" s="255"/>
      <c r="C165" s="1"/>
      <c r="D165" s="18"/>
      <c r="E165" s="18"/>
      <c r="F165" s="269"/>
      <c r="G165" s="18"/>
      <c r="H165" s="18"/>
      <c r="I165" s="18"/>
      <c r="J165" s="268"/>
      <c r="L165" s="162"/>
    </row>
    <row r="166" spans="1:12" x14ac:dyDescent="0.35">
      <c r="A166" s="255"/>
      <c r="B166" s="255"/>
      <c r="C166" s="1"/>
      <c r="D166" s="18"/>
      <c r="E166" s="18"/>
      <c r="F166" s="269"/>
      <c r="G166" s="18"/>
      <c r="H166" s="18"/>
      <c r="I166" s="18"/>
      <c r="J166" s="268"/>
      <c r="K166" s="1"/>
      <c r="L166" s="162"/>
    </row>
    <row r="167" spans="1:12" x14ac:dyDescent="0.35">
      <c r="A167" s="255"/>
      <c r="B167" s="255"/>
      <c r="C167" s="1"/>
      <c r="D167" s="18"/>
      <c r="E167" s="18"/>
      <c r="F167" s="269"/>
      <c r="G167" s="18"/>
      <c r="H167" s="18"/>
      <c r="I167" s="18"/>
      <c r="J167" s="268"/>
      <c r="K167" s="270"/>
      <c r="L167" s="162"/>
    </row>
    <row r="168" spans="1:12" x14ac:dyDescent="0.35">
      <c r="A168" s="255"/>
      <c r="B168" s="255"/>
      <c r="C168" s="1"/>
      <c r="D168" s="18"/>
      <c r="E168" s="18"/>
      <c r="F168" s="269"/>
      <c r="G168" s="18"/>
      <c r="H168" s="18"/>
      <c r="I168" s="18"/>
      <c r="J168" s="268"/>
      <c r="L168" s="162"/>
    </row>
    <row r="169" spans="1:12" x14ac:dyDescent="0.35">
      <c r="A169" s="255"/>
      <c r="B169" s="255"/>
      <c r="C169" s="1"/>
      <c r="D169" s="18"/>
      <c r="E169" s="18"/>
      <c r="F169" s="269"/>
      <c r="G169" s="18"/>
      <c r="H169" s="18"/>
      <c r="I169" s="18"/>
      <c r="J169" s="268"/>
      <c r="L169" s="162"/>
    </row>
    <row r="170" spans="1:12" x14ac:dyDescent="0.35">
      <c r="A170" s="255"/>
      <c r="B170" s="255"/>
      <c r="C170" s="1"/>
      <c r="D170" s="18"/>
      <c r="E170" s="18"/>
      <c r="F170" s="269"/>
      <c r="G170" s="18"/>
      <c r="H170" s="18"/>
      <c r="I170" s="18"/>
      <c r="J170" s="268"/>
      <c r="L170" s="162"/>
    </row>
    <row r="171" spans="1:12" x14ac:dyDescent="0.35">
      <c r="A171" s="255"/>
      <c r="B171" s="255"/>
      <c r="C171" s="1"/>
      <c r="D171" s="18"/>
      <c r="E171" s="18"/>
      <c r="F171" s="269"/>
      <c r="G171" s="18"/>
      <c r="H171" s="18"/>
      <c r="I171" s="18"/>
      <c r="J171" s="268"/>
      <c r="L171" s="162"/>
    </row>
    <row r="172" spans="1:12" x14ac:dyDescent="0.35">
      <c r="A172" s="255"/>
      <c r="B172" s="255"/>
      <c r="C172" s="1"/>
      <c r="D172" s="18"/>
      <c r="E172" s="18"/>
      <c r="F172" s="269"/>
      <c r="G172" s="18"/>
      <c r="H172" s="18"/>
      <c r="I172" s="18"/>
      <c r="J172" s="268"/>
      <c r="L172" s="162"/>
    </row>
    <row r="173" spans="1:12" x14ac:dyDescent="0.35">
      <c r="A173" s="255"/>
      <c r="B173" s="255"/>
      <c r="C173" s="1"/>
      <c r="D173" s="18"/>
      <c r="E173" s="18"/>
      <c r="F173" s="269"/>
      <c r="G173" s="18"/>
      <c r="H173" s="18"/>
      <c r="I173" s="18"/>
      <c r="J173" s="268"/>
      <c r="L173" s="162"/>
    </row>
    <row r="174" spans="1:12" x14ac:dyDescent="0.35">
      <c r="A174" s="255"/>
      <c r="B174" s="255"/>
      <c r="C174" s="1"/>
      <c r="D174" s="18"/>
      <c r="E174" s="18"/>
      <c r="F174" s="269"/>
      <c r="G174" s="18"/>
      <c r="H174" s="18"/>
      <c r="I174" s="18"/>
      <c r="J174" s="268"/>
      <c r="L174" s="162"/>
    </row>
    <row r="175" spans="1:12" x14ac:dyDescent="0.35">
      <c r="A175" s="255"/>
      <c r="B175" s="255"/>
      <c r="C175" s="1"/>
      <c r="D175" s="18"/>
      <c r="E175" s="18"/>
      <c r="F175" s="269"/>
      <c r="G175" s="18"/>
      <c r="H175" s="18"/>
      <c r="I175" s="18"/>
      <c r="J175" s="268"/>
      <c r="L175" s="162"/>
    </row>
    <row r="176" spans="1:12" x14ac:dyDescent="0.35">
      <c r="A176" s="255"/>
      <c r="B176" s="255"/>
      <c r="C176" s="1"/>
      <c r="D176" s="18"/>
      <c r="E176" s="18"/>
      <c r="F176" s="269"/>
      <c r="G176" s="18"/>
      <c r="H176" s="18"/>
      <c r="I176" s="18"/>
      <c r="J176" s="268"/>
      <c r="L176" s="162"/>
    </row>
    <row r="177" spans="1:12" x14ac:dyDescent="0.35">
      <c r="A177" s="255"/>
      <c r="B177" s="255"/>
      <c r="C177" s="1"/>
      <c r="D177" s="18"/>
      <c r="E177" s="18"/>
      <c r="F177" s="269"/>
      <c r="G177" s="18"/>
      <c r="H177" s="18"/>
      <c r="I177" s="18"/>
      <c r="J177" s="268"/>
      <c r="L177" s="162"/>
    </row>
    <row r="178" spans="1:12" x14ac:dyDescent="0.35">
      <c r="A178" s="255"/>
      <c r="B178" s="255"/>
      <c r="C178" s="1"/>
      <c r="D178" s="18"/>
      <c r="E178" s="18"/>
      <c r="F178" s="269"/>
      <c r="G178" s="18"/>
      <c r="H178" s="18"/>
      <c r="I178" s="18"/>
      <c r="J178" s="268"/>
      <c r="L178" s="162"/>
    </row>
    <row r="179" spans="1:12" x14ac:dyDescent="0.35">
      <c r="A179" s="255"/>
      <c r="B179" s="255"/>
      <c r="C179" s="1"/>
      <c r="D179" s="18"/>
      <c r="E179" s="18"/>
      <c r="F179" s="269"/>
      <c r="G179" s="18"/>
      <c r="H179" s="18"/>
      <c r="I179" s="18"/>
      <c r="J179" s="268"/>
      <c r="L179" s="162"/>
    </row>
    <row r="180" spans="1:12" x14ac:dyDescent="0.35">
      <c r="A180" s="255"/>
      <c r="B180" s="255"/>
      <c r="C180" s="1"/>
      <c r="D180" s="18"/>
      <c r="E180" s="18"/>
      <c r="F180" s="269"/>
      <c r="G180" s="18"/>
      <c r="H180" s="18"/>
      <c r="I180" s="18"/>
      <c r="J180" s="268"/>
      <c r="L180" s="162"/>
    </row>
    <row r="181" spans="1:12" x14ac:dyDescent="0.35">
      <c r="A181" s="255"/>
      <c r="B181" s="255"/>
      <c r="C181" s="1"/>
      <c r="D181" s="18"/>
      <c r="E181" s="18"/>
      <c r="F181" s="269"/>
      <c r="G181" s="18"/>
      <c r="H181" s="18"/>
      <c r="I181" s="18"/>
      <c r="J181" s="268"/>
      <c r="L181" s="162"/>
    </row>
    <row r="182" spans="1:12" x14ac:dyDescent="0.35">
      <c r="A182" s="255"/>
      <c r="B182" s="255"/>
      <c r="C182" s="1"/>
      <c r="D182" s="18"/>
      <c r="E182" s="18"/>
      <c r="F182" s="269"/>
      <c r="G182" s="18"/>
      <c r="H182" s="18"/>
      <c r="I182" s="18"/>
      <c r="J182" s="268"/>
      <c r="L182" s="162"/>
    </row>
    <row r="183" spans="1:12" x14ac:dyDescent="0.35">
      <c r="A183" s="255"/>
      <c r="B183" s="255"/>
      <c r="C183" s="1"/>
      <c r="D183" s="18"/>
      <c r="E183" s="18"/>
      <c r="F183" s="269"/>
      <c r="G183" s="18"/>
      <c r="H183" s="18"/>
      <c r="I183" s="18"/>
      <c r="J183" s="268"/>
      <c r="L183" s="162"/>
    </row>
    <row r="184" spans="1:12" x14ac:dyDescent="0.35">
      <c r="A184" s="255"/>
      <c r="B184" s="255"/>
      <c r="C184" s="1"/>
      <c r="D184" s="18"/>
      <c r="E184" s="18"/>
      <c r="F184" s="269"/>
      <c r="G184" s="18"/>
      <c r="H184" s="18"/>
      <c r="I184" s="18"/>
      <c r="J184" s="268"/>
      <c r="L184" s="162"/>
    </row>
    <row r="185" spans="1:12" x14ac:dyDescent="0.35">
      <c r="A185" s="255"/>
      <c r="B185" s="255"/>
      <c r="C185" s="1"/>
      <c r="D185" s="18"/>
      <c r="E185" s="18"/>
      <c r="F185" s="269"/>
      <c r="G185" s="18"/>
      <c r="H185" s="18"/>
      <c r="I185" s="18"/>
      <c r="J185" s="268"/>
      <c r="L185" s="162"/>
    </row>
    <row r="186" spans="1:12" x14ac:dyDescent="0.35">
      <c r="A186" s="255"/>
      <c r="B186" s="255"/>
      <c r="C186" s="1"/>
      <c r="D186" s="18"/>
      <c r="E186" s="18"/>
      <c r="F186" s="269"/>
      <c r="G186" s="18"/>
      <c r="H186" s="18"/>
      <c r="I186" s="18"/>
      <c r="J186" s="268"/>
      <c r="L186" s="162"/>
    </row>
    <row r="187" spans="1:12" x14ac:dyDescent="0.35">
      <c r="A187" s="255"/>
      <c r="B187" s="255"/>
      <c r="C187" s="1"/>
      <c r="D187" s="18"/>
      <c r="E187" s="18"/>
      <c r="F187" s="269"/>
      <c r="G187" s="18"/>
      <c r="H187" s="18"/>
      <c r="I187" s="18"/>
      <c r="J187" s="268"/>
      <c r="L187" s="162"/>
    </row>
    <row r="188" spans="1:12" x14ac:dyDescent="0.35">
      <c r="A188" s="255"/>
      <c r="B188" s="255"/>
      <c r="C188" s="1"/>
      <c r="D188" s="18"/>
      <c r="E188" s="18"/>
      <c r="F188" s="269"/>
      <c r="G188" s="18"/>
      <c r="H188" s="18"/>
      <c r="I188" s="18"/>
      <c r="J188" s="268"/>
      <c r="L188" s="162"/>
    </row>
    <row r="189" spans="1:12" x14ac:dyDescent="0.35">
      <c r="A189" s="255"/>
      <c r="B189" s="255"/>
      <c r="C189" s="1"/>
      <c r="D189" s="18"/>
      <c r="E189" s="18"/>
      <c r="F189" s="269"/>
      <c r="G189" s="18"/>
      <c r="H189" s="18"/>
      <c r="I189" s="18"/>
      <c r="J189" s="268"/>
      <c r="L189" s="162"/>
    </row>
    <row r="190" spans="1:12" x14ac:dyDescent="0.35">
      <c r="A190" s="255"/>
      <c r="B190" s="255"/>
      <c r="C190" s="1"/>
      <c r="D190" s="18"/>
      <c r="E190" s="18"/>
      <c r="F190" s="269"/>
      <c r="G190" s="18"/>
      <c r="H190" s="18"/>
      <c r="I190" s="18"/>
      <c r="J190" s="268"/>
      <c r="L190" s="162"/>
    </row>
    <row r="191" spans="1:12" x14ac:dyDescent="0.35">
      <c r="A191" s="255"/>
      <c r="B191" s="255"/>
      <c r="C191" s="1"/>
      <c r="D191" s="18"/>
      <c r="E191" s="18"/>
      <c r="F191" s="269"/>
      <c r="G191" s="18"/>
      <c r="H191" s="18"/>
      <c r="I191" s="18"/>
      <c r="J191" s="268"/>
      <c r="L191" s="162"/>
    </row>
    <row r="192" spans="1:12" x14ac:dyDescent="0.35">
      <c r="A192" s="255"/>
      <c r="B192" s="255"/>
      <c r="C192" s="1"/>
      <c r="D192" s="18"/>
      <c r="E192" s="18"/>
      <c r="F192" s="269"/>
      <c r="G192" s="18"/>
      <c r="H192" s="18"/>
      <c r="I192" s="18"/>
      <c r="J192" s="268"/>
      <c r="L192" s="162"/>
    </row>
    <row r="193" spans="1:12" x14ac:dyDescent="0.35">
      <c r="A193" s="255"/>
      <c r="B193" s="255"/>
      <c r="C193" s="1"/>
      <c r="D193" s="18"/>
      <c r="E193" s="18"/>
      <c r="F193" s="269"/>
      <c r="G193" s="18"/>
      <c r="H193" s="18"/>
      <c r="I193" s="18"/>
      <c r="J193" s="268"/>
      <c r="L193" s="162"/>
    </row>
    <row r="194" spans="1:12" x14ac:dyDescent="0.35">
      <c r="A194" s="255"/>
      <c r="B194" s="255"/>
      <c r="C194" s="1"/>
      <c r="D194" s="18"/>
      <c r="E194" s="18"/>
      <c r="F194" s="269"/>
      <c r="G194" s="18"/>
      <c r="H194" s="18"/>
      <c r="I194" s="18"/>
      <c r="J194" s="268"/>
      <c r="L194" s="162"/>
    </row>
    <row r="195" spans="1:12" x14ac:dyDescent="0.35">
      <c r="A195" s="255"/>
      <c r="B195" s="255"/>
      <c r="C195" s="1"/>
      <c r="D195" s="18"/>
      <c r="E195" s="18"/>
      <c r="F195" s="269"/>
      <c r="G195" s="18"/>
      <c r="H195" s="18"/>
      <c r="I195" s="18"/>
      <c r="J195" s="268"/>
      <c r="L195" s="162"/>
    </row>
    <row r="196" spans="1:12" x14ac:dyDescent="0.35">
      <c r="A196" s="255"/>
      <c r="B196" s="255"/>
      <c r="C196" s="1"/>
      <c r="D196" s="18"/>
      <c r="E196" s="18"/>
      <c r="F196" s="269"/>
      <c r="G196" s="18"/>
      <c r="H196" s="18"/>
      <c r="I196" s="18"/>
      <c r="J196" s="268"/>
      <c r="L196" s="162"/>
    </row>
    <row r="197" spans="1:12" x14ac:dyDescent="0.35">
      <c r="A197" s="255"/>
      <c r="B197" s="255"/>
      <c r="C197" s="1"/>
      <c r="D197" s="18"/>
      <c r="E197" s="18"/>
      <c r="F197" s="269"/>
      <c r="G197" s="18"/>
      <c r="H197" s="18"/>
      <c r="I197" s="18"/>
      <c r="J197" s="268"/>
      <c r="L197" s="162"/>
    </row>
    <row r="198" spans="1:12" x14ac:dyDescent="0.35">
      <c r="A198" s="255"/>
      <c r="B198" s="255"/>
      <c r="C198" s="1"/>
      <c r="D198" s="18"/>
      <c r="E198" s="18"/>
      <c r="F198" s="269"/>
      <c r="G198" s="18"/>
      <c r="H198" s="18"/>
      <c r="I198" s="18"/>
      <c r="J198" s="268"/>
      <c r="L198" s="162"/>
    </row>
    <row r="199" spans="1:12" x14ac:dyDescent="0.35">
      <c r="A199" s="255"/>
      <c r="B199" s="255"/>
      <c r="C199" s="1"/>
      <c r="D199" s="18"/>
      <c r="E199" s="18"/>
      <c r="F199" s="269"/>
      <c r="G199" s="18"/>
      <c r="H199" s="18"/>
      <c r="I199" s="18"/>
      <c r="J199" s="268"/>
      <c r="L199" s="162"/>
    </row>
    <row r="200" spans="1:12" x14ac:dyDescent="0.35">
      <c r="A200" s="255"/>
      <c r="B200" s="255"/>
      <c r="C200" s="1"/>
      <c r="D200" s="18"/>
      <c r="E200" s="18"/>
      <c r="F200" s="269"/>
      <c r="G200" s="18"/>
      <c r="H200" s="18"/>
      <c r="I200" s="18"/>
      <c r="J200" s="268"/>
      <c r="L200" s="162"/>
    </row>
    <row r="201" spans="1:12" x14ac:dyDescent="0.35">
      <c r="A201" s="255"/>
      <c r="B201" s="255"/>
      <c r="C201" s="1"/>
      <c r="D201" s="18"/>
      <c r="E201" s="18"/>
      <c r="F201" s="269"/>
      <c r="G201" s="18"/>
      <c r="H201" s="18"/>
      <c r="I201" s="18"/>
      <c r="J201" s="268"/>
      <c r="L201" s="162"/>
    </row>
    <row r="202" spans="1:12" x14ac:dyDescent="0.35">
      <c r="A202" s="255"/>
      <c r="B202" s="255"/>
      <c r="C202" s="1"/>
      <c r="D202" s="18"/>
      <c r="E202" s="18"/>
      <c r="F202" s="269"/>
      <c r="G202" s="18"/>
      <c r="H202" s="18"/>
      <c r="I202" s="18"/>
      <c r="J202" s="268"/>
      <c r="L202" s="162"/>
    </row>
    <row r="203" spans="1:12" x14ac:dyDescent="0.35">
      <c r="A203" s="255"/>
      <c r="B203" s="255"/>
      <c r="C203" s="1"/>
      <c r="D203" s="18"/>
      <c r="E203" s="18"/>
      <c r="F203" s="269"/>
      <c r="G203" s="18"/>
      <c r="H203" s="18"/>
      <c r="I203" s="18"/>
      <c r="J203" s="268"/>
      <c r="L203" s="162"/>
    </row>
    <row r="204" spans="1:12" x14ac:dyDescent="0.35">
      <c r="A204" s="255"/>
      <c r="B204" s="255"/>
      <c r="C204" s="1"/>
      <c r="D204" s="18"/>
      <c r="E204" s="18"/>
      <c r="F204" s="269"/>
      <c r="G204" s="18"/>
      <c r="H204" s="18"/>
      <c r="I204" s="18"/>
      <c r="J204" s="268"/>
      <c r="L204" s="162"/>
    </row>
    <row r="205" spans="1:12" x14ac:dyDescent="0.35">
      <c r="A205" s="255"/>
      <c r="B205" s="255"/>
      <c r="C205" s="1"/>
      <c r="D205" s="18"/>
      <c r="E205" s="18"/>
      <c r="F205" s="269"/>
      <c r="G205" s="18"/>
      <c r="H205" s="18"/>
      <c r="I205" s="18"/>
      <c r="J205" s="268"/>
      <c r="L205" s="162"/>
    </row>
    <row r="206" spans="1:12" x14ac:dyDescent="0.35">
      <c r="A206" s="255"/>
      <c r="B206" s="255"/>
      <c r="C206" s="1"/>
      <c r="D206" s="18"/>
      <c r="E206" s="18"/>
      <c r="F206" s="269"/>
      <c r="G206" s="18"/>
      <c r="H206" s="18"/>
      <c r="I206" s="18"/>
      <c r="J206" s="268"/>
      <c r="L206" s="162"/>
    </row>
    <row r="207" spans="1:12" x14ac:dyDescent="0.35">
      <c r="A207" s="255"/>
      <c r="B207" s="255"/>
      <c r="C207" s="1"/>
      <c r="D207" s="18"/>
      <c r="E207" s="18"/>
      <c r="F207" s="269"/>
      <c r="G207" s="18"/>
      <c r="H207" s="18"/>
      <c r="I207" s="18"/>
      <c r="J207" s="268"/>
      <c r="L207" s="162"/>
    </row>
    <row r="208" spans="1:12" x14ac:dyDescent="0.35">
      <c r="A208" s="255"/>
      <c r="B208" s="255"/>
      <c r="D208" s="18"/>
      <c r="E208" s="18"/>
      <c r="F208" s="269"/>
      <c r="G208" s="18"/>
      <c r="H208" s="18"/>
      <c r="I208" s="18"/>
      <c r="J208" s="268"/>
      <c r="L208" s="162"/>
    </row>
    <row r="209" spans="1:12" x14ac:dyDescent="0.35">
      <c r="A209" s="255"/>
      <c r="B209" s="255"/>
      <c r="D209" s="18"/>
      <c r="E209" s="18"/>
      <c r="F209" s="269"/>
      <c r="G209" s="18"/>
      <c r="H209" s="18"/>
      <c r="I209" s="18"/>
      <c r="J209" s="268"/>
      <c r="L209" s="162"/>
    </row>
    <row r="210" spans="1:12" x14ac:dyDescent="0.35">
      <c r="A210" s="255"/>
      <c r="B210" s="255"/>
      <c r="D210" s="18"/>
      <c r="E210" s="18"/>
      <c r="F210" s="269"/>
      <c r="G210" s="18"/>
      <c r="H210" s="18"/>
      <c r="I210" s="18"/>
      <c r="J210" s="268"/>
      <c r="L210" s="162"/>
    </row>
    <row r="211" spans="1:12" x14ac:dyDescent="0.35">
      <c r="A211" s="255"/>
      <c r="B211" s="255"/>
      <c r="D211" s="18"/>
      <c r="E211" s="18"/>
      <c r="F211" s="269"/>
      <c r="G211" s="18"/>
      <c r="H211" s="18"/>
      <c r="I211" s="18"/>
      <c r="J211" s="268"/>
      <c r="L211" s="162"/>
    </row>
    <row r="212" spans="1:12" x14ac:dyDescent="0.35">
      <c r="A212" s="255"/>
      <c r="B212" s="255"/>
      <c r="D212" s="18"/>
      <c r="E212" s="18"/>
      <c r="F212" s="269"/>
      <c r="G212" s="18"/>
      <c r="H212" s="18"/>
      <c r="I212" s="18"/>
      <c r="J212" s="268"/>
      <c r="L212" s="162"/>
    </row>
    <row r="213" spans="1:12" x14ac:dyDescent="0.35">
      <c r="A213" s="255"/>
      <c r="B213" s="255"/>
      <c r="D213" s="18"/>
      <c r="E213" s="18"/>
      <c r="F213" s="269"/>
      <c r="G213" s="18"/>
      <c r="H213" s="18"/>
      <c r="I213" s="18"/>
      <c r="J213" s="268"/>
      <c r="L213" s="162"/>
    </row>
    <row r="214" spans="1:12" x14ac:dyDescent="0.35">
      <c r="A214" s="255"/>
      <c r="B214" s="255"/>
      <c r="D214" s="18"/>
      <c r="E214" s="18"/>
      <c r="F214" s="269"/>
      <c r="G214" s="18"/>
      <c r="H214" s="18"/>
      <c r="I214" s="18"/>
      <c r="J214" s="268"/>
      <c r="L214" s="162"/>
    </row>
    <row r="215" spans="1:12" x14ac:dyDescent="0.35">
      <c r="A215" s="255"/>
      <c r="B215" s="255"/>
      <c r="D215" s="18"/>
      <c r="E215" s="18"/>
      <c r="F215" s="269"/>
      <c r="G215" s="18"/>
      <c r="H215" s="18"/>
      <c r="I215" s="18"/>
      <c r="J215" s="268"/>
      <c r="L215" s="162"/>
    </row>
    <row r="216" spans="1:12" x14ac:dyDescent="0.35">
      <c r="A216" s="255"/>
      <c r="B216" s="255"/>
      <c r="D216" s="18"/>
      <c r="E216" s="18"/>
      <c r="F216" s="269"/>
      <c r="G216" s="18"/>
      <c r="H216" s="18"/>
      <c r="I216" s="18"/>
      <c r="J216" s="268"/>
      <c r="L216" s="162"/>
    </row>
    <row r="217" spans="1:12" x14ac:dyDescent="0.35">
      <c r="A217" s="255"/>
      <c r="B217" s="255"/>
      <c r="D217" s="18"/>
      <c r="E217" s="18"/>
      <c r="F217" s="269"/>
      <c r="G217" s="18"/>
      <c r="H217" s="18"/>
      <c r="I217" s="18"/>
      <c r="J217" s="268"/>
      <c r="L217" s="162"/>
    </row>
    <row r="218" spans="1:12" x14ac:dyDescent="0.35">
      <c r="A218" s="255"/>
      <c r="B218" s="255"/>
      <c r="D218" s="18"/>
      <c r="E218" s="18"/>
      <c r="F218" s="269"/>
      <c r="G218" s="18"/>
      <c r="H218" s="18"/>
      <c r="I218" s="18"/>
      <c r="J218" s="268"/>
      <c r="L218" s="162"/>
    </row>
    <row r="219" spans="1:12" x14ac:dyDescent="0.35">
      <c r="A219" s="255"/>
      <c r="B219" s="255"/>
      <c r="D219" s="18"/>
      <c r="E219" s="18"/>
      <c r="F219" s="269"/>
      <c r="G219" s="18"/>
      <c r="H219" s="18"/>
      <c r="I219" s="18"/>
      <c r="J219" s="268"/>
      <c r="L219" s="162"/>
    </row>
    <row r="220" spans="1:12" x14ac:dyDescent="0.35">
      <c r="A220" s="255"/>
      <c r="B220" s="255"/>
      <c r="D220" s="18"/>
      <c r="E220" s="18"/>
      <c r="F220" s="269"/>
      <c r="G220" s="18"/>
      <c r="H220" s="18"/>
      <c r="I220" s="18"/>
      <c r="J220" s="268"/>
      <c r="L220" s="162"/>
    </row>
    <row r="221" spans="1:12" x14ac:dyDescent="0.35">
      <c r="A221" s="255"/>
      <c r="B221" s="255"/>
      <c r="D221" s="18"/>
      <c r="E221" s="18"/>
      <c r="F221" s="269"/>
      <c r="G221" s="18"/>
      <c r="H221" s="18"/>
      <c r="I221" s="18"/>
      <c r="J221" s="268"/>
      <c r="L221" s="162"/>
    </row>
    <row r="222" spans="1:12" x14ac:dyDescent="0.35">
      <c r="A222" s="255"/>
      <c r="B222" s="255"/>
      <c r="D222" s="18"/>
      <c r="E222" s="18"/>
      <c r="F222" s="269"/>
      <c r="G222" s="18"/>
      <c r="H222" s="18"/>
      <c r="I222" s="18"/>
      <c r="J222" s="268"/>
      <c r="L222" s="162"/>
    </row>
    <row r="223" spans="1:12" x14ac:dyDescent="0.35">
      <c r="A223" s="255"/>
      <c r="B223" s="255"/>
      <c r="D223" s="18"/>
      <c r="E223" s="18"/>
      <c r="F223" s="269"/>
      <c r="G223" s="18"/>
      <c r="H223" s="18"/>
      <c r="I223" s="18"/>
      <c r="J223" s="268"/>
      <c r="L223" s="162"/>
    </row>
    <row r="224" spans="1:12" x14ac:dyDescent="0.35">
      <c r="A224" s="255"/>
      <c r="B224" s="255"/>
      <c r="D224" s="18"/>
      <c r="E224" s="18"/>
      <c r="F224" s="269"/>
      <c r="G224" s="18"/>
      <c r="H224" s="18"/>
      <c r="I224" s="18"/>
      <c r="J224" s="268"/>
      <c r="L224" s="162"/>
    </row>
    <row r="225" spans="1:12" x14ac:dyDescent="0.35">
      <c r="A225" s="255"/>
      <c r="B225" s="255"/>
      <c r="D225" s="18"/>
      <c r="E225" s="18"/>
      <c r="F225" s="269"/>
      <c r="G225" s="18"/>
      <c r="H225" s="18"/>
      <c r="I225" s="18"/>
      <c r="J225" s="268"/>
      <c r="L225" s="162"/>
    </row>
    <row r="226" spans="1:12" x14ac:dyDescent="0.35">
      <c r="A226" s="255"/>
      <c r="B226" s="255"/>
      <c r="D226" s="18"/>
      <c r="E226" s="18"/>
      <c r="F226" s="269"/>
      <c r="G226" s="18"/>
      <c r="H226" s="18"/>
      <c r="I226" s="18"/>
      <c r="J226" s="268"/>
      <c r="L226" s="162"/>
    </row>
    <row r="227" spans="1:12" x14ac:dyDescent="0.35">
      <c r="A227" s="255"/>
      <c r="B227" s="255"/>
      <c r="D227" s="18"/>
      <c r="E227" s="18"/>
      <c r="F227" s="269"/>
      <c r="G227" s="18"/>
      <c r="H227" s="18"/>
      <c r="I227" s="18"/>
      <c r="J227" s="268"/>
      <c r="L227" s="162"/>
    </row>
    <row r="228" spans="1:12" x14ac:dyDescent="0.35">
      <c r="A228" s="255"/>
      <c r="B228" s="255"/>
      <c r="D228" s="18"/>
      <c r="E228" s="18"/>
      <c r="F228" s="269"/>
      <c r="G228" s="18"/>
      <c r="H228" s="18"/>
      <c r="I228" s="18"/>
      <c r="J228" s="268"/>
      <c r="L228" s="162"/>
    </row>
    <row r="229" spans="1:12" x14ac:dyDescent="0.35">
      <c r="A229" s="255"/>
      <c r="B229" s="255"/>
      <c r="D229" s="18"/>
      <c r="E229" s="18"/>
      <c r="F229" s="269"/>
      <c r="G229" s="18"/>
      <c r="H229" s="18"/>
      <c r="I229" s="18"/>
      <c r="J229" s="268"/>
      <c r="L229" s="162"/>
    </row>
    <row r="230" spans="1:12" x14ac:dyDescent="0.35">
      <c r="A230" s="255"/>
      <c r="B230" s="255"/>
      <c r="D230" s="18"/>
      <c r="E230" s="18"/>
      <c r="F230" s="269"/>
      <c r="G230" s="18"/>
      <c r="H230" s="18"/>
      <c r="I230" s="18"/>
      <c r="J230" s="268"/>
      <c r="L230" s="162"/>
    </row>
    <row r="231" spans="1:12" x14ac:dyDescent="0.35">
      <c r="A231" s="255"/>
      <c r="B231" s="255"/>
      <c r="D231" s="18"/>
      <c r="E231" s="18"/>
      <c r="F231" s="269"/>
      <c r="G231" s="18"/>
      <c r="H231" s="18"/>
      <c r="I231" s="18"/>
      <c r="J231" s="268"/>
      <c r="L231" s="162"/>
    </row>
    <row r="232" spans="1:12" x14ac:dyDescent="0.35">
      <c r="A232" s="255"/>
      <c r="B232" s="255"/>
      <c r="D232" s="18"/>
      <c r="E232" s="18"/>
      <c r="F232" s="269"/>
      <c r="G232" s="18"/>
      <c r="H232" s="18"/>
      <c r="I232" s="18"/>
      <c r="J232" s="268"/>
      <c r="L232" s="162"/>
    </row>
    <row r="233" spans="1:12" x14ac:dyDescent="0.35">
      <c r="A233" s="255"/>
      <c r="B233" s="255"/>
      <c r="D233" s="18"/>
      <c r="E233" s="18"/>
      <c r="F233" s="269"/>
      <c r="G233" s="18"/>
      <c r="H233" s="18"/>
      <c r="I233" s="18"/>
      <c r="J233" s="268"/>
      <c r="L233" s="162"/>
    </row>
    <row r="234" spans="1:12" x14ac:dyDescent="0.35">
      <c r="A234" s="255"/>
      <c r="B234" s="255"/>
      <c r="D234" s="18"/>
      <c r="E234" s="18"/>
      <c r="F234" s="269"/>
      <c r="G234" s="18"/>
      <c r="H234" s="18"/>
      <c r="I234" s="18"/>
      <c r="J234" s="268"/>
      <c r="L234" s="162"/>
    </row>
    <row r="235" spans="1:12" x14ac:dyDescent="0.35">
      <c r="A235" s="255"/>
      <c r="B235" s="255"/>
      <c r="D235" s="18"/>
      <c r="E235" s="18"/>
      <c r="F235" s="269"/>
      <c r="G235" s="18"/>
      <c r="H235" s="18"/>
      <c r="I235" s="18"/>
      <c r="J235" s="268"/>
      <c r="L235" s="162"/>
    </row>
    <row r="236" spans="1:12" x14ac:dyDescent="0.35">
      <c r="A236" s="255"/>
      <c r="B236" s="255"/>
      <c r="D236" s="18"/>
      <c r="E236" s="18"/>
      <c r="F236" s="269"/>
      <c r="G236" s="18"/>
      <c r="H236" s="18"/>
      <c r="I236" s="18"/>
      <c r="J236" s="268"/>
      <c r="L236" s="162"/>
    </row>
    <row r="237" spans="1:12" x14ac:dyDescent="0.35">
      <c r="A237" s="255"/>
      <c r="B237" s="255"/>
      <c r="D237" s="18"/>
      <c r="E237" s="18"/>
      <c r="F237" s="269"/>
      <c r="G237" s="18"/>
      <c r="H237" s="18"/>
      <c r="I237" s="18"/>
      <c r="J237" s="268"/>
      <c r="L237" s="162"/>
    </row>
    <row r="238" spans="1:12" x14ac:dyDescent="0.35">
      <c r="A238" s="255"/>
      <c r="B238" s="255"/>
      <c r="D238" s="18"/>
      <c r="E238" s="18"/>
      <c r="F238" s="269"/>
      <c r="G238" s="18"/>
      <c r="H238" s="18"/>
      <c r="I238" s="18"/>
      <c r="J238" s="268"/>
      <c r="L238" s="162"/>
    </row>
    <row r="239" spans="1:12" x14ac:dyDescent="0.35">
      <c r="A239" s="255"/>
      <c r="B239" s="255"/>
      <c r="D239" s="18"/>
      <c r="E239" s="18"/>
      <c r="F239" s="269"/>
      <c r="G239" s="18"/>
      <c r="H239" s="18"/>
      <c r="I239" s="18"/>
      <c r="J239" s="268"/>
      <c r="L239" s="162"/>
    </row>
    <row r="240" spans="1:12" x14ac:dyDescent="0.35">
      <c r="A240" s="255"/>
      <c r="B240" s="255"/>
      <c r="D240" s="18"/>
      <c r="E240" s="18"/>
      <c r="F240" s="269"/>
      <c r="G240" s="18"/>
      <c r="H240" s="18"/>
      <c r="I240" s="18"/>
      <c r="J240" s="268"/>
      <c r="L240" s="162"/>
    </row>
    <row r="241" spans="1:12" x14ac:dyDescent="0.35">
      <c r="A241" s="255"/>
      <c r="B241" s="255"/>
      <c r="D241" s="18"/>
      <c r="E241" s="18"/>
      <c r="F241" s="269"/>
      <c r="G241" s="18"/>
      <c r="H241" s="18"/>
      <c r="I241" s="18"/>
      <c r="J241" s="268"/>
      <c r="L241" s="162"/>
    </row>
    <row r="242" spans="1:12" x14ac:dyDescent="0.35">
      <c r="A242" s="255"/>
      <c r="B242" s="255"/>
      <c r="D242" s="18"/>
      <c r="E242" s="18"/>
      <c r="F242" s="269"/>
      <c r="G242" s="18"/>
      <c r="H242" s="18"/>
      <c r="I242" s="18"/>
      <c r="J242" s="268"/>
      <c r="L242" s="162"/>
    </row>
    <row r="243" spans="1:12" x14ac:dyDescent="0.35">
      <c r="A243" s="255"/>
      <c r="B243" s="255"/>
      <c r="D243" s="18"/>
      <c r="E243" s="18"/>
      <c r="F243" s="269"/>
      <c r="G243" s="18"/>
      <c r="H243" s="18"/>
      <c r="I243" s="18"/>
      <c r="J243" s="268"/>
      <c r="L243" s="162"/>
    </row>
    <row r="244" spans="1:12" x14ac:dyDescent="0.35">
      <c r="A244" s="255"/>
      <c r="B244" s="255"/>
      <c r="D244" s="18"/>
      <c r="E244" s="18"/>
      <c r="F244" s="269"/>
      <c r="G244" s="18"/>
      <c r="H244" s="18"/>
      <c r="I244" s="18"/>
      <c r="J244" s="268"/>
      <c r="L244" s="162"/>
    </row>
    <row r="245" spans="1:12" x14ac:dyDescent="0.35">
      <c r="A245" s="255"/>
      <c r="B245" s="255"/>
      <c r="D245" s="18"/>
      <c r="E245" s="18"/>
      <c r="F245" s="269"/>
      <c r="G245" s="18"/>
      <c r="H245" s="18"/>
      <c r="I245" s="18"/>
      <c r="J245" s="268"/>
      <c r="L245" s="162"/>
    </row>
    <row r="246" spans="1:12" x14ac:dyDescent="0.35">
      <c r="A246" s="255"/>
      <c r="B246" s="255"/>
      <c r="D246" s="18"/>
      <c r="E246" s="18"/>
      <c r="F246" s="269"/>
      <c r="G246" s="18"/>
      <c r="H246" s="18"/>
      <c r="I246" s="18"/>
      <c r="J246" s="268"/>
      <c r="L246" s="162"/>
    </row>
    <row r="247" spans="1:12" x14ac:dyDescent="0.35">
      <c r="A247" s="255"/>
      <c r="B247" s="255"/>
      <c r="D247" s="18"/>
      <c r="E247" s="18"/>
      <c r="F247" s="269"/>
      <c r="G247" s="18"/>
      <c r="H247" s="18"/>
      <c r="I247" s="18"/>
      <c r="J247" s="268"/>
      <c r="L247" s="162"/>
    </row>
    <row r="248" spans="1:12" x14ac:dyDescent="0.35">
      <c r="A248" s="255"/>
      <c r="B248" s="255"/>
      <c r="D248" s="18"/>
      <c r="E248" s="18"/>
      <c r="F248" s="269"/>
      <c r="G248" s="18"/>
      <c r="H248" s="18"/>
      <c r="I248" s="18"/>
      <c r="J248" s="268"/>
      <c r="L248" s="162"/>
    </row>
    <row r="249" spans="1:12" x14ac:dyDescent="0.35">
      <c r="A249" s="255"/>
      <c r="B249" s="255"/>
      <c r="D249" s="18"/>
      <c r="E249" s="18"/>
      <c r="F249" s="269"/>
      <c r="G249" s="18"/>
      <c r="H249" s="18"/>
      <c r="I249" s="18"/>
      <c r="J249" s="268"/>
      <c r="L249" s="162"/>
    </row>
    <row r="250" spans="1:12" x14ac:dyDescent="0.35">
      <c r="A250" s="255"/>
      <c r="B250" s="255"/>
      <c r="D250" s="18"/>
      <c r="E250" s="18"/>
      <c r="F250" s="269"/>
      <c r="G250" s="18"/>
      <c r="H250" s="18"/>
      <c r="I250" s="18"/>
      <c r="J250" s="268"/>
      <c r="L250" s="162"/>
    </row>
    <row r="251" spans="1:12" x14ac:dyDescent="0.35">
      <c r="A251" s="255"/>
      <c r="B251" s="255"/>
      <c r="D251" s="18"/>
      <c r="E251" s="18"/>
      <c r="F251" s="269"/>
      <c r="G251" s="18"/>
      <c r="H251" s="18"/>
      <c r="I251" s="18"/>
      <c r="J251" s="268"/>
      <c r="L251" s="162"/>
    </row>
    <row r="252" spans="1:12" x14ac:dyDescent="0.35">
      <c r="A252" s="255"/>
      <c r="B252" s="255"/>
      <c r="D252" s="18"/>
      <c r="E252" s="18"/>
      <c r="F252" s="269"/>
      <c r="G252" s="18"/>
      <c r="H252" s="18"/>
      <c r="I252" s="18"/>
      <c r="J252" s="268"/>
      <c r="L252" s="162"/>
    </row>
    <row r="253" spans="1:12" x14ac:dyDescent="0.35">
      <c r="A253" s="255"/>
      <c r="B253" s="255"/>
      <c r="D253" s="18"/>
      <c r="E253" s="18"/>
      <c r="F253" s="269"/>
      <c r="G253" s="18"/>
      <c r="H253" s="18"/>
      <c r="I253" s="18"/>
      <c r="J253" s="268"/>
      <c r="L253" s="162"/>
    </row>
    <row r="254" spans="1:12" x14ac:dyDescent="0.35">
      <c r="A254" s="255"/>
      <c r="B254" s="255"/>
      <c r="D254" s="18"/>
      <c r="E254" s="18"/>
      <c r="F254" s="269"/>
      <c r="G254" s="18"/>
      <c r="H254" s="18"/>
      <c r="I254" s="18"/>
      <c r="J254" s="268"/>
      <c r="L254" s="162"/>
    </row>
    <row r="255" spans="1:12" x14ac:dyDescent="0.35">
      <c r="A255" s="255"/>
      <c r="B255" s="255"/>
      <c r="D255" s="18"/>
      <c r="E255" s="18"/>
      <c r="F255" s="269"/>
      <c r="G255" s="18"/>
      <c r="H255" s="18"/>
      <c r="I255" s="18"/>
      <c r="J255" s="268"/>
      <c r="L255" s="162"/>
    </row>
    <row r="256" spans="1:12" x14ac:dyDescent="0.35">
      <c r="A256" s="255"/>
      <c r="B256" s="271"/>
      <c r="C256" s="1"/>
      <c r="D256" s="18"/>
      <c r="E256" s="18"/>
      <c r="F256" s="269"/>
      <c r="G256" s="18"/>
      <c r="H256" s="18"/>
      <c r="I256" s="18"/>
      <c r="J256" s="268"/>
      <c r="L256" s="162"/>
    </row>
    <row r="257" spans="1:12" x14ac:dyDescent="0.35">
      <c r="A257" s="255"/>
      <c r="B257" s="271"/>
      <c r="C257" s="1"/>
      <c r="D257" s="18"/>
      <c r="E257" s="18"/>
      <c r="F257" s="269"/>
      <c r="G257" s="18"/>
      <c r="H257" s="18">
        <f>NPV('Conventional Big Sandy'!B6/12,F56:F255)</f>
        <v>0</v>
      </c>
      <c r="I257" s="18"/>
      <c r="J257" s="268"/>
      <c r="L257" s="162"/>
    </row>
    <row r="258" spans="1:12" x14ac:dyDescent="0.35">
      <c r="A258" s="255"/>
      <c r="B258" s="271"/>
      <c r="C258" s="1"/>
      <c r="D258" s="18"/>
      <c r="E258" s="18"/>
      <c r="F258" s="269"/>
      <c r="G258" s="18"/>
      <c r="H258" s="18"/>
      <c r="I258" s="18"/>
      <c r="J258" s="268"/>
      <c r="L258" s="162"/>
    </row>
    <row r="259" spans="1:12" x14ac:dyDescent="0.35">
      <c r="A259" s="255"/>
      <c r="B259" s="271"/>
      <c r="C259" s="1"/>
      <c r="D259" s="18"/>
      <c r="E259" s="18"/>
      <c r="F259" s="269"/>
      <c r="G259" s="18"/>
      <c r="H259" s="18"/>
      <c r="I259" s="18"/>
      <c r="J259" s="268"/>
      <c r="L259" s="162"/>
    </row>
    <row r="260" spans="1:12" x14ac:dyDescent="0.35">
      <c r="A260" s="255"/>
      <c r="B260" s="271"/>
      <c r="C260" s="1"/>
      <c r="D260" s="18"/>
      <c r="E260" s="18"/>
      <c r="F260" s="269"/>
      <c r="G260" s="18"/>
      <c r="H260" s="18"/>
      <c r="I260" s="18"/>
      <c r="J260" s="268"/>
      <c r="L260" s="162"/>
    </row>
    <row r="261" spans="1:12" x14ac:dyDescent="0.35">
      <c r="A261" s="255"/>
      <c r="B261" s="271"/>
      <c r="C261" s="1"/>
      <c r="D261" s="18"/>
      <c r="E261" s="18"/>
      <c r="F261" s="269"/>
      <c r="G261" s="18"/>
      <c r="H261" s="18"/>
      <c r="I261" s="18"/>
      <c r="J261" s="268"/>
      <c r="L261" s="162"/>
    </row>
    <row r="262" spans="1:12" x14ac:dyDescent="0.35">
      <c r="A262" s="255"/>
      <c r="B262" s="271"/>
      <c r="C262" s="1"/>
      <c r="D262" s="18"/>
      <c r="E262" s="18"/>
      <c r="F262" s="269"/>
      <c r="G262" s="18"/>
      <c r="H262" s="18"/>
      <c r="I262" s="18"/>
      <c r="J262" s="268"/>
      <c r="L262" s="162"/>
    </row>
    <row r="263" spans="1:12" x14ac:dyDescent="0.35">
      <c r="A263" s="255"/>
      <c r="B263" s="271"/>
      <c r="C263" s="1"/>
      <c r="D263" s="18"/>
      <c r="E263" s="18"/>
      <c r="F263" s="269"/>
      <c r="G263" s="18"/>
      <c r="H263" s="18"/>
      <c r="I263" s="18"/>
      <c r="J263" s="268"/>
      <c r="L263" s="162"/>
    </row>
    <row r="264" spans="1:12" x14ac:dyDescent="0.35">
      <c r="A264" s="255"/>
      <c r="B264" s="271"/>
      <c r="C264" s="1"/>
      <c r="D264" s="18"/>
      <c r="E264" s="18"/>
      <c r="F264" s="269"/>
      <c r="G264" s="18"/>
      <c r="H264" s="18"/>
      <c r="I264" s="18"/>
      <c r="J264" s="268"/>
      <c r="L264" s="162"/>
    </row>
    <row r="265" spans="1:12" x14ac:dyDescent="0.35">
      <c r="A265" s="255"/>
      <c r="B265" s="271"/>
      <c r="C265" s="1"/>
      <c r="D265" s="18"/>
      <c r="E265" s="18"/>
      <c r="F265" s="269"/>
      <c r="G265" s="18"/>
      <c r="H265" s="18"/>
      <c r="I265" s="18"/>
      <c r="J265" s="268"/>
      <c r="L265" s="162"/>
    </row>
    <row r="266" spans="1:12" x14ac:dyDescent="0.35">
      <c r="A266" s="255"/>
      <c r="B266" s="271"/>
      <c r="C266" s="1"/>
      <c r="D266" s="18"/>
      <c r="E266" s="18"/>
      <c r="F266" s="269"/>
      <c r="G266" s="18"/>
      <c r="H266" s="18"/>
      <c r="I266" s="18"/>
      <c r="J266" s="268"/>
      <c r="L266" s="162"/>
    </row>
    <row r="267" spans="1:12" x14ac:dyDescent="0.35">
      <c r="A267" s="255"/>
      <c r="B267" s="271"/>
      <c r="C267" s="1"/>
      <c r="D267" s="18"/>
      <c r="E267" s="18"/>
      <c r="F267" s="269"/>
      <c r="G267" s="18"/>
      <c r="H267" s="18"/>
      <c r="I267" s="18"/>
      <c r="J267" s="268"/>
      <c r="L267" s="162"/>
    </row>
    <row r="268" spans="1:12" x14ac:dyDescent="0.35">
      <c r="A268" s="255"/>
      <c r="B268" s="271"/>
      <c r="D268" s="18"/>
      <c r="E268" s="18"/>
      <c r="F268" s="269"/>
      <c r="G268" s="18"/>
      <c r="H268" s="18"/>
      <c r="I268" s="18"/>
      <c r="J268" s="268"/>
      <c r="L268" s="162"/>
    </row>
    <row r="269" spans="1:12" x14ac:dyDescent="0.35">
      <c r="A269" s="255"/>
      <c r="B269" s="271"/>
      <c r="D269" s="18"/>
      <c r="E269" s="18"/>
      <c r="F269" s="269"/>
      <c r="G269" s="18"/>
      <c r="H269" s="18"/>
      <c r="I269" s="18"/>
      <c r="J269" s="268"/>
      <c r="L269" s="162"/>
    </row>
    <row r="270" spans="1:12" x14ac:dyDescent="0.35">
      <c r="A270" s="255"/>
      <c r="B270" s="271"/>
      <c r="D270" s="18"/>
      <c r="E270" s="18"/>
      <c r="F270" s="269"/>
      <c r="G270" s="18"/>
      <c r="H270" s="18"/>
      <c r="I270" s="18"/>
      <c r="J270" s="268"/>
      <c r="L270" s="162"/>
    </row>
    <row r="271" spans="1:12" x14ac:dyDescent="0.35">
      <c r="A271" s="255"/>
      <c r="B271" s="271"/>
      <c r="D271" s="18"/>
      <c r="E271" s="18"/>
      <c r="F271" s="269"/>
      <c r="G271" s="18"/>
      <c r="H271" s="18"/>
      <c r="I271" s="18"/>
      <c r="J271" s="268"/>
      <c r="L271" s="162"/>
    </row>
    <row r="272" spans="1:12" x14ac:dyDescent="0.35">
      <c r="A272" s="255"/>
      <c r="B272" s="271"/>
      <c r="D272" s="18"/>
      <c r="E272" s="18"/>
      <c r="F272" s="269"/>
      <c r="G272" s="18"/>
      <c r="H272" s="18"/>
      <c r="I272" s="18"/>
      <c r="J272" s="268"/>
      <c r="L272" s="162"/>
    </row>
    <row r="273" spans="1:12" x14ac:dyDescent="0.35">
      <c r="A273" s="255"/>
      <c r="B273" s="271"/>
      <c r="D273" s="18"/>
      <c r="E273" s="18"/>
      <c r="F273" s="269"/>
      <c r="G273" s="18"/>
      <c r="H273" s="18"/>
      <c r="I273" s="18"/>
      <c r="J273" s="268"/>
      <c r="L273" s="162"/>
    </row>
    <row r="274" spans="1:12" x14ac:dyDescent="0.35">
      <c r="A274" s="255"/>
      <c r="B274" s="271"/>
      <c r="D274" s="18"/>
      <c r="E274" s="18"/>
      <c r="F274" s="269"/>
      <c r="G274" s="18"/>
      <c r="H274" s="18"/>
      <c r="I274" s="18"/>
      <c r="J274" s="268"/>
      <c r="L274" s="162"/>
    </row>
    <row r="275" spans="1:12" x14ac:dyDescent="0.35">
      <c r="A275" s="255"/>
      <c r="B275" s="271"/>
      <c r="D275" s="18"/>
      <c r="E275" s="18"/>
      <c r="F275" s="269"/>
      <c r="G275" s="18"/>
      <c r="H275" s="18"/>
      <c r="I275" s="18"/>
      <c r="J275" s="268"/>
      <c r="L275" s="162"/>
    </row>
    <row r="276" spans="1:12" x14ac:dyDescent="0.35">
      <c r="A276" s="255"/>
      <c r="B276" s="271"/>
      <c r="D276" s="18"/>
      <c r="E276" s="18"/>
      <c r="F276" s="269"/>
      <c r="G276" s="18"/>
      <c r="H276" s="18"/>
      <c r="I276" s="18"/>
      <c r="J276" s="268"/>
      <c r="L276" s="162"/>
    </row>
    <row r="277" spans="1:12" x14ac:dyDescent="0.35">
      <c r="A277" s="255"/>
      <c r="B277" s="271"/>
      <c r="D277" s="18"/>
      <c r="E277" s="18"/>
      <c r="F277" s="269"/>
      <c r="G277" s="18"/>
      <c r="H277" s="18"/>
      <c r="I277" s="18"/>
      <c r="J277" s="268"/>
      <c r="L277" s="162"/>
    </row>
    <row r="278" spans="1:12" x14ac:dyDescent="0.35">
      <c r="A278" s="255"/>
      <c r="B278" s="271"/>
      <c r="D278" s="18"/>
      <c r="E278" s="18"/>
      <c r="F278" s="269"/>
      <c r="G278" s="18"/>
      <c r="H278" s="18"/>
      <c r="I278" s="18"/>
      <c r="J278" s="268"/>
      <c r="L278" s="162"/>
    </row>
    <row r="279" spans="1:12" x14ac:dyDescent="0.35">
      <c r="A279" s="255"/>
      <c r="B279" s="271"/>
      <c r="D279" s="18"/>
      <c r="E279" s="18"/>
      <c r="F279" s="269"/>
      <c r="G279" s="18"/>
      <c r="H279" s="18"/>
      <c r="I279" s="18"/>
      <c r="J279" s="268"/>
      <c r="L279" s="162"/>
    </row>
    <row r="280" spans="1:12" x14ac:dyDescent="0.35">
      <c r="A280" s="255"/>
      <c r="B280" s="271"/>
      <c r="D280" s="18"/>
      <c r="E280" s="18"/>
      <c r="F280" s="269"/>
      <c r="G280" s="18"/>
      <c r="H280" s="18"/>
      <c r="I280" s="18"/>
      <c r="J280" s="268"/>
      <c r="L280" s="162"/>
    </row>
    <row r="281" spans="1:12" x14ac:dyDescent="0.35">
      <c r="A281" s="255"/>
      <c r="B281" s="271"/>
      <c r="D281" s="18"/>
      <c r="E281" s="18"/>
      <c r="F281" s="269"/>
      <c r="G281" s="18"/>
      <c r="H281" s="18"/>
      <c r="I281" s="18"/>
      <c r="J281" s="268"/>
      <c r="L281" s="162"/>
    </row>
    <row r="282" spans="1:12" x14ac:dyDescent="0.35">
      <c r="A282" s="255"/>
      <c r="B282" s="271"/>
      <c r="D282" s="18"/>
      <c r="E282" s="18"/>
      <c r="F282" s="269"/>
      <c r="G282" s="18"/>
      <c r="H282" s="18"/>
      <c r="I282" s="18"/>
      <c r="J282" s="268"/>
      <c r="L282" s="162"/>
    </row>
    <row r="283" spans="1:12" x14ac:dyDescent="0.35">
      <c r="A283" s="255"/>
      <c r="B283" s="271"/>
      <c r="D283" s="18"/>
      <c r="E283" s="18"/>
      <c r="F283" s="269"/>
      <c r="G283" s="18"/>
      <c r="H283" s="18"/>
      <c r="I283" s="18"/>
      <c r="J283" s="268"/>
      <c r="L283" s="162"/>
    </row>
    <row r="284" spans="1:12" x14ac:dyDescent="0.35">
      <c r="A284" s="255"/>
      <c r="B284" s="271"/>
      <c r="D284" s="18"/>
      <c r="E284" s="18"/>
      <c r="F284" s="269"/>
      <c r="G284" s="18"/>
      <c r="H284" s="18"/>
      <c r="I284" s="18"/>
      <c r="J284" s="268"/>
      <c r="L284" s="162"/>
    </row>
    <row r="285" spans="1:12" x14ac:dyDescent="0.35">
      <c r="A285" s="255"/>
      <c r="B285" s="271"/>
      <c r="D285" s="18"/>
      <c r="E285" s="18"/>
      <c r="F285" s="269"/>
      <c r="G285" s="18"/>
      <c r="H285" s="18"/>
      <c r="I285" s="18"/>
      <c r="J285" s="268"/>
      <c r="L285" s="162"/>
    </row>
    <row r="286" spans="1:12" x14ac:dyDescent="0.35">
      <c r="A286" s="255"/>
      <c r="B286" s="271"/>
      <c r="D286" s="18"/>
      <c r="E286" s="18"/>
      <c r="F286" s="269"/>
      <c r="G286" s="18"/>
      <c r="H286" s="18"/>
      <c r="I286" s="18"/>
      <c r="J286" s="268"/>
      <c r="L286" s="162"/>
    </row>
    <row r="287" spans="1:12" x14ac:dyDescent="0.35">
      <c r="A287" s="255"/>
      <c r="B287" s="271"/>
      <c r="D287" s="18"/>
      <c r="E287" s="18"/>
      <c r="F287" s="269"/>
      <c r="G287" s="18"/>
      <c r="H287" s="18"/>
      <c r="I287" s="18"/>
      <c r="J287" s="268"/>
      <c r="L287" s="162"/>
    </row>
    <row r="288" spans="1:12" x14ac:dyDescent="0.35">
      <c r="A288" s="255"/>
      <c r="B288" s="271"/>
      <c r="D288" s="18"/>
      <c r="E288" s="18"/>
      <c r="F288" s="269"/>
      <c r="G288" s="18"/>
      <c r="H288" s="18"/>
      <c r="I288" s="18"/>
      <c r="J288" s="268"/>
      <c r="L288" s="162"/>
    </row>
    <row r="289" spans="1:12" x14ac:dyDescent="0.35">
      <c r="A289" s="255"/>
      <c r="B289" s="271"/>
      <c r="D289" s="18"/>
      <c r="E289" s="18"/>
      <c r="F289" s="269"/>
      <c r="G289" s="18"/>
      <c r="H289" s="18"/>
      <c r="I289" s="18"/>
      <c r="J289" s="268"/>
      <c r="L289" s="162"/>
    </row>
    <row r="290" spans="1:12" x14ac:dyDescent="0.35">
      <c r="A290" s="255"/>
      <c r="B290" s="271"/>
      <c r="D290" s="18"/>
      <c r="E290" s="18"/>
      <c r="F290" s="269"/>
      <c r="G290" s="18"/>
      <c r="H290" s="18"/>
      <c r="I290" s="18"/>
      <c r="J290" s="268"/>
      <c r="L290" s="162"/>
    </row>
    <row r="291" spans="1:12" x14ac:dyDescent="0.35">
      <c r="A291" s="255"/>
      <c r="B291" s="271"/>
      <c r="D291" s="18"/>
      <c r="E291" s="18"/>
      <c r="F291" s="269"/>
      <c r="G291" s="18"/>
      <c r="H291" s="18"/>
      <c r="I291" s="18"/>
      <c r="J291" s="268"/>
      <c r="L291" s="162"/>
    </row>
    <row r="292" spans="1:12" x14ac:dyDescent="0.35">
      <c r="A292" s="255"/>
      <c r="B292" s="271"/>
      <c r="D292" s="18"/>
      <c r="E292" s="18"/>
      <c r="F292" s="269"/>
      <c r="G292" s="18"/>
      <c r="H292" s="18"/>
      <c r="I292" s="18"/>
      <c r="J292" s="268"/>
      <c r="L292" s="162"/>
    </row>
    <row r="293" spans="1:12" x14ac:dyDescent="0.35">
      <c r="A293" s="255"/>
      <c r="B293" s="271"/>
      <c r="D293" s="18"/>
      <c r="E293" s="18"/>
      <c r="F293" s="269"/>
      <c r="G293" s="18"/>
      <c r="H293" s="18"/>
      <c r="I293" s="18"/>
      <c r="J293" s="268"/>
      <c r="L293" s="162"/>
    </row>
    <row r="294" spans="1:12" x14ac:dyDescent="0.35">
      <c r="A294" s="255"/>
      <c r="B294" s="271"/>
      <c r="D294" s="18"/>
      <c r="E294" s="18"/>
      <c r="F294" s="269"/>
      <c r="G294" s="18"/>
      <c r="H294" s="18"/>
      <c r="I294" s="18"/>
      <c r="J294" s="268"/>
      <c r="L294" s="162"/>
    </row>
    <row r="295" spans="1:12" x14ac:dyDescent="0.35">
      <c r="A295" s="255"/>
      <c r="B295" s="271"/>
      <c r="D295" s="18"/>
      <c r="E295" s="18"/>
      <c r="F295" s="269"/>
      <c r="G295" s="18"/>
      <c r="H295" s="18"/>
      <c r="I295" s="18"/>
      <c r="J295" s="268"/>
      <c r="L295" s="162"/>
    </row>
    <row r="296" spans="1:12" x14ac:dyDescent="0.35">
      <c r="A296" s="255"/>
      <c r="B296" s="271"/>
      <c r="D296" s="18"/>
      <c r="E296" s="18"/>
      <c r="F296" s="269"/>
      <c r="G296" s="18"/>
      <c r="H296" s="18"/>
      <c r="I296" s="18"/>
      <c r="J296" s="268"/>
      <c r="L296" s="162"/>
    </row>
    <row r="297" spans="1:12" x14ac:dyDescent="0.35">
      <c r="A297" s="255"/>
      <c r="B297" s="271"/>
      <c r="D297" s="18"/>
      <c r="E297" s="18"/>
      <c r="F297" s="269"/>
      <c r="G297" s="18"/>
      <c r="H297" s="18"/>
      <c r="I297" s="18"/>
      <c r="J297" s="268"/>
      <c r="L297" s="162"/>
    </row>
    <row r="298" spans="1:12" x14ac:dyDescent="0.35">
      <c r="A298" s="255"/>
      <c r="B298" s="271"/>
      <c r="D298" s="18"/>
      <c r="E298" s="18"/>
      <c r="F298" s="269"/>
      <c r="G298" s="18"/>
      <c r="H298" s="18"/>
      <c r="I298" s="18"/>
      <c r="J298" s="268"/>
      <c r="L298" s="162"/>
    </row>
    <row r="299" spans="1:12" x14ac:dyDescent="0.35">
      <c r="A299" s="255"/>
      <c r="B299" s="271"/>
      <c r="D299" s="18"/>
      <c r="E299" s="18"/>
      <c r="F299" s="269"/>
      <c r="G299" s="18"/>
      <c r="H299" s="18"/>
      <c r="I299" s="18"/>
      <c r="J299" s="268"/>
      <c r="L299" s="162"/>
    </row>
    <row r="300" spans="1:12" x14ac:dyDescent="0.35">
      <c r="A300" s="255"/>
      <c r="B300" s="271"/>
      <c r="D300" s="18"/>
      <c r="E300" s="18"/>
      <c r="F300" s="269"/>
      <c r="G300" s="18"/>
      <c r="H300" s="18"/>
      <c r="I300" s="18"/>
      <c r="J300" s="268"/>
      <c r="L300" s="162"/>
    </row>
    <row r="301" spans="1:12" x14ac:dyDescent="0.35">
      <c r="A301" s="255"/>
      <c r="B301" s="271"/>
      <c r="D301" s="18"/>
      <c r="E301" s="18"/>
      <c r="F301" s="269"/>
      <c r="G301" s="18"/>
      <c r="H301" s="18"/>
      <c r="I301" s="18"/>
      <c r="J301" s="268"/>
      <c r="L301" s="162"/>
    </row>
    <row r="302" spans="1:12" x14ac:dyDescent="0.35">
      <c r="A302" s="255"/>
      <c r="B302" s="271"/>
      <c r="D302" s="18"/>
      <c r="E302" s="18"/>
      <c r="F302" s="269"/>
      <c r="G302" s="18"/>
      <c r="H302" s="18"/>
      <c r="I302" s="18"/>
      <c r="J302" s="268"/>
      <c r="L302" s="162"/>
    </row>
    <row r="303" spans="1:12" x14ac:dyDescent="0.35">
      <c r="A303" s="255"/>
      <c r="B303" s="271"/>
      <c r="D303" s="18"/>
      <c r="E303" s="18"/>
      <c r="F303" s="269"/>
      <c r="G303" s="18"/>
      <c r="H303" s="18"/>
      <c r="I303" s="18"/>
      <c r="J303" s="268"/>
      <c r="L303" s="162"/>
    </row>
    <row r="304" spans="1:12" x14ac:dyDescent="0.35">
      <c r="A304" s="255"/>
      <c r="B304" s="271"/>
      <c r="D304" s="18"/>
      <c r="E304" s="18"/>
      <c r="F304" s="269"/>
      <c r="G304" s="18"/>
      <c r="H304" s="18"/>
      <c r="I304" s="18"/>
      <c r="J304" s="268"/>
      <c r="L304" s="162"/>
    </row>
    <row r="305" spans="1:12" x14ac:dyDescent="0.35">
      <c r="A305" s="255"/>
      <c r="B305" s="271"/>
      <c r="D305" s="18"/>
      <c r="E305" s="18"/>
      <c r="F305" s="269"/>
      <c r="G305" s="18"/>
      <c r="H305" s="18"/>
      <c r="I305" s="18"/>
      <c r="J305" s="268"/>
      <c r="L305" s="162"/>
    </row>
    <row r="306" spans="1:12" x14ac:dyDescent="0.35">
      <c r="A306" s="255"/>
      <c r="B306" s="271"/>
      <c r="D306" s="18"/>
      <c r="E306" s="18"/>
      <c r="F306" s="269"/>
      <c r="G306" s="18"/>
      <c r="H306" s="18"/>
      <c r="I306" s="18"/>
      <c r="J306" s="268"/>
      <c r="L306" s="162"/>
    </row>
    <row r="307" spans="1:12" x14ac:dyDescent="0.35">
      <c r="A307" s="255"/>
      <c r="B307" s="271"/>
      <c r="D307" s="18"/>
      <c r="E307" s="18"/>
      <c r="F307" s="269"/>
      <c r="G307" s="18"/>
      <c r="H307" s="18"/>
      <c r="I307" s="18"/>
      <c r="J307" s="268"/>
      <c r="L307" s="162"/>
    </row>
    <row r="308" spans="1:12" x14ac:dyDescent="0.35">
      <c r="A308" s="255"/>
      <c r="B308" s="271"/>
      <c r="D308" s="18"/>
      <c r="E308" s="18"/>
      <c r="F308" s="269"/>
      <c r="G308" s="18"/>
      <c r="H308" s="18"/>
      <c r="I308" s="18"/>
      <c r="J308" s="268"/>
      <c r="L308" s="162"/>
    </row>
    <row r="309" spans="1:12" x14ac:dyDescent="0.35">
      <c r="A309" s="255"/>
      <c r="B309" s="271"/>
      <c r="D309" s="18"/>
      <c r="E309" s="18"/>
      <c r="F309" s="269"/>
      <c r="G309" s="18"/>
      <c r="H309" s="18"/>
      <c r="I309" s="18"/>
      <c r="J309" s="268"/>
      <c r="L309" s="162"/>
    </row>
    <row r="310" spans="1:12" x14ac:dyDescent="0.35">
      <c r="A310" s="255"/>
      <c r="B310" s="271"/>
      <c r="D310" s="18"/>
      <c r="E310" s="18"/>
      <c r="F310" s="269"/>
      <c r="G310" s="18"/>
      <c r="H310" s="18"/>
      <c r="I310" s="18"/>
      <c r="J310" s="268"/>
      <c r="L310" s="162"/>
    </row>
    <row r="311" spans="1:12" x14ac:dyDescent="0.35">
      <c r="A311" s="255"/>
      <c r="B311" s="271"/>
      <c r="D311" s="18"/>
      <c r="E311" s="18"/>
      <c r="F311" s="269"/>
      <c r="G311" s="18"/>
      <c r="H311" s="18"/>
      <c r="I311" s="18"/>
      <c r="J311" s="268"/>
      <c r="L311" s="162"/>
    </row>
    <row r="312" spans="1:12" x14ac:dyDescent="0.35">
      <c r="A312" s="255"/>
      <c r="B312" s="271"/>
      <c r="D312" s="18"/>
      <c r="E312" s="18"/>
      <c r="F312" s="269"/>
      <c r="G312" s="18"/>
      <c r="H312" s="18"/>
      <c r="I312" s="18"/>
      <c r="J312" s="268"/>
      <c r="L312" s="162"/>
    </row>
    <row r="313" spans="1:12" x14ac:dyDescent="0.35">
      <c r="A313" s="255"/>
      <c r="B313" s="271"/>
      <c r="D313" s="18"/>
      <c r="E313" s="18"/>
      <c r="F313" s="269"/>
      <c r="G313" s="18"/>
      <c r="H313" s="18"/>
      <c r="I313" s="18"/>
      <c r="J313" s="268"/>
      <c r="L313" s="162"/>
    </row>
    <row r="314" spans="1:12" x14ac:dyDescent="0.35">
      <c r="A314" s="255"/>
      <c r="B314" s="271"/>
      <c r="D314" s="18"/>
      <c r="E314" s="18"/>
      <c r="F314" s="269"/>
      <c r="G314" s="18"/>
      <c r="H314" s="18"/>
      <c r="I314" s="18"/>
      <c r="J314" s="268"/>
      <c r="L314" s="162"/>
    </row>
    <row r="315" spans="1:12" x14ac:dyDescent="0.35">
      <c r="A315" s="255"/>
      <c r="B315" s="271"/>
      <c r="D315" s="18"/>
      <c r="E315" s="18"/>
      <c r="F315" s="269"/>
      <c r="G315" s="18"/>
      <c r="H315" s="18"/>
      <c r="I315" s="18"/>
      <c r="J315" s="268"/>
      <c r="L315" s="162"/>
    </row>
    <row r="316" spans="1:12" x14ac:dyDescent="0.35">
      <c r="L316" s="162"/>
    </row>
    <row r="317" spans="1:12" x14ac:dyDescent="0.35">
      <c r="L317" s="162"/>
    </row>
    <row r="318" spans="1:12" x14ac:dyDescent="0.35">
      <c r="L318" s="162"/>
    </row>
    <row r="319" spans="1:12" x14ac:dyDescent="0.35">
      <c r="L319" s="162"/>
    </row>
  </sheetData>
  <mergeCells count="1">
    <mergeCell ref="A3:I3"/>
  </mergeCells>
  <pageMargins left="0.7" right="0.7" top="0.75" bottom="0.75" header="0.3" footer="0.3"/>
  <pageSetup scale="58"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EACA-195D-4B20-89E3-1896FA8E74FE}">
  <sheetPr codeName="Sheet1"/>
  <dimension ref="A1:AD83"/>
  <sheetViews>
    <sheetView showGridLines="0" zoomScale="115" zoomScaleNormal="115" workbookViewId="0">
      <selection activeCell="M22" sqref="M22"/>
    </sheetView>
  </sheetViews>
  <sheetFormatPr defaultColWidth="9.1796875" defaultRowHeight="12.5" x14ac:dyDescent="0.25"/>
  <cols>
    <col min="1" max="1" width="12.7265625" style="290" customWidth="1"/>
    <col min="2" max="2" width="18.1796875" style="305" bestFit="1" customWidth="1"/>
    <col min="3" max="3" width="18.54296875" style="345" bestFit="1" customWidth="1"/>
    <col min="4" max="6" width="12.7265625" style="290" customWidth="1"/>
    <col min="7" max="7" width="14" style="290" bestFit="1" customWidth="1"/>
    <col min="8" max="8" width="12.7265625" style="290" customWidth="1"/>
    <col min="9" max="9" width="13.81640625" style="290" bestFit="1" customWidth="1"/>
    <col min="10" max="12" width="12.7265625" style="290" customWidth="1"/>
    <col min="13" max="13" width="16.7265625" style="290" bestFit="1" customWidth="1"/>
    <col min="14" max="14" width="14.7265625" style="290" bestFit="1" customWidth="1"/>
    <col min="15" max="15" width="14.54296875" style="290" bestFit="1" customWidth="1"/>
    <col min="16" max="17" width="12.7265625" style="290" customWidth="1"/>
    <col min="18" max="18" width="16.453125" style="290" customWidth="1"/>
    <col min="19" max="19" width="12.7265625" style="290" customWidth="1"/>
    <col min="20" max="20" width="11.26953125" style="290" bestFit="1" customWidth="1"/>
    <col min="21" max="21" width="11.54296875" style="290" bestFit="1" customWidth="1"/>
    <col min="22" max="16384" width="9.1796875" style="290"/>
  </cols>
  <sheetData>
    <row r="1" spans="1:30" ht="13" x14ac:dyDescent="0.3">
      <c r="A1" s="289" t="s">
        <v>242</v>
      </c>
      <c r="B1" s="290"/>
      <c r="C1" s="290"/>
      <c r="F1" s="291"/>
      <c r="G1" s="291"/>
      <c r="H1" s="291"/>
      <c r="I1" s="291"/>
    </row>
    <row r="2" spans="1:30" ht="13" x14ac:dyDescent="0.3">
      <c r="A2" s="292"/>
      <c r="B2" s="293"/>
      <c r="C2" s="290"/>
      <c r="E2" s="294" t="str">
        <f>CONCATENATE(C6," Year Financing")</f>
        <v>20 Year Financing</v>
      </c>
      <c r="F2" s="289"/>
      <c r="G2" s="295"/>
      <c r="H2" s="289"/>
      <c r="I2" s="289"/>
      <c r="J2" s="289"/>
    </row>
    <row r="3" spans="1:30" ht="13" x14ac:dyDescent="0.3">
      <c r="A3" s="292"/>
      <c r="B3" s="293"/>
      <c r="C3" s="290"/>
      <c r="E3" s="296" t="s">
        <v>243</v>
      </c>
      <c r="F3" s="297" t="s">
        <v>244</v>
      </c>
      <c r="G3" s="297" t="s">
        <v>245</v>
      </c>
      <c r="H3" s="297" t="s">
        <v>246</v>
      </c>
      <c r="I3" s="297" t="s">
        <v>247</v>
      </c>
      <c r="J3" s="297" t="s">
        <v>248</v>
      </c>
      <c r="L3" s="289"/>
      <c r="M3" s="298"/>
    </row>
    <row r="4" spans="1:30" ht="13" x14ac:dyDescent="0.3">
      <c r="A4" s="292"/>
      <c r="B4" s="290"/>
      <c r="C4" s="290"/>
      <c r="E4" s="299" t="s">
        <v>135</v>
      </c>
      <c r="F4" s="300">
        <f>IFERROR(ROUND(SUMPRODUCT(H15:H75,$E$15:$E$75)/SUM(H15:H75),2),0)</f>
        <v>11.92</v>
      </c>
      <c r="G4" s="300">
        <f>IFERROR(ROUND(SUMPRODUCT(K15:K75,$E$15:$E$75)/SUM(K15:K75),2),0)</f>
        <v>0</v>
      </c>
      <c r="H4" s="300">
        <f>IFERROR(ROUND(SUMPRODUCT(N15:N75,$E$15:$E$75)/SUM(N15:N75),2),0)</f>
        <v>0</v>
      </c>
      <c r="I4" s="300">
        <f>IFERROR(ROUND(SUMPRODUCT(Q15:Q75,$E$15:$E$75)/SUM(Q15:Q75),2),0)</f>
        <v>0</v>
      </c>
      <c r="J4" s="301">
        <f>SUMPRODUCT(F4:I4,$F$6:$I$6)/$J$6</f>
        <v>11.92</v>
      </c>
      <c r="L4" s="289" t="s">
        <v>249</v>
      </c>
      <c r="M4" s="302">
        <v>18044476.862238221</v>
      </c>
    </row>
    <row r="5" spans="1:30" ht="13" x14ac:dyDescent="0.3">
      <c r="B5" s="289" t="s">
        <v>250</v>
      </c>
      <c r="C5" s="303">
        <v>45292</v>
      </c>
      <c r="E5" s="290" t="s">
        <v>251</v>
      </c>
      <c r="F5" s="304">
        <f>IF(F4&lt;6,B17, IF(AND(F4&gt;=6, F4&lt;8.6),B18, IF(F4&gt;=8.6, B19,B19)))</f>
        <v>10</v>
      </c>
      <c r="G5" s="304">
        <f>IF(G4&gt;0, IF(G4&lt;6,B20, IF(AND(G4&gt;=6, G4&lt;8.6),B21, IF(G4&gt;=8.6, B22,B22))), 0)</f>
        <v>0</v>
      </c>
      <c r="H5" s="304">
        <f t="array" ref="H5">IF(H4&gt;0, INDEX($B$17:$B$24, MATCH(MIN(ABS($B$17:$B$24-H4)), ABS($B$17:$B$24-H4),0)), 0)</f>
        <v>0</v>
      </c>
      <c r="I5" s="304">
        <f t="array" ref="I5">IF(I4&gt;0, INDEX($B$17:$B$24, MATCH(MIN(ABS($B$17:$B$24-I4)), ABS($B$17:$B$24-I4),0)), 0)</f>
        <v>0</v>
      </c>
      <c r="J5" s="305"/>
      <c r="L5" s="289" t="s">
        <v>181</v>
      </c>
      <c r="M5" s="306">
        <f>SUM(INDEX($E$15:$R$75,MATCH($C$6,$E$15:$E$75,0),3),INDEX($E$15:$R$75,MATCH($C$6,$E$15:$E$75,0),6),INDEX($E$15:$R$75,MATCH($C$6,$E$15:$E$75,0),9),INDEX($E$15:$R$75,MATCH($C$6,$E$15:$E$75,0),12))</f>
        <v>0</v>
      </c>
    </row>
    <row r="6" spans="1:30" ht="13" x14ac:dyDescent="0.3">
      <c r="B6" s="289" t="s">
        <v>252</v>
      </c>
      <c r="C6" s="307">
        <v>20</v>
      </c>
      <c r="D6" s="308"/>
      <c r="E6" s="299" t="s">
        <v>253</v>
      </c>
      <c r="F6" s="309">
        <f>C8</f>
        <v>446700000</v>
      </c>
      <c r="G6" s="309">
        <f>C9</f>
        <v>0</v>
      </c>
      <c r="H6" s="309">
        <f>C10</f>
        <v>0</v>
      </c>
      <c r="I6" s="309">
        <f>C11</f>
        <v>0</v>
      </c>
      <c r="J6" s="310">
        <f>SUM(F6:I6)</f>
        <v>446700000</v>
      </c>
      <c r="K6" s="311" t="str">
        <f>IF(J6=C7, "TRUE", "FALSE")</f>
        <v>TRUE</v>
      </c>
      <c r="N6" s="308"/>
    </row>
    <row r="7" spans="1:30" ht="13" x14ac:dyDescent="0.3">
      <c r="B7" s="289" t="s">
        <v>254</v>
      </c>
      <c r="C7" s="312">
        <v>446700000</v>
      </c>
      <c r="E7" s="299" t="s">
        <v>255</v>
      </c>
      <c r="F7" s="313">
        <v>5.1659999999999998E-2</v>
      </c>
      <c r="G7" s="314">
        <v>0</v>
      </c>
      <c r="H7" s="314">
        <v>0</v>
      </c>
      <c r="I7" s="314">
        <v>0</v>
      </c>
      <c r="J7" s="314">
        <f>SUMPRODUCT(F7:I7,F6:I6)/J6</f>
        <v>5.1659999999999998E-2</v>
      </c>
      <c r="M7" s="315" t="s">
        <v>256</v>
      </c>
    </row>
    <row r="8" spans="1:30" ht="13" x14ac:dyDescent="0.3">
      <c r="B8" s="289" t="s">
        <v>257</v>
      </c>
      <c r="C8" s="312">
        <v>446700000</v>
      </c>
      <c r="E8" s="299" t="s">
        <v>258</v>
      </c>
      <c r="F8" s="316">
        <f>IFERROR(VLOOKUP(ROUNDUP(F4,0), $B$27:$C$42, 2, TRUE),0)</f>
        <v>140</v>
      </c>
      <c r="G8" s="316">
        <f>IFERROR(VLOOKUP(G4, $B$27:$C$42, 2, TRUE),0)</f>
        <v>0</v>
      </c>
      <c r="H8" s="316">
        <f>IFERROR(VLOOKUP(H5, $B$28:$C$42, 2, TRUE),0)</f>
        <v>0</v>
      </c>
      <c r="I8" s="316">
        <f>IFERROR(VLOOKUP(I5, $B$28:$C$42, 2, TRUE),0)</f>
        <v>0</v>
      </c>
      <c r="J8" s="317">
        <f>SUMPRODUCT(F8:I8,$F$6:$I$6)/$J$6</f>
        <v>140</v>
      </c>
      <c r="L8" s="308"/>
      <c r="M8" s="318">
        <f>(M4-INDEX($E$15:$T$75, MATCH($C$6,$E$15:$E$75, 0), 16))</f>
        <v>3.6155804991722107E-4</v>
      </c>
      <c r="N8" s="319"/>
      <c r="O8" s="320"/>
    </row>
    <row r="9" spans="1:30" ht="14.5" x14ac:dyDescent="0.35">
      <c r="A9"/>
      <c r="B9" s="289" t="s">
        <v>259</v>
      </c>
      <c r="C9" s="321">
        <f>C7-C8</f>
        <v>0</v>
      </c>
      <c r="E9" s="299" t="s">
        <v>260</v>
      </c>
      <c r="F9" s="314">
        <f>IFERROR(ROUND(VLOOKUP(F$5,$B$17:$C$24,2,TRUE)%+(F$8/10000),5),0)</f>
        <v>5.1659999999999998E-2</v>
      </c>
      <c r="G9" s="314">
        <f>IFERROR(ROUND(VLOOKUP(G$5,$B$17:$C$24,2,TRUE)%+(G$8/10000),5),0)</f>
        <v>0</v>
      </c>
      <c r="H9" s="314">
        <f>IFERROR(ROUND(VLOOKUP(H$5,$B$17:$C$24,2,TRUE)%+(H$8/10000),5),0)</f>
        <v>0</v>
      </c>
      <c r="I9" s="314">
        <f>IFERROR(ROUND(VLOOKUP(I$5,$B$17:$C$24,2,TRUE)%+(I$8/10000),5),0)</f>
        <v>0</v>
      </c>
      <c r="J9" s="314">
        <f>SUMPRODUCT(F9:I9,$F$6:$I$6)/$J$6</f>
        <v>5.1659999999999998E-2</v>
      </c>
      <c r="K9" s="308"/>
      <c r="M9" s="322" t="b">
        <f>AND($M$8&lt;1,M5=0, F7=F9,G7=G9,H7=H9,I7=I9)</f>
        <v>1</v>
      </c>
      <c r="N9" s="319"/>
    </row>
    <row r="10" spans="1:30" ht="14.5" x14ac:dyDescent="0.35">
      <c r="A10"/>
      <c r="B10" s="289" t="s">
        <v>261</v>
      </c>
      <c r="C10" s="321">
        <v>0</v>
      </c>
      <c r="E10" s="299" t="s">
        <v>262</v>
      </c>
      <c r="F10" s="323" t="str">
        <f>IFERROR(MATCH(TRUE,INDEX(H16:H75&lt;&gt;0,),0)/20&amp;"-"&amp;F11,0)</f>
        <v>0.05-20</v>
      </c>
      <c r="G10" s="323" t="str">
        <f>IFERROR(F11&amp;"-"&amp;G11,0)</f>
        <v>20-0</v>
      </c>
      <c r="H10" s="323">
        <f>IFERROR(MATCH(TRUE,INDEX(N16:N75&lt;&gt;0,),0)/20&amp;"-"&amp;H11,0)</f>
        <v>0</v>
      </c>
      <c r="I10" s="323">
        <f>IFERROR(MATCH(TRUE,INDEX(Q16:Q75&lt;&gt;0,),0)/20&amp;"-"&amp;I11,0)</f>
        <v>0</v>
      </c>
      <c r="J10" s="314"/>
      <c r="K10" s="308"/>
    </row>
    <row r="11" spans="1:30" ht="14.5" x14ac:dyDescent="0.35">
      <c r="A11"/>
      <c r="B11" s="289" t="s">
        <v>263</v>
      </c>
      <c r="C11" s="321">
        <v>0</v>
      </c>
      <c r="E11" s="299" t="s">
        <v>264</v>
      </c>
      <c r="F11" s="300">
        <f>IF(G15&gt;0, MATCH(0, G16:G75, 0)/2, 0)</f>
        <v>20</v>
      </c>
      <c r="G11" s="300">
        <f>IF(J15&gt;0, MATCH(0, J16:J75, 0)/2, 0)</f>
        <v>0</v>
      </c>
      <c r="H11" s="300">
        <f>IF(M15&gt;0, MATCH(0, M16:M75, 0)/2, 0)</f>
        <v>0</v>
      </c>
      <c r="I11" s="300">
        <f>IF(P15&gt;0, MATCH(0, P16:P75, 0)/2, 0)</f>
        <v>0</v>
      </c>
      <c r="J11" s="314"/>
      <c r="K11" s="324"/>
      <c r="L11" s="325"/>
      <c r="M11" s="325"/>
      <c r="N11" s="325"/>
      <c r="O11" s="325"/>
      <c r="P11" s="325"/>
      <c r="Q11" s="325"/>
      <c r="R11" s="325"/>
      <c r="S11" s="325"/>
      <c r="T11" s="325"/>
    </row>
    <row r="12" spans="1:30" ht="16.5" x14ac:dyDescent="0.35">
      <c r="A12"/>
      <c r="B12" s="289" t="s">
        <v>265</v>
      </c>
      <c r="C12" s="307">
        <v>1</v>
      </c>
      <c r="E12" s="325">
        <v>1</v>
      </c>
      <c r="F12" s="324">
        <f>E12+1</f>
        <v>2</v>
      </c>
      <c r="G12" s="325">
        <f t="shared" ref="G12:T12" si="0">F12+1</f>
        <v>3</v>
      </c>
      <c r="H12" s="325">
        <f t="shared" si="0"/>
        <v>4</v>
      </c>
      <c r="I12" s="325">
        <f t="shared" si="0"/>
        <v>5</v>
      </c>
      <c r="J12" s="325">
        <f t="shared" si="0"/>
        <v>6</v>
      </c>
      <c r="K12" s="325">
        <f t="shared" si="0"/>
        <v>7</v>
      </c>
      <c r="L12" s="325">
        <f t="shared" si="0"/>
        <v>8</v>
      </c>
      <c r="M12" s="325">
        <f t="shared" si="0"/>
        <v>9</v>
      </c>
      <c r="N12" s="325">
        <f t="shared" si="0"/>
        <v>10</v>
      </c>
      <c r="O12" s="325">
        <f t="shared" si="0"/>
        <v>11</v>
      </c>
      <c r="P12" s="325">
        <f t="shared" si="0"/>
        <v>12</v>
      </c>
      <c r="Q12" s="325">
        <f t="shared" si="0"/>
        <v>13</v>
      </c>
      <c r="R12" s="325">
        <f t="shared" si="0"/>
        <v>14</v>
      </c>
      <c r="S12" s="325">
        <f t="shared" si="0"/>
        <v>15</v>
      </c>
      <c r="T12" s="325">
        <f t="shared" si="0"/>
        <v>16</v>
      </c>
      <c r="W12" s="326"/>
      <c r="X12" s="326"/>
      <c r="Y12" s="326"/>
      <c r="Z12" s="326"/>
      <c r="AA12" s="326"/>
      <c r="AB12" s="326"/>
      <c r="AC12" s="326"/>
      <c r="AD12" s="326"/>
    </row>
    <row r="13" spans="1:30" ht="14.5" x14ac:dyDescent="0.35">
      <c r="A13"/>
      <c r="B13" s="289"/>
      <c r="C13" s="327"/>
      <c r="G13" s="376" t="s">
        <v>244</v>
      </c>
      <c r="H13" s="376"/>
      <c r="I13" s="376"/>
      <c r="J13" s="376" t="s">
        <v>245</v>
      </c>
      <c r="K13" s="376"/>
      <c r="L13" s="376"/>
      <c r="M13" s="376" t="s">
        <v>246</v>
      </c>
      <c r="N13" s="376"/>
      <c r="O13" s="376"/>
      <c r="P13" s="376" t="s">
        <v>247</v>
      </c>
      <c r="Q13" s="376"/>
      <c r="R13" s="376"/>
    </row>
    <row r="14" spans="1:30" ht="16.5" x14ac:dyDescent="0.35">
      <c r="A14" s="328"/>
      <c r="B14" s="289"/>
      <c r="C14" s="327"/>
      <c r="E14" s="329" t="s">
        <v>266</v>
      </c>
      <c r="F14" s="329" t="s">
        <v>267</v>
      </c>
      <c r="G14" s="330" t="s">
        <v>253</v>
      </c>
      <c r="H14" s="331" t="s">
        <v>180</v>
      </c>
      <c r="I14" s="332" t="s">
        <v>7</v>
      </c>
      <c r="J14" s="331" t="s">
        <v>253</v>
      </c>
      <c r="K14" s="331" t="s">
        <v>180</v>
      </c>
      <c r="L14" s="332" t="s">
        <v>255</v>
      </c>
      <c r="M14" s="331" t="s">
        <v>253</v>
      </c>
      <c r="N14" s="331" t="s">
        <v>180</v>
      </c>
      <c r="O14" s="332" t="s">
        <v>255</v>
      </c>
      <c r="P14" s="331" t="s">
        <v>253</v>
      </c>
      <c r="Q14" s="331" t="s">
        <v>180</v>
      </c>
      <c r="R14" s="332" t="s">
        <v>255</v>
      </c>
      <c r="T14" s="329" t="s">
        <v>268</v>
      </c>
      <c r="W14" s="326"/>
    </row>
    <row r="15" spans="1:30" ht="16.5" x14ac:dyDescent="0.35">
      <c r="A15"/>
      <c r="B15" s="290"/>
      <c r="C15" s="333" t="s">
        <v>269</v>
      </c>
      <c r="D15" s="334">
        <v>1</v>
      </c>
      <c r="E15" s="335">
        <v>0</v>
      </c>
      <c r="F15" s="336">
        <f>C5</f>
        <v>45292</v>
      </c>
      <c r="G15" s="337">
        <f>F6</f>
        <v>446700000</v>
      </c>
      <c r="I15" s="338"/>
      <c r="J15" s="337">
        <f>G6</f>
        <v>0</v>
      </c>
      <c r="L15" s="338"/>
      <c r="M15" s="337">
        <f>H6</f>
        <v>0</v>
      </c>
      <c r="O15" s="338"/>
      <c r="P15" s="337">
        <f>I6</f>
        <v>0</v>
      </c>
      <c r="R15" s="338"/>
      <c r="T15" s="339"/>
      <c r="W15" s="326"/>
    </row>
    <row r="16" spans="1:30" ht="16.5" x14ac:dyDescent="0.35">
      <c r="A16"/>
      <c r="B16" s="340" t="s">
        <v>270</v>
      </c>
      <c r="C16" s="333">
        <v>45104</v>
      </c>
      <c r="D16" s="334">
        <f>D15+1</f>
        <v>2</v>
      </c>
      <c r="E16" s="341">
        <f t="shared" ref="E16:E75" si="1">ROUND(IF(YEARFRAC($F$15,F16)&lt;=$C$6,YEARFRAC($F$15,F16), 0),1)</f>
        <v>0.5</v>
      </c>
      <c r="F16" s="342">
        <f>EDATE(F15,6)</f>
        <v>45474</v>
      </c>
      <c r="G16" s="337">
        <f>G15-H16</f>
        <v>440193784.13776177</v>
      </c>
      <c r="H16" s="337">
        <f>MIN(G15, MAX(0, $M$4-I16-L16-O16-R16))</f>
        <v>6506215.8622382209</v>
      </c>
      <c r="I16" s="343">
        <f>IF(E16&gt;0, G15*($E16-$E15)*$F$7, 0)</f>
        <v>11538261</v>
      </c>
      <c r="J16" s="337">
        <f>J15-K16</f>
        <v>0</v>
      </c>
      <c r="K16" s="337">
        <f>MIN(J15, MAX(0, $M$4-H16-I16-L16-O16-R16))</f>
        <v>0</v>
      </c>
      <c r="L16" s="343">
        <f>J15*(0.5)*$G$7</f>
        <v>0</v>
      </c>
      <c r="M16" s="337">
        <f>M15-N16</f>
        <v>0</v>
      </c>
      <c r="N16" s="337">
        <f>ROUND(MIN(M15, MAX(0, $M$4-K16-L16-O16-H16-I16-R16)),0)</f>
        <v>0</v>
      </c>
      <c r="O16" s="343">
        <f>M15*($E16-$E15)*$H$7</f>
        <v>0</v>
      </c>
      <c r="P16" s="337">
        <f>P15-Q16</f>
        <v>0</v>
      </c>
      <c r="Q16" s="337">
        <f>ROUND(MIN(P15,MAX(0,$M$4-N16-O16-R16-K16-L16-H16-I16)),0)</f>
        <v>0</v>
      </c>
      <c r="R16" s="343">
        <f>P15*($E16-$E15)*$I$7</f>
        <v>0</v>
      </c>
      <c r="T16" s="344">
        <f>SUM(H16,I16,K16,L16,N16,O16,Q16,R16)</f>
        <v>18044476.862238221</v>
      </c>
      <c r="W16" s="326"/>
    </row>
    <row r="17" spans="1:23" ht="16.5" x14ac:dyDescent="0.35">
      <c r="A17"/>
      <c r="B17" s="305">
        <v>5</v>
      </c>
      <c r="C17" s="305">
        <v>4.0229999999999997</v>
      </c>
      <c r="D17" s="334">
        <f t="shared" ref="D17:D75" si="2">D16+1</f>
        <v>3</v>
      </c>
      <c r="E17" s="341">
        <f t="shared" si="1"/>
        <v>1</v>
      </c>
      <c r="F17" s="342">
        <f t="shared" ref="F17:F75" si="3">EDATE(F16,6)</f>
        <v>45658</v>
      </c>
      <c r="G17" s="337">
        <f t="shared" ref="G17:G75" si="4">G16-H17</f>
        <v>433519512.71980196</v>
      </c>
      <c r="H17" s="337">
        <f t="shared" ref="H17:H75" si="5">MIN(G16, MAX(0, $M$4-I17-L17-O17-R17))</f>
        <v>6674271.4179598354</v>
      </c>
      <c r="I17" s="343">
        <f t="shared" ref="I17:I75" si="6">IF(E17&gt;0, G16*($E17-$E16)*$F$7, 0)</f>
        <v>11370205.444278385</v>
      </c>
      <c r="J17" s="337">
        <f t="shared" ref="J17:J75" si="7">J16-K17</f>
        <v>0</v>
      </c>
      <c r="K17" s="337">
        <f t="shared" ref="K17:K75" si="8">MIN(J16, MAX(0, $M$4-H17-I17-L17-O17-R17))</f>
        <v>0</v>
      </c>
      <c r="L17" s="343">
        <f t="shared" ref="L17:L75" si="9">J16*(0.5)*$G$7</f>
        <v>0</v>
      </c>
      <c r="M17" s="337">
        <f t="shared" ref="M17:M75" si="10">M16-N17</f>
        <v>0</v>
      </c>
      <c r="N17" s="337">
        <f t="shared" ref="N17:N75" si="11">ROUND(MIN(M16, MAX(0, $M$4-K17-L17-O17-H17-I17-R17)),0)</f>
        <v>0</v>
      </c>
      <c r="O17" s="343">
        <f t="shared" ref="O17:O75" si="12">M16*($E17-$E16)*$H$7</f>
        <v>0</v>
      </c>
      <c r="P17" s="337">
        <f t="shared" ref="P17:P75" si="13">P16-Q17</f>
        <v>0</v>
      </c>
      <c r="Q17" s="337">
        <f t="shared" ref="Q17:Q75" si="14">ROUND(MIN(P16,MAX(0,$M$4-N17-O17-R17-K17-L17-H17-I17)),0)</f>
        <v>0</v>
      </c>
      <c r="R17" s="343">
        <f t="shared" ref="R17:R75" si="15">P16*($E17-$E16)*$I$7</f>
        <v>0</v>
      </c>
      <c r="T17" s="344">
        <f t="shared" ref="T17:T75" si="16">SUM(H17,I17,K17,L17,N17,O17,Q17,R17)</f>
        <v>18044476.862238221</v>
      </c>
      <c r="W17" s="326"/>
    </row>
    <row r="18" spans="1:23" ht="16.5" x14ac:dyDescent="0.35">
      <c r="A18"/>
      <c r="B18" s="305">
        <v>7</v>
      </c>
      <c r="C18" s="305">
        <v>3.9020000000000001</v>
      </c>
      <c r="D18" s="334">
        <f t="shared" si="2"/>
        <v>4</v>
      </c>
      <c r="E18" s="341">
        <f t="shared" si="1"/>
        <v>1.5</v>
      </c>
      <c r="F18" s="342">
        <f t="shared" si="3"/>
        <v>45839</v>
      </c>
      <c r="G18" s="337">
        <f t="shared" si="4"/>
        <v>426672844.87111622</v>
      </c>
      <c r="H18" s="337">
        <f t="shared" si="5"/>
        <v>6846667.8486857358</v>
      </c>
      <c r="I18" s="343">
        <f t="shared" si="6"/>
        <v>11197809.013552485</v>
      </c>
      <c r="J18" s="337">
        <f t="shared" si="7"/>
        <v>0</v>
      </c>
      <c r="K18" s="337">
        <f t="shared" si="8"/>
        <v>0</v>
      </c>
      <c r="L18" s="343">
        <f t="shared" si="9"/>
        <v>0</v>
      </c>
      <c r="M18" s="337">
        <f t="shared" si="10"/>
        <v>0</v>
      </c>
      <c r="N18" s="337">
        <f t="shared" si="11"/>
        <v>0</v>
      </c>
      <c r="O18" s="343">
        <f t="shared" si="12"/>
        <v>0</v>
      </c>
      <c r="P18" s="337">
        <f t="shared" si="13"/>
        <v>0</v>
      </c>
      <c r="Q18" s="337">
        <f t="shared" si="14"/>
        <v>0</v>
      </c>
      <c r="R18" s="343">
        <f t="shared" si="15"/>
        <v>0</v>
      </c>
      <c r="T18" s="344">
        <f t="shared" si="16"/>
        <v>18044476.862238221</v>
      </c>
      <c r="W18" s="326"/>
    </row>
    <row r="19" spans="1:23" ht="16.5" x14ac:dyDescent="0.35">
      <c r="A19"/>
      <c r="B19" s="305">
        <v>10</v>
      </c>
      <c r="C19" s="305">
        <v>3.766</v>
      </c>
      <c r="D19" s="334">
        <f t="shared" si="2"/>
        <v>5</v>
      </c>
      <c r="E19" s="341">
        <f t="shared" si="1"/>
        <v>2</v>
      </c>
      <c r="F19" s="342">
        <f t="shared" si="3"/>
        <v>46023</v>
      </c>
      <c r="G19" s="337">
        <f t="shared" si="4"/>
        <v>419649327.59189892</v>
      </c>
      <c r="H19" s="337">
        <f t="shared" si="5"/>
        <v>7023517.2792172898</v>
      </c>
      <c r="I19" s="343">
        <f t="shared" si="6"/>
        <v>11020959.583020931</v>
      </c>
      <c r="J19" s="337">
        <f t="shared" si="7"/>
        <v>0</v>
      </c>
      <c r="K19" s="337">
        <f t="shared" si="8"/>
        <v>0</v>
      </c>
      <c r="L19" s="343">
        <f t="shared" si="9"/>
        <v>0</v>
      </c>
      <c r="M19" s="337">
        <f t="shared" si="10"/>
        <v>0</v>
      </c>
      <c r="N19" s="337">
        <f t="shared" si="11"/>
        <v>0</v>
      </c>
      <c r="O19" s="343">
        <f t="shared" si="12"/>
        <v>0</v>
      </c>
      <c r="P19" s="337">
        <f t="shared" si="13"/>
        <v>0</v>
      </c>
      <c r="Q19" s="337">
        <f t="shared" si="14"/>
        <v>0</v>
      </c>
      <c r="R19" s="343">
        <f t="shared" si="15"/>
        <v>0</v>
      </c>
      <c r="T19" s="344">
        <f t="shared" si="16"/>
        <v>18044476.862238221</v>
      </c>
      <c r="W19" s="326"/>
    </row>
    <row r="20" spans="1:23" ht="16.5" x14ac:dyDescent="0.35">
      <c r="A20"/>
      <c r="C20" s="305"/>
      <c r="D20" s="334">
        <f t="shared" si="2"/>
        <v>6</v>
      </c>
      <c r="E20" s="341">
        <f>ROUND(IF(YEARFRAC($F$15,F20)&lt;=$C$6,YEARFRAC($F$15,F20), 0),1)</f>
        <v>2.5</v>
      </c>
      <c r="F20" s="342">
        <f t="shared" si="3"/>
        <v>46204</v>
      </c>
      <c r="G20" s="320">
        <f t="shared" si="4"/>
        <v>412444392.86135942</v>
      </c>
      <c r="H20" s="337">
        <f t="shared" si="5"/>
        <v>7204934.7305394728</v>
      </c>
      <c r="I20" s="343">
        <f t="shared" si="6"/>
        <v>10839542.131698748</v>
      </c>
      <c r="J20" s="337">
        <f t="shared" si="7"/>
        <v>0</v>
      </c>
      <c r="K20" s="337">
        <f t="shared" si="8"/>
        <v>0</v>
      </c>
      <c r="L20" s="343">
        <f t="shared" si="9"/>
        <v>0</v>
      </c>
      <c r="M20" s="337">
        <f t="shared" si="10"/>
        <v>0</v>
      </c>
      <c r="N20" s="337">
        <f t="shared" si="11"/>
        <v>0</v>
      </c>
      <c r="O20" s="343">
        <f t="shared" si="12"/>
        <v>0</v>
      </c>
      <c r="P20" s="337">
        <f t="shared" si="13"/>
        <v>0</v>
      </c>
      <c r="Q20" s="337">
        <f t="shared" si="14"/>
        <v>0</v>
      </c>
      <c r="R20" s="343">
        <f t="shared" si="15"/>
        <v>0</v>
      </c>
      <c r="T20" s="344">
        <f t="shared" si="16"/>
        <v>18044476.862238221</v>
      </c>
      <c r="W20" s="326"/>
    </row>
    <row r="21" spans="1:23" ht="16.5" x14ac:dyDescent="0.35">
      <c r="A21"/>
      <c r="C21" s="305"/>
      <c r="D21" s="334">
        <f t="shared" si="2"/>
        <v>7</v>
      </c>
      <c r="E21" s="341">
        <f t="shared" si="1"/>
        <v>3</v>
      </c>
      <c r="F21" s="342">
        <f t="shared" si="3"/>
        <v>46388</v>
      </c>
      <c r="G21" s="337">
        <f t="shared" si="4"/>
        <v>405053354.66673011</v>
      </c>
      <c r="H21" s="337">
        <f t="shared" si="5"/>
        <v>7391038.1946293078</v>
      </c>
      <c r="I21" s="343">
        <f t="shared" si="6"/>
        <v>10653438.667608913</v>
      </c>
      <c r="J21" s="337">
        <f t="shared" si="7"/>
        <v>0</v>
      </c>
      <c r="K21" s="337">
        <f t="shared" si="8"/>
        <v>0</v>
      </c>
      <c r="L21" s="343">
        <f t="shared" si="9"/>
        <v>0</v>
      </c>
      <c r="M21" s="337">
        <f t="shared" si="10"/>
        <v>0</v>
      </c>
      <c r="N21" s="337">
        <f t="shared" si="11"/>
        <v>0</v>
      </c>
      <c r="O21" s="343">
        <f t="shared" si="12"/>
        <v>0</v>
      </c>
      <c r="P21" s="337">
        <f t="shared" si="13"/>
        <v>0</v>
      </c>
      <c r="Q21" s="337">
        <f t="shared" si="14"/>
        <v>0</v>
      </c>
      <c r="R21" s="343">
        <f t="shared" si="15"/>
        <v>0</v>
      </c>
      <c r="T21" s="344">
        <f t="shared" si="16"/>
        <v>18044476.862238221</v>
      </c>
      <c r="W21" s="326"/>
    </row>
    <row r="22" spans="1:23" ht="14.5" x14ac:dyDescent="0.35">
      <c r="A22"/>
      <c r="C22" s="305"/>
      <c r="D22" s="334">
        <f t="shared" si="2"/>
        <v>8</v>
      </c>
      <c r="E22" s="341">
        <f t="shared" si="1"/>
        <v>3.5</v>
      </c>
      <c r="F22" s="342">
        <f t="shared" si="3"/>
        <v>46569</v>
      </c>
      <c r="G22" s="337">
        <f t="shared" si="4"/>
        <v>397471405.9555335</v>
      </c>
      <c r="H22" s="337">
        <f t="shared" si="5"/>
        <v>7581948.7111965828</v>
      </c>
      <c r="I22" s="343">
        <f t="shared" si="6"/>
        <v>10462528.151041638</v>
      </c>
      <c r="J22" s="337">
        <f t="shared" si="7"/>
        <v>0</v>
      </c>
      <c r="K22" s="337">
        <f t="shared" si="8"/>
        <v>0</v>
      </c>
      <c r="L22" s="343">
        <f t="shared" si="9"/>
        <v>0</v>
      </c>
      <c r="M22" s="337">
        <f t="shared" si="10"/>
        <v>0</v>
      </c>
      <c r="N22" s="337">
        <f t="shared" si="11"/>
        <v>0</v>
      </c>
      <c r="O22" s="343">
        <f t="shared" si="12"/>
        <v>0</v>
      </c>
      <c r="P22" s="337">
        <f t="shared" si="13"/>
        <v>0</v>
      </c>
      <c r="Q22" s="337">
        <f t="shared" si="14"/>
        <v>0</v>
      </c>
      <c r="R22" s="343">
        <f t="shared" si="15"/>
        <v>0</v>
      </c>
      <c r="T22" s="344">
        <f t="shared" si="16"/>
        <v>18044476.862238221</v>
      </c>
    </row>
    <row r="23" spans="1:23" x14ac:dyDescent="0.25">
      <c r="C23" s="305"/>
      <c r="D23" s="334">
        <f t="shared" si="2"/>
        <v>9</v>
      </c>
      <c r="E23" s="341">
        <f t="shared" si="1"/>
        <v>4</v>
      </c>
      <c r="F23" s="342">
        <f t="shared" si="3"/>
        <v>46753</v>
      </c>
      <c r="G23" s="337">
        <f t="shared" si="4"/>
        <v>389693615.50912672</v>
      </c>
      <c r="H23" s="337">
        <f t="shared" si="5"/>
        <v>7777790.446406791</v>
      </c>
      <c r="I23" s="343">
        <f t="shared" si="6"/>
        <v>10266686.41583143</v>
      </c>
      <c r="J23" s="337">
        <f t="shared" si="7"/>
        <v>0</v>
      </c>
      <c r="K23" s="337">
        <f t="shared" si="8"/>
        <v>0</v>
      </c>
      <c r="L23" s="343">
        <f t="shared" si="9"/>
        <v>0</v>
      </c>
      <c r="M23" s="337">
        <f t="shared" si="10"/>
        <v>0</v>
      </c>
      <c r="N23" s="337">
        <f t="shared" si="11"/>
        <v>0</v>
      </c>
      <c r="O23" s="343">
        <f t="shared" si="12"/>
        <v>0</v>
      </c>
      <c r="P23" s="337">
        <f t="shared" si="13"/>
        <v>0</v>
      </c>
      <c r="Q23" s="337">
        <f t="shared" si="14"/>
        <v>0</v>
      </c>
      <c r="R23" s="343">
        <f t="shared" si="15"/>
        <v>0</v>
      </c>
      <c r="T23" s="344">
        <f t="shared" si="16"/>
        <v>18044476.862238221</v>
      </c>
    </row>
    <row r="24" spans="1:23" x14ac:dyDescent="0.25">
      <c r="C24" s="305"/>
      <c r="D24" s="334">
        <f t="shared" si="2"/>
        <v>10</v>
      </c>
      <c r="E24" s="341">
        <f t="shared" si="1"/>
        <v>4.5</v>
      </c>
      <c r="F24" s="342">
        <f t="shared" si="3"/>
        <v>46935</v>
      </c>
      <c r="G24" s="337">
        <f t="shared" si="4"/>
        <v>381714924.73548925</v>
      </c>
      <c r="H24" s="337">
        <f t="shared" si="5"/>
        <v>7978690.7736374773</v>
      </c>
      <c r="I24" s="343">
        <f t="shared" si="6"/>
        <v>10065786.088600744</v>
      </c>
      <c r="J24" s="337">
        <f t="shared" si="7"/>
        <v>0</v>
      </c>
      <c r="K24" s="337">
        <f t="shared" si="8"/>
        <v>0</v>
      </c>
      <c r="L24" s="343">
        <f t="shared" si="9"/>
        <v>0</v>
      </c>
      <c r="M24" s="337">
        <f t="shared" si="10"/>
        <v>0</v>
      </c>
      <c r="N24" s="337">
        <f t="shared" si="11"/>
        <v>0</v>
      </c>
      <c r="O24" s="343">
        <f t="shared" si="12"/>
        <v>0</v>
      </c>
      <c r="P24" s="337">
        <f t="shared" si="13"/>
        <v>0</v>
      </c>
      <c r="Q24" s="337">
        <f t="shared" si="14"/>
        <v>0</v>
      </c>
      <c r="R24" s="343">
        <f t="shared" si="15"/>
        <v>0</v>
      </c>
      <c r="T24" s="344">
        <f t="shared" si="16"/>
        <v>18044476.862238221</v>
      </c>
    </row>
    <row r="25" spans="1:23" x14ac:dyDescent="0.25">
      <c r="D25" s="334">
        <f t="shared" si="2"/>
        <v>11</v>
      </c>
      <c r="E25" s="341">
        <f t="shared" si="1"/>
        <v>5</v>
      </c>
      <c r="F25" s="342">
        <f t="shared" si="3"/>
        <v>47119</v>
      </c>
      <c r="G25" s="337">
        <f t="shared" si="4"/>
        <v>373530144.37916869</v>
      </c>
      <c r="H25" s="337">
        <f t="shared" si="5"/>
        <v>8184780.3563205339</v>
      </c>
      <c r="I25" s="343">
        <f t="shared" si="6"/>
        <v>9859696.505917687</v>
      </c>
      <c r="J25" s="337">
        <f t="shared" si="7"/>
        <v>0</v>
      </c>
      <c r="K25" s="337">
        <f t="shared" si="8"/>
        <v>0</v>
      </c>
      <c r="L25" s="343">
        <f t="shared" si="9"/>
        <v>0</v>
      </c>
      <c r="M25" s="337">
        <f t="shared" si="10"/>
        <v>0</v>
      </c>
      <c r="N25" s="337">
        <f t="shared" si="11"/>
        <v>0</v>
      </c>
      <c r="O25" s="343">
        <f t="shared" si="12"/>
        <v>0</v>
      </c>
      <c r="P25" s="337">
        <f t="shared" si="13"/>
        <v>0</v>
      </c>
      <c r="Q25" s="337">
        <f t="shared" si="14"/>
        <v>0</v>
      </c>
      <c r="R25" s="343">
        <f t="shared" si="15"/>
        <v>0</v>
      </c>
      <c r="T25" s="344">
        <f t="shared" si="16"/>
        <v>18044476.862238221</v>
      </c>
    </row>
    <row r="26" spans="1:23" ht="13" x14ac:dyDescent="0.3">
      <c r="B26" s="340" t="s">
        <v>271</v>
      </c>
      <c r="C26" s="333">
        <v>45104</v>
      </c>
      <c r="D26" s="334">
        <f t="shared" si="2"/>
        <v>12</v>
      </c>
      <c r="E26" s="341">
        <f t="shared" si="1"/>
        <v>5.5</v>
      </c>
      <c r="F26" s="342">
        <f t="shared" si="3"/>
        <v>47300</v>
      </c>
      <c r="G26" s="337">
        <f t="shared" si="4"/>
        <v>365133951.14624441</v>
      </c>
      <c r="H26" s="337">
        <f t="shared" si="5"/>
        <v>8396193.2329242937</v>
      </c>
      <c r="I26" s="343">
        <f t="shared" si="6"/>
        <v>9648283.6293139271</v>
      </c>
      <c r="J26" s="337">
        <f t="shared" si="7"/>
        <v>0</v>
      </c>
      <c r="K26" s="337">
        <f t="shared" si="8"/>
        <v>0</v>
      </c>
      <c r="L26" s="343">
        <f t="shared" si="9"/>
        <v>0</v>
      </c>
      <c r="M26" s="337">
        <f t="shared" si="10"/>
        <v>0</v>
      </c>
      <c r="N26" s="337">
        <f t="shared" si="11"/>
        <v>0</v>
      </c>
      <c r="O26" s="343">
        <f t="shared" si="12"/>
        <v>0</v>
      </c>
      <c r="P26" s="337">
        <f t="shared" si="13"/>
        <v>0</v>
      </c>
      <c r="Q26" s="337">
        <f t="shared" si="14"/>
        <v>0</v>
      </c>
      <c r="R26" s="343">
        <f t="shared" si="15"/>
        <v>0</v>
      </c>
      <c r="T26" s="344">
        <f t="shared" si="16"/>
        <v>18044476.862238221</v>
      </c>
    </row>
    <row r="27" spans="1:23" x14ac:dyDescent="0.25">
      <c r="B27" s="305">
        <v>5</v>
      </c>
      <c r="C27" s="305">
        <v>105</v>
      </c>
      <c r="D27" s="334">
        <f t="shared" si="2"/>
        <v>13</v>
      </c>
      <c r="E27" s="341">
        <f t="shared" si="1"/>
        <v>6</v>
      </c>
      <c r="F27" s="342">
        <f t="shared" si="3"/>
        <v>47484</v>
      </c>
      <c r="G27" s="337">
        <f t="shared" si="4"/>
        <v>356520884.24211365</v>
      </c>
      <c r="H27" s="337">
        <f t="shared" si="5"/>
        <v>8613066.9041307289</v>
      </c>
      <c r="I27" s="343">
        <f t="shared" si="6"/>
        <v>9431409.958107492</v>
      </c>
      <c r="J27" s="337">
        <f t="shared" si="7"/>
        <v>0</v>
      </c>
      <c r="K27" s="337">
        <f t="shared" si="8"/>
        <v>0</v>
      </c>
      <c r="L27" s="343">
        <f t="shared" si="9"/>
        <v>0</v>
      </c>
      <c r="M27" s="337">
        <f t="shared" si="10"/>
        <v>0</v>
      </c>
      <c r="N27" s="337">
        <f t="shared" si="11"/>
        <v>0</v>
      </c>
      <c r="O27" s="343">
        <f t="shared" si="12"/>
        <v>0</v>
      </c>
      <c r="P27" s="337">
        <f t="shared" si="13"/>
        <v>0</v>
      </c>
      <c r="Q27" s="337">
        <f t="shared" si="14"/>
        <v>0</v>
      </c>
      <c r="R27" s="343">
        <f t="shared" si="15"/>
        <v>0</v>
      </c>
      <c r="T27" s="344">
        <f t="shared" si="16"/>
        <v>18044476.862238221</v>
      </c>
    </row>
    <row r="28" spans="1:23" x14ac:dyDescent="0.25">
      <c r="B28" s="305">
        <v>7</v>
      </c>
      <c r="C28" s="305">
        <v>120</v>
      </c>
      <c r="D28" s="334">
        <f t="shared" si="2"/>
        <v>14</v>
      </c>
      <c r="E28" s="341">
        <f t="shared" si="1"/>
        <v>6.5</v>
      </c>
      <c r="F28" s="342">
        <f t="shared" si="3"/>
        <v>47665</v>
      </c>
      <c r="G28" s="337">
        <f t="shared" si="4"/>
        <v>347685341.81984925</v>
      </c>
      <c r="H28" s="337">
        <f t="shared" si="5"/>
        <v>8835542.4222644251</v>
      </c>
      <c r="I28" s="343">
        <f t="shared" si="6"/>
        <v>9208934.4399737958</v>
      </c>
      <c r="J28" s="337">
        <f t="shared" si="7"/>
        <v>0</v>
      </c>
      <c r="K28" s="337">
        <f t="shared" si="8"/>
        <v>0</v>
      </c>
      <c r="L28" s="343">
        <f t="shared" si="9"/>
        <v>0</v>
      </c>
      <c r="M28" s="337">
        <f t="shared" si="10"/>
        <v>0</v>
      </c>
      <c r="N28" s="337">
        <f t="shared" si="11"/>
        <v>0</v>
      </c>
      <c r="O28" s="343">
        <f t="shared" si="12"/>
        <v>0</v>
      </c>
      <c r="P28" s="337">
        <f t="shared" si="13"/>
        <v>0</v>
      </c>
      <c r="Q28" s="337">
        <f t="shared" si="14"/>
        <v>0</v>
      </c>
      <c r="R28" s="343">
        <f t="shared" si="15"/>
        <v>0</v>
      </c>
      <c r="T28" s="344">
        <f t="shared" si="16"/>
        <v>18044476.862238221</v>
      </c>
    </row>
    <row r="29" spans="1:23" x14ac:dyDescent="0.25">
      <c r="B29" s="305">
        <v>10</v>
      </c>
      <c r="C29" s="305">
        <v>135</v>
      </c>
      <c r="D29" s="334">
        <f t="shared" si="2"/>
        <v>15</v>
      </c>
      <c r="E29" s="341">
        <f t="shared" si="1"/>
        <v>7</v>
      </c>
      <c r="F29" s="342">
        <f t="shared" si="3"/>
        <v>47849</v>
      </c>
      <c r="G29" s="337">
        <f t="shared" si="4"/>
        <v>338621577.33681774</v>
      </c>
      <c r="H29" s="337">
        <f t="shared" si="5"/>
        <v>9063764.483031515</v>
      </c>
      <c r="I29" s="343">
        <f t="shared" si="6"/>
        <v>8980712.3792067058</v>
      </c>
      <c r="J29" s="337">
        <f t="shared" si="7"/>
        <v>0</v>
      </c>
      <c r="K29" s="337">
        <f t="shared" si="8"/>
        <v>0</v>
      </c>
      <c r="L29" s="343">
        <f t="shared" si="9"/>
        <v>0</v>
      </c>
      <c r="M29" s="337">
        <f t="shared" si="10"/>
        <v>0</v>
      </c>
      <c r="N29" s="337">
        <f t="shared" si="11"/>
        <v>0</v>
      </c>
      <c r="O29" s="343">
        <f t="shared" si="12"/>
        <v>0</v>
      </c>
      <c r="P29" s="337">
        <f t="shared" si="13"/>
        <v>0</v>
      </c>
      <c r="Q29" s="337">
        <f t="shared" si="14"/>
        <v>0</v>
      </c>
      <c r="R29" s="343">
        <f t="shared" si="15"/>
        <v>0</v>
      </c>
      <c r="T29" s="344">
        <f t="shared" si="16"/>
        <v>18044476.862238221</v>
      </c>
    </row>
    <row r="30" spans="1:23" x14ac:dyDescent="0.25">
      <c r="B30" s="305">
        <v>12</v>
      </c>
      <c r="C30" s="305">
        <v>140</v>
      </c>
      <c r="D30" s="334">
        <f t="shared" si="2"/>
        <v>16</v>
      </c>
      <c r="E30" s="341">
        <f t="shared" si="1"/>
        <v>7.5</v>
      </c>
      <c r="F30" s="342">
        <f t="shared" si="3"/>
        <v>48030</v>
      </c>
      <c r="G30" s="337">
        <f t="shared" si="4"/>
        <v>329323695.81718951</v>
      </c>
      <c r="H30" s="337">
        <f t="shared" si="5"/>
        <v>9297881.5196282193</v>
      </c>
      <c r="I30" s="343">
        <f t="shared" si="6"/>
        <v>8746595.3426100016</v>
      </c>
      <c r="J30" s="337">
        <f t="shared" si="7"/>
        <v>0</v>
      </c>
      <c r="K30" s="337">
        <f t="shared" si="8"/>
        <v>0</v>
      </c>
      <c r="L30" s="343">
        <f t="shared" si="9"/>
        <v>0</v>
      </c>
      <c r="M30" s="337">
        <f t="shared" si="10"/>
        <v>0</v>
      </c>
      <c r="N30" s="337">
        <f t="shared" si="11"/>
        <v>0</v>
      </c>
      <c r="O30" s="343">
        <f t="shared" si="12"/>
        <v>0</v>
      </c>
      <c r="P30" s="337">
        <f t="shared" si="13"/>
        <v>0</v>
      </c>
      <c r="Q30" s="337">
        <f t="shared" si="14"/>
        <v>0</v>
      </c>
      <c r="R30" s="343">
        <f t="shared" si="15"/>
        <v>0</v>
      </c>
      <c r="T30" s="344">
        <f t="shared" si="16"/>
        <v>18044476.862238221</v>
      </c>
    </row>
    <row r="31" spans="1:23" x14ac:dyDescent="0.25">
      <c r="B31" s="305">
        <v>15</v>
      </c>
      <c r="C31" s="305">
        <v>150</v>
      </c>
      <c r="D31" s="334">
        <f t="shared" si="2"/>
        <v>17</v>
      </c>
      <c r="E31" s="341">
        <f t="shared" si="1"/>
        <v>8</v>
      </c>
      <c r="F31" s="342">
        <f t="shared" si="3"/>
        <v>48214</v>
      </c>
      <c r="G31" s="337">
        <f t="shared" si="4"/>
        <v>319785650.01790929</v>
      </c>
      <c r="H31" s="337">
        <f t="shared" si="5"/>
        <v>9538045.7992802169</v>
      </c>
      <c r="I31" s="343">
        <f t="shared" si="6"/>
        <v>8506431.062958004</v>
      </c>
      <c r="J31" s="337">
        <f t="shared" si="7"/>
        <v>0</v>
      </c>
      <c r="K31" s="337">
        <f t="shared" si="8"/>
        <v>0</v>
      </c>
      <c r="L31" s="343">
        <f t="shared" si="9"/>
        <v>0</v>
      </c>
      <c r="M31" s="337">
        <f t="shared" si="10"/>
        <v>0</v>
      </c>
      <c r="N31" s="337">
        <f t="shared" si="11"/>
        <v>0</v>
      </c>
      <c r="O31" s="343">
        <f t="shared" si="12"/>
        <v>0</v>
      </c>
      <c r="P31" s="337">
        <f t="shared" si="13"/>
        <v>0</v>
      </c>
      <c r="Q31" s="337">
        <f t="shared" si="14"/>
        <v>0</v>
      </c>
      <c r="R31" s="343">
        <f t="shared" si="15"/>
        <v>0</v>
      </c>
      <c r="T31" s="344">
        <f t="shared" si="16"/>
        <v>18044476.862238221</v>
      </c>
    </row>
    <row r="32" spans="1:23" x14ac:dyDescent="0.25">
      <c r="C32" s="305"/>
      <c r="D32" s="334">
        <f t="shared" si="2"/>
        <v>18</v>
      </c>
      <c r="E32" s="341">
        <f t="shared" si="1"/>
        <v>8.5</v>
      </c>
      <c r="F32" s="342">
        <f t="shared" si="3"/>
        <v>48396</v>
      </c>
      <c r="G32" s="337">
        <f t="shared" si="4"/>
        <v>310001236.49563366</v>
      </c>
      <c r="H32" s="337">
        <f t="shared" si="5"/>
        <v>9784413.5222756248</v>
      </c>
      <c r="I32" s="343">
        <f t="shared" si="6"/>
        <v>8260063.3399625961</v>
      </c>
      <c r="J32" s="337">
        <f t="shared" si="7"/>
        <v>0</v>
      </c>
      <c r="K32" s="337">
        <f t="shared" si="8"/>
        <v>0</v>
      </c>
      <c r="L32" s="343">
        <f t="shared" si="9"/>
        <v>0</v>
      </c>
      <c r="M32" s="337">
        <f t="shared" si="10"/>
        <v>0</v>
      </c>
      <c r="N32" s="337">
        <f t="shared" si="11"/>
        <v>0</v>
      </c>
      <c r="O32" s="343">
        <f t="shared" si="12"/>
        <v>0</v>
      </c>
      <c r="P32" s="337">
        <f t="shared" si="13"/>
        <v>0</v>
      </c>
      <c r="Q32" s="337">
        <f t="shared" si="14"/>
        <v>0</v>
      </c>
      <c r="R32" s="343">
        <f t="shared" si="15"/>
        <v>0</v>
      </c>
      <c r="T32" s="344">
        <f t="shared" si="16"/>
        <v>18044476.862238221</v>
      </c>
    </row>
    <row r="33" spans="3:20" x14ac:dyDescent="0.25">
      <c r="C33" s="305"/>
      <c r="D33" s="334">
        <f t="shared" si="2"/>
        <v>19</v>
      </c>
      <c r="E33" s="341">
        <f t="shared" si="1"/>
        <v>9</v>
      </c>
      <c r="F33" s="342">
        <f t="shared" si="3"/>
        <v>48580</v>
      </c>
      <c r="G33" s="337">
        <f t="shared" si="4"/>
        <v>299964091.57207763</v>
      </c>
      <c r="H33" s="337">
        <f t="shared" si="5"/>
        <v>10037144.923556004</v>
      </c>
      <c r="I33" s="343">
        <f t="shared" si="6"/>
        <v>8007331.9386822172</v>
      </c>
      <c r="J33" s="337">
        <f t="shared" si="7"/>
        <v>0</v>
      </c>
      <c r="K33" s="337">
        <f t="shared" si="8"/>
        <v>0</v>
      </c>
      <c r="L33" s="343">
        <f t="shared" si="9"/>
        <v>0</v>
      </c>
      <c r="M33" s="337">
        <f t="shared" si="10"/>
        <v>0</v>
      </c>
      <c r="N33" s="337">
        <f t="shared" si="11"/>
        <v>0</v>
      </c>
      <c r="O33" s="343">
        <f t="shared" si="12"/>
        <v>0</v>
      </c>
      <c r="P33" s="337">
        <f t="shared" si="13"/>
        <v>0</v>
      </c>
      <c r="Q33" s="337">
        <f t="shared" si="14"/>
        <v>0</v>
      </c>
      <c r="R33" s="343">
        <f t="shared" si="15"/>
        <v>0</v>
      </c>
      <c r="T33" s="344">
        <f t="shared" si="16"/>
        <v>18044476.862238221</v>
      </c>
    </row>
    <row r="34" spans="3:20" x14ac:dyDescent="0.25">
      <c r="C34" s="305"/>
      <c r="D34" s="334">
        <f t="shared" si="2"/>
        <v>20</v>
      </c>
      <c r="E34" s="341">
        <f t="shared" si="1"/>
        <v>9.5</v>
      </c>
      <c r="F34" s="342">
        <f t="shared" si="3"/>
        <v>48761</v>
      </c>
      <c r="G34" s="337">
        <f t="shared" si="4"/>
        <v>289667687.1951462</v>
      </c>
      <c r="H34" s="337">
        <f t="shared" si="5"/>
        <v>10296404.376931455</v>
      </c>
      <c r="I34" s="343">
        <f t="shared" si="6"/>
        <v>7748072.485306765</v>
      </c>
      <c r="J34" s="337">
        <f t="shared" si="7"/>
        <v>0</v>
      </c>
      <c r="K34" s="337">
        <f t="shared" si="8"/>
        <v>0</v>
      </c>
      <c r="L34" s="343">
        <f t="shared" si="9"/>
        <v>0</v>
      </c>
      <c r="M34" s="337">
        <f t="shared" si="10"/>
        <v>0</v>
      </c>
      <c r="N34" s="337">
        <f t="shared" si="11"/>
        <v>0</v>
      </c>
      <c r="O34" s="343">
        <f t="shared" si="12"/>
        <v>0</v>
      </c>
      <c r="P34" s="337">
        <f t="shared" si="13"/>
        <v>0</v>
      </c>
      <c r="Q34" s="337">
        <f t="shared" si="14"/>
        <v>0</v>
      </c>
      <c r="R34" s="343">
        <f t="shared" si="15"/>
        <v>0</v>
      </c>
      <c r="T34" s="344">
        <f t="shared" si="16"/>
        <v>18044476.862238221</v>
      </c>
    </row>
    <row r="35" spans="3:20" x14ac:dyDescent="0.25">
      <c r="C35" s="305"/>
      <c r="D35" s="334">
        <f t="shared" si="2"/>
        <v>21</v>
      </c>
      <c r="E35" s="341">
        <f t="shared" si="1"/>
        <v>10</v>
      </c>
      <c r="F35" s="342">
        <f t="shared" si="3"/>
        <v>48945</v>
      </c>
      <c r="G35" s="337">
        <f t="shared" si="4"/>
        <v>279105326.69315863</v>
      </c>
      <c r="H35" s="337">
        <f t="shared" si="5"/>
        <v>10562360.501987595</v>
      </c>
      <c r="I35" s="343">
        <f t="shared" si="6"/>
        <v>7482116.3602506258</v>
      </c>
      <c r="J35" s="337">
        <f t="shared" si="7"/>
        <v>0</v>
      </c>
      <c r="K35" s="337">
        <f t="shared" si="8"/>
        <v>0</v>
      </c>
      <c r="L35" s="343">
        <f t="shared" si="9"/>
        <v>0</v>
      </c>
      <c r="M35" s="337">
        <f t="shared" si="10"/>
        <v>0</v>
      </c>
      <c r="N35" s="337">
        <f t="shared" si="11"/>
        <v>0</v>
      </c>
      <c r="O35" s="343">
        <f t="shared" si="12"/>
        <v>0</v>
      </c>
      <c r="P35" s="337">
        <f t="shared" si="13"/>
        <v>0</v>
      </c>
      <c r="Q35" s="337">
        <f t="shared" si="14"/>
        <v>0</v>
      </c>
      <c r="R35" s="343">
        <f t="shared" si="15"/>
        <v>0</v>
      </c>
      <c r="T35" s="344">
        <f t="shared" si="16"/>
        <v>18044476.862238221</v>
      </c>
    </row>
    <row r="36" spans="3:20" x14ac:dyDescent="0.25">
      <c r="C36" s="305"/>
      <c r="D36" s="334">
        <f t="shared" si="2"/>
        <v>22</v>
      </c>
      <c r="E36" s="341">
        <f t="shared" si="1"/>
        <v>10.5</v>
      </c>
      <c r="F36" s="342">
        <f t="shared" si="3"/>
        <v>49126</v>
      </c>
      <c r="G36" s="337">
        <f t="shared" si="4"/>
        <v>268270140.41940469</v>
      </c>
      <c r="H36" s="337">
        <f t="shared" si="5"/>
        <v>10835186.273753934</v>
      </c>
      <c r="I36" s="343">
        <f t="shared" si="6"/>
        <v>7209290.5884842873</v>
      </c>
      <c r="J36" s="337">
        <f t="shared" si="7"/>
        <v>0</v>
      </c>
      <c r="K36" s="337">
        <f t="shared" si="8"/>
        <v>0</v>
      </c>
      <c r="L36" s="343">
        <f t="shared" si="9"/>
        <v>0</v>
      </c>
      <c r="M36" s="337">
        <f t="shared" si="10"/>
        <v>0</v>
      </c>
      <c r="N36" s="337">
        <f t="shared" si="11"/>
        <v>0</v>
      </c>
      <c r="O36" s="343">
        <f t="shared" si="12"/>
        <v>0</v>
      </c>
      <c r="P36" s="337">
        <f t="shared" si="13"/>
        <v>0</v>
      </c>
      <c r="Q36" s="337">
        <f t="shared" si="14"/>
        <v>0</v>
      </c>
      <c r="R36" s="343">
        <f t="shared" si="15"/>
        <v>0</v>
      </c>
      <c r="T36" s="344">
        <f t="shared" si="16"/>
        <v>18044476.862238221</v>
      </c>
    </row>
    <row r="37" spans="3:20" x14ac:dyDescent="0.25">
      <c r="C37" s="305"/>
      <c r="D37" s="334">
        <f t="shared" si="2"/>
        <v>23</v>
      </c>
      <c r="E37" s="341">
        <f t="shared" si="1"/>
        <v>11</v>
      </c>
      <c r="F37" s="342">
        <f t="shared" si="3"/>
        <v>49310</v>
      </c>
      <c r="G37" s="337">
        <f t="shared" si="4"/>
        <v>257155081.28419968</v>
      </c>
      <c r="H37" s="337">
        <f t="shared" si="5"/>
        <v>11115059.135204997</v>
      </c>
      <c r="I37" s="343">
        <f t="shared" si="6"/>
        <v>6929417.727033223</v>
      </c>
      <c r="J37" s="337">
        <f t="shared" si="7"/>
        <v>0</v>
      </c>
      <c r="K37" s="337">
        <f t="shared" si="8"/>
        <v>0</v>
      </c>
      <c r="L37" s="343">
        <f t="shared" si="9"/>
        <v>0</v>
      </c>
      <c r="M37" s="337">
        <f t="shared" si="10"/>
        <v>0</v>
      </c>
      <c r="N37" s="337">
        <f t="shared" si="11"/>
        <v>0</v>
      </c>
      <c r="O37" s="343">
        <f t="shared" si="12"/>
        <v>0</v>
      </c>
      <c r="P37" s="337">
        <f t="shared" si="13"/>
        <v>0</v>
      </c>
      <c r="Q37" s="337">
        <f t="shared" si="14"/>
        <v>0</v>
      </c>
      <c r="R37" s="343">
        <f t="shared" si="15"/>
        <v>0</v>
      </c>
      <c r="T37" s="344">
        <f t="shared" si="16"/>
        <v>18044476.862238221</v>
      </c>
    </row>
    <row r="38" spans="3:20" x14ac:dyDescent="0.25">
      <c r="C38" s="305"/>
      <c r="D38" s="334">
        <f t="shared" si="2"/>
        <v>24</v>
      </c>
      <c r="E38" s="341">
        <f t="shared" si="1"/>
        <v>11.5</v>
      </c>
      <c r="F38" s="342">
        <f t="shared" si="3"/>
        <v>49491</v>
      </c>
      <c r="G38" s="337">
        <f t="shared" si="4"/>
        <v>245752920.17153233</v>
      </c>
      <c r="H38" s="337">
        <f t="shared" si="5"/>
        <v>11402161.112667345</v>
      </c>
      <c r="I38" s="343">
        <f t="shared" si="6"/>
        <v>6642315.7495708773</v>
      </c>
      <c r="J38" s="337">
        <f t="shared" si="7"/>
        <v>0</v>
      </c>
      <c r="K38" s="337">
        <f t="shared" si="8"/>
        <v>0</v>
      </c>
      <c r="L38" s="343">
        <f t="shared" si="9"/>
        <v>0</v>
      </c>
      <c r="M38" s="337">
        <f t="shared" si="10"/>
        <v>0</v>
      </c>
      <c r="N38" s="337">
        <f t="shared" si="11"/>
        <v>0</v>
      </c>
      <c r="O38" s="343">
        <f t="shared" si="12"/>
        <v>0</v>
      </c>
      <c r="P38" s="337">
        <f t="shared" si="13"/>
        <v>0</v>
      </c>
      <c r="Q38" s="337">
        <f t="shared" si="14"/>
        <v>0</v>
      </c>
      <c r="R38" s="343">
        <f t="shared" si="15"/>
        <v>0</v>
      </c>
      <c r="T38" s="344">
        <f t="shared" si="16"/>
        <v>18044476.862238221</v>
      </c>
    </row>
    <row r="39" spans="3:20" x14ac:dyDescent="0.25">
      <c r="C39" s="305"/>
      <c r="D39" s="334">
        <f t="shared" si="2"/>
        <v>25</v>
      </c>
      <c r="E39" s="341">
        <f t="shared" si="1"/>
        <v>12</v>
      </c>
      <c r="F39" s="342">
        <f t="shared" si="3"/>
        <v>49675</v>
      </c>
      <c r="G39" s="337">
        <f t="shared" si="4"/>
        <v>234056241.2373248</v>
      </c>
      <c r="H39" s="337">
        <f t="shared" si="5"/>
        <v>11696678.93420754</v>
      </c>
      <c r="I39" s="343">
        <f t="shared" si="6"/>
        <v>6347797.9280306799</v>
      </c>
      <c r="J39" s="337">
        <f t="shared" si="7"/>
        <v>0</v>
      </c>
      <c r="K39" s="337">
        <f t="shared" si="8"/>
        <v>0</v>
      </c>
      <c r="L39" s="343">
        <f t="shared" si="9"/>
        <v>0</v>
      </c>
      <c r="M39" s="337">
        <f t="shared" si="10"/>
        <v>0</v>
      </c>
      <c r="N39" s="337">
        <f t="shared" si="11"/>
        <v>0</v>
      </c>
      <c r="O39" s="343">
        <f t="shared" si="12"/>
        <v>0</v>
      </c>
      <c r="P39" s="337">
        <f t="shared" si="13"/>
        <v>0</v>
      </c>
      <c r="Q39" s="337">
        <f t="shared" si="14"/>
        <v>0</v>
      </c>
      <c r="R39" s="343">
        <f t="shared" si="15"/>
        <v>0</v>
      </c>
      <c r="T39" s="344">
        <f t="shared" si="16"/>
        <v>18044476.862238221</v>
      </c>
    </row>
    <row r="40" spans="3:20" x14ac:dyDescent="0.25">
      <c r="C40" s="305"/>
      <c r="D40" s="334">
        <f t="shared" si="2"/>
        <v>26</v>
      </c>
      <c r="E40" s="341">
        <f t="shared" si="1"/>
        <v>12.5</v>
      </c>
      <c r="F40" s="342">
        <f>EDATE(F39,6)</f>
        <v>49857</v>
      </c>
      <c r="G40" s="337">
        <f t="shared" si="4"/>
        <v>222057437.08624667</v>
      </c>
      <c r="H40" s="337">
        <f t="shared" si="5"/>
        <v>11998804.151078122</v>
      </c>
      <c r="I40" s="343">
        <f t="shared" si="6"/>
        <v>6045672.7111600991</v>
      </c>
      <c r="J40" s="337">
        <f t="shared" si="7"/>
        <v>0</v>
      </c>
      <c r="K40" s="337">
        <f t="shared" si="8"/>
        <v>0</v>
      </c>
      <c r="L40" s="343">
        <f t="shared" si="9"/>
        <v>0</v>
      </c>
      <c r="M40" s="337">
        <f t="shared" si="10"/>
        <v>0</v>
      </c>
      <c r="N40" s="337">
        <f t="shared" si="11"/>
        <v>0</v>
      </c>
      <c r="O40" s="343">
        <f t="shared" si="12"/>
        <v>0</v>
      </c>
      <c r="P40" s="337">
        <f t="shared" si="13"/>
        <v>0</v>
      </c>
      <c r="Q40" s="337">
        <f t="shared" si="14"/>
        <v>0</v>
      </c>
      <c r="R40" s="343">
        <f t="shared" si="15"/>
        <v>0</v>
      </c>
      <c r="T40" s="344">
        <f t="shared" si="16"/>
        <v>18044476.862238221</v>
      </c>
    </row>
    <row r="41" spans="3:20" x14ac:dyDescent="0.25">
      <c r="C41" s="305"/>
      <c r="D41" s="334">
        <f t="shared" si="2"/>
        <v>27</v>
      </c>
      <c r="E41" s="341">
        <f t="shared" si="1"/>
        <v>13</v>
      </c>
      <c r="F41" s="342">
        <f t="shared" si="3"/>
        <v>50041</v>
      </c>
      <c r="G41" s="337">
        <f t="shared" si="4"/>
        <v>209748703.82394621</v>
      </c>
      <c r="H41" s="337">
        <f t="shared" si="5"/>
        <v>12308733.262300469</v>
      </c>
      <c r="I41" s="343">
        <f t="shared" si="6"/>
        <v>5735743.599937751</v>
      </c>
      <c r="J41" s="337">
        <f t="shared" si="7"/>
        <v>0</v>
      </c>
      <c r="K41" s="337">
        <f t="shared" si="8"/>
        <v>0</v>
      </c>
      <c r="L41" s="343">
        <f t="shared" si="9"/>
        <v>0</v>
      </c>
      <c r="M41" s="337">
        <f t="shared" si="10"/>
        <v>0</v>
      </c>
      <c r="N41" s="337">
        <f t="shared" si="11"/>
        <v>0</v>
      </c>
      <c r="O41" s="343">
        <f t="shared" si="12"/>
        <v>0</v>
      </c>
      <c r="P41" s="337">
        <f t="shared" si="13"/>
        <v>0</v>
      </c>
      <c r="Q41" s="337">
        <f t="shared" si="14"/>
        <v>0</v>
      </c>
      <c r="R41" s="343">
        <f t="shared" si="15"/>
        <v>0</v>
      </c>
      <c r="T41" s="344">
        <f t="shared" si="16"/>
        <v>18044476.862238221</v>
      </c>
    </row>
    <row r="42" spans="3:20" x14ac:dyDescent="0.25">
      <c r="C42" s="305"/>
      <c r="D42" s="334">
        <f t="shared" si="2"/>
        <v>28</v>
      </c>
      <c r="E42" s="341">
        <f t="shared" si="1"/>
        <v>13.5</v>
      </c>
      <c r="F42" s="342">
        <f t="shared" si="3"/>
        <v>50222</v>
      </c>
      <c r="G42" s="337">
        <f t="shared" si="4"/>
        <v>197122035.98148051</v>
      </c>
      <c r="H42" s="337">
        <f t="shared" si="5"/>
        <v>12626667.842465691</v>
      </c>
      <c r="I42" s="343">
        <f t="shared" si="6"/>
        <v>5417809.0197725305</v>
      </c>
      <c r="J42" s="337">
        <f t="shared" si="7"/>
        <v>0</v>
      </c>
      <c r="K42" s="337">
        <f t="shared" si="8"/>
        <v>0</v>
      </c>
      <c r="L42" s="343">
        <f t="shared" si="9"/>
        <v>0</v>
      </c>
      <c r="M42" s="337">
        <f t="shared" si="10"/>
        <v>0</v>
      </c>
      <c r="N42" s="337">
        <f t="shared" si="11"/>
        <v>0</v>
      </c>
      <c r="O42" s="343">
        <f t="shared" si="12"/>
        <v>0</v>
      </c>
      <c r="P42" s="337">
        <f t="shared" si="13"/>
        <v>0</v>
      </c>
      <c r="Q42" s="337">
        <f t="shared" si="14"/>
        <v>0</v>
      </c>
      <c r="R42" s="343">
        <f t="shared" si="15"/>
        <v>0</v>
      </c>
      <c r="T42" s="344">
        <f t="shared" si="16"/>
        <v>18044476.862238221</v>
      </c>
    </row>
    <row r="43" spans="3:20" x14ac:dyDescent="0.25">
      <c r="D43" s="334">
        <f t="shared" si="2"/>
        <v>29</v>
      </c>
      <c r="E43" s="341">
        <f t="shared" si="1"/>
        <v>14</v>
      </c>
      <c r="F43" s="342">
        <f t="shared" si="3"/>
        <v>50406</v>
      </c>
      <c r="G43" s="337">
        <f t="shared" si="4"/>
        <v>184169221.30864394</v>
      </c>
      <c r="H43" s="337">
        <f t="shared" si="5"/>
        <v>12952814.672836579</v>
      </c>
      <c r="I43" s="343">
        <f t="shared" si="6"/>
        <v>5091662.1894016415</v>
      </c>
      <c r="J43" s="337">
        <f t="shared" si="7"/>
        <v>0</v>
      </c>
      <c r="K43" s="337">
        <f t="shared" si="8"/>
        <v>0</v>
      </c>
      <c r="L43" s="343">
        <f t="shared" si="9"/>
        <v>0</v>
      </c>
      <c r="M43" s="337">
        <f t="shared" si="10"/>
        <v>0</v>
      </c>
      <c r="N43" s="337">
        <f t="shared" si="11"/>
        <v>0</v>
      </c>
      <c r="O43" s="343">
        <f t="shared" si="12"/>
        <v>0</v>
      </c>
      <c r="P43" s="337">
        <f t="shared" si="13"/>
        <v>0</v>
      </c>
      <c r="Q43" s="337">
        <f t="shared" si="14"/>
        <v>0</v>
      </c>
      <c r="R43" s="343">
        <f t="shared" si="15"/>
        <v>0</v>
      </c>
      <c r="T43" s="344">
        <f t="shared" si="16"/>
        <v>18044476.862238221</v>
      </c>
    </row>
    <row r="44" spans="3:20" x14ac:dyDescent="0.25">
      <c r="D44" s="334">
        <f t="shared" si="2"/>
        <v>30</v>
      </c>
      <c r="E44" s="341">
        <f t="shared" si="1"/>
        <v>14.5</v>
      </c>
      <c r="F44" s="342">
        <f t="shared" si="3"/>
        <v>50587</v>
      </c>
      <c r="G44" s="337">
        <f t="shared" si="4"/>
        <v>170881835.43280798</v>
      </c>
      <c r="H44" s="337">
        <f t="shared" si="5"/>
        <v>13287385.875835948</v>
      </c>
      <c r="I44" s="343">
        <f t="shared" si="6"/>
        <v>4757090.9864022722</v>
      </c>
      <c r="J44" s="337">
        <f t="shared" si="7"/>
        <v>0</v>
      </c>
      <c r="K44" s="337">
        <f t="shared" si="8"/>
        <v>0</v>
      </c>
      <c r="L44" s="343">
        <f t="shared" si="9"/>
        <v>0</v>
      </c>
      <c r="M44" s="337">
        <f t="shared" si="10"/>
        <v>0</v>
      </c>
      <c r="N44" s="337">
        <f t="shared" si="11"/>
        <v>0</v>
      </c>
      <c r="O44" s="343">
        <f t="shared" si="12"/>
        <v>0</v>
      </c>
      <c r="P44" s="337">
        <f t="shared" si="13"/>
        <v>0</v>
      </c>
      <c r="Q44" s="337">
        <f t="shared" si="14"/>
        <v>0</v>
      </c>
      <c r="R44" s="343">
        <f t="shared" si="15"/>
        <v>0</v>
      </c>
      <c r="T44" s="344">
        <f t="shared" si="16"/>
        <v>18044476.862238221</v>
      </c>
    </row>
    <row r="45" spans="3:20" x14ac:dyDescent="0.25">
      <c r="C45" s="305"/>
      <c r="D45" s="334">
        <f t="shared" si="2"/>
        <v>31</v>
      </c>
      <c r="E45" s="341">
        <f t="shared" si="1"/>
        <v>15</v>
      </c>
      <c r="F45" s="342">
        <f t="shared" si="3"/>
        <v>50771</v>
      </c>
      <c r="G45" s="337">
        <f t="shared" si="4"/>
        <v>157251236.37979919</v>
      </c>
      <c r="H45" s="337">
        <f t="shared" si="5"/>
        <v>13630599.053008791</v>
      </c>
      <c r="I45" s="343">
        <f t="shared" si="6"/>
        <v>4413877.8092294298</v>
      </c>
      <c r="J45" s="337">
        <f t="shared" si="7"/>
        <v>0</v>
      </c>
      <c r="K45" s="337">
        <f t="shared" si="8"/>
        <v>0</v>
      </c>
      <c r="L45" s="343">
        <f t="shared" si="9"/>
        <v>0</v>
      </c>
      <c r="M45" s="337">
        <f t="shared" si="10"/>
        <v>0</v>
      </c>
      <c r="N45" s="337">
        <f t="shared" si="11"/>
        <v>0</v>
      </c>
      <c r="O45" s="343">
        <f t="shared" si="12"/>
        <v>0</v>
      </c>
      <c r="P45" s="337">
        <f t="shared" si="13"/>
        <v>0</v>
      </c>
      <c r="Q45" s="337">
        <f t="shared" si="14"/>
        <v>0</v>
      </c>
      <c r="R45" s="343">
        <f t="shared" si="15"/>
        <v>0</v>
      </c>
      <c r="T45" s="344">
        <f t="shared" si="16"/>
        <v>18044476.862238221</v>
      </c>
    </row>
    <row r="46" spans="3:20" x14ac:dyDescent="0.25">
      <c r="C46" s="305"/>
      <c r="D46" s="334">
        <f t="shared" si="2"/>
        <v>32</v>
      </c>
      <c r="E46" s="341">
        <f t="shared" si="1"/>
        <v>15.5</v>
      </c>
      <c r="F46" s="342">
        <f t="shared" si="3"/>
        <v>50952</v>
      </c>
      <c r="G46" s="337">
        <f t="shared" si="4"/>
        <v>143268558.95325118</v>
      </c>
      <c r="H46" s="337">
        <f t="shared" si="5"/>
        <v>13982677.426548008</v>
      </c>
      <c r="I46" s="343">
        <f t="shared" si="6"/>
        <v>4061799.435690213</v>
      </c>
      <c r="J46" s="337">
        <f t="shared" si="7"/>
        <v>0</v>
      </c>
      <c r="K46" s="337">
        <f t="shared" si="8"/>
        <v>0</v>
      </c>
      <c r="L46" s="343">
        <f t="shared" si="9"/>
        <v>0</v>
      </c>
      <c r="M46" s="337">
        <f t="shared" si="10"/>
        <v>0</v>
      </c>
      <c r="N46" s="337">
        <f t="shared" si="11"/>
        <v>0</v>
      </c>
      <c r="O46" s="343">
        <f t="shared" si="12"/>
        <v>0</v>
      </c>
      <c r="P46" s="337">
        <f t="shared" si="13"/>
        <v>0</v>
      </c>
      <c r="Q46" s="337">
        <f t="shared" si="14"/>
        <v>0</v>
      </c>
      <c r="R46" s="343">
        <f t="shared" si="15"/>
        <v>0</v>
      </c>
      <c r="T46" s="344">
        <f t="shared" si="16"/>
        <v>18044476.862238221</v>
      </c>
    </row>
    <row r="47" spans="3:20" x14ac:dyDescent="0.25">
      <c r="C47" s="305"/>
      <c r="D47" s="334">
        <f t="shared" si="2"/>
        <v>33</v>
      </c>
      <c r="E47" s="341">
        <f t="shared" si="1"/>
        <v>16</v>
      </c>
      <c r="F47" s="342">
        <f t="shared" si="3"/>
        <v>51136</v>
      </c>
      <c r="G47" s="337">
        <f t="shared" si="4"/>
        <v>128924708.96877544</v>
      </c>
      <c r="H47" s="337">
        <f t="shared" si="5"/>
        <v>14343849.984475743</v>
      </c>
      <c r="I47" s="343">
        <f t="shared" si="6"/>
        <v>3700626.8777624778</v>
      </c>
      <c r="J47" s="337">
        <f t="shared" si="7"/>
        <v>0</v>
      </c>
      <c r="K47" s="337">
        <f t="shared" si="8"/>
        <v>0</v>
      </c>
      <c r="L47" s="343">
        <f t="shared" si="9"/>
        <v>0</v>
      </c>
      <c r="M47" s="337">
        <f t="shared" si="10"/>
        <v>0</v>
      </c>
      <c r="N47" s="337">
        <f t="shared" si="11"/>
        <v>0</v>
      </c>
      <c r="O47" s="343">
        <f t="shared" si="12"/>
        <v>0</v>
      </c>
      <c r="P47" s="337">
        <f t="shared" si="13"/>
        <v>0</v>
      </c>
      <c r="Q47" s="337">
        <f t="shared" si="14"/>
        <v>0</v>
      </c>
      <c r="R47" s="343">
        <f t="shared" si="15"/>
        <v>0</v>
      </c>
      <c r="T47" s="344">
        <f t="shared" si="16"/>
        <v>18044476.862238221</v>
      </c>
    </row>
    <row r="48" spans="3:20" x14ac:dyDescent="0.25">
      <c r="C48" s="305"/>
      <c r="D48" s="334">
        <f t="shared" si="2"/>
        <v>34</v>
      </c>
      <c r="E48" s="341">
        <f t="shared" si="1"/>
        <v>16.5</v>
      </c>
      <c r="F48" s="342">
        <f t="shared" si="3"/>
        <v>51318</v>
      </c>
      <c r="G48" s="337">
        <f t="shared" si="4"/>
        <v>114210357.33920069</v>
      </c>
      <c r="H48" s="337">
        <f t="shared" si="5"/>
        <v>14714351.629574751</v>
      </c>
      <c r="I48" s="343">
        <f t="shared" si="6"/>
        <v>3330125.2326634694</v>
      </c>
      <c r="J48" s="337">
        <f t="shared" si="7"/>
        <v>0</v>
      </c>
      <c r="K48" s="337">
        <f t="shared" si="8"/>
        <v>0</v>
      </c>
      <c r="L48" s="343">
        <f t="shared" si="9"/>
        <v>0</v>
      </c>
      <c r="M48" s="337">
        <f t="shared" si="10"/>
        <v>0</v>
      </c>
      <c r="N48" s="337">
        <f t="shared" si="11"/>
        <v>0</v>
      </c>
      <c r="O48" s="343">
        <f t="shared" si="12"/>
        <v>0</v>
      </c>
      <c r="P48" s="337">
        <f t="shared" si="13"/>
        <v>0</v>
      </c>
      <c r="Q48" s="337">
        <f t="shared" si="14"/>
        <v>0</v>
      </c>
      <c r="R48" s="343">
        <f t="shared" si="15"/>
        <v>0</v>
      </c>
      <c r="T48" s="344">
        <f t="shared" si="16"/>
        <v>18044476.862238221</v>
      </c>
    </row>
    <row r="49" spans="3:21" x14ac:dyDescent="0.25">
      <c r="C49" s="305"/>
      <c r="D49" s="334">
        <f t="shared" si="2"/>
        <v>35</v>
      </c>
      <c r="E49" s="341">
        <f t="shared" si="1"/>
        <v>17</v>
      </c>
      <c r="F49" s="342">
        <f t="shared" si="3"/>
        <v>51502</v>
      </c>
      <c r="G49" s="337">
        <f t="shared" si="4"/>
        <v>99115934.007034019</v>
      </c>
      <c r="H49" s="337">
        <f t="shared" si="5"/>
        <v>15094423.332166668</v>
      </c>
      <c r="I49" s="343">
        <f t="shared" si="6"/>
        <v>2950053.5300715538</v>
      </c>
      <c r="J49" s="337">
        <f t="shared" si="7"/>
        <v>0</v>
      </c>
      <c r="K49" s="337">
        <f t="shared" si="8"/>
        <v>0</v>
      </c>
      <c r="L49" s="343">
        <f t="shared" si="9"/>
        <v>0</v>
      </c>
      <c r="M49" s="337">
        <f t="shared" si="10"/>
        <v>0</v>
      </c>
      <c r="N49" s="337">
        <f t="shared" si="11"/>
        <v>0</v>
      </c>
      <c r="O49" s="343">
        <f t="shared" si="12"/>
        <v>0</v>
      </c>
      <c r="P49" s="337">
        <f t="shared" si="13"/>
        <v>0</v>
      </c>
      <c r="Q49" s="337">
        <f t="shared" si="14"/>
        <v>0</v>
      </c>
      <c r="R49" s="343">
        <f t="shared" si="15"/>
        <v>0</v>
      </c>
      <c r="T49" s="344">
        <f t="shared" si="16"/>
        <v>18044476.862238221</v>
      </c>
    </row>
    <row r="50" spans="3:21" x14ac:dyDescent="0.25">
      <c r="C50" s="305"/>
      <c r="D50" s="334">
        <f t="shared" si="2"/>
        <v>36</v>
      </c>
      <c r="E50" s="341">
        <f t="shared" si="1"/>
        <v>17.5</v>
      </c>
      <c r="F50" s="342">
        <f t="shared" si="3"/>
        <v>51683</v>
      </c>
      <c r="G50" s="337">
        <f t="shared" si="4"/>
        <v>83631621.720197484</v>
      </c>
      <c r="H50" s="337">
        <f t="shared" si="5"/>
        <v>15484312.286836533</v>
      </c>
      <c r="I50" s="343">
        <f t="shared" si="6"/>
        <v>2560164.5754016885</v>
      </c>
      <c r="J50" s="337">
        <f t="shared" si="7"/>
        <v>0</v>
      </c>
      <c r="K50" s="337">
        <f t="shared" si="8"/>
        <v>0</v>
      </c>
      <c r="L50" s="343">
        <f t="shared" si="9"/>
        <v>0</v>
      </c>
      <c r="M50" s="337">
        <f t="shared" si="10"/>
        <v>0</v>
      </c>
      <c r="N50" s="337">
        <f t="shared" si="11"/>
        <v>0</v>
      </c>
      <c r="O50" s="343">
        <f t="shared" si="12"/>
        <v>0</v>
      </c>
      <c r="P50" s="337">
        <f t="shared" si="13"/>
        <v>0</v>
      </c>
      <c r="Q50" s="337">
        <f t="shared" si="14"/>
        <v>0</v>
      </c>
      <c r="R50" s="343">
        <f t="shared" si="15"/>
        <v>0</v>
      </c>
      <c r="T50" s="344">
        <f t="shared" si="16"/>
        <v>18044476.862238221</v>
      </c>
    </row>
    <row r="51" spans="3:21" x14ac:dyDescent="0.25">
      <c r="C51" s="305"/>
      <c r="D51" s="334">
        <f t="shared" si="2"/>
        <v>37</v>
      </c>
      <c r="E51" s="341">
        <f t="shared" si="1"/>
        <v>18</v>
      </c>
      <c r="F51" s="342">
        <f t="shared" si="3"/>
        <v>51867</v>
      </c>
      <c r="G51" s="337">
        <f t="shared" si="4"/>
        <v>67747349.646991968</v>
      </c>
      <c r="H51" s="337">
        <f t="shared" si="5"/>
        <v>15884272.073205519</v>
      </c>
      <c r="I51" s="343">
        <f t="shared" si="6"/>
        <v>2160204.7890327009</v>
      </c>
      <c r="J51" s="337">
        <f t="shared" si="7"/>
        <v>0</v>
      </c>
      <c r="K51" s="337">
        <f t="shared" si="8"/>
        <v>0</v>
      </c>
      <c r="L51" s="343">
        <f t="shared" si="9"/>
        <v>0</v>
      </c>
      <c r="M51" s="337">
        <f t="shared" si="10"/>
        <v>0</v>
      </c>
      <c r="N51" s="337">
        <f t="shared" si="11"/>
        <v>0</v>
      </c>
      <c r="O51" s="343">
        <f t="shared" si="12"/>
        <v>0</v>
      </c>
      <c r="P51" s="337">
        <f t="shared" si="13"/>
        <v>0</v>
      </c>
      <c r="Q51" s="337">
        <f t="shared" si="14"/>
        <v>0</v>
      </c>
      <c r="R51" s="343">
        <f t="shared" si="15"/>
        <v>0</v>
      </c>
      <c r="T51" s="344">
        <f t="shared" si="16"/>
        <v>18044476.862238221</v>
      </c>
    </row>
    <row r="52" spans="3:21" x14ac:dyDescent="0.25">
      <c r="C52" s="305"/>
      <c r="D52" s="334">
        <f t="shared" si="2"/>
        <v>38</v>
      </c>
      <c r="E52" s="341">
        <f t="shared" si="1"/>
        <v>18.5</v>
      </c>
      <c r="F52" s="342">
        <f t="shared" si="3"/>
        <v>52048</v>
      </c>
      <c r="G52" s="337">
        <f t="shared" si="4"/>
        <v>51452786.826135546</v>
      </c>
      <c r="H52" s="337">
        <f t="shared" si="5"/>
        <v>16294562.820856418</v>
      </c>
      <c r="I52" s="343">
        <f t="shared" si="6"/>
        <v>1749914.0413818024</v>
      </c>
      <c r="J52" s="337">
        <f t="shared" si="7"/>
        <v>0</v>
      </c>
      <c r="K52" s="337">
        <f t="shared" si="8"/>
        <v>0</v>
      </c>
      <c r="L52" s="343">
        <f t="shared" si="9"/>
        <v>0</v>
      </c>
      <c r="M52" s="337">
        <f t="shared" si="10"/>
        <v>0</v>
      </c>
      <c r="N52" s="337">
        <f t="shared" si="11"/>
        <v>0</v>
      </c>
      <c r="O52" s="343">
        <f t="shared" si="12"/>
        <v>0</v>
      </c>
      <c r="P52" s="337">
        <f t="shared" si="13"/>
        <v>0</v>
      </c>
      <c r="Q52" s="337">
        <f t="shared" si="14"/>
        <v>0</v>
      </c>
      <c r="R52" s="343">
        <f t="shared" si="15"/>
        <v>0</v>
      </c>
      <c r="T52" s="344">
        <f t="shared" si="16"/>
        <v>18044476.862238221</v>
      </c>
    </row>
    <row r="53" spans="3:21" x14ac:dyDescent="0.25">
      <c r="D53" s="334">
        <f t="shared" si="2"/>
        <v>39</v>
      </c>
      <c r="E53" s="341">
        <f t="shared" si="1"/>
        <v>19</v>
      </c>
      <c r="F53" s="342">
        <f t="shared" si="3"/>
        <v>52232</v>
      </c>
      <c r="G53" s="337">
        <f t="shared" si="4"/>
        <v>34737335.447616406</v>
      </c>
      <c r="H53" s="337">
        <f t="shared" si="5"/>
        <v>16715451.37851914</v>
      </c>
      <c r="I53" s="343">
        <f t="shared" si="6"/>
        <v>1329025.4837190812</v>
      </c>
      <c r="J53" s="337">
        <f t="shared" si="7"/>
        <v>0</v>
      </c>
      <c r="K53" s="337">
        <f t="shared" si="8"/>
        <v>0</v>
      </c>
      <c r="L53" s="343">
        <f t="shared" si="9"/>
        <v>0</v>
      </c>
      <c r="M53" s="337">
        <f t="shared" si="10"/>
        <v>0</v>
      </c>
      <c r="N53" s="337">
        <f t="shared" si="11"/>
        <v>0</v>
      </c>
      <c r="O53" s="343">
        <f t="shared" si="12"/>
        <v>0</v>
      </c>
      <c r="P53" s="337">
        <f t="shared" si="13"/>
        <v>0</v>
      </c>
      <c r="Q53" s="337">
        <f t="shared" si="14"/>
        <v>0</v>
      </c>
      <c r="R53" s="343">
        <f t="shared" si="15"/>
        <v>0</v>
      </c>
      <c r="T53" s="344">
        <f t="shared" si="16"/>
        <v>18044476.862238221</v>
      </c>
    </row>
    <row r="54" spans="3:21" x14ac:dyDescent="0.25">
      <c r="D54" s="334">
        <f t="shared" si="2"/>
        <v>40</v>
      </c>
      <c r="E54" s="341">
        <f t="shared" si="1"/>
        <v>19.5</v>
      </c>
      <c r="F54" s="342">
        <f t="shared" si="3"/>
        <v>52413</v>
      </c>
      <c r="G54" s="337">
        <f t="shared" si="4"/>
        <v>17590123.959990118</v>
      </c>
      <c r="H54" s="337">
        <f t="shared" si="5"/>
        <v>17147211.487626288</v>
      </c>
      <c r="I54" s="343">
        <f t="shared" si="6"/>
        <v>897265.37461193174</v>
      </c>
      <c r="J54" s="337">
        <f t="shared" si="7"/>
        <v>0</v>
      </c>
      <c r="K54" s="337">
        <f t="shared" si="8"/>
        <v>0</v>
      </c>
      <c r="L54" s="343">
        <f t="shared" si="9"/>
        <v>0</v>
      </c>
      <c r="M54" s="337">
        <f t="shared" si="10"/>
        <v>0</v>
      </c>
      <c r="N54" s="337">
        <f t="shared" si="11"/>
        <v>0</v>
      </c>
      <c r="O54" s="343">
        <f t="shared" si="12"/>
        <v>0</v>
      </c>
      <c r="P54" s="337">
        <f t="shared" si="13"/>
        <v>0</v>
      </c>
      <c r="Q54" s="337">
        <f t="shared" si="14"/>
        <v>0</v>
      </c>
      <c r="R54" s="343">
        <f t="shared" si="15"/>
        <v>0</v>
      </c>
      <c r="T54" s="344">
        <f t="shared" si="16"/>
        <v>18044476.862238221</v>
      </c>
    </row>
    <row r="55" spans="3:21" x14ac:dyDescent="0.25">
      <c r="D55" s="334">
        <f t="shared" si="2"/>
        <v>41</v>
      </c>
      <c r="E55" s="341">
        <f t="shared" si="1"/>
        <v>20</v>
      </c>
      <c r="F55" s="342">
        <f t="shared" si="3"/>
        <v>52597</v>
      </c>
      <c r="G55" s="337">
        <f t="shared" si="4"/>
        <v>0</v>
      </c>
      <c r="H55" s="337">
        <f t="shared" si="5"/>
        <v>17590123.959990118</v>
      </c>
      <c r="I55" s="343">
        <f t="shared" si="6"/>
        <v>454352.90188654471</v>
      </c>
      <c r="J55" s="337">
        <f t="shared" si="7"/>
        <v>0</v>
      </c>
      <c r="K55" s="337">
        <f t="shared" si="8"/>
        <v>0</v>
      </c>
      <c r="L55" s="343">
        <f t="shared" si="9"/>
        <v>0</v>
      </c>
      <c r="M55" s="337">
        <f t="shared" si="10"/>
        <v>0</v>
      </c>
      <c r="N55" s="337">
        <f t="shared" si="11"/>
        <v>0</v>
      </c>
      <c r="O55" s="343">
        <f t="shared" si="12"/>
        <v>0</v>
      </c>
      <c r="P55" s="337">
        <f t="shared" si="13"/>
        <v>0</v>
      </c>
      <c r="Q55" s="337">
        <f t="shared" si="14"/>
        <v>0</v>
      </c>
      <c r="R55" s="343">
        <f t="shared" si="15"/>
        <v>0</v>
      </c>
      <c r="T55" s="344">
        <f t="shared" si="16"/>
        <v>18044476.861876663</v>
      </c>
    </row>
    <row r="56" spans="3:21" x14ac:dyDescent="0.25">
      <c r="D56" s="334">
        <f t="shared" si="2"/>
        <v>42</v>
      </c>
      <c r="E56" s="341">
        <f t="shared" si="1"/>
        <v>0</v>
      </c>
      <c r="F56" s="342">
        <f t="shared" si="3"/>
        <v>52779</v>
      </c>
      <c r="G56" s="337">
        <f t="shared" si="4"/>
        <v>0</v>
      </c>
      <c r="H56" s="337">
        <f t="shared" si="5"/>
        <v>0</v>
      </c>
      <c r="I56" s="343">
        <f t="shared" si="6"/>
        <v>0</v>
      </c>
      <c r="J56" s="337">
        <f t="shared" si="7"/>
        <v>0</v>
      </c>
      <c r="K56" s="337">
        <f t="shared" si="8"/>
        <v>0</v>
      </c>
      <c r="L56" s="343">
        <f t="shared" si="9"/>
        <v>0</v>
      </c>
      <c r="M56" s="337">
        <f t="shared" si="10"/>
        <v>0</v>
      </c>
      <c r="N56" s="337">
        <f t="shared" si="11"/>
        <v>0</v>
      </c>
      <c r="O56" s="343">
        <f t="shared" si="12"/>
        <v>0</v>
      </c>
      <c r="P56" s="337">
        <f t="shared" si="13"/>
        <v>0</v>
      </c>
      <c r="Q56" s="337">
        <f t="shared" si="14"/>
        <v>0</v>
      </c>
      <c r="R56" s="343">
        <f t="shared" si="15"/>
        <v>0</v>
      </c>
      <c r="T56" s="344">
        <f t="shared" si="16"/>
        <v>0</v>
      </c>
    </row>
    <row r="57" spans="3:21" x14ac:dyDescent="0.25">
      <c r="D57" s="334">
        <f t="shared" si="2"/>
        <v>43</v>
      </c>
      <c r="E57" s="341">
        <f t="shared" si="1"/>
        <v>0</v>
      </c>
      <c r="F57" s="342">
        <f t="shared" si="3"/>
        <v>52963</v>
      </c>
      <c r="G57" s="337">
        <f t="shared" si="4"/>
        <v>0</v>
      </c>
      <c r="H57" s="337">
        <f t="shared" si="5"/>
        <v>0</v>
      </c>
      <c r="I57" s="343">
        <f t="shared" si="6"/>
        <v>0</v>
      </c>
      <c r="J57" s="337">
        <f t="shared" si="7"/>
        <v>0</v>
      </c>
      <c r="K57" s="337">
        <f t="shared" si="8"/>
        <v>0</v>
      </c>
      <c r="L57" s="343">
        <f t="shared" si="9"/>
        <v>0</v>
      </c>
      <c r="M57" s="337">
        <f t="shared" si="10"/>
        <v>0</v>
      </c>
      <c r="N57" s="337">
        <f t="shared" si="11"/>
        <v>0</v>
      </c>
      <c r="O57" s="343">
        <f t="shared" si="12"/>
        <v>0</v>
      </c>
      <c r="P57" s="337">
        <f t="shared" si="13"/>
        <v>0</v>
      </c>
      <c r="Q57" s="337">
        <f t="shared" si="14"/>
        <v>0</v>
      </c>
      <c r="R57" s="343">
        <f t="shared" si="15"/>
        <v>0</v>
      </c>
      <c r="T57" s="344">
        <f t="shared" si="16"/>
        <v>0</v>
      </c>
    </row>
    <row r="58" spans="3:21" x14ac:dyDescent="0.25">
      <c r="D58" s="334">
        <f t="shared" si="2"/>
        <v>44</v>
      </c>
      <c r="E58" s="341">
        <f t="shared" si="1"/>
        <v>0</v>
      </c>
      <c r="F58" s="342">
        <f t="shared" si="3"/>
        <v>53144</v>
      </c>
      <c r="G58" s="337">
        <f t="shared" si="4"/>
        <v>0</v>
      </c>
      <c r="H58" s="337">
        <f t="shared" si="5"/>
        <v>0</v>
      </c>
      <c r="I58" s="343">
        <f t="shared" si="6"/>
        <v>0</v>
      </c>
      <c r="J58" s="337">
        <f t="shared" si="7"/>
        <v>0</v>
      </c>
      <c r="K58" s="337">
        <f t="shared" si="8"/>
        <v>0</v>
      </c>
      <c r="L58" s="343">
        <f t="shared" si="9"/>
        <v>0</v>
      </c>
      <c r="M58" s="337">
        <f t="shared" si="10"/>
        <v>0</v>
      </c>
      <c r="N58" s="337">
        <f t="shared" si="11"/>
        <v>0</v>
      </c>
      <c r="O58" s="343">
        <f t="shared" si="12"/>
        <v>0</v>
      </c>
      <c r="P58" s="337">
        <f t="shared" si="13"/>
        <v>0</v>
      </c>
      <c r="Q58" s="337">
        <f t="shared" si="14"/>
        <v>0</v>
      </c>
      <c r="R58" s="343">
        <f t="shared" si="15"/>
        <v>0</v>
      </c>
      <c r="T58" s="344">
        <f t="shared" si="16"/>
        <v>0</v>
      </c>
    </row>
    <row r="59" spans="3:21" x14ac:dyDescent="0.25">
      <c r="D59" s="334">
        <f t="shared" si="2"/>
        <v>45</v>
      </c>
      <c r="E59" s="341">
        <f t="shared" si="1"/>
        <v>0</v>
      </c>
      <c r="F59" s="342">
        <f t="shared" si="3"/>
        <v>53328</v>
      </c>
      <c r="G59" s="337">
        <f t="shared" si="4"/>
        <v>0</v>
      </c>
      <c r="H59" s="337">
        <f t="shared" si="5"/>
        <v>0</v>
      </c>
      <c r="I59" s="343">
        <f t="shared" si="6"/>
        <v>0</v>
      </c>
      <c r="J59" s="337">
        <f t="shared" si="7"/>
        <v>0</v>
      </c>
      <c r="K59" s="337">
        <f t="shared" si="8"/>
        <v>0</v>
      </c>
      <c r="L59" s="343">
        <f t="shared" si="9"/>
        <v>0</v>
      </c>
      <c r="M59" s="337">
        <f t="shared" si="10"/>
        <v>0</v>
      </c>
      <c r="N59" s="337">
        <f t="shared" si="11"/>
        <v>0</v>
      </c>
      <c r="O59" s="343">
        <f t="shared" si="12"/>
        <v>0</v>
      </c>
      <c r="P59" s="337">
        <f t="shared" si="13"/>
        <v>0</v>
      </c>
      <c r="Q59" s="337">
        <f t="shared" si="14"/>
        <v>0</v>
      </c>
      <c r="R59" s="343">
        <f t="shared" si="15"/>
        <v>0</v>
      </c>
      <c r="T59" s="344">
        <f t="shared" si="16"/>
        <v>0</v>
      </c>
    </row>
    <row r="60" spans="3:21" x14ac:dyDescent="0.25">
      <c r="D60" s="334">
        <f t="shared" si="2"/>
        <v>46</v>
      </c>
      <c r="E60" s="341">
        <f t="shared" si="1"/>
        <v>0</v>
      </c>
      <c r="F60" s="342">
        <f t="shared" si="3"/>
        <v>53509</v>
      </c>
      <c r="G60" s="337">
        <f t="shared" si="4"/>
        <v>0</v>
      </c>
      <c r="H60" s="337">
        <f t="shared" si="5"/>
        <v>0</v>
      </c>
      <c r="I60" s="343">
        <f t="shared" si="6"/>
        <v>0</v>
      </c>
      <c r="J60" s="337">
        <f t="shared" si="7"/>
        <v>0</v>
      </c>
      <c r="K60" s="337">
        <f t="shared" si="8"/>
        <v>0</v>
      </c>
      <c r="L60" s="343">
        <f t="shared" si="9"/>
        <v>0</v>
      </c>
      <c r="M60" s="337">
        <f t="shared" si="10"/>
        <v>0</v>
      </c>
      <c r="N60" s="337">
        <f t="shared" si="11"/>
        <v>0</v>
      </c>
      <c r="O60" s="343">
        <f t="shared" si="12"/>
        <v>0</v>
      </c>
      <c r="P60" s="337">
        <f t="shared" si="13"/>
        <v>0</v>
      </c>
      <c r="Q60" s="337">
        <f t="shared" si="14"/>
        <v>0</v>
      </c>
      <c r="R60" s="343">
        <f t="shared" si="15"/>
        <v>0</v>
      </c>
      <c r="T60" s="344">
        <f t="shared" si="16"/>
        <v>0</v>
      </c>
    </row>
    <row r="61" spans="3:21" x14ac:dyDescent="0.25">
      <c r="D61" s="334">
        <f t="shared" si="2"/>
        <v>47</v>
      </c>
      <c r="E61" s="341">
        <f t="shared" si="1"/>
        <v>0</v>
      </c>
      <c r="F61" s="342">
        <f t="shared" si="3"/>
        <v>53693</v>
      </c>
      <c r="G61" s="337">
        <f t="shared" si="4"/>
        <v>0</v>
      </c>
      <c r="H61" s="337">
        <f t="shared" si="5"/>
        <v>0</v>
      </c>
      <c r="I61" s="343">
        <f t="shared" si="6"/>
        <v>0</v>
      </c>
      <c r="J61" s="337">
        <f t="shared" si="7"/>
        <v>0</v>
      </c>
      <c r="K61" s="337">
        <f t="shared" si="8"/>
        <v>0</v>
      </c>
      <c r="L61" s="343">
        <f t="shared" si="9"/>
        <v>0</v>
      </c>
      <c r="M61" s="337">
        <f t="shared" si="10"/>
        <v>0</v>
      </c>
      <c r="N61" s="337">
        <f t="shared" si="11"/>
        <v>0</v>
      </c>
      <c r="O61" s="343">
        <f t="shared" si="12"/>
        <v>0</v>
      </c>
      <c r="P61" s="337">
        <f t="shared" si="13"/>
        <v>0</v>
      </c>
      <c r="Q61" s="337">
        <f t="shared" si="14"/>
        <v>0</v>
      </c>
      <c r="R61" s="343">
        <f t="shared" si="15"/>
        <v>0</v>
      </c>
      <c r="T61" s="344">
        <f t="shared" si="16"/>
        <v>0</v>
      </c>
    </row>
    <row r="62" spans="3:21" x14ac:dyDescent="0.25">
      <c r="D62" s="334">
        <f t="shared" si="2"/>
        <v>48</v>
      </c>
      <c r="E62" s="341">
        <f t="shared" si="1"/>
        <v>0</v>
      </c>
      <c r="F62" s="342">
        <f t="shared" si="3"/>
        <v>53874</v>
      </c>
      <c r="G62" s="337">
        <f t="shared" si="4"/>
        <v>0</v>
      </c>
      <c r="H62" s="337">
        <f t="shared" si="5"/>
        <v>0</v>
      </c>
      <c r="I62" s="343">
        <f t="shared" si="6"/>
        <v>0</v>
      </c>
      <c r="J62" s="337">
        <f t="shared" si="7"/>
        <v>0</v>
      </c>
      <c r="K62" s="337">
        <f t="shared" si="8"/>
        <v>0</v>
      </c>
      <c r="L62" s="343">
        <f t="shared" si="9"/>
        <v>0</v>
      </c>
      <c r="M62" s="337">
        <f t="shared" si="10"/>
        <v>0</v>
      </c>
      <c r="N62" s="337">
        <f t="shared" si="11"/>
        <v>0</v>
      </c>
      <c r="O62" s="343">
        <f t="shared" si="12"/>
        <v>0</v>
      </c>
      <c r="P62" s="337">
        <f t="shared" si="13"/>
        <v>0</v>
      </c>
      <c r="Q62" s="337">
        <f t="shared" si="14"/>
        <v>0</v>
      </c>
      <c r="R62" s="343">
        <f t="shared" si="15"/>
        <v>0</v>
      </c>
      <c r="T62" s="344">
        <f t="shared" si="16"/>
        <v>0</v>
      </c>
    </row>
    <row r="63" spans="3:21" x14ac:dyDescent="0.25">
      <c r="D63" s="334">
        <f t="shared" si="2"/>
        <v>49</v>
      </c>
      <c r="E63" s="341">
        <f t="shared" si="1"/>
        <v>0</v>
      </c>
      <c r="F63" s="342">
        <f t="shared" si="3"/>
        <v>54058</v>
      </c>
      <c r="G63" s="337">
        <f t="shared" si="4"/>
        <v>0</v>
      </c>
      <c r="H63" s="337">
        <f t="shared" si="5"/>
        <v>0</v>
      </c>
      <c r="I63" s="343">
        <f t="shared" si="6"/>
        <v>0</v>
      </c>
      <c r="J63" s="337">
        <f t="shared" si="7"/>
        <v>0</v>
      </c>
      <c r="K63" s="337">
        <f t="shared" si="8"/>
        <v>0</v>
      </c>
      <c r="L63" s="343">
        <f t="shared" si="9"/>
        <v>0</v>
      </c>
      <c r="M63" s="337">
        <f t="shared" si="10"/>
        <v>0</v>
      </c>
      <c r="N63" s="337">
        <f t="shared" si="11"/>
        <v>0</v>
      </c>
      <c r="O63" s="343">
        <f t="shared" si="12"/>
        <v>0</v>
      </c>
      <c r="P63" s="337">
        <f t="shared" si="13"/>
        <v>0</v>
      </c>
      <c r="Q63" s="337">
        <f t="shared" si="14"/>
        <v>0</v>
      </c>
      <c r="R63" s="343">
        <f t="shared" si="15"/>
        <v>0</v>
      </c>
      <c r="T63" s="344">
        <f t="shared" si="16"/>
        <v>0</v>
      </c>
    </row>
    <row r="64" spans="3:21" x14ac:dyDescent="0.25">
      <c r="D64" s="334">
        <f t="shared" si="2"/>
        <v>50</v>
      </c>
      <c r="E64" s="341">
        <f t="shared" si="1"/>
        <v>0</v>
      </c>
      <c r="F64" s="342">
        <f t="shared" si="3"/>
        <v>54240</v>
      </c>
      <c r="G64" s="337">
        <f t="shared" si="4"/>
        <v>0</v>
      </c>
      <c r="H64" s="337">
        <f t="shared" si="5"/>
        <v>0</v>
      </c>
      <c r="I64" s="343">
        <f t="shared" si="6"/>
        <v>0</v>
      </c>
      <c r="J64" s="337">
        <f t="shared" si="7"/>
        <v>0</v>
      </c>
      <c r="K64" s="337">
        <f t="shared" si="8"/>
        <v>0</v>
      </c>
      <c r="L64" s="343">
        <f t="shared" si="9"/>
        <v>0</v>
      </c>
      <c r="M64" s="337">
        <f t="shared" si="10"/>
        <v>0</v>
      </c>
      <c r="N64" s="337">
        <f t="shared" si="11"/>
        <v>0</v>
      </c>
      <c r="O64" s="343">
        <f t="shared" si="12"/>
        <v>0</v>
      </c>
      <c r="P64" s="337">
        <f t="shared" si="13"/>
        <v>0</v>
      </c>
      <c r="Q64" s="337">
        <f t="shared" si="14"/>
        <v>0</v>
      </c>
      <c r="R64" s="343">
        <f t="shared" si="15"/>
        <v>0</v>
      </c>
      <c r="T64" s="344">
        <f t="shared" si="16"/>
        <v>0</v>
      </c>
      <c r="U64" s="337"/>
    </row>
    <row r="65" spans="3:20" x14ac:dyDescent="0.25">
      <c r="D65" s="334">
        <f t="shared" si="2"/>
        <v>51</v>
      </c>
      <c r="E65" s="341">
        <f t="shared" si="1"/>
        <v>0</v>
      </c>
      <c r="F65" s="342">
        <f t="shared" si="3"/>
        <v>54424</v>
      </c>
      <c r="G65" s="337">
        <f t="shared" si="4"/>
        <v>0</v>
      </c>
      <c r="H65" s="337">
        <f t="shared" si="5"/>
        <v>0</v>
      </c>
      <c r="I65" s="343">
        <f t="shared" si="6"/>
        <v>0</v>
      </c>
      <c r="J65" s="337">
        <f t="shared" si="7"/>
        <v>0</v>
      </c>
      <c r="K65" s="337">
        <f t="shared" si="8"/>
        <v>0</v>
      </c>
      <c r="L65" s="343">
        <f t="shared" si="9"/>
        <v>0</v>
      </c>
      <c r="M65" s="337">
        <f t="shared" si="10"/>
        <v>0</v>
      </c>
      <c r="N65" s="337">
        <f t="shared" si="11"/>
        <v>0</v>
      </c>
      <c r="O65" s="343">
        <f t="shared" si="12"/>
        <v>0</v>
      </c>
      <c r="P65" s="337">
        <f t="shared" si="13"/>
        <v>0</v>
      </c>
      <c r="Q65" s="337">
        <f t="shared" si="14"/>
        <v>0</v>
      </c>
      <c r="R65" s="343">
        <f t="shared" si="15"/>
        <v>0</v>
      </c>
      <c r="T65" s="344">
        <f t="shared" si="16"/>
        <v>0</v>
      </c>
    </row>
    <row r="66" spans="3:20" x14ac:dyDescent="0.25">
      <c r="D66" s="334">
        <f t="shared" si="2"/>
        <v>52</v>
      </c>
      <c r="E66" s="341">
        <f t="shared" si="1"/>
        <v>0</v>
      </c>
      <c r="F66" s="342">
        <f t="shared" si="3"/>
        <v>54605</v>
      </c>
      <c r="G66" s="337">
        <f t="shared" si="4"/>
        <v>0</v>
      </c>
      <c r="H66" s="337">
        <f t="shared" si="5"/>
        <v>0</v>
      </c>
      <c r="I66" s="343">
        <f t="shared" si="6"/>
        <v>0</v>
      </c>
      <c r="J66" s="337">
        <f t="shared" si="7"/>
        <v>0</v>
      </c>
      <c r="K66" s="337">
        <f t="shared" si="8"/>
        <v>0</v>
      </c>
      <c r="L66" s="343">
        <f t="shared" si="9"/>
        <v>0</v>
      </c>
      <c r="M66" s="337">
        <f t="shared" si="10"/>
        <v>0</v>
      </c>
      <c r="N66" s="337">
        <f t="shared" si="11"/>
        <v>0</v>
      </c>
      <c r="O66" s="343">
        <f t="shared" si="12"/>
        <v>0</v>
      </c>
      <c r="P66" s="337">
        <f t="shared" si="13"/>
        <v>0</v>
      </c>
      <c r="Q66" s="337">
        <f t="shared" si="14"/>
        <v>0</v>
      </c>
      <c r="R66" s="343">
        <f t="shared" si="15"/>
        <v>0</v>
      </c>
      <c r="T66" s="344">
        <f t="shared" si="16"/>
        <v>0</v>
      </c>
    </row>
    <row r="67" spans="3:20" x14ac:dyDescent="0.25">
      <c r="D67" s="334">
        <f t="shared" si="2"/>
        <v>53</v>
      </c>
      <c r="E67" s="341">
        <f t="shared" si="1"/>
        <v>0</v>
      </c>
      <c r="F67" s="342">
        <f t="shared" si="3"/>
        <v>54789</v>
      </c>
      <c r="G67" s="337">
        <f t="shared" si="4"/>
        <v>0</v>
      </c>
      <c r="H67" s="337">
        <f t="shared" si="5"/>
        <v>0</v>
      </c>
      <c r="I67" s="343">
        <f t="shared" si="6"/>
        <v>0</v>
      </c>
      <c r="J67" s="337">
        <f t="shared" si="7"/>
        <v>0</v>
      </c>
      <c r="K67" s="337">
        <f t="shared" si="8"/>
        <v>0</v>
      </c>
      <c r="L67" s="343">
        <f t="shared" si="9"/>
        <v>0</v>
      </c>
      <c r="M67" s="337">
        <f t="shared" si="10"/>
        <v>0</v>
      </c>
      <c r="N67" s="337">
        <f t="shared" si="11"/>
        <v>0</v>
      </c>
      <c r="O67" s="343">
        <f t="shared" si="12"/>
        <v>0</v>
      </c>
      <c r="P67" s="337">
        <f t="shared" si="13"/>
        <v>0</v>
      </c>
      <c r="Q67" s="337">
        <f t="shared" si="14"/>
        <v>0</v>
      </c>
      <c r="R67" s="343">
        <f t="shared" si="15"/>
        <v>0</v>
      </c>
      <c r="T67" s="344">
        <f t="shared" si="16"/>
        <v>0</v>
      </c>
    </row>
    <row r="68" spans="3:20" x14ac:dyDescent="0.25">
      <c r="D68" s="334">
        <f t="shared" si="2"/>
        <v>54</v>
      </c>
      <c r="E68" s="341">
        <f t="shared" si="1"/>
        <v>0</v>
      </c>
      <c r="F68" s="342">
        <f t="shared" si="3"/>
        <v>54970</v>
      </c>
      <c r="G68" s="337">
        <f t="shared" si="4"/>
        <v>0</v>
      </c>
      <c r="H68" s="337">
        <f t="shared" si="5"/>
        <v>0</v>
      </c>
      <c r="I68" s="343">
        <f t="shared" si="6"/>
        <v>0</v>
      </c>
      <c r="J68" s="337">
        <f t="shared" si="7"/>
        <v>0</v>
      </c>
      <c r="K68" s="337">
        <f t="shared" si="8"/>
        <v>0</v>
      </c>
      <c r="L68" s="343">
        <f t="shared" si="9"/>
        <v>0</v>
      </c>
      <c r="M68" s="337">
        <f t="shared" si="10"/>
        <v>0</v>
      </c>
      <c r="N68" s="337">
        <f t="shared" si="11"/>
        <v>0</v>
      </c>
      <c r="O68" s="343">
        <f t="shared" si="12"/>
        <v>0</v>
      </c>
      <c r="P68" s="337">
        <f t="shared" si="13"/>
        <v>0</v>
      </c>
      <c r="Q68" s="337">
        <f t="shared" si="14"/>
        <v>0</v>
      </c>
      <c r="R68" s="343">
        <f t="shared" si="15"/>
        <v>0</v>
      </c>
      <c r="T68" s="344">
        <f t="shared" si="16"/>
        <v>0</v>
      </c>
    </row>
    <row r="69" spans="3:20" x14ac:dyDescent="0.25">
      <c r="D69" s="334">
        <f t="shared" si="2"/>
        <v>55</v>
      </c>
      <c r="E69" s="341">
        <f t="shared" si="1"/>
        <v>0</v>
      </c>
      <c r="F69" s="342">
        <f t="shared" si="3"/>
        <v>55154</v>
      </c>
      <c r="G69" s="337">
        <f t="shared" si="4"/>
        <v>0</v>
      </c>
      <c r="H69" s="337">
        <f t="shared" si="5"/>
        <v>0</v>
      </c>
      <c r="I69" s="343">
        <f t="shared" si="6"/>
        <v>0</v>
      </c>
      <c r="J69" s="337">
        <f t="shared" si="7"/>
        <v>0</v>
      </c>
      <c r="K69" s="337">
        <f t="shared" si="8"/>
        <v>0</v>
      </c>
      <c r="L69" s="343">
        <f t="shared" si="9"/>
        <v>0</v>
      </c>
      <c r="M69" s="337">
        <f t="shared" si="10"/>
        <v>0</v>
      </c>
      <c r="N69" s="337">
        <f t="shared" si="11"/>
        <v>0</v>
      </c>
      <c r="O69" s="343">
        <f t="shared" si="12"/>
        <v>0</v>
      </c>
      <c r="P69" s="337">
        <f t="shared" si="13"/>
        <v>0</v>
      </c>
      <c r="Q69" s="337">
        <f t="shared" si="14"/>
        <v>0</v>
      </c>
      <c r="R69" s="343">
        <f t="shared" si="15"/>
        <v>0</v>
      </c>
      <c r="T69" s="344">
        <f t="shared" si="16"/>
        <v>0</v>
      </c>
    </row>
    <row r="70" spans="3:20" x14ac:dyDescent="0.25">
      <c r="D70" s="334">
        <f t="shared" si="2"/>
        <v>56</v>
      </c>
      <c r="E70" s="341">
        <f t="shared" si="1"/>
        <v>0</v>
      </c>
      <c r="F70" s="342">
        <f t="shared" si="3"/>
        <v>55335</v>
      </c>
      <c r="G70" s="337">
        <f t="shared" si="4"/>
        <v>0</v>
      </c>
      <c r="H70" s="337">
        <f t="shared" si="5"/>
        <v>0</v>
      </c>
      <c r="I70" s="343">
        <f t="shared" si="6"/>
        <v>0</v>
      </c>
      <c r="J70" s="337">
        <f t="shared" si="7"/>
        <v>0</v>
      </c>
      <c r="K70" s="337">
        <f t="shared" si="8"/>
        <v>0</v>
      </c>
      <c r="L70" s="343">
        <f t="shared" si="9"/>
        <v>0</v>
      </c>
      <c r="M70" s="337">
        <f t="shared" si="10"/>
        <v>0</v>
      </c>
      <c r="N70" s="337">
        <f t="shared" si="11"/>
        <v>0</v>
      </c>
      <c r="O70" s="343">
        <f t="shared" si="12"/>
        <v>0</v>
      </c>
      <c r="P70" s="337">
        <f t="shared" si="13"/>
        <v>0</v>
      </c>
      <c r="Q70" s="337">
        <f t="shared" si="14"/>
        <v>0</v>
      </c>
      <c r="R70" s="343">
        <f t="shared" si="15"/>
        <v>0</v>
      </c>
      <c r="T70" s="344">
        <f t="shared" si="16"/>
        <v>0</v>
      </c>
    </row>
    <row r="71" spans="3:20" x14ac:dyDescent="0.25">
      <c r="D71" s="334">
        <f t="shared" si="2"/>
        <v>57</v>
      </c>
      <c r="E71" s="341">
        <f t="shared" si="1"/>
        <v>0</v>
      </c>
      <c r="F71" s="342">
        <f t="shared" si="3"/>
        <v>55519</v>
      </c>
      <c r="G71" s="337">
        <f t="shared" si="4"/>
        <v>0</v>
      </c>
      <c r="H71" s="337">
        <f t="shared" si="5"/>
        <v>0</v>
      </c>
      <c r="I71" s="343">
        <f t="shared" si="6"/>
        <v>0</v>
      </c>
      <c r="J71" s="337">
        <f t="shared" si="7"/>
        <v>0</v>
      </c>
      <c r="K71" s="337">
        <f t="shared" si="8"/>
        <v>0</v>
      </c>
      <c r="L71" s="343">
        <f t="shared" si="9"/>
        <v>0</v>
      </c>
      <c r="M71" s="337">
        <f t="shared" si="10"/>
        <v>0</v>
      </c>
      <c r="N71" s="337">
        <f t="shared" si="11"/>
        <v>0</v>
      </c>
      <c r="O71" s="343">
        <f t="shared" si="12"/>
        <v>0</v>
      </c>
      <c r="P71" s="337">
        <f t="shared" si="13"/>
        <v>0</v>
      </c>
      <c r="Q71" s="337">
        <f t="shared" si="14"/>
        <v>0</v>
      </c>
      <c r="R71" s="343">
        <f t="shared" si="15"/>
        <v>0</v>
      </c>
      <c r="T71" s="344">
        <f t="shared" si="16"/>
        <v>0</v>
      </c>
    </row>
    <row r="72" spans="3:20" x14ac:dyDescent="0.25">
      <c r="D72" s="334">
        <f t="shared" si="2"/>
        <v>58</v>
      </c>
      <c r="E72" s="341">
        <f t="shared" si="1"/>
        <v>0</v>
      </c>
      <c r="F72" s="342">
        <f t="shared" si="3"/>
        <v>55701</v>
      </c>
      <c r="G72" s="337">
        <f t="shared" si="4"/>
        <v>0</v>
      </c>
      <c r="H72" s="337">
        <f t="shared" si="5"/>
        <v>0</v>
      </c>
      <c r="I72" s="343">
        <f t="shared" si="6"/>
        <v>0</v>
      </c>
      <c r="J72" s="337">
        <f t="shared" si="7"/>
        <v>0</v>
      </c>
      <c r="K72" s="337">
        <f t="shared" si="8"/>
        <v>0</v>
      </c>
      <c r="L72" s="343">
        <f t="shared" si="9"/>
        <v>0</v>
      </c>
      <c r="M72" s="337">
        <f t="shared" si="10"/>
        <v>0</v>
      </c>
      <c r="N72" s="337">
        <f t="shared" si="11"/>
        <v>0</v>
      </c>
      <c r="O72" s="343">
        <f t="shared" si="12"/>
        <v>0</v>
      </c>
      <c r="P72" s="337">
        <f t="shared" si="13"/>
        <v>0</v>
      </c>
      <c r="Q72" s="337">
        <f t="shared" si="14"/>
        <v>0</v>
      </c>
      <c r="R72" s="343">
        <f t="shared" si="15"/>
        <v>0</v>
      </c>
      <c r="T72" s="344">
        <f t="shared" si="16"/>
        <v>0</v>
      </c>
    </row>
    <row r="73" spans="3:20" x14ac:dyDescent="0.25">
      <c r="D73" s="334">
        <f t="shared" si="2"/>
        <v>59</v>
      </c>
      <c r="E73" s="341">
        <f t="shared" si="1"/>
        <v>0</v>
      </c>
      <c r="F73" s="342">
        <f t="shared" si="3"/>
        <v>55885</v>
      </c>
      <c r="G73" s="337">
        <f t="shared" si="4"/>
        <v>0</v>
      </c>
      <c r="H73" s="337">
        <f t="shared" si="5"/>
        <v>0</v>
      </c>
      <c r="I73" s="343">
        <f t="shared" si="6"/>
        <v>0</v>
      </c>
      <c r="J73" s="337">
        <f t="shared" si="7"/>
        <v>0</v>
      </c>
      <c r="K73" s="337">
        <f t="shared" si="8"/>
        <v>0</v>
      </c>
      <c r="L73" s="343">
        <f t="shared" si="9"/>
        <v>0</v>
      </c>
      <c r="M73" s="337">
        <f t="shared" si="10"/>
        <v>0</v>
      </c>
      <c r="N73" s="337">
        <f t="shared" si="11"/>
        <v>0</v>
      </c>
      <c r="O73" s="343">
        <f t="shared" si="12"/>
        <v>0</v>
      </c>
      <c r="P73" s="337">
        <f t="shared" si="13"/>
        <v>0</v>
      </c>
      <c r="Q73" s="337">
        <f t="shared" si="14"/>
        <v>0</v>
      </c>
      <c r="R73" s="343">
        <f t="shared" si="15"/>
        <v>0</v>
      </c>
      <c r="T73" s="344">
        <f t="shared" si="16"/>
        <v>0</v>
      </c>
    </row>
    <row r="74" spans="3:20" x14ac:dyDescent="0.25">
      <c r="D74" s="334">
        <f t="shared" si="2"/>
        <v>60</v>
      </c>
      <c r="E74" s="341">
        <f t="shared" si="1"/>
        <v>0</v>
      </c>
      <c r="F74" s="342">
        <f t="shared" si="3"/>
        <v>56066</v>
      </c>
      <c r="G74" s="337">
        <f t="shared" si="4"/>
        <v>0</v>
      </c>
      <c r="H74" s="337">
        <f t="shared" si="5"/>
        <v>0</v>
      </c>
      <c r="I74" s="343">
        <f t="shared" si="6"/>
        <v>0</v>
      </c>
      <c r="J74" s="337">
        <f t="shared" si="7"/>
        <v>0</v>
      </c>
      <c r="K74" s="337">
        <f t="shared" si="8"/>
        <v>0</v>
      </c>
      <c r="L74" s="343">
        <f t="shared" si="9"/>
        <v>0</v>
      </c>
      <c r="M74" s="337">
        <f t="shared" si="10"/>
        <v>0</v>
      </c>
      <c r="N74" s="337">
        <f t="shared" si="11"/>
        <v>0</v>
      </c>
      <c r="O74" s="343">
        <f t="shared" si="12"/>
        <v>0</v>
      </c>
      <c r="P74" s="337">
        <f t="shared" si="13"/>
        <v>0</v>
      </c>
      <c r="Q74" s="337">
        <f t="shared" si="14"/>
        <v>0</v>
      </c>
      <c r="R74" s="343">
        <f t="shared" si="15"/>
        <v>0</v>
      </c>
      <c r="T74" s="344">
        <f t="shared" si="16"/>
        <v>0</v>
      </c>
    </row>
    <row r="75" spans="3:20" x14ac:dyDescent="0.25">
      <c r="D75" s="334">
        <f t="shared" si="2"/>
        <v>61</v>
      </c>
      <c r="E75" s="346">
        <f t="shared" si="1"/>
        <v>0</v>
      </c>
      <c r="F75" s="347">
        <f t="shared" si="3"/>
        <v>56250</v>
      </c>
      <c r="G75" s="348">
        <f t="shared" si="4"/>
        <v>0</v>
      </c>
      <c r="H75" s="348">
        <f t="shared" si="5"/>
        <v>0</v>
      </c>
      <c r="I75" s="349">
        <f t="shared" si="6"/>
        <v>0</v>
      </c>
      <c r="J75" s="348">
        <f t="shared" si="7"/>
        <v>0</v>
      </c>
      <c r="K75" s="348">
        <f t="shared" si="8"/>
        <v>0</v>
      </c>
      <c r="L75" s="349">
        <f t="shared" si="9"/>
        <v>0</v>
      </c>
      <c r="M75" s="348">
        <f t="shared" si="10"/>
        <v>0</v>
      </c>
      <c r="N75" s="348">
        <f t="shared" si="11"/>
        <v>0</v>
      </c>
      <c r="O75" s="349">
        <f t="shared" si="12"/>
        <v>0</v>
      </c>
      <c r="P75" s="348">
        <f t="shared" si="13"/>
        <v>0</v>
      </c>
      <c r="Q75" s="348">
        <f t="shared" si="14"/>
        <v>0</v>
      </c>
      <c r="R75" s="349">
        <f t="shared" si="15"/>
        <v>0</v>
      </c>
      <c r="T75" s="350">
        <f t="shared" si="16"/>
        <v>0</v>
      </c>
    </row>
    <row r="80" spans="3:20" x14ac:dyDescent="0.25">
      <c r="C80" s="290"/>
    </row>
    <row r="81" spans="3:3" x14ac:dyDescent="0.25">
      <c r="C81" s="290"/>
    </row>
    <row r="82" spans="3:3" x14ac:dyDescent="0.25">
      <c r="C82" s="290"/>
    </row>
    <row r="83" spans="3:3" x14ac:dyDescent="0.25">
      <c r="C83" s="290"/>
    </row>
  </sheetData>
  <mergeCells count="4">
    <mergeCell ref="G13:I13"/>
    <mergeCell ref="J13:L13"/>
    <mergeCell ref="M13:O13"/>
    <mergeCell ref="P13:R13"/>
  </mergeCells>
  <conditionalFormatting sqref="M9">
    <cfRule type="containsText" dxfId="3" priority="3" operator="containsText" text="FALSE">
      <formula>NOT(ISERROR(SEARCH("FALSE",M9)))</formula>
    </cfRule>
    <cfRule type="cellIs" dxfId="2" priority="4" operator="equal">
      <formula>TRUE</formula>
    </cfRule>
  </conditionalFormatting>
  <conditionalFormatting sqref="K6">
    <cfRule type="containsText" dxfId="1" priority="1" operator="containsText" text="FALSE">
      <formula>NOT(ISERROR(SEARCH("FALSE",K6)))</formula>
    </cfRule>
    <cfRule type="cellIs" dxfId="0" priority="2" operator="equal">
      <formula>TRUE</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F17-97CF-4319-8781-DFB64200958E}">
  <dimension ref="A1:I251"/>
  <sheetViews>
    <sheetView zoomScaleNormal="100" workbookViewId="0">
      <selection activeCell="I5" sqref="I5"/>
    </sheetView>
  </sheetViews>
  <sheetFormatPr defaultColWidth="9.1796875" defaultRowHeight="14.5" x14ac:dyDescent="0.35"/>
  <cols>
    <col min="1" max="1" width="18.7265625" style="143" customWidth="1"/>
    <col min="2" max="3" width="15.7265625" style="143" customWidth="1"/>
    <col min="4" max="4" width="12.7265625" style="143" bestFit="1" customWidth="1"/>
    <col min="5" max="5" width="9.1796875" style="143"/>
    <col min="6" max="6" width="14" style="143" customWidth="1"/>
    <col min="7" max="7" width="15.1796875" style="143" bestFit="1" customWidth="1"/>
    <col min="8" max="8" width="17.81640625" style="143" customWidth="1"/>
    <col min="9" max="9" width="12.7265625" style="143" bestFit="1" customWidth="1"/>
    <col min="10" max="16384" width="9.1796875" style="143"/>
  </cols>
  <sheetData>
    <row r="1" spans="1:9" x14ac:dyDescent="0.35">
      <c r="A1" s="377" t="s">
        <v>122</v>
      </c>
      <c r="B1" s="377"/>
      <c r="C1" s="377"/>
      <c r="D1" s="377"/>
      <c r="F1" s="377" t="s">
        <v>123</v>
      </c>
      <c r="G1" s="377"/>
      <c r="H1" s="377"/>
      <c r="I1" s="377"/>
    </row>
    <row r="3" spans="1:9" x14ac:dyDescent="0.35">
      <c r="A3" s="143" t="s">
        <v>124</v>
      </c>
      <c r="D3" s="360">
        <v>60730638.475500003</v>
      </c>
      <c r="F3" s="143" t="s">
        <v>124</v>
      </c>
      <c r="I3" s="147">
        <v>10973148.259500001</v>
      </c>
    </row>
    <row r="4" spans="1:9" x14ac:dyDescent="0.35">
      <c r="A4" s="143" t="s">
        <v>125</v>
      </c>
      <c r="D4" s="353">
        <v>17</v>
      </c>
      <c r="F4" s="143" t="s">
        <v>125</v>
      </c>
      <c r="I4" s="143">
        <v>4.5</v>
      </c>
    </row>
    <row r="5" spans="1:9" x14ac:dyDescent="0.35">
      <c r="A5" s="143" t="s">
        <v>174</v>
      </c>
      <c r="D5" s="361">
        <v>8.299999999999999E-2</v>
      </c>
      <c r="F5" s="143" t="s">
        <v>174</v>
      </c>
      <c r="I5" s="285">
        <v>8.3000000000000004E-2</v>
      </c>
    </row>
    <row r="6" spans="1:9" x14ac:dyDescent="0.35">
      <c r="A6" s="143" t="s">
        <v>173</v>
      </c>
      <c r="D6" s="151">
        <f>PMT(D5/12,D4*12,D3)</f>
        <v>-556426.36244339834</v>
      </c>
      <c r="F6" s="143" t="s">
        <v>173</v>
      </c>
      <c r="I6" s="151">
        <f>PMT(I5/12,I4*12,I3)</f>
        <v>-244205.96476818365</v>
      </c>
    </row>
    <row r="7" spans="1:9" x14ac:dyDescent="0.35">
      <c r="A7" s="150" t="s">
        <v>172</v>
      </c>
      <c r="B7" s="150"/>
      <c r="C7" s="150"/>
      <c r="D7" s="149">
        <f>NPV(D5/12,C11:C215)</f>
        <v>33101691.641578846</v>
      </c>
      <c r="F7" s="143" t="s">
        <v>172</v>
      </c>
      <c r="I7" s="149">
        <f>NPV(I5/12,H11:H215)</f>
        <v>1946928.391031571</v>
      </c>
    </row>
    <row r="9" spans="1:9" x14ac:dyDescent="0.35">
      <c r="A9" s="148" t="s">
        <v>129</v>
      </c>
      <c r="C9" s="147"/>
      <c r="F9" s="143" t="s">
        <v>129</v>
      </c>
    </row>
    <row r="10" spans="1:9" x14ac:dyDescent="0.35">
      <c r="A10" s="146" t="s">
        <v>130</v>
      </c>
      <c r="B10" s="146" t="s">
        <v>131</v>
      </c>
      <c r="C10" s="146" t="s">
        <v>171</v>
      </c>
      <c r="F10" s="143" t="s">
        <v>130</v>
      </c>
      <c r="G10" s="143" t="s">
        <v>131</v>
      </c>
      <c r="H10" s="143" t="s">
        <v>171</v>
      </c>
    </row>
    <row r="11" spans="1:9" x14ac:dyDescent="0.35">
      <c r="A11" s="145">
        <v>45108</v>
      </c>
      <c r="B11" s="144">
        <f>D3</f>
        <v>60730638.475500003</v>
      </c>
      <c r="C11" s="144">
        <f t="shared" ref="C11:C74" si="0">B11*$D$5/12</f>
        <v>420053.58278887492</v>
      </c>
      <c r="F11" s="145">
        <v>45108</v>
      </c>
      <c r="G11" s="286">
        <f>I3</f>
        <v>10973148.259500001</v>
      </c>
      <c r="H11" s="144">
        <f>G11*$I$5/12</f>
        <v>75897.608794875006</v>
      </c>
    </row>
    <row r="12" spans="1:9" x14ac:dyDescent="0.35">
      <c r="A12" s="145">
        <f>EOMONTH(A11,0)+1</f>
        <v>45139</v>
      </c>
      <c r="B12" s="144">
        <f t="shared" ref="B12:B75" si="1">B11+C11+$D$6</f>
        <v>60594265.695845485</v>
      </c>
      <c r="C12" s="144">
        <f t="shared" si="0"/>
        <v>419110.33772959787</v>
      </c>
      <c r="F12" s="145">
        <v>45139</v>
      </c>
      <c r="G12" s="144">
        <f>G11+H11+$I$6</f>
        <v>10804839.903526692</v>
      </c>
      <c r="H12" s="144">
        <f t="shared" ref="H12:H65" si="2">G12*$I$5/12</f>
        <v>74733.475999392962</v>
      </c>
    </row>
    <row r="13" spans="1:9" x14ac:dyDescent="0.35">
      <c r="A13" s="145">
        <f t="shared" ref="A13:A76" si="3">EOMONTH(A12,0)+1</f>
        <v>45170</v>
      </c>
      <c r="B13" s="144">
        <f t="shared" si="1"/>
        <v>60456949.671131685</v>
      </c>
      <c r="C13" s="144">
        <f t="shared" si="0"/>
        <v>418160.5685586608</v>
      </c>
      <c r="F13" s="145">
        <v>45170</v>
      </c>
      <c r="G13" s="144">
        <f t="shared" ref="G13:G65" si="4">G12+H12+$I$6</f>
        <v>10635367.4147579</v>
      </c>
      <c r="H13" s="144">
        <f t="shared" si="2"/>
        <v>73561.291285408821</v>
      </c>
    </row>
    <row r="14" spans="1:9" x14ac:dyDescent="0.35">
      <c r="A14" s="145">
        <f t="shared" si="3"/>
        <v>45200</v>
      </c>
      <c r="B14" s="144">
        <f t="shared" si="1"/>
        <v>60318683.877246954</v>
      </c>
      <c r="C14" s="144">
        <f t="shared" si="0"/>
        <v>417204.23015095806</v>
      </c>
      <c r="F14" s="145">
        <v>45200</v>
      </c>
      <c r="G14" s="144">
        <f t="shared" si="4"/>
        <v>10464722.741275124</v>
      </c>
      <c r="H14" s="144">
        <f t="shared" si="2"/>
        <v>72380.998960486279</v>
      </c>
    </row>
    <row r="15" spans="1:9" x14ac:dyDescent="0.35">
      <c r="A15" s="145">
        <f t="shared" si="3"/>
        <v>45231</v>
      </c>
      <c r="B15" s="144">
        <f t="shared" si="1"/>
        <v>60179461.744954519</v>
      </c>
      <c r="C15" s="144">
        <f t="shared" si="0"/>
        <v>416241.27706926869</v>
      </c>
      <c r="F15" s="145">
        <v>45231</v>
      </c>
      <c r="G15" s="144">
        <f t="shared" si="4"/>
        <v>10292897.775467426</v>
      </c>
      <c r="H15" s="144">
        <f t="shared" si="2"/>
        <v>71192.542946983027</v>
      </c>
    </row>
    <row r="16" spans="1:9" x14ac:dyDescent="0.35">
      <c r="A16" s="145">
        <f t="shared" si="3"/>
        <v>45261</v>
      </c>
      <c r="B16" s="144">
        <f t="shared" si="1"/>
        <v>60039276.659580395</v>
      </c>
      <c r="C16" s="144">
        <f t="shared" si="0"/>
        <v>415271.66356209764</v>
      </c>
      <c r="F16" s="145">
        <v>45261</v>
      </c>
      <c r="G16" s="144">
        <f t="shared" si="4"/>
        <v>10119884.353646224</v>
      </c>
      <c r="H16" s="144">
        <f t="shared" si="2"/>
        <v>69995.866779386386</v>
      </c>
    </row>
    <row r="17" spans="1:8" x14ac:dyDescent="0.35">
      <c r="A17" s="145">
        <f t="shared" si="3"/>
        <v>45292</v>
      </c>
      <c r="B17" s="144">
        <f t="shared" si="1"/>
        <v>59898121.960699096</v>
      </c>
      <c r="C17" s="144">
        <f t="shared" si="0"/>
        <v>414295.343561502</v>
      </c>
      <c r="F17" s="145">
        <v>45292</v>
      </c>
      <c r="G17" s="144">
        <f t="shared" si="4"/>
        <v>9945674.255657427</v>
      </c>
      <c r="H17" s="144">
        <f t="shared" si="2"/>
        <v>68790.913601630542</v>
      </c>
    </row>
    <row r="18" spans="1:8" x14ac:dyDescent="0.35">
      <c r="A18" s="145">
        <f t="shared" si="3"/>
        <v>45323</v>
      </c>
      <c r="B18" s="144">
        <f t="shared" si="1"/>
        <v>59755990.941817202</v>
      </c>
      <c r="C18" s="144">
        <f t="shared" si="0"/>
        <v>413312.27068090229</v>
      </c>
      <c r="F18" s="145">
        <v>45323</v>
      </c>
      <c r="G18" s="144">
        <f t="shared" si="4"/>
        <v>9770259.204490874</v>
      </c>
      <c r="H18" s="144">
        <f t="shared" si="2"/>
        <v>67577.626164395217</v>
      </c>
    </row>
    <row r="19" spans="1:8" x14ac:dyDescent="0.35">
      <c r="A19" s="145">
        <f t="shared" si="3"/>
        <v>45352</v>
      </c>
      <c r="B19" s="144">
        <f t="shared" si="1"/>
        <v>59612876.850054711</v>
      </c>
      <c r="C19" s="144">
        <f t="shared" si="0"/>
        <v>412322.39821287832</v>
      </c>
      <c r="F19" s="145">
        <v>45352</v>
      </c>
      <c r="G19" s="144">
        <f t="shared" si="4"/>
        <v>9593630.865887085</v>
      </c>
      <c r="H19" s="144">
        <f t="shared" si="2"/>
        <v>66355.946822385667</v>
      </c>
    </row>
    <row r="20" spans="1:8" x14ac:dyDescent="0.35">
      <c r="A20" s="145">
        <f t="shared" si="3"/>
        <v>45383</v>
      </c>
      <c r="B20" s="144">
        <f t="shared" si="1"/>
        <v>59468772.885824196</v>
      </c>
      <c r="C20" s="144">
        <f t="shared" si="0"/>
        <v>411325.67912695068</v>
      </c>
      <c r="F20" s="145">
        <v>45383</v>
      </c>
      <c r="G20" s="144">
        <f t="shared" si="4"/>
        <v>9415780.8479412869</v>
      </c>
      <c r="H20" s="144">
        <f t="shared" si="2"/>
        <v>65125.817531593901</v>
      </c>
    </row>
    <row r="21" spans="1:8" x14ac:dyDescent="0.35">
      <c r="A21" s="145">
        <f t="shared" si="3"/>
        <v>45413</v>
      </c>
      <c r="B21" s="144">
        <f t="shared" si="1"/>
        <v>59323672.202507749</v>
      </c>
      <c r="C21" s="144">
        <f t="shared" si="0"/>
        <v>410322.06606734521</v>
      </c>
      <c r="F21" s="145">
        <v>45413</v>
      </c>
      <c r="G21" s="144">
        <f t="shared" si="4"/>
        <v>9236700.7007046957</v>
      </c>
      <c r="H21" s="144">
        <f t="shared" si="2"/>
        <v>63887.179846540814</v>
      </c>
    </row>
    <row r="22" spans="1:8" x14ac:dyDescent="0.35">
      <c r="A22" s="145">
        <f t="shared" si="3"/>
        <v>45444</v>
      </c>
      <c r="B22" s="144">
        <f t="shared" si="1"/>
        <v>59177567.9061317</v>
      </c>
      <c r="C22" s="144">
        <f t="shared" si="0"/>
        <v>409311.51135074417</v>
      </c>
      <c r="F22" s="145">
        <v>45444</v>
      </c>
      <c r="G22" s="144">
        <f t="shared" si="4"/>
        <v>9056381.9157830514</v>
      </c>
      <c r="H22" s="144">
        <f t="shared" si="2"/>
        <v>62639.974917499443</v>
      </c>
    </row>
    <row r="23" spans="1:8" x14ac:dyDescent="0.35">
      <c r="A23" s="145">
        <f t="shared" si="3"/>
        <v>45474</v>
      </c>
      <c r="B23" s="144">
        <f t="shared" si="1"/>
        <v>59030453.055039048</v>
      </c>
      <c r="C23" s="144">
        <f t="shared" si="0"/>
        <v>408293.96696401999</v>
      </c>
      <c r="F23" s="145">
        <v>45474</v>
      </c>
      <c r="G23" s="144">
        <f t="shared" si="4"/>
        <v>8874815.9259323664</v>
      </c>
      <c r="H23" s="144">
        <f t="shared" si="2"/>
        <v>61384.143487698871</v>
      </c>
    </row>
    <row r="24" spans="1:8" x14ac:dyDescent="0.35">
      <c r="A24" s="145">
        <f t="shared" si="3"/>
        <v>45505</v>
      </c>
      <c r="B24" s="144">
        <f t="shared" si="1"/>
        <v>58882320.659559675</v>
      </c>
      <c r="C24" s="144">
        <f t="shared" si="0"/>
        <v>407269.38456195436</v>
      </c>
      <c r="F24" s="145">
        <v>45505</v>
      </c>
      <c r="G24" s="144">
        <f t="shared" si="4"/>
        <v>8691994.1046518814</v>
      </c>
      <c r="H24" s="144">
        <f t="shared" si="2"/>
        <v>60119.625890508847</v>
      </c>
    </row>
    <row r="25" spans="1:8" x14ac:dyDescent="0.35">
      <c r="A25" s="145">
        <f t="shared" si="3"/>
        <v>45536</v>
      </c>
      <c r="B25" s="144">
        <f t="shared" si="1"/>
        <v>58733163.681678236</v>
      </c>
      <c r="C25" s="144">
        <f t="shared" si="0"/>
        <v>406237.71546494105</v>
      </c>
      <c r="F25" s="145">
        <v>45536</v>
      </c>
      <c r="G25" s="144">
        <f t="shared" si="4"/>
        <v>8507907.7657742053</v>
      </c>
      <c r="H25" s="144">
        <f t="shared" si="2"/>
        <v>58846.362046604925</v>
      </c>
    </row>
    <row r="26" spans="1:8" x14ac:dyDescent="0.35">
      <c r="A26" s="145">
        <f t="shared" si="3"/>
        <v>45566</v>
      </c>
      <c r="B26" s="144">
        <f t="shared" si="1"/>
        <v>58582975.034699783</v>
      </c>
      <c r="C26" s="144">
        <f t="shared" si="0"/>
        <v>405198.91065667343</v>
      </c>
      <c r="F26" s="145">
        <v>45566</v>
      </c>
      <c r="G26" s="144">
        <f t="shared" si="4"/>
        <v>8322548.1630526269</v>
      </c>
      <c r="H26" s="144">
        <f t="shared" si="2"/>
        <v>57564.291461114008</v>
      </c>
    </row>
    <row r="27" spans="1:8" x14ac:dyDescent="0.35">
      <c r="A27" s="145">
        <f t="shared" si="3"/>
        <v>45597</v>
      </c>
      <c r="B27" s="144">
        <f t="shared" si="1"/>
        <v>58431747.582913063</v>
      </c>
      <c r="C27" s="144">
        <f t="shared" si="0"/>
        <v>404152.92078181537</v>
      </c>
      <c r="F27" s="145">
        <v>45597</v>
      </c>
      <c r="G27" s="144">
        <f t="shared" si="4"/>
        <v>8135906.4897455573</v>
      </c>
      <c r="H27" s="144">
        <f t="shared" si="2"/>
        <v>56273.353220740108</v>
      </c>
    </row>
    <row r="28" spans="1:8" x14ac:dyDescent="0.35">
      <c r="A28" s="145">
        <f t="shared" si="3"/>
        <v>45627</v>
      </c>
      <c r="B28" s="144">
        <f t="shared" si="1"/>
        <v>58279474.141251482</v>
      </c>
      <c r="C28" s="144">
        <f t="shared" si="0"/>
        <v>403099.69614365604</v>
      </c>
      <c r="F28" s="145">
        <v>45627</v>
      </c>
      <c r="G28" s="144">
        <f t="shared" si="4"/>
        <v>7947973.8781981142</v>
      </c>
      <c r="H28" s="144">
        <f t="shared" si="2"/>
        <v>54973.4859908703</v>
      </c>
    </row>
    <row r="29" spans="1:8" x14ac:dyDescent="0.35">
      <c r="A29" s="145">
        <f t="shared" si="3"/>
        <v>45658</v>
      </c>
      <c r="B29" s="144">
        <f t="shared" si="1"/>
        <v>58126147.474951744</v>
      </c>
      <c r="C29" s="144">
        <f t="shared" si="0"/>
        <v>402039.18670174951</v>
      </c>
      <c r="F29" s="145">
        <v>45658</v>
      </c>
      <c r="G29" s="144">
        <f t="shared" si="4"/>
        <v>7758741.3994208016</v>
      </c>
      <c r="H29" s="144">
        <f t="shared" si="2"/>
        <v>53664.628012660549</v>
      </c>
    </row>
    <row r="30" spans="1:8" x14ac:dyDescent="0.35">
      <c r="A30" s="145">
        <f t="shared" si="3"/>
        <v>45689</v>
      </c>
      <c r="B30" s="144">
        <f t="shared" si="1"/>
        <v>57971760.299210101</v>
      </c>
      <c r="C30" s="144">
        <f t="shared" si="0"/>
        <v>400971.34206953651</v>
      </c>
      <c r="F30" s="145">
        <v>45689</v>
      </c>
      <c r="G30" s="144">
        <f t="shared" si="4"/>
        <v>7568200.062665279</v>
      </c>
      <c r="H30" s="144">
        <f t="shared" si="2"/>
        <v>52346.717100101516</v>
      </c>
    </row>
    <row r="31" spans="1:8" x14ac:dyDescent="0.35">
      <c r="A31" s="145">
        <f t="shared" si="3"/>
        <v>45717</v>
      </c>
      <c r="B31" s="144">
        <f t="shared" si="1"/>
        <v>57816305.278836243</v>
      </c>
      <c r="C31" s="144">
        <f t="shared" si="0"/>
        <v>399896.11151195061</v>
      </c>
      <c r="F31" s="145">
        <v>45717</v>
      </c>
      <c r="G31" s="144">
        <f t="shared" si="4"/>
        <v>7376340.8149971971</v>
      </c>
      <c r="H31" s="144">
        <f t="shared" si="2"/>
        <v>51019.690637063955</v>
      </c>
    </row>
    <row r="32" spans="1:8" x14ac:dyDescent="0.35">
      <c r="A32" s="145">
        <f t="shared" si="3"/>
        <v>45748</v>
      </c>
      <c r="B32" s="144">
        <f t="shared" si="1"/>
        <v>57659775.027904801</v>
      </c>
      <c r="C32" s="144">
        <f t="shared" si="0"/>
        <v>398813.44394300814</v>
      </c>
      <c r="F32" s="145">
        <v>45748</v>
      </c>
      <c r="G32" s="144">
        <f t="shared" si="4"/>
        <v>7183154.5408660779</v>
      </c>
      <c r="H32" s="144">
        <f t="shared" si="2"/>
        <v>49683.485574323706</v>
      </c>
    </row>
    <row r="33" spans="1:8" x14ac:dyDescent="0.35">
      <c r="A33" s="145">
        <f t="shared" si="3"/>
        <v>45778</v>
      </c>
      <c r="B33" s="144">
        <f t="shared" si="1"/>
        <v>57502162.109404415</v>
      </c>
      <c r="C33" s="144">
        <f t="shared" si="0"/>
        <v>397723.2879233805</v>
      </c>
      <c r="F33" s="145">
        <v>45778</v>
      </c>
      <c r="G33" s="144">
        <f t="shared" si="4"/>
        <v>6988632.0616722181</v>
      </c>
      <c r="H33" s="144">
        <f t="shared" si="2"/>
        <v>48338.038426566178</v>
      </c>
    </row>
    <row r="34" spans="1:8" x14ac:dyDescent="0.35">
      <c r="A34" s="145">
        <f t="shared" si="3"/>
        <v>45809</v>
      </c>
      <c r="B34" s="144">
        <f t="shared" si="1"/>
        <v>57343459.034884401</v>
      </c>
      <c r="C34" s="144">
        <f t="shared" si="0"/>
        <v>396625.59165795037</v>
      </c>
      <c r="F34" s="145">
        <v>45809</v>
      </c>
      <c r="G34" s="144">
        <f t="shared" si="4"/>
        <v>6792764.1353306007</v>
      </c>
      <c r="H34" s="144">
        <f t="shared" si="2"/>
        <v>46983.28526936999</v>
      </c>
    </row>
    <row r="35" spans="1:8" x14ac:dyDescent="0.35">
      <c r="A35" s="145">
        <f t="shared" si="3"/>
        <v>45839</v>
      </c>
      <c r="B35" s="144">
        <f t="shared" si="1"/>
        <v>57183658.264098957</v>
      </c>
      <c r="C35" s="144">
        <f t="shared" si="0"/>
        <v>395520.30299335107</v>
      </c>
      <c r="F35" s="145">
        <v>45839</v>
      </c>
      <c r="G35" s="144">
        <f t="shared" si="4"/>
        <v>6595541.4558317875</v>
      </c>
      <c r="H35" s="144">
        <f t="shared" si="2"/>
        <v>45619.161736169866</v>
      </c>
    </row>
    <row r="36" spans="1:8" x14ac:dyDescent="0.35">
      <c r="A36" s="145">
        <f t="shared" si="3"/>
        <v>45870</v>
      </c>
      <c r="B36" s="144">
        <f t="shared" si="1"/>
        <v>57022752.204648912</v>
      </c>
      <c r="C36" s="144">
        <f t="shared" si="0"/>
        <v>394407.36941548827</v>
      </c>
      <c r="F36" s="145">
        <v>45870</v>
      </c>
      <c r="G36" s="144">
        <f t="shared" si="4"/>
        <v>6396954.652799774</v>
      </c>
      <c r="H36" s="144">
        <f t="shared" si="2"/>
        <v>44245.603015198438</v>
      </c>
    </row>
    <row r="37" spans="1:8" x14ac:dyDescent="0.35">
      <c r="A37" s="145">
        <f t="shared" si="3"/>
        <v>45901</v>
      </c>
      <c r="B37" s="144">
        <f t="shared" si="1"/>
        <v>56860733.211621009</v>
      </c>
      <c r="C37" s="144">
        <f t="shared" si="0"/>
        <v>393286.73804704525</v>
      </c>
      <c r="F37" s="145">
        <v>45901</v>
      </c>
      <c r="G37" s="144">
        <f t="shared" si="4"/>
        <v>6196994.2910467889</v>
      </c>
      <c r="H37" s="144">
        <f t="shared" si="2"/>
        <v>42862.543846406959</v>
      </c>
    </row>
    <row r="38" spans="1:8" x14ac:dyDescent="0.35">
      <c r="A38" s="145">
        <f t="shared" si="3"/>
        <v>45931</v>
      </c>
      <c r="B38" s="144">
        <f t="shared" si="1"/>
        <v>56697593.587224662</v>
      </c>
      <c r="C38" s="144">
        <f t="shared" si="0"/>
        <v>392158.35564497049</v>
      </c>
      <c r="F38" s="145">
        <v>45931</v>
      </c>
      <c r="G38" s="144">
        <f t="shared" si="4"/>
        <v>5995650.8701250125</v>
      </c>
      <c r="H38" s="144">
        <f t="shared" si="2"/>
        <v>41469.91851836467</v>
      </c>
    </row>
    <row r="39" spans="1:8" x14ac:dyDescent="0.35">
      <c r="A39" s="145">
        <f t="shared" si="3"/>
        <v>45962</v>
      </c>
      <c r="B39" s="144">
        <f t="shared" si="1"/>
        <v>56533325.580426238</v>
      </c>
      <c r="C39" s="144">
        <f t="shared" si="0"/>
        <v>391022.1685979481</v>
      </c>
      <c r="F39" s="145">
        <v>45962</v>
      </c>
      <c r="G39" s="144">
        <f t="shared" si="4"/>
        <v>5792914.8238751935</v>
      </c>
      <c r="H39" s="144">
        <f t="shared" si="2"/>
        <v>40067.660865136757</v>
      </c>
    </row>
    <row r="40" spans="1:8" x14ac:dyDescent="0.35">
      <c r="A40" s="145">
        <f t="shared" si="3"/>
        <v>45992</v>
      </c>
      <c r="B40" s="144">
        <f t="shared" si="1"/>
        <v>56367921.386580795</v>
      </c>
      <c r="C40" s="144">
        <f t="shared" si="0"/>
        <v>389878.12292385049</v>
      </c>
      <c r="F40" s="145">
        <v>45992</v>
      </c>
      <c r="G40" s="144">
        <f t="shared" si="4"/>
        <v>5588776.5199721465</v>
      </c>
      <c r="H40" s="144">
        <f t="shared" si="2"/>
        <v>38655.70426314068</v>
      </c>
    </row>
    <row r="41" spans="1:8" x14ac:dyDescent="0.35">
      <c r="A41" s="145">
        <f t="shared" si="3"/>
        <v>46023</v>
      </c>
      <c r="B41" s="144">
        <f t="shared" si="1"/>
        <v>56201373.147061251</v>
      </c>
      <c r="C41" s="144">
        <f t="shared" si="0"/>
        <v>388726.16426717356</v>
      </c>
      <c r="F41" s="145">
        <v>46023</v>
      </c>
      <c r="G41" s="144">
        <f t="shared" si="4"/>
        <v>5383226.2594671035</v>
      </c>
      <c r="H41" s="144">
        <f t="shared" si="2"/>
        <v>37233.9816279808</v>
      </c>
    </row>
    <row r="42" spans="1:8" x14ac:dyDescent="0.35">
      <c r="A42" s="145">
        <f t="shared" si="3"/>
        <v>46054</v>
      </c>
      <c r="B42" s="144">
        <f t="shared" si="1"/>
        <v>56033672.948885031</v>
      </c>
      <c r="C42" s="144">
        <f t="shared" si="0"/>
        <v>387566.23789645475</v>
      </c>
      <c r="F42" s="145">
        <v>46054</v>
      </c>
      <c r="G42" s="144">
        <f t="shared" si="4"/>
        <v>5176254.2763269013</v>
      </c>
      <c r="H42" s="144">
        <f t="shared" si="2"/>
        <v>35802.425411261072</v>
      </c>
    </row>
    <row r="43" spans="1:8" x14ac:dyDescent="0.35">
      <c r="A43" s="145">
        <f t="shared" si="3"/>
        <v>46082</v>
      </c>
      <c r="B43" s="144">
        <f t="shared" si="1"/>
        <v>55864812.824338093</v>
      </c>
      <c r="C43" s="144">
        <f t="shared" si="0"/>
        <v>386398.28870167182</v>
      </c>
      <c r="F43" s="145">
        <v>46082</v>
      </c>
      <c r="G43" s="144">
        <f t="shared" si="4"/>
        <v>4967850.7369699785</v>
      </c>
      <c r="H43" s="144">
        <f t="shared" si="2"/>
        <v>34360.967597375689</v>
      </c>
    </row>
    <row r="44" spans="1:8" x14ac:dyDescent="0.35">
      <c r="A44" s="145">
        <f t="shared" si="3"/>
        <v>46113</v>
      </c>
      <c r="B44" s="144">
        <f t="shared" si="1"/>
        <v>55694784.750596367</v>
      </c>
      <c r="C44" s="144">
        <f t="shared" si="0"/>
        <v>385222.26119162486</v>
      </c>
      <c r="F44" s="145">
        <v>46113</v>
      </c>
      <c r="G44" s="144">
        <f t="shared" si="4"/>
        <v>4758005.7397991708</v>
      </c>
      <c r="H44" s="144">
        <f t="shared" si="2"/>
        <v>32909.539700277601</v>
      </c>
    </row>
    <row r="45" spans="1:8" x14ac:dyDescent="0.35">
      <c r="A45" s="145">
        <f t="shared" si="3"/>
        <v>46143</v>
      </c>
      <c r="B45" s="144">
        <f t="shared" si="1"/>
        <v>55523580.649344593</v>
      </c>
      <c r="C45" s="144">
        <f t="shared" si="0"/>
        <v>384038.09949130006</v>
      </c>
      <c r="F45" s="145">
        <v>46143</v>
      </c>
      <c r="G45" s="144">
        <f t="shared" si="4"/>
        <v>4546709.3147312645</v>
      </c>
      <c r="H45" s="144">
        <f t="shared" si="2"/>
        <v>31448.072760224579</v>
      </c>
    </row>
    <row r="46" spans="1:8" x14ac:dyDescent="0.35">
      <c r="A46" s="145">
        <f t="shared" si="3"/>
        <v>46174</v>
      </c>
      <c r="B46" s="144">
        <f t="shared" si="1"/>
        <v>55351192.386392497</v>
      </c>
      <c r="C46" s="144">
        <f t="shared" si="0"/>
        <v>382845.74733921472</v>
      </c>
      <c r="F46" s="145">
        <v>46174</v>
      </c>
      <c r="G46" s="144">
        <f t="shared" si="4"/>
        <v>4333951.4227233054</v>
      </c>
      <c r="H46" s="144">
        <f t="shared" si="2"/>
        <v>29976.497340502861</v>
      </c>
    </row>
    <row r="47" spans="1:8" x14ac:dyDescent="0.35">
      <c r="A47" s="145">
        <f t="shared" si="3"/>
        <v>46204</v>
      </c>
      <c r="B47" s="144">
        <f t="shared" si="1"/>
        <v>55177611.771288313</v>
      </c>
      <c r="C47" s="144">
        <f t="shared" si="0"/>
        <v>381645.14808474411</v>
      </c>
      <c r="F47" s="145">
        <v>46204</v>
      </c>
      <c r="G47" s="144">
        <f t="shared" si="4"/>
        <v>4119721.9552956251</v>
      </c>
      <c r="H47" s="144">
        <f t="shared" si="2"/>
        <v>28494.743524128076</v>
      </c>
    </row>
    <row r="48" spans="1:8" x14ac:dyDescent="0.35">
      <c r="A48" s="145">
        <f t="shared" si="3"/>
        <v>46235</v>
      </c>
      <c r="B48" s="144">
        <f t="shared" si="1"/>
        <v>55002830.556929663</v>
      </c>
      <c r="C48" s="144">
        <f t="shared" si="0"/>
        <v>380436.24468543014</v>
      </c>
      <c r="F48" s="145">
        <v>46235</v>
      </c>
      <c r="G48" s="144">
        <f t="shared" si="4"/>
        <v>3904010.7340515694</v>
      </c>
      <c r="H48" s="144">
        <f t="shared" si="2"/>
        <v>27002.740910523356</v>
      </c>
    </row>
    <row r="49" spans="1:8" x14ac:dyDescent="0.35">
      <c r="A49" s="145">
        <f t="shared" si="3"/>
        <v>46266</v>
      </c>
      <c r="B49" s="144">
        <f t="shared" si="1"/>
        <v>54826840.439171702</v>
      </c>
      <c r="C49" s="144">
        <f t="shared" si="0"/>
        <v>379218.9797042709</v>
      </c>
      <c r="F49" s="145">
        <v>46266</v>
      </c>
      <c r="G49" s="144">
        <f t="shared" si="4"/>
        <v>3686807.5101939095</v>
      </c>
      <c r="H49" s="144">
        <f t="shared" si="2"/>
        <v>25500.418612174544</v>
      </c>
    </row>
    <row r="50" spans="1:8" x14ac:dyDescent="0.35">
      <c r="A50" s="145">
        <f t="shared" si="3"/>
        <v>46296</v>
      </c>
      <c r="B50" s="144">
        <f t="shared" si="1"/>
        <v>54649633.056432575</v>
      </c>
      <c r="C50" s="144">
        <f t="shared" si="0"/>
        <v>377993.29530699196</v>
      </c>
      <c r="F50" s="145">
        <v>46296</v>
      </c>
      <c r="G50" s="144">
        <f t="shared" si="4"/>
        <v>3468101.9640379008</v>
      </c>
      <c r="H50" s="144">
        <f t="shared" si="2"/>
        <v>23987.705251262149</v>
      </c>
    </row>
    <row r="51" spans="1:8" x14ac:dyDescent="0.35">
      <c r="A51" s="145">
        <f t="shared" si="3"/>
        <v>46327</v>
      </c>
      <c r="B51" s="144">
        <f t="shared" si="1"/>
        <v>54471199.989296176</v>
      </c>
      <c r="C51" s="144">
        <f t="shared" si="0"/>
        <v>376759.13325929851</v>
      </c>
      <c r="F51" s="145">
        <v>46327</v>
      </c>
      <c r="G51" s="144">
        <f t="shared" si="4"/>
        <v>3247883.704520979</v>
      </c>
      <c r="H51" s="144">
        <f t="shared" si="2"/>
        <v>22464.528956270107</v>
      </c>
    </row>
    <row r="52" spans="1:8" x14ac:dyDescent="0.35">
      <c r="A52" s="145">
        <f t="shared" si="3"/>
        <v>46357</v>
      </c>
      <c r="B52" s="144">
        <f t="shared" si="1"/>
        <v>54291532.760112077</v>
      </c>
      <c r="C52" s="144">
        <f t="shared" si="0"/>
        <v>375516.4349241085</v>
      </c>
      <c r="F52" s="145">
        <v>46357</v>
      </c>
      <c r="G52" s="144">
        <f t="shared" si="4"/>
        <v>3026142.2687090654</v>
      </c>
      <c r="H52" s="144">
        <f t="shared" si="2"/>
        <v>20930.817358571036</v>
      </c>
    </row>
    <row r="53" spans="1:8" x14ac:dyDescent="0.35">
      <c r="A53" s="145">
        <f t="shared" si="3"/>
        <v>46388</v>
      </c>
      <c r="B53" s="144">
        <f t="shared" si="1"/>
        <v>54110622.832592793</v>
      </c>
      <c r="C53" s="144">
        <f t="shared" si="0"/>
        <v>374265.14125876682</v>
      </c>
      <c r="F53" s="145">
        <v>46388</v>
      </c>
      <c r="G53" s="144">
        <f t="shared" si="4"/>
        <v>2802867.1212994531</v>
      </c>
      <c r="H53" s="144">
        <f t="shared" si="2"/>
        <v>19386.497588987884</v>
      </c>
    </row>
    <row r="54" spans="1:8" x14ac:dyDescent="0.35">
      <c r="A54" s="145">
        <f t="shared" si="3"/>
        <v>46419</v>
      </c>
      <c r="B54" s="144">
        <f t="shared" si="1"/>
        <v>53928461.611408167</v>
      </c>
      <c r="C54" s="144">
        <f t="shared" si="0"/>
        <v>373005.19281223975</v>
      </c>
      <c r="F54" s="145">
        <v>46419</v>
      </c>
      <c r="G54" s="144">
        <f t="shared" si="4"/>
        <v>2578047.6541202571</v>
      </c>
      <c r="H54" s="144">
        <f t="shared" si="2"/>
        <v>17831.496274331777</v>
      </c>
    </row>
    <row r="55" spans="1:8" x14ac:dyDescent="0.35">
      <c r="A55" s="145">
        <f t="shared" si="3"/>
        <v>46447</v>
      </c>
      <c r="B55" s="144">
        <f t="shared" si="1"/>
        <v>53745040.441777013</v>
      </c>
      <c r="C55" s="144">
        <f t="shared" si="0"/>
        <v>371736.52972229099</v>
      </c>
      <c r="F55" s="145">
        <v>46447</v>
      </c>
      <c r="G55" s="144">
        <f t="shared" si="4"/>
        <v>2351673.1856264053</v>
      </c>
      <c r="H55" s="144">
        <f t="shared" si="2"/>
        <v>16265.73953391597</v>
      </c>
    </row>
    <row r="56" spans="1:8" x14ac:dyDescent="0.35">
      <c r="A56" s="145">
        <f t="shared" si="3"/>
        <v>46478</v>
      </c>
      <c r="B56" s="144">
        <f t="shared" si="1"/>
        <v>53560350.609055907</v>
      </c>
      <c r="C56" s="144">
        <f t="shared" si="0"/>
        <v>370459.09171263664</v>
      </c>
      <c r="F56" s="145">
        <v>46478</v>
      </c>
      <c r="G56" s="144">
        <f t="shared" si="4"/>
        <v>2123732.960392138</v>
      </c>
      <c r="H56" s="144">
        <f t="shared" si="2"/>
        <v>14689.152976045623</v>
      </c>
    </row>
    <row r="57" spans="1:8" x14ac:dyDescent="0.35">
      <c r="A57" s="145">
        <f t="shared" si="3"/>
        <v>46508</v>
      </c>
      <c r="B57" s="144">
        <f t="shared" si="1"/>
        <v>53374383.33832515</v>
      </c>
      <c r="C57" s="144">
        <f t="shared" si="0"/>
        <v>369172.8180900822</v>
      </c>
      <c r="F57" s="145">
        <v>46508</v>
      </c>
      <c r="G57" s="144">
        <f t="shared" si="4"/>
        <v>1894216.1486000002</v>
      </c>
      <c r="H57" s="144">
        <f t="shared" si="2"/>
        <v>13101.661694483335</v>
      </c>
    </row>
    <row r="58" spans="1:8" x14ac:dyDescent="0.35">
      <c r="A58" s="145">
        <f t="shared" si="3"/>
        <v>46539</v>
      </c>
      <c r="B58" s="144">
        <f t="shared" si="1"/>
        <v>53187129.793971837</v>
      </c>
      <c r="C58" s="144">
        <f t="shared" si="0"/>
        <v>367877.64774163853</v>
      </c>
      <c r="F58" s="145">
        <v>46539</v>
      </c>
      <c r="G58" s="144">
        <f t="shared" si="4"/>
        <v>1663111.8455262999</v>
      </c>
      <c r="H58" s="144">
        <f t="shared" si="2"/>
        <v>11503.190264890241</v>
      </c>
    </row>
    <row r="59" spans="1:8" x14ac:dyDescent="0.35">
      <c r="A59" s="145">
        <f t="shared" si="3"/>
        <v>46569</v>
      </c>
      <c r="B59" s="144">
        <f t="shared" si="1"/>
        <v>52998581.07927008</v>
      </c>
      <c r="C59" s="144">
        <f t="shared" si="0"/>
        <v>366573.51913161803</v>
      </c>
      <c r="F59" s="145">
        <v>46569</v>
      </c>
      <c r="G59" s="144">
        <f t="shared" si="4"/>
        <v>1430409.0710230065</v>
      </c>
      <c r="H59" s="144">
        <f t="shared" si="2"/>
        <v>9893.6627412424623</v>
      </c>
    </row>
    <row r="60" spans="1:8" x14ac:dyDescent="0.35">
      <c r="A60" s="145">
        <f t="shared" si="3"/>
        <v>46600</v>
      </c>
      <c r="B60" s="144">
        <f t="shared" si="1"/>
        <v>52808728.235958301</v>
      </c>
      <c r="C60" s="144">
        <f t="shared" si="0"/>
        <v>365260.37029871152</v>
      </c>
      <c r="F60" s="145">
        <v>46600</v>
      </c>
      <c r="G60" s="144">
        <f t="shared" si="4"/>
        <v>1196096.7689960652</v>
      </c>
      <c r="H60" s="144">
        <f t="shared" si="2"/>
        <v>8273.0026522227854</v>
      </c>
    </row>
    <row r="61" spans="1:8" x14ac:dyDescent="0.35">
      <c r="A61" s="145">
        <f t="shared" si="3"/>
        <v>46631</v>
      </c>
      <c r="B61" s="144">
        <f t="shared" si="1"/>
        <v>52617562.243813619</v>
      </c>
      <c r="C61" s="144">
        <f t="shared" si="0"/>
        <v>363938.13885304419</v>
      </c>
      <c r="F61" s="145">
        <v>46631</v>
      </c>
      <c r="G61" s="144">
        <f t="shared" si="4"/>
        <v>960163.80688010436</v>
      </c>
      <c r="H61" s="144">
        <f t="shared" si="2"/>
        <v>6641.1329975873887</v>
      </c>
    </row>
    <row r="62" spans="1:8" x14ac:dyDescent="0.35">
      <c r="A62" s="145">
        <f t="shared" si="3"/>
        <v>46661</v>
      </c>
      <c r="B62" s="144">
        <f t="shared" si="1"/>
        <v>52425074.020223267</v>
      </c>
      <c r="C62" s="144">
        <f t="shared" si="0"/>
        <v>362606.7619732109</v>
      </c>
      <c r="F62" s="145">
        <v>46661</v>
      </c>
      <c r="G62" s="144">
        <f t="shared" si="4"/>
        <v>722598.97510950814</v>
      </c>
      <c r="H62" s="144">
        <f t="shared" si="2"/>
        <v>4997.9762445074311</v>
      </c>
    </row>
    <row r="63" spans="1:8" x14ac:dyDescent="0.35">
      <c r="A63" s="145">
        <f t="shared" si="3"/>
        <v>46692</v>
      </c>
      <c r="B63" s="144">
        <f t="shared" si="1"/>
        <v>52231254.419753082</v>
      </c>
      <c r="C63" s="144">
        <f t="shared" si="0"/>
        <v>361266.17640329216</v>
      </c>
      <c r="F63" s="145">
        <v>46692</v>
      </c>
      <c r="G63" s="144">
        <f t="shared" si="4"/>
        <v>483390.98658583197</v>
      </c>
      <c r="H63" s="144">
        <f t="shared" si="2"/>
        <v>3343.454323885338</v>
      </c>
    </row>
    <row r="64" spans="1:8" x14ac:dyDescent="0.35">
      <c r="A64" s="145">
        <f t="shared" si="3"/>
        <v>46722</v>
      </c>
      <c r="B64" s="144">
        <f t="shared" si="1"/>
        <v>52036094.233712979</v>
      </c>
      <c r="C64" s="144">
        <f t="shared" si="0"/>
        <v>359916.3184498481</v>
      </c>
      <c r="F64" s="145">
        <v>46722</v>
      </c>
      <c r="G64" s="144">
        <f t="shared" si="4"/>
        <v>242528.47614153364</v>
      </c>
      <c r="H64" s="144">
        <f t="shared" si="2"/>
        <v>1677.4886266456078</v>
      </c>
    </row>
    <row r="65" spans="1:8" x14ac:dyDescent="0.35">
      <c r="A65" s="145">
        <f t="shared" si="3"/>
        <v>46753</v>
      </c>
      <c r="B65" s="144">
        <f t="shared" si="1"/>
        <v>51839584.189719431</v>
      </c>
      <c r="C65" s="144">
        <f t="shared" si="0"/>
        <v>358557.12397889275</v>
      </c>
      <c r="F65" s="145">
        <v>46753</v>
      </c>
      <c r="G65" s="144">
        <f t="shared" si="4"/>
        <v>-4.3946783989667892E-9</v>
      </c>
      <c r="H65" s="144">
        <f t="shared" si="2"/>
        <v>-3.0396525592853629E-11</v>
      </c>
    </row>
    <row r="66" spans="1:8" x14ac:dyDescent="0.35">
      <c r="A66" s="145">
        <f t="shared" si="3"/>
        <v>46784</v>
      </c>
      <c r="B66" s="144">
        <f t="shared" si="1"/>
        <v>51641714.951254927</v>
      </c>
      <c r="C66" s="144">
        <f t="shared" si="0"/>
        <v>357188.52841284656</v>
      </c>
      <c r="F66" s="145"/>
      <c r="G66" s="144"/>
      <c r="H66" s="144"/>
    </row>
    <row r="67" spans="1:8" x14ac:dyDescent="0.35">
      <c r="A67" s="145">
        <f t="shared" si="3"/>
        <v>46813</v>
      </c>
      <c r="B67" s="144">
        <f t="shared" si="1"/>
        <v>51442477.11722438</v>
      </c>
      <c r="C67" s="144">
        <f t="shared" si="0"/>
        <v>355810.46672746859</v>
      </c>
      <c r="F67" s="145"/>
      <c r="G67" s="144"/>
      <c r="H67" s="144"/>
    </row>
    <row r="68" spans="1:8" x14ac:dyDescent="0.35">
      <c r="A68" s="145">
        <f t="shared" si="3"/>
        <v>46844</v>
      </c>
      <c r="B68" s="144">
        <f t="shared" si="1"/>
        <v>51241861.221508451</v>
      </c>
      <c r="C68" s="144">
        <f t="shared" si="0"/>
        <v>354422.87344876677</v>
      </c>
      <c r="F68" s="145"/>
      <c r="G68" s="144"/>
      <c r="H68" s="144"/>
    </row>
    <row r="69" spans="1:8" x14ac:dyDescent="0.35">
      <c r="A69" s="145">
        <f t="shared" si="3"/>
        <v>46874</v>
      </c>
      <c r="B69" s="144">
        <f t="shared" si="1"/>
        <v>51039857.732513823</v>
      </c>
      <c r="C69" s="144">
        <f t="shared" si="0"/>
        <v>353025.68264988723</v>
      </c>
      <c r="F69" s="145"/>
      <c r="G69" s="144"/>
      <c r="H69" s="144"/>
    </row>
    <row r="70" spans="1:8" x14ac:dyDescent="0.35">
      <c r="A70" s="145">
        <f t="shared" si="3"/>
        <v>46905</v>
      </c>
      <c r="B70" s="144">
        <f t="shared" si="1"/>
        <v>50836457.052720316</v>
      </c>
      <c r="C70" s="144">
        <f t="shared" si="0"/>
        <v>351618.82794798212</v>
      </c>
      <c r="F70" s="145"/>
      <c r="G70" s="144"/>
      <c r="H70" s="144"/>
    </row>
    <row r="71" spans="1:8" x14ac:dyDescent="0.35">
      <c r="A71" s="145">
        <f t="shared" si="3"/>
        <v>46935</v>
      </c>
      <c r="B71" s="144">
        <f t="shared" si="1"/>
        <v>50631649.518224902</v>
      </c>
      <c r="C71" s="144">
        <f t="shared" si="0"/>
        <v>350202.24250105553</v>
      </c>
      <c r="F71" s="145"/>
      <c r="G71" s="144"/>
      <c r="H71" s="144"/>
    </row>
    <row r="72" spans="1:8" x14ac:dyDescent="0.35">
      <c r="A72" s="145">
        <f t="shared" si="3"/>
        <v>46966</v>
      </c>
      <c r="B72" s="144">
        <f t="shared" si="1"/>
        <v>50425425.398282565</v>
      </c>
      <c r="C72" s="144">
        <f t="shared" si="0"/>
        <v>348775.85900478769</v>
      </c>
      <c r="F72" s="145"/>
      <c r="G72" s="286"/>
      <c r="H72" s="286"/>
    </row>
    <row r="73" spans="1:8" x14ac:dyDescent="0.35">
      <c r="A73" s="145">
        <f t="shared" si="3"/>
        <v>46997</v>
      </c>
      <c r="B73" s="144">
        <f t="shared" si="1"/>
        <v>50217774.894843958</v>
      </c>
      <c r="C73" s="144">
        <f t="shared" si="0"/>
        <v>347339.60968933738</v>
      </c>
      <c r="F73" s="145"/>
      <c r="G73" s="286"/>
      <c r="H73" s="286"/>
    </row>
    <row r="74" spans="1:8" x14ac:dyDescent="0.35">
      <c r="A74" s="145">
        <f t="shared" si="3"/>
        <v>47027</v>
      </c>
      <c r="B74" s="144">
        <f t="shared" si="1"/>
        <v>50008688.142089903</v>
      </c>
      <c r="C74" s="144">
        <f t="shared" si="0"/>
        <v>345893.42631612177</v>
      </c>
      <c r="F74" s="145"/>
      <c r="G74" s="286"/>
      <c r="H74" s="286"/>
    </row>
    <row r="75" spans="1:8" x14ac:dyDescent="0.35">
      <c r="A75" s="145">
        <f t="shared" si="3"/>
        <v>47058</v>
      </c>
      <c r="B75" s="144">
        <f t="shared" si="1"/>
        <v>49798155.205962628</v>
      </c>
      <c r="C75" s="144">
        <f t="shared" ref="C75:C138" si="5">B75*$D$5/12</f>
        <v>344437.24017457484</v>
      </c>
      <c r="F75" s="145"/>
      <c r="G75" s="286"/>
      <c r="H75" s="286"/>
    </row>
    <row r="76" spans="1:8" x14ac:dyDescent="0.35">
      <c r="A76" s="145">
        <f t="shared" si="3"/>
        <v>47088</v>
      </c>
      <c r="B76" s="144">
        <f t="shared" ref="B76:B139" si="6">B75+C75+$D$6</f>
        <v>49586166.08369381</v>
      </c>
      <c r="C76" s="144">
        <f t="shared" si="5"/>
        <v>342970.98207888211</v>
      </c>
      <c r="F76" s="145"/>
      <c r="G76" s="286"/>
      <c r="H76" s="286"/>
    </row>
    <row r="77" spans="1:8" x14ac:dyDescent="0.35">
      <c r="A77" s="145">
        <f t="shared" ref="A77:A140" si="7">EOMONTH(A76,0)+1</f>
        <v>47119</v>
      </c>
      <c r="B77" s="144">
        <f t="shared" si="6"/>
        <v>49372710.703329295</v>
      </c>
      <c r="C77" s="144">
        <f t="shared" si="5"/>
        <v>341494.58236469427</v>
      </c>
      <c r="F77" s="145"/>
      <c r="G77" s="286"/>
      <c r="H77" s="286"/>
    </row>
    <row r="78" spans="1:8" x14ac:dyDescent="0.35">
      <c r="A78" s="145">
        <f t="shared" si="7"/>
        <v>47150</v>
      </c>
      <c r="B78" s="144">
        <f t="shared" si="6"/>
        <v>49157778.923250593</v>
      </c>
      <c r="C78" s="144">
        <f t="shared" si="5"/>
        <v>340007.97088581655</v>
      </c>
      <c r="F78" s="145"/>
      <c r="G78" s="286"/>
      <c r="H78" s="286"/>
    </row>
    <row r="79" spans="1:8" x14ac:dyDescent="0.35">
      <c r="A79" s="145">
        <f t="shared" si="7"/>
        <v>47178</v>
      </c>
      <c r="B79" s="144">
        <f t="shared" si="6"/>
        <v>48941360.531693012</v>
      </c>
      <c r="C79" s="144">
        <f t="shared" si="5"/>
        <v>338511.07701087662</v>
      </c>
      <c r="F79" s="145"/>
      <c r="G79" s="286"/>
      <c r="H79" s="286"/>
    </row>
    <row r="80" spans="1:8" x14ac:dyDescent="0.35">
      <c r="A80" s="145">
        <f t="shared" si="7"/>
        <v>47209</v>
      </c>
      <c r="B80" s="144">
        <f t="shared" si="6"/>
        <v>48723445.246260494</v>
      </c>
      <c r="C80" s="144">
        <f t="shared" si="5"/>
        <v>337003.82961996837</v>
      </c>
      <c r="F80" s="145"/>
      <c r="G80" s="286"/>
      <c r="H80" s="286"/>
    </row>
    <row r="81" spans="1:8" x14ac:dyDescent="0.35">
      <c r="A81" s="145">
        <f t="shared" si="7"/>
        <v>47239</v>
      </c>
      <c r="B81" s="144">
        <f t="shared" si="6"/>
        <v>48504022.713437065</v>
      </c>
      <c r="C81" s="144">
        <f t="shared" si="5"/>
        <v>335486.15710127301</v>
      </c>
      <c r="F81" s="145"/>
      <c r="G81" s="286"/>
      <c r="H81" s="286"/>
    </row>
    <row r="82" spans="1:8" x14ac:dyDescent="0.35">
      <c r="A82" s="145">
        <f t="shared" si="7"/>
        <v>47270</v>
      </c>
      <c r="B82" s="144">
        <f t="shared" si="6"/>
        <v>48283082.508094944</v>
      </c>
      <c r="C82" s="144">
        <f t="shared" si="5"/>
        <v>333957.98734765669</v>
      </c>
      <c r="F82" s="145"/>
      <c r="G82" s="286"/>
      <c r="H82" s="286"/>
    </row>
    <row r="83" spans="1:8" x14ac:dyDescent="0.35">
      <c r="A83" s="145">
        <f t="shared" si="7"/>
        <v>47300</v>
      </c>
      <c r="B83" s="144">
        <f t="shared" si="6"/>
        <v>48060614.132999204</v>
      </c>
      <c r="C83" s="144">
        <f t="shared" si="5"/>
        <v>332419.24775324448</v>
      </c>
      <c r="F83" s="145"/>
      <c r="G83" s="286"/>
      <c r="H83" s="286"/>
    </row>
    <row r="84" spans="1:8" x14ac:dyDescent="0.35">
      <c r="A84" s="145">
        <f t="shared" si="7"/>
        <v>47331</v>
      </c>
      <c r="B84" s="144">
        <f t="shared" si="6"/>
        <v>47836607.018309057</v>
      </c>
      <c r="C84" s="144">
        <f t="shared" si="5"/>
        <v>330869.86520997091</v>
      </c>
      <c r="F84" s="145"/>
      <c r="G84" s="286"/>
      <c r="H84" s="286"/>
    </row>
    <row r="85" spans="1:8" x14ac:dyDescent="0.35">
      <c r="A85" s="145">
        <f t="shared" si="7"/>
        <v>47362</v>
      </c>
      <c r="B85" s="144">
        <f t="shared" si="6"/>
        <v>47611050.521075636</v>
      </c>
      <c r="C85" s="144">
        <f t="shared" si="5"/>
        <v>329309.76610410644</v>
      </c>
      <c r="F85" s="145"/>
      <c r="G85" s="286"/>
      <c r="H85" s="286"/>
    </row>
    <row r="86" spans="1:8" x14ac:dyDescent="0.35">
      <c r="A86" s="145">
        <f t="shared" si="7"/>
        <v>47392</v>
      </c>
      <c r="B86" s="144">
        <f t="shared" si="6"/>
        <v>47383933.924736351</v>
      </c>
      <c r="C86" s="144">
        <f t="shared" si="5"/>
        <v>327738.8763127597</v>
      </c>
      <c r="F86" s="145"/>
      <c r="G86" s="286"/>
      <c r="H86" s="286"/>
    </row>
    <row r="87" spans="1:8" x14ac:dyDescent="0.35">
      <c r="A87" s="145">
        <f t="shared" si="7"/>
        <v>47423</v>
      </c>
      <c r="B87" s="144">
        <f t="shared" si="6"/>
        <v>47155246.438605718</v>
      </c>
      <c r="C87" s="144">
        <f t="shared" si="5"/>
        <v>326157.12120035617</v>
      </c>
      <c r="F87" s="145"/>
      <c r="G87" s="286"/>
      <c r="H87" s="286"/>
    </row>
    <row r="88" spans="1:8" x14ac:dyDescent="0.35">
      <c r="A88" s="145">
        <f t="shared" si="7"/>
        <v>47453</v>
      </c>
      <c r="B88" s="144">
        <f t="shared" si="6"/>
        <v>46924977.197362676</v>
      </c>
      <c r="C88" s="144">
        <f t="shared" si="5"/>
        <v>324564.42561509181</v>
      </c>
      <c r="F88" s="145"/>
      <c r="G88" s="286"/>
      <c r="H88" s="286"/>
    </row>
    <row r="89" spans="1:8" x14ac:dyDescent="0.35">
      <c r="A89" s="145">
        <f t="shared" si="7"/>
        <v>47484</v>
      </c>
      <c r="B89" s="144">
        <f t="shared" si="6"/>
        <v>46693115.260534376</v>
      </c>
      <c r="C89" s="144">
        <f t="shared" si="5"/>
        <v>322960.71388536273</v>
      </c>
      <c r="F89" s="145"/>
      <c r="G89" s="286"/>
      <c r="H89" s="286"/>
    </row>
    <row r="90" spans="1:8" x14ac:dyDescent="0.35">
      <c r="A90" s="145">
        <f t="shared" si="7"/>
        <v>47515</v>
      </c>
      <c r="B90" s="144">
        <f t="shared" si="6"/>
        <v>46459649.61197634</v>
      </c>
      <c r="C90" s="144">
        <f t="shared" si="5"/>
        <v>321345.90981616965</v>
      </c>
      <c r="F90" s="145"/>
      <c r="G90" s="286"/>
      <c r="H90" s="286"/>
    </row>
    <row r="91" spans="1:8" x14ac:dyDescent="0.35">
      <c r="A91" s="145">
        <f t="shared" si="7"/>
        <v>47543</v>
      </c>
      <c r="B91" s="144">
        <f t="shared" si="6"/>
        <v>46224569.159349114</v>
      </c>
      <c r="C91" s="144">
        <f t="shared" si="5"/>
        <v>319719.93668549799</v>
      </c>
      <c r="F91" s="145"/>
      <c r="G91" s="286"/>
      <c r="H91" s="286"/>
    </row>
    <row r="92" spans="1:8" x14ac:dyDescent="0.35">
      <c r="A92" s="145">
        <f t="shared" si="7"/>
        <v>47574</v>
      </c>
      <c r="B92" s="144">
        <f t="shared" si="6"/>
        <v>45987862.733591214</v>
      </c>
      <c r="C92" s="144">
        <f t="shared" si="5"/>
        <v>318082.7172406725</v>
      </c>
      <c r="F92" s="145"/>
      <c r="G92" s="286"/>
      <c r="H92" s="286"/>
    </row>
    <row r="93" spans="1:8" x14ac:dyDescent="0.35">
      <c r="A93" s="145">
        <f t="shared" si="7"/>
        <v>47604</v>
      </c>
      <c r="B93" s="144">
        <f t="shared" si="6"/>
        <v>45749519.088388488</v>
      </c>
      <c r="C93" s="144">
        <f t="shared" si="5"/>
        <v>316434.17369468702</v>
      </c>
      <c r="F93" s="145"/>
      <c r="G93" s="286"/>
      <c r="H93" s="286"/>
    </row>
    <row r="94" spans="1:8" x14ac:dyDescent="0.35">
      <c r="A94" s="145">
        <f t="shared" si="7"/>
        <v>47635</v>
      </c>
      <c r="B94" s="144">
        <f t="shared" si="6"/>
        <v>45509526.899639778</v>
      </c>
      <c r="C94" s="144">
        <f t="shared" si="5"/>
        <v>314774.22772250843</v>
      </c>
      <c r="F94" s="145"/>
      <c r="G94" s="286"/>
      <c r="H94" s="286"/>
    </row>
    <row r="95" spans="1:8" x14ac:dyDescent="0.35">
      <c r="A95" s="145">
        <f t="shared" si="7"/>
        <v>47665</v>
      </c>
      <c r="B95" s="144">
        <f t="shared" si="6"/>
        <v>45267874.764918894</v>
      </c>
      <c r="C95" s="144">
        <f t="shared" si="5"/>
        <v>313102.80045735562</v>
      </c>
      <c r="F95" s="145"/>
      <c r="G95" s="286"/>
      <c r="H95" s="286"/>
    </row>
    <row r="96" spans="1:8" x14ac:dyDescent="0.35">
      <c r="A96" s="145">
        <f t="shared" si="7"/>
        <v>47696</v>
      </c>
      <c r="B96" s="144">
        <f t="shared" si="6"/>
        <v>45024551.202932857</v>
      </c>
      <c r="C96" s="144">
        <f t="shared" si="5"/>
        <v>311419.81248695223</v>
      </c>
      <c r="F96" s="145"/>
      <c r="G96" s="286"/>
      <c r="H96" s="286"/>
    </row>
    <row r="97" spans="1:8" x14ac:dyDescent="0.35">
      <c r="A97" s="145">
        <f t="shared" si="7"/>
        <v>47727</v>
      </c>
      <c r="B97" s="144">
        <f t="shared" si="6"/>
        <v>44779544.652976416</v>
      </c>
      <c r="C97" s="144">
        <f t="shared" si="5"/>
        <v>309725.18384975352</v>
      </c>
      <c r="F97" s="145"/>
      <c r="G97" s="286"/>
      <c r="H97" s="286"/>
    </row>
    <row r="98" spans="1:8" x14ac:dyDescent="0.35">
      <c r="A98" s="145">
        <f t="shared" si="7"/>
        <v>47757</v>
      </c>
      <c r="B98" s="144">
        <f t="shared" si="6"/>
        <v>44532843.474382773</v>
      </c>
      <c r="C98" s="144">
        <f t="shared" si="5"/>
        <v>308018.83403114747</v>
      </c>
      <c r="F98" s="145"/>
      <c r="G98" s="286"/>
      <c r="H98" s="286"/>
    </row>
    <row r="99" spans="1:8" x14ac:dyDescent="0.35">
      <c r="A99" s="145">
        <f t="shared" si="7"/>
        <v>47788</v>
      </c>
      <c r="B99" s="144">
        <f t="shared" si="6"/>
        <v>44284435.945970528</v>
      </c>
      <c r="C99" s="144">
        <f t="shared" si="5"/>
        <v>306300.68195962947</v>
      </c>
      <c r="F99" s="145"/>
      <c r="G99" s="286"/>
      <c r="H99" s="286"/>
    </row>
    <row r="100" spans="1:8" x14ac:dyDescent="0.35">
      <c r="A100" s="145">
        <f t="shared" si="7"/>
        <v>47818</v>
      </c>
      <c r="B100" s="144">
        <f t="shared" si="6"/>
        <v>44034310.265486762</v>
      </c>
      <c r="C100" s="144">
        <f t="shared" si="5"/>
        <v>304570.64600295009</v>
      </c>
      <c r="F100" s="145"/>
      <c r="G100" s="286"/>
      <c r="H100" s="286"/>
    </row>
    <row r="101" spans="1:8" x14ac:dyDescent="0.35">
      <c r="A101" s="145">
        <f t="shared" si="7"/>
        <v>47849</v>
      </c>
      <c r="B101" s="144">
        <f t="shared" si="6"/>
        <v>43782454.549046315</v>
      </c>
      <c r="C101" s="144">
        <f t="shared" si="5"/>
        <v>302828.64396423701</v>
      </c>
      <c r="F101" s="145"/>
      <c r="G101" s="286"/>
      <c r="H101" s="286"/>
    </row>
    <row r="102" spans="1:8" x14ac:dyDescent="0.35">
      <c r="A102" s="145">
        <f t="shared" si="7"/>
        <v>47880</v>
      </c>
      <c r="B102" s="144">
        <f t="shared" si="6"/>
        <v>43528856.830567159</v>
      </c>
      <c r="C102" s="144">
        <f t="shared" si="5"/>
        <v>301074.59307808947</v>
      </c>
      <c r="F102" s="145"/>
      <c r="G102" s="286"/>
      <c r="H102" s="286"/>
    </row>
    <row r="103" spans="1:8" x14ac:dyDescent="0.35">
      <c r="A103" s="145">
        <f t="shared" si="7"/>
        <v>47908</v>
      </c>
      <c r="B103" s="144">
        <f t="shared" si="6"/>
        <v>43273505.061201856</v>
      </c>
      <c r="C103" s="144">
        <f t="shared" si="5"/>
        <v>299308.41000664613</v>
      </c>
      <c r="F103" s="145"/>
      <c r="G103" s="286"/>
      <c r="H103" s="286"/>
    </row>
    <row r="104" spans="1:8" x14ac:dyDescent="0.35">
      <c r="A104" s="145">
        <f t="shared" si="7"/>
        <v>47939</v>
      </c>
      <c r="B104" s="144">
        <f t="shared" si="6"/>
        <v>43016387.10876511</v>
      </c>
      <c r="C104" s="144">
        <f t="shared" si="5"/>
        <v>297530.01083562529</v>
      </c>
      <c r="F104" s="145"/>
      <c r="G104" s="286"/>
      <c r="H104" s="286"/>
    </row>
    <row r="105" spans="1:8" x14ac:dyDescent="0.35">
      <c r="A105" s="145">
        <f t="shared" si="7"/>
        <v>47969</v>
      </c>
      <c r="B105" s="144">
        <f t="shared" si="6"/>
        <v>42757490.757157341</v>
      </c>
      <c r="C105" s="144">
        <f t="shared" si="5"/>
        <v>295739.31107033824</v>
      </c>
      <c r="F105" s="145"/>
      <c r="G105" s="286"/>
      <c r="H105" s="286"/>
    </row>
    <row r="106" spans="1:8" x14ac:dyDescent="0.35">
      <c r="A106" s="145">
        <f t="shared" si="7"/>
        <v>48000</v>
      </c>
      <c r="B106" s="144">
        <f t="shared" si="6"/>
        <v>42496803.705784284</v>
      </c>
      <c r="C106" s="144">
        <f t="shared" si="5"/>
        <v>293936.22563167458</v>
      </c>
      <c r="F106" s="145"/>
      <c r="G106" s="286"/>
      <c r="H106" s="286"/>
    </row>
    <row r="107" spans="1:8" x14ac:dyDescent="0.35">
      <c r="A107" s="145">
        <f t="shared" si="7"/>
        <v>48030</v>
      </c>
      <c r="B107" s="144">
        <f t="shared" si="6"/>
        <v>42234313.568972565</v>
      </c>
      <c r="C107" s="144">
        <f t="shared" si="5"/>
        <v>292120.66885206022</v>
      </c>
      <c r="F107" s="145"/>
      <c r="G107" s="286"/>
      <c r="H107" s="286"/>
    </row>
    <row r="108" spans="1:8" x14ac:dyDescent="0.35">
      <c r="A108" s="145">
        <f t="shared" si="7"/>
        <v>48061</v>
      </c>
      <c r="B108" s="144">
        <f t="shared" si="6"/>
        <v>41970007.875381231</v>
      </c>
      <c r="C108" s="144">
        <f t="shared" si="5"/>
        <v>290292.55447138683</v>
      </c>
      <c r="F108" s="145"/>
      <c r="G108" s="286"/>
      <c r="H108" s="286"/>
    </row>
    <row r="109" spans="1:8" x14ac:dyDescent="0.35">
      <c r="A109" s="145">
        <f t="shared" si="7"/>
        <v>48092</v>
      </c>
      <c r="B109" s="144">
        <f t="shared" si="6"/>
        <v>41703874.067409225</v>
      </c>
      <c r="C109" s="144">
        <f t="shared" si="5"/>
        <v>288451.79563291377</v>
      </c>
      <c r="F109" s="145"/>
      <c r="G109" s="286"/>
      <c r="H109" s="286"/>
    </row>
    <row r="110" spans="1:8" x14ac:dyDescent="0.35">
      <c r="A110" s="145">
        <f t="shared" si="7"/>
        <v>48122</v>
      </c>
      <c r="B110" s="144">
        <f t="shared" si="6"/>
        <v>41435899.500598744</v>
      </c>
      <c r="C110" s="144">
        <f t="shared" si="5"/>
        <v>286598.30487914127</v>
      </c>
      <c r="F110" s="145"/>
      <c r="G110" s="286"/>
      <c r="H110" s="286"/>
    </row>
    <row r="111" spans="1:8" x14ac:dyDescent="0.35">
      <c r="A111" s="145">
        <f t="shared" si="7"/>
        <v>48153</v>
      </c>
      <c r="B111" s="144">
        <f t="shared" si="6"/>
        <v>41166071.443034492</v>
      </c>
      <c r="C111" s="144">
        <f t="shared" si="5"/>
        <v>284731.9941476552</v>
      </c>
      <c r="F111" s="145"/>
      <c r="G111" s="286"/>
      <c r="H111" s="286"/>
    </row>
    <row r="112" spans="1:8" x14ac:dyDescent="0.35">
      <c r="A112" s="145">
        <f t="shared" si="7"/>
        <v>48183</v>
      </c>
      <c r="B112" s="144">
        <f t="shared" si="6"/>
        <v>40894377.074738756</v>
      </c>
      <c r="C112" s="144">
        <f t="shared" si="5"/>
        <v>282852.77476694301</v>
      </c>
      <c r="F112" s="145"/>
      <c r="G112" s="286"/>
      <c r="H112" s="286"/>
    </row>
    <row r="113" spans="1:8" x14ac:dyDescent="0.35">
      <c r="A113" s="145">
        <f t="shared" si="7"/>
        <v>48214</v>
      </c>
      <c r="B113" s="144">
        <f t="shared" si="6"/>
        <v>40620803.487062305</v>
      </c>
      <c r="C113" s="144">
        <f t="shared" si="5"/>
        <v>280960.55745218095</v>
      </c>
      <c r="F113" s="145"/>
      <c r="G113" s="286"/>
      <c r="H113" s="286"/>
    </row>
    <row r="114" spans="1:8" x14ac:dyDescent="0.35">
      <c r="A114" s="145">
        <f t="shared" si="7"/>
        <v>48245</v>
      </c>
      <c r="B114" s="144">
        <f t="shared" si="6"/>
        <v>40345337.68207109</v>
      </c>
      <c r="C114" s="144">
        <f t="shared" si="5"/>
        <v>279055.25230099168</v>
      </c>
      <c r="F114" s="145"/>
      <c r="G114" s="286"/>
      <c r="H114" s="286"/>
    </row>
    <row r="115" spans="1:8" x14ac:dyDescent="0.35">
      <c r="A115" s="145">
        <f t="shared" si="7"/>
        <v>48274</v>
      </c>
      <c r="B115" s="144">
        <f t="shared" si="6"/>
        <v>40067966.571928687</v>
      </c>
      <c r="C115" s="144">
        <f t="shared" si="5"/>
        <v>277136.76878917339</v>
      </c>
      <c r="F115" s="145"/>
      <c r="G115" s="286"/>
      <c r="H115" s="286"/>
    </row>
    <row r="116" spans="1:8" x14ac:dyDescent="0.35">
      <c r="A116" s="145">
        <f t="shared" si="7"/>
        <v>48305</v>
      </c>
      <c r="B116" s="144">
        <f t="shared" si="6"/>
        <v>39788676.978274465</v>
      </c>
      <c r="C116" s="144">
        <f t="shared" si="5"/>
        <v>275205.01576639834</v>
      </c>
      <c r="F116" s="145"/>
      <c r="G116" s="286"/>
      <c r="H116" s="286"/>
    </row>
    <row r="117" spans="1:8" x14ac:dyDescent="0.35">
      <c r="A117" s="145">
        <f t="shared" si="7"/>
        <v>48335</v>
      </c>
      <c r="B117" s="144">
        <f t="shared" si="6"/>
        <v>39507455.631597467</v>
      </c>
      <c r="C117" s="144">
        <f t="shared" si="5"/>
        <v>273259.90145188244</v>
      </c>
      <c r="F117" s="145"/>
      <c r="G117" s="286"/>
      <c r="H117" s="286"/>
    </row>
    <row r="118" spans="1:8" x14ac:dyDescent="0.35">
      <c r="A118" s="145">
        <f t="shared" si="7"/>
        <v>48366</v>
      </c>
      <c r="B118" s="144">
        <f t="shared" si="6"/>
        <v>39224289.170605958</v>
      </c>
      <c r="C118" s="144">
        <f t="shared" si="5"/>
        <v>271301.3334300245</v>
      </c>
      <c r="F118" s="145"/>
      <c r="G118" s="286"/>
      <c r="H118" s="286"/>
    </row>
    <row r="119" spans="1:8" x14ac:dyDescent="0.35">
      <c r="A119" s="145">
        <f t="shared" si="7"/>
        <v>48396</v>
      </c>
      <c r="B119" s="144">
        <f t="shared" si="6"/>
        <v>38939164.141592585</v>
      </c>
      <c r="C119" s="144">
        <f t="shared" si="5"/>
        <v>269329.21864601533</v>
      </c>
      <c r="F119" s="145"/>
      <c r="G119" s="286"/>
      <c r="H119" s="286"/>
    </row>
    <row r="120" spans="1:8" x14ac:dyDescent="0.35">
      <c r="A120" s="145">
        <f t="shared" si="7"/>
        <v>48427</v>
      </c>
      <c r="B120" s="144">
        <f t="shared" si="6"/>
        <v>38652066.997795202</v>
      </c>
      <c r="C120" s="144">
        <f t="shared" si="5"/>
        <v>267343.46340141678</v>
      </c>
      <c r="F120" s="145"/>
      <c r="G120" s="286"/>
      <c r="H120" s="286"/>
    </row>
    <row r="121" spans="1:8" x14ac:dyDescent="0.35">
      <c r="A121" s="145">
        <f t="shared" si="7"/>
        <v>48458</v>
      </c>
      <c r="B121" s="144">
        <f t="shared" si="6"/>
        <v>38362984.098753221</v>
      </c>
      <c r="C121" s="144">
        <f t="shared" si="5"/>
        <v>265343.97334970976</v>
      </c>
      <c r="F121" s="145"/>
      <c r="G121" s="286"/>
      <c r="H121" s="286"/>
    </row>
    <row r="122" spans="1:8" x14ac:dyDescent="0.35">
      <c r="A122" s="145">
        <f t="shared" si="7"/>
        <v>48488</v>
      </c>
      <c r="B122" s="144">
        <f t="shared" si="6"/>
        <v>38071901.709659539</v>
      </c>
      <c r="C122" s="144">
        <f t="shared" si="5"/>
        <v>263330.65349181177</v>
      </c>
      <c r="F122" s="145"/>
      <c r="G122" s="286"/>
      <c r="H122" s="286"/>
    </row>
    <row r="123" spans="1:8" x14ac:dyDescent="0.35">
      <c r="A123" s="145">
        <f t="shared" si="7"/>
        <v>48519</v>
      </c>
      <c r="B123" s="144">
        <f t="shared" si="6"/>
        <v>37778806.000707954</v>
      </c>
      <c r="C123" s="144">
        <f t="shared" si="5"/>
        <v>261303.40817156332</v>
      </c>
      <c r="F123" s="145"/>
      <c r="G123" s="286"/>
      <c r="H123" s="286"/>
    </row>
    <row r="124" spans="1:8" x14ac:dyDescent="0.35">
      <c r="A124" s="145">
        <f t="shared" si="7"/>
        <v>48549</v>
      </c>
      <c r="B124" s="144">
        <f t="shared" si="6"/>
        <v>37483683.046436124</v>
      </c>
      <c r="C124" s="144">
        <f t="shared" si="5"/>
        <v>259262.14107118314</v>
      </c>
      <c r="F124" s="145"/>
      <c r="G124" s="286"/>
      <c r="H124" s="286"/>
    </row>
    <row r="125" spans="1:8" x14ac:dyDescent="0.35">
      <c r="A125" s="145">
        <f t="shared" si="7"/>
        <v>48580</v>
      </c>
      <c r="B125" s="144">
        <f t="shared" si="6"/>
        <v>37186518.825063914</v>
      </c>
      <c r="C125" s="144">
        <f t="shared" si="5"/>
        <v>257206.75520669203</v>
      </c>
      <c r="F125" s="145"/>
      <c r="G125" s="286"/>
      <c r="H125" s="286"/>
    </row>
    <row r="126" spans="1:8" x14ac:dyDescent="0.35">
      <c r="A126" s="145">
        <f t="shared" si="7"/>
        <v>48611</v>
      </c>
      <c r="B126" s="144">
        <f t="shared" si="6"/>
        <v>36887299.217827208</v>
      </c>
      <c r="C126" s="144">
        <f t="shared" si="5"/>
        <v>255137.15292330482</v>
      </c>
      <c r="F126" s="145"/>
      <c r="G126" s="286"/>
      <c r="H126" s="286"/>
    </row>
    <row r="127" spans="1:8" x14ac:dyDescent="0.35">
      <c r="A127" s="145">
        <f t="shared" si="7"/>
        <v>48639</v>
      </c>
      <c r="B127" s="144">
        <f t="shared" si="6"/>
        <v>36586010.008307122</v>
      </c>
      <c r="C127" s="144">
        <f t="shared" si="5"/>
        <v>253053.23589079091</v>
      </c>
      <c r="F127" s="145"/>
      <c r="G127" s="286"/>
      <c r="H127" s="286"/>
    </row>
    <row r="128" spans="1:8" x14ac:dyDescent="0.35">
      <c r="A128" s="145">
        <f t="shared" si="7"/>
        <v>48670</v>
      </c>
      <c r="B128" s="144">
        <f t="shared" si="6"/>
        <v>36282636.881754518</v>
      </c>
      <c r="C128" s="144">
        <f t="shared" si="5"/>
        <v>250954.90509880206</v>
      </c>
      <c r="F128" s="145"/>
      <c r="G128" s="286"/>
      <c r="H128" s="286"/>
    </row>
    <row r="129" spans="1:8" x14ac:dyDescent="0.35">
      <c r="A129" s="145">
        <f t="shared" si="7"/>
        <v>48700</v>
      </c>
      <c r="B129" s="144">
        <f t="shared" si="6"/>
        <v>35977165.424409926</v>
      </c>
      <c r="C129" s="144">
        <f t="shared" si="5"/>
        <v>248842.06085216862</v>
      </c>
      <c r="F129" s="145"/>
      <c r="G129" s="286"/>
      <c r="H129" s="286"/>
    </row>
    <row r="130" spans="1:8" x14ac:dyDescent="0.35">
      <c r="A130" s="145">
        <f t="shared" si="7"/>
        <v>48731</v>
      </c>
      <c r="B130" s="144">
        <f t="shared" si="6"/>
        <v>35669581.122818701</v>
      </c>
      <c r="C130" s="144">
        <f t="shared" si="5"/>
        <v>246714.60276616263</v>
      </c>
      <c r="F130" s="145"/>
      <c r="G130" s="286"/>
      <c r="H130" s="286"/>
    </row>
    <row r="131" spans="1:8" x14ac:dyDescent="0.35">
      <c r="A131" s="145">
        <f t="shared" si="7"/>
        <v>48761</v>
      </c>
      <c r="B131" s="144">
        <f t="shared" si="6"/>
        <v>35359869.36314147</v>
      </c>
      <c r="C131" s="144">
        <f t="shared" si="5"/>
        <v>244572.42976172848</v>
      </c>
      <c r="F131" s="145"/>
      <c r="G131" s="286"/>
      <c r="H131" s="286"/>
    </row>
    <row r="132" spans="1:8" x14ac:dyDescent="0.35">
      <c r="A132" s="145">
        <f t="shared" si="7"/>
        <v>48792</v>
      </c>
      <c r="B132" s="144">
        <f t="shared" si="6"/>
        <v>35048015.430459805</v>
      </c>
      <c r="C132" s="144">
        <f t="shared" si="5"/>
        <v>242415.4400606803</v>
      </c>
      <c r="F132" s="145"/>
      <c r="G132" s="286"/>
      <c r="H132" s="286"/>
    </row>
    <row r="133" spans="1:8" x14ac:dyDescent="0.35">
      <c r="A133" s="145">
        <f t="shared" si="7"/>
        <v>48823</v>
      </c>
      <c r="B133" s="144">
        <f t="shared" si="6"/>
        <v>34734004.508077092</v>
      </c>
      <c r="C133" s="144">
        <f t="shared" si="5"/>
        <v>240243.53118086653</v>
      </c>
      <c r="F133" s="145"/>
      <c r="G133" s="286"/>
      <c r="H133" s="286"/>
    </row>
    <row r="134" spans="1:8" x14ac:dyDescent="0.35">
      <c r="A134" s="145">
        <f t="shared" si="7"/>
        <v>48853</v>
      </c>
      <c r="B134" s="144">
        <f t="shared" si="6"/>
        <v>34417821.676814564</v>
      </c>
      <c r="C134" s="144">
        <f t="shared" si="5"/>
        <v>238056.59993130071</v>
      </c>
      <c r="F134" s="145"/>
      <c r="G134" s="286"/>
      <c r="H134" s="286"/>
    </row>
    <row r="135" spans="1:8" x14ac:dyDescent="0.35">
      <c r="A135" s="145">
        <f t="shared" si="7"/>
        <v>48884</v>
      </c>
      <c r="B135" s="144">
        <f t="shared" si="6"/>
        <v>34099451.914302468</v>
      </c>
      <c r="C135" s="144">
        <f t="shared" si="5"/>
        <v>235854.54240725873</v>
      </c>
      <c r="F135" s="145"/>
      <c r="G135" s="286"/>
      <c r="H135" s="286"/>
    </row>
    <row r="136" spans="1:8" x14ac:dyDescent="0.35">
      <c r="A136" s="145">
        <f t="shared" si="7"/>
        <v>48914</v>
      </c>
      <c r="B136" s="144">
        <f t="shared" si="6"/>
        <v>33778880.094266333</v>
      </c>
      <c r="C136" s="144">
        <f t="shared" si="5"/>
        <v>233637.2539853421</v>
      </c>
      <c r="F136" s="145"/>
      <c r="G136" s="286"/>
      <c r="H136" s="286"/>
    </row>
    <row r="137" spans="1:8" x14ac:dyDescent="0.35">
      <c r="A137" s="145">
        <f t="shared" si="7"/>
        <v>48945</v>
      </c>
      <c r="B137" s="144">
        <f t="shared" si="6"/>
        <v>33456090.985808279</v>
      </c>
      <c r="C137" s="144">
        <f t="shared" si="5"/>
        <v>231404.62931850724</v>
      </c>
      <c r="F137" s="145"/>
      <c r="G137" s="286"/>
      <c r="H137" s="286"/>
    </row>
    <row r="138" spans="1:8" x14ac:dyDescent="0.35">
      <c r="A138" s="145">
        <f t="shared" si="7"/>
        <v>48976</v>
      </c>
      <c r="B138" s="144">
        <f t="shared" si="6"/>
        <v>33131069.25268339</v>
      </c>
      <c r="C138" s="144">
        <f t="shared" si="5"/>
        <v>229156.56233106009</v>
      </c>
      <c r="F138" s="145"/>
      <c r="G138" s="286"/>
      <c r="H138" s="286"/>
    </row>
    <row r="139" spans="1:8" x14ac:dyDescent="0.35">
      <c r="A139" s="145">
        <f t="shared" si="7"/>
        <v>49004</v>
      </c>
      <c r="B139" s="144">
        <f t="shared" si="6"/>
        <v>32803799.452571053</v>
      </c>
      <c r="C139" s="144">
        <f t="shared" ref="C139:C202" si="8">B139*$D$5/12</f>
        <v>226892.94621361641</v>
      </c>
      <c r="F139" s="145"/>
      <c r="G139" s="286"/>
      <c r="H139" s="286"/>
    </row>
    <row r="140" spans="1:8" x14ac:dyDescent="0.35">
      <c r="A140" s="145">
        <f t="shared" si="7"/>
        <v>49035</v>
      </c>
      <c r="B140" s="144">
        <f t="shared" ref="B140:B203" si="9">B139+C139+$D$6</f>
        <v>32474266.036341272</v>
      </c>
      <c r="C140" s="144">
        <f t="shared" si="8"/>
        <v>224613.67341802712</v>
      </c>
      <c r="F140" s="145"/>
      <c r="G140" s="286"/>
      <c r="H140" s="286"/>
    </row>
    <row r="141" spans="1:8" x14ac:dyDescent="0.35">
      <c r="A141" s="145">
        <f t="shared" ref="A141:A204" si="10">EOMONTH(A140,0)+1</f>
        <v>49065</v>
      </c>
      <c r="B141" s="144">
        <f t="shared" si="9"/>
        <v>32142453.3473159</v>
      </c>
      <c r="C141" s="144">
        <f t="shared" si="8"/>
        <v>222318.63565226828</v>
      </c>
      <c r="F141" s="145"/>
      <c r="G141" s="286"/>
      <c r="H141" s="286"/>
    </row>
    <row r="142" spans="1:8" x14ac:dyDescent="0.35">
      <c r="A142" s="145">
        <f t="shared" si="10"/>
        <v>49096</v>
      </c>
      <c r="B142" s="144">
        <f t="shared" si="9"/>
        <v>31808345.620524768</v>
      </c>
      <c r="C142" s="144">
        <f t="shared" si="8"/>
        <v>220007.7238752963</v>
      </c>
      <c r="F142" s="145"/>
      <c r="G142" s="286"/>
      <c r="H142" s="286"/>
    </row>
    <row r="143" spans="1:8" x14ac:dyDescent="0.35">
      <c r="A143" s="145">
        <f t="shared" si="10"/>
        <v>49126</v>
      </c>
      <c r="B143" s="144">
        <f t="shared" si="9"/>
        <v>31471926.981956664</v>
      </c>
      <c r="C143" s="144">
        <f t="shared" si="8"/>
        <v>217680.8282918669</v>
      </c>
      <c r="F143" s="145"/>
      <c r="G143" s="286"/>
      <c r="H143" s="286"/>
    </row>
    <row r="144" spans="1:8" x14ac:dyDescent="0.35">
      <c r="A144" s="145">
        <f t="shared" si="10"/>
        <v>49157</v>
      </c>
      <c r="B144" s="144">
        <f t="shared" si="9"/>
        <v>31133181.447805133</v>
      </c>
      <c r="C144" s="144">
        <f t="shared" si="8"/>
        <v>215337.83834731882</v>
      </c>
      <c r="F144" s="145"/>
      <c r="G144" s="286"/>
      <c r="H144" s="286"/>
    </row>
    <row r="145" spans="1:8" x14ac:dyDescent="0.35">
      <c r="A145" s="145">
        <f t="shared" si="10"/>
        <v>49188</v>
      </c>
      <c r="B145" s="144">
        <f t="shared" si="9"/>
        <v>30792092.923709054</v>
      </c>
      <c r="C145" s="144">
        <f t="shared" si="8"/>
        <v>212978.64272232095</v>
      </c>
      <c r="F145" s="145"/>
      <c r="G145" s="286"/>
      <c r="H145" s="286"/>
    </row>
    <row r="146" spans="1:8" x14ac:dyDescent="0.35">
      <c r="A146" s="145">
        <f t="shared" si="10"/>
        <v>49218</v>
      </c>
      <c r="B146" s="144">
        <f t="shared" si="9"/>
        <v>30448645.203987975</v>
      </c>
      <c r="C146" s="144">
        <f t="shared" si="8"/>
        <v>210603.12932758348</v>
      </c>
      <c r="F146" s="145"/>
      <c r="G146" s="286"/>
      <c r="H146" s="286"/>
    </row>
    <row r="147" spans="1:8" x14ac:dyDescent="0.35">
      <c r="A147" s="145">
        <f t="shared" si="10"/>
        <v>49249</v>
      </c>
      <c r="B147" s="144">
        <f t="shared" si="9"/>
        <v>30102821.97087216</v>
      </c>
      <c r="C147" s="144">
        <f t="shared" si="8"/>
        <v>208211.18529853239</v>
      </c>
      <c r="F147" s="145"/>
      <c r="G147" s="286"/>
      <c r="H147" s="286"/>
    </row>
    <row r="148" spans="1:8" x14ac:dyDescent="0.35">
      <c r="A148" s="145">
        <f t="shared" si="10"/>
        <v>49279</v>
      </c>
      <c r="B148" s="144">
        <f t="shared" si="9"/>
        <v>29754606.793727294</v>
      </c>
      <c r="C148" s="144">
        <f t="shared" si="8"/>
        <v>205802.69698994709</v>
      </c>
      <c r="F148" s="145"/>
      <c r="G148" s="286"/>
      <c r="H148" s="286"/>
    </row>
    <row r="149" spans="1:8" x14ac:dyDescent="0.35">
      <c r="A149" s="145">
        <f t="shared" si="10"/>
        <v>49310</v>
      </c>
      <c r="B149" s="144">
        <f t="shared" si="9"/>
        <v>29403983.128273841</v>
      </c>
      <c r="C149" s="144">
        <f t="shared" si="8"/>
        <v>203377.54997056071</v>
      </c>
      <c r="F149" s="145"/>
      <c r="G149" s="286"/>
      <c r="H149" s="286"/>
    </row>
    <row r="150" spans="1:8" x14ac:dyDescent="0.35">
      <c r="A150" s="145">
        <f t="shared" si="10"/>
        <v>49341</v>
      </c>
      <c r="B150" s="144">
        <f t="shared" si="9"/>
        <v>29050934.315801002</v>
      </c>
      <c r="C150" s="144">
        <f t="shared" si="8"/>
        <v>200935.62901762358</v>
      </c>
      <c r="F150" s="145"/>
      <c r="G150" s="286"/>
      <c r="H150" s="286"/>
    </row>
    <row r="151" spans="1:8" x14ac:dyDescent="0.35">
      <c r="A151" s="145">
        <f t="shared" si="10"/>
        <v>49369</v>
      </c>
      <c r="B151" s="144">
        <f t="shared" si="9"/>
        <v>28695443.582375228</v>
      </c>
      <c r="C151" s="144">
        <f t="shared" si="8"/>
        <v>198476.81811142864</v>
      </c>
      <c r="F151" s="145"/>
      <c r="G151" s="286"/>
      <c r="H151" s="286"/>
    </row>
    <row r="152" spans="1:8" x14ac:dyDescent="0.35">
      <c r="A152" s="145">
        <f t="shared" si="10"/>
        <v>49400</v>
      </c>
      <c r="B152" s="144">
        <f t="shared" si="9"/>
        <v>28337494.038043257</v>
      </c>
      <c r="C152" s="144">
        <f t="shared" si="8"/>
        <v>196001.00042979917</v>
      </c>
      <c r="F152" s="145"/>
      <c r="G152" s="286"/>
      <c r="H152" s="286"/>
    </row>
    <row r="153" spans="1:8" x14ac:dyDescent="0.35">
      <c r="A153" s="145">
        <f t="shared" si="10"/>
        <v>49430</v>
      </c>
      <c r="B153" s="144">
        <f t="shared" si="9"/>
        <v>27977068.676029656</v>
      </c>
      <c r="C153" s="144">
        <f t="shared" si="8"/>
        <v>193508.05834253842</v>
      </c>
      <c r="F153" s="145"/>
      <c r="G153" s="286"/>
      <c r="H153" s="286"/>
    </row>
    <row r="154" spans="1:8" x14ac:dyDescent="0.35">
      <c r="A154" s="145">
        <f t="shared" si="10"/>
        <v>49461</v>
      </c>
      <c r="B154" s="144">
        <f t="shared" si="9"/>
        <v>27614150.371928796</v>
      </c>
      <c r="C154" s="144">
        <f t="shared" si="8"/>
        <v>190997.87340584083</v>
      </c>
      <c r="F154" s="145"/>
      <c r="G154" s="286"/>
      <c r="H154" s="286"/>
    </row>
    <row r="155" spans="1:8" x14ac:dyDescent="0.35">
      <c r="A155" s="145">
        <f t="shared" si="10"/>
        <v>49491</v>
      </c>
      <c r="B155" s="144">
        <f t="shared" si="9"/>
        <v>27248721.882891238</v>
      </c>
      <c r="C155" s="144">
        <f t="shared" si="8"/>
        <v>188470.32635666439</v>
      </c>
      <c r="F155" s="145"/>
      <c r="G155" s="286"/>
      <c r="H155" s="286"/>
    </row>
    <row r="156" spans="1:8" x14ac:dyDescent="0.35">
      <c r="A156" s="145">
        <f t="shared" si="10"/>
        <v>49522</v>
      </c>
      <c r="B156" s="144">
        <f t="shared" si="9"/>
        <v>26880765.846804503</v>
      </c>
      <c r="C156" s="144">
        <f t="shared" si="8"/>
        <v>185925.29710706449</v>
      </c>
      <c r="F156" s="145"/>
      <c r="G156" s="286"/>
      <c r="H156" s="286"/>
    </row>
    <row r="157" spans="1:8" x14ac:dyDescent="0.35">
      <c r="A157" s="145">
        <f t="shared" si="10"/>
        <v>49553</v>
      </c>
      <c r="B157" s="144">
        <f t="shared" si="9"/>
        <v>26510264.781468168</v>
      </c>
      <c r="C157" s="144">
        <f t="shared" si="8"/>
        <v>183362.66473848815</v>
      </c>
      <c r="F157" s="145"/>
      <c r="G157" s="286"/>
      <c r="H157" s="286"/>
    </row>
    <row r="158" spans="1:8" x14ac:dyDescent="0.35">
      <c r="A158" s="145">
        <f t="shared" si="10"/>
        <v>49583</v>
      </c>
      <c r="B158" s="144">
        <f t="shared" si="9"/>
        <v>26137201.083763257</v>
      </c>
      <c r="C158" s="144">
        <f t="shared" si="8"/>
        <v>180782.30749602919</v>
      </c>
      <c r="F158" s="145"/>
      <c r="G158" s="286"/>
      <c r="H158" s="286"/>
    </row>
    <row r="159" spans="1:8" x14ac:dyDescent="0.35">
      <c r="A159" s="145">
        <f t="shared" si="10"/>
        <v>49614</v>
      </c>
      <c r="B159" s="144">
        <f t="shared" si="9"/>
        <v>25761557.028815888</v>
      </c>
      <c r="C159" s="144">
        <f t="shared" si="8"/>
        <v>178184.1027826432</v>
      </c>
      <c r="F159" s="145"/>
      <c r="G159" s="286"/>
      <c r="H159" s="286"/>
    </row>
    <row r="160" spans="1:8" x14ac:dyDescent="0.35">
      <c r="A160" s="145">
        <f t="shared" si="10"/>
        <v>49644</v>
      </c>
      <c r="B160" s="144">
        <f t="shared" si="9"/>
        <v>25383314.769155134</v>
      </c>
      <c r="C160" s="144">
        <f t="shared" si="8"/>
        <v>175567.92715332299</v>
      </c>
      <c r="F160" s="145"/>
      <c r="G160" s="286"/>
      <c r="H160" s="286"/>
    </row>
    <row r="161" spans="1:8" x14ac:dyDescent="0.35">
      <c r="A161" s="145">
        <f t="shared" si="10"/>
        <v>49675</v>
      </c>
      <c r="B161" s="144">
        <f t="shared" si="9"/>
        <v>25002456.333865058</v>
      </c>
      <c r="C161" s="144">
        <f t="shared" si="8"/>
        <v>172933.65630923331</v>
      </c>
      <c r="F161" s="145"/>
      <c r="G161" s="286"/>
      <c r="H161" s="286"/>
    </row>
    <row r="162" spans="1:8" x14ac:dyDescent="0.35">
      <c r="A162" s="145">
        <f t="shared" si="10"/>
        <v>49706</v>
      </c>
      <c r="B162" s="144">
        <f t="shared" si="9"/>
        <v>24618963.627730891</v>
      </c>
      <c r="C162" s="144">
        <f t="shared" si="8"/>
        <v>170281.16509180531</v>
      </c>
      <c r="F162" s="145"/>
      <c r="G162" s="286"/>
      <c r="H162" s="286"/>
    </row>
    <row r="163" spans="1:8" x14ac:dyDescent="0.35">
      <c r="A163" s="145">
        <f t="shared" si="10"/>
        <v>49735</v>
      </c>
      <c r="B163" s="144">
        <f t="shared" si="9"/>
        <v>24232818.430379298</v>
      </c>
      <c r="C163" s="144">
        <f t="shared" si="8"/>
        <v>167610.32747679012</v>
      </c>
      <c r="F163" s="145"/>
      <c r="G163" s="286"/>
      <c r="H163" s="286"/>
    </row>
    <row r="164" spans="1:8" x14ac:dyDescent="0.35">
      <c r="A164" s="145">
        <f t="shared" si="10"/>
        <v>49766</v>
      </c>
      <c r="B164" s="144">
        <f t="shared" si="9"/>
        <v>23844002.395412687</v>
      </c>
      <c r="C164" s="144">
        <f t="shared" si="8"/>
        <v>164921.01656827106</v>
      </c>
      <c r="F164" s="145"/>
      <c r="G164" s="286"/>
      <c r="H164" s="286"/>
    </row>
    <row r="165" spans="1:8" x14ac:dyDescent="0.35">
      <c r="A165" s="145">
        <f t="shared" si="10"/>
        <v>49796</v>
      </c>
      <c r="B165" s="144">
        <f t="shared" si="9"/>
        <v>23452497.049537558</v>
      </c>
      <c r="C165" s="144">
        <f t="shared" si="8"/>
        <v>162213.10459263474</v>
      </c>
      <c r="F165" s="145"/>
      <c r="G165" s="286"/>
      <c r="H165" s="286"/>
    </row>
    <row r="166" spans="1:8" x14ac:dyDescent="0.35">
      <c r="A166" s="145">
        <f t="shared" si="10"/>
        <v>49827</v>
      </c>
      <c r="B166" s="144">
        <f t="shared" si="9"/>
        <v>23058283.791686796</v>
      </c>
      <c r="C166" s="144">
        <f t="shared" si="8"/>
        <v>159486.46289250031</v>
      </c>
      <c r="F166" s="145"/>
      <c r="G166" s="286"/>
      <c r="H166" s="286"/>
    </row>
    <row r="167" spans="1:8" x14ac:dyDescent="0.35">
      <c r="A167" s="145">
        <f t="shared" si="10"/>
        <v>49857</v>
      </c>
      <c r="B167" s="144">
        <f t="shared" si="9"/>
        <v>22661343.892135896</v>
      </c>
      <c r="C167" s="144">
        <f t="shared" si="8"/>
        <v>156740.96192060658</v>
      </c>
      <c r="F167" s="145"/>
      <c r="G167" s="286"/>
      <c r="H167" s="286"/>
    </row>
    <row r="168" spans="1:8" x14ac:dyDescent="0.35">
      <c r="A168" s="145">
        <f t="shared" si="10"/>
        <v>49888</v>
      </c>
      <c r="B168" s="144">
        <f t="shared" si="9"/>
        <v>22261658.491613105</v>
      </c>
      <c r="C168" s="144">
        <f t="shared" si="8"/>
        <v>153976.4712336573</v>
      </c>
      <c r="F168" s="145"/>
      <c r="G168" s="286"/>
      <c r="H168" s="286"/>
    </row>
    <row r="169" spans="1:8" x14ac:dyDescent="0.35">
      <c r="A169" s="145">
        <f t="shared" si="10"/>
        <v>49919</v>
      </c>
      <c r="B169" s="144">
        <f t="shared" si="9"/>
        <v>21859208.600403365</v>
      </c>
      <c r="C169" s="144">
        <f t="shared" si="8"/>
        <v>151192.85948612326</v>
      </c>
      <c r="F169" s="145"/>
      <c r="G169" s="286"/>
      <c r="H169" s="286"/>
    </row>
    <row r="170" spans="1:8" x14ac:dyDescent="0.35">
      <c r="A170" s="145">
        <f t="shared" si="10"/>
        <v>49949</v>
      </c>
      <c r="B170" s="144">
        <f t="shared" si="9"/>
        <v>21453975.097446088</v>
      </c>
      <c r="C170" s="144">
        <f t="shared" si="8"/>
        <v>148389.9944240021</v>
      </c>
      <c r="F170" s="145"/>
      <c r="G170" s="286"/>
      <c r="H170" s="286"/>
    </row>
    <row r="171" spans="1:8" x14ac:dyDescent="0.35">
      <c r="A171" s="145">
        <f t="shared" si="10"/>
        <v>49980</v>
      </c>
      <c r="B171" s="144">
        <f t="shared" si="9"/>
        <v>21045938.729426689</v>
      </c>
      <c r="C171" s="144">
        <f t="shared" si="8"/>
        <v>145567.74287853457</v>
      </c>
      <c r="F171" s="145"/>
      <c r="G171" s="286"/>
      <c r="H171" s="286"/>
    </row>
    <row r="172" spans="1:8" x14ac:dyDescent="0.35">
      <c r="A172" s="145">
        <f t="shared" si="10"/>
        <v>50010</v>
      </c>
      <c r="B172" s="144">
        <f t="shared" si="9"/>
        <v>20635080.109861825</v>
      </c>
      <c r="C172" s="144">
        <f t="shared" si="8"/>
        <v>142725.97075987761</v>
      </c>
      <c r="F172" s="145"/>
      <c r="G172" s="286"/>
      <c r="H172" s="286"/>
    </row>
    <row r="173" spans="1:8" x14ac:dyDescent="0.35">
      <c r="A173" s="145">
        <f t="shared" si="10"/>
        <v>50041</v>
      </c>
      <c r="B173" s="144">
        <f t="shared" si="9"/>
        <v>20221379.718178302</v>
      </c>
      <c r="C173" s="144">
        <f t="shared" si="8"/>
        <v>139864.54305073325</v>
      </c>
      <c r="F173" s="145"/>
      <c r="G173" s="286"/>
      <c r="H173" s="286"/>
    </row>
    <row r="174" spans="1:8" x14ac:dyDescent="0.35">
      <c r="A174" s="145">
        <f t="shared" si="10"/>
        <v>50072</v>
      </c>
      <c r="B174" s="144">
        <f t="shared" si="9"/>
        <v>19804817.898785636</v>
      </c>
      <c r="C174" s="144">
        <f t="shared" si="8"/>
        <v>136983.32379993398</v>
      </c>
      <c r="F174" s="145"/>
      <c r="G174" s="286"/>
      <c r="H174" s="286"/>
    </row>
    <row r="175" spans="1:8" x14ac:dyDescent="0.35">
      <c r="A175" s="145">
        <f t="shared" si="10"/>
        <v>50100</v>
      </c>
      <c r="B175" s="144">
        <f t="shared" si="9"/>
        <v>19385374.860142171</v>
      </c>
      <c r="C175" s="144">
        <f t="shared" si="8"/>
        <v>134082.17611598334</v>
      </c>
      <c r="F175" s="145"/>
      <c r="G175" s="286"/>
      <c r="H175" s="286"/>
    </row>
    <row r="176" spans="1:8" x14ac:dyDescent="0.35">
      <c r="A176" s="145">
        <f t="shared" si="10"/>
        <v>50131</v>
      </c>
      <c r="B176" s="144">
        <f t="shared" si="9"/>
        <v>18963030.673814755</v>
      </c>
      <c r="C176" s="144">
        <f t="shared" si="8"/>
        <v>131160.96216055204</v>
      </c>
      <c r="F176" s="145"/>
      <c r="G176" s="286"/>
      <c r="H176" s="286"/>
    </row>
    <row r="177" spans="1:8" x14ac:dyDescent="0.35">
      <c r="A177" s="145">
        <f t="shared" si="10"/>
        <v>50161</v>
      </c>
      <c r="B177" s="144">
        <f t="shared" si="9"/>
        <v>18537765.27353191</v>
      </c>
      <c r="C177" s="144">
        <f t="shared" si="8"/>
        <v>128219.54314192903</v>
      </c>
      <c r="F177" s="145"/>
      <c r="G177" s="286"/>
      <c r="H177" s="286"/>
    </row>
    <row r="178" spans="1:8" x14ac:dyDescent="0.35">
      <c r="A178" s="145">
        <f t="shared" si="10"/>
        <v>50192</v>
      </c>
      <c r="B178" s="144">
        <f t="shared" si="9"/>
        <v>18109558.454230439</v>
      </c>
      <c r="C178" s="144">
        <f t="shared" si="8"/>
        <v>125257.77930842718</v>
      </c>
      <c r="F178" s="145"/>
      <c r="G178" s="286"/>
      <c r="H178" s="286"/>
    </row>
    <row r="179" spans="1:8" x14ac:dyDescent="0.35">
      <c r="A179" s="145">
        <f t="shared" si="10"/>
        <v>50222</v>
      </c>
      <c r="B179" s="144">
        <f t="shared" si="9"/>
        <v>17678389.871095467</v>
      </c>
      <c r="C179" s="144">
        <f t="shared" si="8"/>
        <v>122275.52994174363</v>
      </c>
      <c r="F179" s="145"/>
      <c r="G179" s="286"/>
      <c r="H179" s="286"/>
    </row>
    <row r="180" spans="1:8" x14ac:dyDescent="0.35">
      <c r="A180" s="145">
        <f t="shared" si="10"/>
        <v>50253</v>
      </c>
      <c r="B180" s="144">
        <f t="shared" si="9"/>
        <v>17244239.038593814</v>
      </c>
      <c r="C180" s="144">
        <f t="shared" si="8"/>
        <v>119272.65335027386</v>
      </c>
      <c r="F180" s="145"/>
      <c r="G180" s="286"/>
      <c r="H180" s="286"/>
    </row>
    <row r="181" spans="1:8" x14ac:dyDescent="0.35">
      <c r="A181" s="145">
        <f t="shared" si="10"/>
        <v>50284</v>
      </c>
      <c r="B181" s="144">
        <f t="shared" si="9"/>
        <v>16807085.32950069</v>
      </c>
      <c r="C181" s="144">
        <f t="shared" si="8"/>
        <v>116249.00686237977</v>
      </c>
      <c r="F181" s="145"/>
      <c r="G181" s="286"/>
      <c r="H181" s="286"/>
    </row>
    <row r="182" spans="1:8" x14ac:dyDescent="0.35">
      <c r="A182" s="145">
        <f t="shared" si="10"/>
        <v>50314</v>
      </c>
      <c r="B182" s="144">
        <f t="shared" si="9"/>
        <v>16366907.973919671</v>
      </c>
      <c r="C182" s="144">
        <f t="shared" si="8"/>
        <v>113204.44681961105</v>
      </c>
      <c r="F182" s="145"/>
      <c r="G182" s="286"/>
      <c r="H182" s="286"/>
    </row>
    <row r="183" spans="1:8" x14ac:dyDescent="0.35">
      <c r="A183" s="145">
        <f t="shared" si="10"/>
        <v>50345</v>
      </c>
      <c r="B183" s="144">
        <f t="shared" si="9"/>
        <v>15923686.058295883</v>
      </c>
      <c r="C183" s="144">
        <f t="shared" si="8"/>
        <v>110138.82856987986</v>
      </c>
      <c r="F183" s="145"/>
      <c r="G183" s="286"/>
      <c r="H183" s="286"/>
    </row>
    <row r="184" spans="1:8" x14ac:dyDescent="0.35">
      <c r="A184" s="145">
        <f t="shared" si="10"/>
        <v>50375</v>
      </c>
      <c r="B184" s="144">
        <f t="shared" si="9"/>
        <v>15477398.524422364</v>
      </c>
      <c r="C184" s="144">
        <f t="shared" si="8"/>
        <v>107052.006460588</v>
      </c>
      <c r="F184" s="145"/>
      <c r="G184" s="286"/>
      <c r="H184" s="286"/>
    </row>
    <row r="185" spans="1:8" x14ac:dyDescent="0.35">
      <c r="A185" s="145">
        <f t="shared" si="10"/>
        <v>50406</v>
      </c>
      <c r="B185" s="144">
        <f t="shared" si="9"/>
        <v>15028024.168439554</v>
      </c>
      <c r="C185" s="144">
        <f t="shared" si="8"/>
        <v>103943.8338317069</v>
      </c>
      <c r="F185" s="145"/>
      <c r="G185" s="286"/>
      <c r="H185" s="286"/>
    </row>
    <row r="186" spans="1:8" x14ac:dyDescent="0.35">
      <c r="A186" s="145">
        <f t="shared" si="10"/>
        <v>50437</v>
      </c>
      <c r="B186" s="144">
        <f t="shared" si="9"/>
        <v>14575541.639827862</v>
      </c>
      <c r="C186" s="144">
        <f t="shared" si="8"/>
        <v>100814.16300880937</v>
      </c>
      <c r="F186" s="145"/>
      <c r="G186" s="286"/>
      <c r="H186" s="286"/>
    </row>
    <row r="187" spans="1:8" x14ac:dyDescent="0.35">
      <c r="A187" s="145">
        <f t="shared" si="10"/>
        <v>50465</v>
      </c>
      <c r="B187" s="144">
        <f t="shared" si="9"/>
        <v>14119929.440393273</v>
      </c>
      <c r="C187" s="144">
        <f t="shared" si="8"/>
        <v>97662.845296053463</v>
      </c>
      <c r="F187" s="145"/>
      <c r="G187" s="286"/>
      <c r="H187" s="286"/>
    </row>
    <row r="188" spans="1:8" x14ac:dyDescent="0.35">
      <c r="A188" s="145">
        <f t="shared" si="10"/>
        <v>50496</v>
      </c>
      <c r="B188" s="144">
        <f t="shared" si="9"/>
        <v>13661165.923245927</v>
      </c>
      <c r="C188" s="144">
        <f t="shared" si="8"/>
        <v>94489.730969117649</v>
      </c>
      <c r="F188" s="145"/>
      <c r="G188" s="286"/>
      <c r="H188" s="286"/>
    </row>
    <row r="189" spans="1:8" x14ac:dyDescent="0.35">
      <c r="A189" s="145">
        <f t="shared" si="10"/>
        <v>50526</v>
      </c>
      <c r="B189" s="144">
        <f t="shared" si="9"/>
        <v>13199229.291771647</v>
      </c>
      <c r="C189" s="144">
        <f t="shared" si="8"/>
        <v>91294.669268087207</v>
      </c>
      <c r="F189" s="145"/>
      <c r="G189" s="286"/>
      <c r="H189" s="286"/>
    </row>
    <row r="190" spans="1:8" x14ac:dyDescent="0.35">
      <c r="A190" s="145">
        <f t="shared" si="10"/>
        <v>50557</v>
      </c>
      <c r="B190" s="144">
        <f t="shared" si="9"/>
        <v>12734097.598596334</v>
      </c>
      <c r="C190" s="144">
        <f t="shared" si="8"/>
        <v>88077.508390291303</v>
      </c>
      <c r="F190" s="145"/>
      <c r="G190" s="286"/>
      <c r="H190" s="286"/>
    </row>
    <row r="191" spans="1:8" x14ac:dyDescent="0.35">
      <c r="A191" s="145">
        <f t="shared" si="10"/>
        <v>50587</v>
      </c>
      <c r="B191" s="144">
        <f t="shared" si="9"/>
        <v>12265748.744543226</v>
      </c>
      <c r="C191" s="144">
        <f t="shared" si="8"/>
        <v>84838.095483090641</v>
      </c>
      <c r="F191" s="145"/>
      <c r="G191" s="286"/>
      <c r="H191" s="286"/>
    </row>
    <row r="192" spans="1:8" x14ac:dyDescent="0.35">
      <c r="A192" s="145">
        <f t="shared" si="10"/>
        <v>50618</v>
      </c>
      <c r="B192" s="144">
        <f t="shared" si="9"/>
        <v>11794160.477582918</v>
      </c>
      <c r="C192" s="144">
        <f t="shared" si="8"/>
        <v>81576.276636615177</v>
      </c>
      <c r="F192" s="145"/>
      <c r="G192" s="286"/>
      <c r="H192" s="286"/>
    </row>
    <row r="193" spans="1:8" x14ac:dyDescent="0.35">
      <c r="A193" s="145">
        <f t="shared" si="10"/>
        <v>50649</v>
      </c>
      <c r="B193" s="144">
        <f t="shared" si="9"/>
        <v>11319310.391776135</v>
      </c>
      <c r="C193" s="144">
        <f t="shared" si="8"/>
        <v>78291.896876451588</v>
      </c>
      <c r="F193" s="145"/>
      <c r="G193" s="286"/>
      <c r="H193" s="286"/>
    </row>
    <row r="194" spans="1:8" x14ac:dyDescent="0.35">
      <c r="A194" s="145">
        <f t="shared" si="10"/>
        <v>50679</v>
      </c>
      <c r="B194" s="144">
        <f t="shared" si="9"/>
        <v>10841175.926209189</v>
      </c>
      <c r="C194" s="144">
        <f t="shared" si="8"/>
        <v>74984.800156280209</v>
      </c>
      <c r="F194" s="145"/>
      <c r="G194" s="286"/>
      <c r="H194" s="286"/>
    </row>
    <row r="195" spans="1:8" x14ac:dyDescent="0.35">
      <c r="A195" s="145">
        <f t="shared" si="10"/>
        <v>50710</v>
      </c>
      <c r="B195" s="144">
        <f t="shared" si="9"/>
        <v>10359734.363922071</v>
      </c>
      <c r="C195" s="144">
        <f t="shared" si="8"/>
        <v>71654.829350460976</v>
      </c>
      <c r="F195" s="145"/>
      <c r="G195" s="286"/>
      <c r="H195" s="286"/>
    </row>
    <row r="196" spans="1:8" x14ac:dyDescent="0.35">
      <c r="A196" s="145">
        <f t="shared" si="10"/>
        <v>50740</v>
      </c>
      <c r="B196" s="144">
        <f t="shared" si="9"/>
        <v>9874962.8308291323</v>
      </c>
      <c r="C196" s="144">
        <f t="shared" si="8"/>
        <v>68301.826246568162</v>
      </c>
      <c r="F196" s="145"/>
      <c r="G196" s="286"/>
      <c r="H196" s="286"/>
    </row>
    <row r="197" spans="1:8" x14ac:dyDescent="0.35">
      <c r="A197" s="145">
        <f t="shared" si="10"/>
        <v>50771</v>
      </c>
      <c r="B197" s="144">
        <f t="shared" si="9"/>
        <v>9386838.2946323026</v>
      </c>
      <c r="C197" s="144">
        <f t="shared" si="8"/>
        <v>64925.631537873414</v>
      </c>
      <c r="F197" s="145"/>
      <c r="G197" s="286"/>
      <c r="H197" s="286"/>
    </row>
    <row r="198" spans="1:8" x14ac:dyDescent="0.35">
      <c r="A198" s="145">
        <f t="shared" si="10"/>
        <v>50802</v>
      </c>
      <c r="B198" s="144">
        <f t="shared" si="9"/>
        <v>8895337.5637267772</v>
      </c>
      <c r="C198" s="144">
        <f t="shared" si="8"/>
        <v>61526.084815776871</v>
      </c>
      <c r="F198" s="145"/>
      <c r="G198" s="286"/>
      <c r="H198" s="286"/>
    </row>
    <row r="199" spans="1:8" x14ac:dyDescent="0.35">
      <c r="A199" s="145">
        <f t="shared" si="10"/>
        <v>50830</v>
      </c>
      <c r="B199" s="144">
        <f t="shared" si="9"/>
        <v>8400437.2860991545</v>
      </c>
      <c r="C199" s="144">
        <f t="shared" si="8"/>
        <v>58103.024562185812</v>
      </c>
      <c r="F199" s="145"/>
      <c r="G199" s="286"/>
      <c r="H199" s="286"/>
    </row>
    <row r="200" spans="1:8" x14ac:dyDescent="0.35">
      <c r="A200" s="145">
        <f t="shared" si="10"/>
        <v>50861</v>
      </c>
      <c r="B200" s="144">
        <f t="shared" si="9"/>
        <v>7902113.9482179414</v>
      </c>
      <c r="C200" s="144">
        <f t="shared" si="8"/>
        <v>54656.288141840756</v>
      </c>
      <c r="F200" s="145"/>
      <c r="G200" s="286"/>
      <c r="H200" s="286"/>
    </row>
    <row r="201" spans="1:8" x14ac:dyDescent="0.35">
      <c r="A201" s="145">
        <f t="shared" si="10"/>
        <v>50891</v>
      </c>
      <c r="B201" s="144">
        <f t="shared" si="9"/>
        <v>7400343.8739163838</v>
      </c>
      <c r="C201" s="144">
        <f t="shared" si="8"/>
        <v>51185.711794588315</v>
      </c>
      <c r="F201" s="145"/>
      <c r="G201" s="286"/>
      <c r="H201" s="286"/>
    </row>
    <row r="202" spans="1:8" x14ac:dyDescent="0.35">
      <c r="A202" s="145">
        <f t="shared" si="10"/>
        <v>50922</v>
      </c>
      <c r="B202" s="144">
        <f t="shared" si="9"/>
        <v>6895103.2232675739</v>
      </c>
      <c r="C202" s="144">
        <f t="shared" si="8"/>
        <v>47691.130627600709</v>
      </c>
      <c r="F202" s="145"/>
      <c r="G202" s="286"/>
      <c r="H202" s="286"/>
    </row>
    <row r="203" spans="1:8" x14ac:dyDescent="0.35">
      <c r="A203" s="145">
        <f t="shared" si="10"/>
        <v>50952</v>
      </c>
      <c r="B203" s="144">
        <f t="shared" si="9"/>
        <v>6386367.9914517757</v>
      </c>
      <c r="C203" s="144">
        <f t="shared" ref="C203:C215" si="11">B203*$D$5/12</f>
        <v>44172.378607541439</v>
      </c>
      <c r="F203" s="145"/>
      <c r="G203" s="286"/>
      <c r="H203" s="286"/>
    </row>
    <row r="204" spans="1:8" x14ac:dyDescent="0.35">
      <c r="A204" s="145">
        <f t="shared" si="10"/>
        <v>50983</v>
      </c>
      <c r="B204" s="144">
        <f t="shared" ref="B204:B215" si="12">B203+C203+$D$6</f>
        <v>5874114.0076159183</v>
      </c>
      <c r="C204" s="144">
        <f t="shared" si="11"/>
        <v>40629.288552676764</v>
      </c>
      <c r="F204" s="145"/>
      <c r="G204" s="286"/>
      <c r="H204" s="286"/>
    </row>
    <row r="205" spans="1:8" x14ac:dyDescent="0.35">
      <c r="A205" s="145">
        <f t="shared" ref="A205:A215" si="13">EOMONTH(A204,0)+1</f>
        <v>51014</v>
      </c>
      <c r="B205" s="144">
        <f t="shared" si="12"/>
        <v>5358316.9337251959</v>
      </c>
      <c r="C205" s="144">
        <f t="shared" si="11"/>
        <v>37061.692124932604</v>
      </c>
      <c r="F205" s="145"/>
      <c r="G205" s="286"/>
      <c r="H205" s="286"/>
    </row>
    <row r="206" spans="1:8" x14ac:dyDescent="0.35">
      <c r="A206" s="145">
        <f t="shared" si="13"/>
        <v>51044</v>
      </c>
      <c r="B206" s="144">
        <f t="shared" si="12"/>
        <v>4838952.2634067303</v>
      </c>
      <c r="C206" s="144">
        <f t="shared" si="11"/>
        <v>33469.419821896547</v>
      </c>
      <c r="F206" s="145"/>
      <c r="G206" s="286"/>
      <c r="H206" s="286"/>
    </row>
    <row r="207" spans="1:8" x14ac:dyDescent="0.35">
      <c r="A207" s="145">
        <f t="shared" si="13"/>
        <v>51075</v>
      </c>
      <c r="B207" s="144">
        <f t="shared" si="12"/>
        <v>4315995.3207852282</v>
      </c>
      <c r="C207" s="144">
        <f t="shared" si="11"/>
        <v>29852.300968764492</v>
      </c>
      <c r="F207" s="145"/>
      <c r="G207" s="286"/>
      <c r="H207" s="286"/>
    </row>
    <row r="208" spans="1:8" x14ac:dyDescent="0.35">
      <c r="A208" s="145">
        <f t="shared" si="13"/>
        <v>51105</v>
      </c>
      <c r="B208" s="144">
        <f t="shared" si="12"/>
        <v>3789421.2593105943</v>
      </c>
      <c r="C208" s="144">
        <f t="shared" si="11"/>
        <v>26210.163710231605</v>
      </c>
      <c r="F208" s="145"/>
      <c r="G208" s="286"/>
      <c r="H208" s="286"/>
    </row>
    <row r="209" spans="1:8" x14ac:dyDescent="0.35">
      <c r="A209" s="145">
        <f t="shared" si="13"/>
        <v>51136</v>
      </c>
      <c r="B209" s="144">
        <f t="shared" si="12"/>
        <v>3259205.0605774275</v>
      </c>
      <c r="C209" s="144">
        <f t="shared" si="11"/>
        <v>22542.835002327203</v>
      </c>
      <c r="F209" s="145"/>
      <c r="G209" s="286"/>
      <c r="H209" s="286"/>
    </row>
    <row r="210" spans="1:8" x14ac:dyDescent="0.35">
      <c r="A210" s="145">
        <f t="shared" si="13"/>
        <v>51167</v>
      </c>
      <c r="B210" s="144">
        <f t="shared" si="12"/>
        <v>2725321.5331363566</v>
      </c>
      <c r="C210" s="144">
        <f t="shared" si="11"/>
        <v>18850.14060419313</v>
      </c>
      <c r="F210" s="145"/>
      <c r="G210" s="286"/>
      <c r="H210" s="286"/>
    </row>
    <row r="211" spans="1:8" x14ac:dyDescent="0.35">
      <c r="A211" s="145">
        <f t="shared" si="13"/>
        <v>51196</v>
      </c>
      <c r="B211" s="144">
        <f t="shared" si="12"/>
        <v>2187745.3112971517</v>
      </c>
      <c r="C211" s="144">
        <f t="shared" si="11"/>
        <v>15131.905069805298</v>
      </c>
      <c r="F211" s="145"/>
      <c r="G211" s="286"/>
      <c r="H211" s="286"/>
    </row>
    <row r="212" spans="1:8" x14ac:dyDescent="0.35">
      <c r="A212" s="145">
        <f t="shared" si="13"/>
        <v>51227</v>
      </c>
      <c r="B212" s="144">
        <f t="shared" si="12"/>
        <v>1646450.8539235587</v>
      </c>
      <c r="C212" s="144">
        <f t="shared" si="11"/>
        <v>11387.951739637947</v>
      </c>
      <c r="F212" s="145"/>
      <c r="G212" s="286"/>
      <c r="H212" s="286"/>
    </row>
    <row r="213" spans="1:8" x14ac:dyDescent="0.35">
      <c r="A213" s="145">
        <f t="shared" si="13"/>
        <v>51257</v>
      </c>
      <c r="B213" s="144">
        <f t="shared" si="12"/>
        <v>1101412.4432197982</v>
      </c>
      <c r="C213" s="144">
        <f t="shared" si="11"/>
        <v>7618.1027322702694</v>
      </c>
      <c r="F213" s="145"/>
      <c r="G213" s="286"/>
      <c r="H213" s="286"/>
    </row>
    <row r="214" spans="1:8" x14ac:dyDescent="0.35">
      <c r="A214" s="145">
        <f t="shared" si="13"/>
        <v>51288</v>
      </c>
      <c r="B214" s="144">
        <f t="shared" si="12"/>
        <v>552604.18350867007</v>
      </c>
      <c r="C214" s="144">
        <f t="shared" si="11"/>
        <v>3822.1789359349677</v>
      </c>
      <c r="F214" s="145"/>
      <c r="G214" s="286"/>
      <c r="H214" s="286"/>
    </row>
    <row r="215" spans="1:8" x14ac:dyDescent="0.35">
      <c r="A215" s="145">
        <f t="shared" si="13"/>
        <v>51318</v>
      </c>
      <c r="B215" s="144">
        <f t="shared" si="12"/>
        <v>1.2067612260580063E-6</v>
      </c>
      <c r="C215" s="144">
        <f t="shared" si="11"/>
        <v>8.34676514690121E-9</v>
      </c>
      <c r="F215" s="145"/>
    </row>
    <row r="216" spans="1:8" x14ac:dyDescent="0.35">
      <c r="A216" s="145"/>
      <c r="B216" s="144"/>
      <c r="C216" s="144"/>
    </row>
    <row r="217" spans="1:8" x14ac:dyDescent="0.35">
      <c r="A217" s="145"/>
      <c r="B217" s="144"/>
      <c r="C217" s="144"/>
    </row>
    <row r="218" spans="1:8" x14ac:dyDescent="0.35">
      <c r="A218" s="145"/>
      <c r="B218" s="144"/>
      <c r="C218" s="144"/>
    </row>
    <row r="219" spans="1:8" x14ac:dyDescent="0.35">
      <c r="A219" s="145"/>
      <c r="B219" s="144"/>
      <c r="C219" s="144"/>
    </row>
    <row r="220" spans="1:8" x14ac:dyDescent="0.35">
      <c r="A220" s="145"/>
      <c r="B220" s="144"/>
      <c r="C220" s="144"/>
    </row>
    <row r="221" spans="1:8" x14ac:dyDescent="0.35">
      <c r="A221" s="145"/>
      <c r="B221" s="144"/>
      <c r="C221" s="144"/>
    </row>
    <row r="222" spans="1:8" x14ac:dyDescent="0.35">
      <c r="A222" s="145"/>
      <c r="B222" s="144"/>
      <c r="C222" s="144"/>
    </row>
    <row r="223" spans="1:8" x14ac:dyDescent="0.35">
      <c r="A223" s="145"/>
      <c r="B223" s="144"/>
      <c r="C223" s="144"/>
    </row>
    <row r="224" spans="1:8" x14ac:dyDescent="0.35">
      <c r="A224" s="145"/>
      <c r="B224" s="144"/>
      <c r="C224" s="144"/>
    </row>
    <row r="225" spans="1:3" x14ac:dyDescent="0.35">
      <c r="A225" s="145"/>
      <c r="B225" s="144"/>
      <c r="C225" s="144"/>
    </row>
    <row r="226" spans="1:3" x14ac:dyDescent="0.35">
      <c r="A226" s="145"/>
      <c r="B226" s="144"/>
      <c r="C226" s="144"/>
    </row>
    <row r="227" spans="1:3" x14ac:dyDescent="0.35">
      <c r="A227" s="145"/>
      <c r="B227" s="144"/>
      <c r="C227" s="144"/>
    </row>
    <row r="228" spans="1:3" x14ac:dyDescent="0.35">
      <c r="A228" s="145"/>
      <c r="B228" s="144"/>
      <c r="C228" s="144"/>
    </row>
    <row r="229" spans="1:3" x14ac:dyDescent="0.35">
      <c r="A229" s="145"/>
      <c r="B229" s="144"/>
      <c r="C229" s="144"/>
    </row>
    <row r="230" spans="1:3" x14ac:dyDescent="0.35">
      <c r="A230" s="145"/>
      <c r="B230" s="144"/>
      <c r="C230" s="144"/>
    </row>
    <row r="231" spans="1:3" x14ac:dyDescent="0.35">
      <c r="A231" s="145"/>
      <c r="B231" s="144"/>
      <c r="C231" s="144"/>
    </row>
    <row r="232" spans="1:3" x14ac:dyDescent="0.35">
      <c r="A232" s="145"/>
      <c r="B232" s="144"/>
      <c r="C232" s="144"/>
    </row>
    <row r="233" spans="1:3" x14ac:dyDescent="0.35">
      <c r="A233" s="145"/>
      <c r="B233" s="144"/>
      <c r="C233" s="144"/>
    </row>
    <row r="234" spans="1:3" x14ac:dyDescent="0.35">
      <c r="A234" s="145"/>
      <c r="B234" s="144"/>
      <c r="C234" s="144"/>
    </row>
    <row r="235" spans="1:3" x14ac:dyDescent="0.35">
      <c r="A235" s="145"/>
      <c r="B235" s="144"/>
      <c r="C235" s="144"/>
    </row>
    <row r="236" spans="1:3" x14ac:dyDescent="0.35">
      <c r="A236" s="145"/>
      <c r="B236" s="144"/>
      <c r="C236" s="144"/>
    </row>
    <row r="237" spans="1:3" x14ac:dyDescent="0.35">
      <c r="A237" s="145"/>
      <c r="B237" s="144"/>
      <c r="C237" s="144"/>
    </row>
    <row r="238" spans="1:3" x14ac:dyDescent="0.35">
      <c r="A238" s="145"/>
      <c r="B238" s="144"/>
      <c r="C238" s="144"/>
    </row>
    <row r="239" spans="1:3" x14ac:dyDescent="0.35">
      <c r="A239" s="145"/>
      <c r="B239" s="144"/>
      <c r="C239" s="144"/>
    </row>
    <row r="240" spans="1:3" x14ac:dyDescent="0.35">
      <c r="A240" s="145"/>
      <c r="B240" s="144"/>
      <c r="C240" s="144"/>
    </row>
    <row r="241" spans="1:3" x14ac:dyDescent="0.35">
      <c r="A241" s="145"/>
      <c r="B241" s="144"/>
      <c r="C241" s="144"/>
    </row>
    <row r="242" spans="1:3" x14ac:dyDescent="0.35">
      <c r="A242" s="145"/>
      <c r="B242" s="144"/>
      <c r="C242" s="144"/>
    </row>
    <row r="243" spans="1:3" x14ac:dyDescent="0.35">
      <c r="A243" s="145"/>
      <c r="B243" s="144"/>
      <c r="C243" s="144"/>
    </row>
    <row r="244" spans="1:3" x14ac:dyDescent="0.35">
      <c r="A244" s="145"/>
      <c r="B244" s="144"/>
      <c r="C244" s="144"/>
    </row>
    <row r="245" spans="1:3" x14ac:dyDescent="0.35">
      <c r="A245" s="145"/>
      <c r="B245" s="144"/>
      <c r="C245" s="144"/>
    </row>
    <row r="246" spans="1:3" x14ac:dyDescent="0.35">
      <c r="A246" s="145"/>
      <c r="B246" s="144"/>
      <c r="C246" s="144"/>
    </row>
    <row r="247" spans="1:3" x14ac:dyDescent="0.35">
      <c r="A247" s="145"/>
      <c r="B247" s="144"/>
      <c r="C247" s="144"/>
    </row>
    <row r="248" spans="1:3" x14ac:dyDescent="0.35">
      <c r="A248" s="145"/>
      <c r="B248" s="144"/>
      <c r="C248" s="144"/>
    </row>
    <row r="249" spans="1:3" x14ac:dyDescent="0.35">
      <c r="A249" s="145"/>
      <c r="B249" s="144"/>
      <c r="C249" s="144"/>
    </row>
    <row r="250" spans="1:3" x14ac:dyDescent="0.35">
      <c r="A250" s="145"/>
      <c r="B250" s="144"/>
      <c r="C250" s="144"/>
    </row>
    <row r="251" spans="1:3" x14ac:dyDescent="0.35">
      <c r="A251" s="145"/>
      <c r="B251" s="144"/>
      <c r="C251" s="144"/>
    </row>
  </sheetData>
  <mergeCells count="2">
    <mergeCell ref="A1:D1"/>
    <mergeCell ref="F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4D03-121E-4DEE-AE1C-11F94803FDC1}">
  <dimension ref="A1:L251"/>
  <sheetViews>
    <sheetView zoomScaleNormal="100" workbookViewId="0">
      <selection activeCell="J3" sqref="J3"/>
    </sheetView>
  </sheetViews>
  <sheetFormatPr defaultColWidth="9.1796875" defaultRowHeight="14.5" x14ac:dyDescent="0.35"/>
  <cols>
    <col min="1" max="1" width="18.7265625" style="143" customWidth="1"/>
    <col min="2" max="3" width="15.7265625" style="143" customWidth="1"/>
    <col min="4" max="4" width="12.7265625" style="143" bestFit="1" customWidth="1"/>
    <col min="5" max="6" width="1.7265625" style="143" customWidth="1"/>
    <col min="7" max="7" width="18.7265625" style="143" customWidth="1"/>
    <col min="8" max="9" width="15.7265625" style="143" customWidth="1"/>
    <col min="10" max="10" width="12.54296875" style="143" customWidth="1"/>
    <col min="11" max="11" width="1.7265625" style="143" customWidth="1"/>
    <col min="12" max="12" width="12.7265625" style="143" bestFit="1" customWidth="1"/>
    <col min="13" max="16384" width="9.1796875" style="143"/>
  </cols>
  <sheetData>
    <row r="1" spans="1:12" x14ac:dyDescent="0.35">
      <c r="A1" s="377" t="s">
        <v>122</v>
      </c>
      <c r="B1" s="377"/>
      <c r="C1" s="377"/>
      <c r="D1" s="377"/>
      <c r="E1" s="160"/>
      <c r="F1" s="152"/>
      <c r="G1" s="377" t="s">
        <v>123</v>
      </c>
      <c r="H1" s="377"/>
      <c r="I1" s="377"/>
      <c r="J1" s="377"/>
    </row>
    <row r="2" spans="1:12" x14ac:dyDescent="0.35">
      <c r="E2" s="153"/>
      <c r="F2" s="152"/>
    </row>
    <row r="3" spans="1:12" x14ac:dyDescent="0.35">
      <c r="A3" s="143" t="s">
        <v>124</v>
      </c>
      <c r="D3" s="360">
        <f>0.21*Summary!E3</f>
        <v>60730638.475500003</v>
      </c>
      <c r="E3" s="362"/>
      <c r="F3" s="363"/>
      <c r="G3" s="364" t="s">
        <v>124</v>
      </c>
      <c r="H3" s="364"/>
      <c r="I3" s="364"/>
      <c r="J3" s="360">
        <f>0.21*Summary!E37</f>
        <v>10973148.259500001</v>
      </c>
    </row>
    <row r="4" spans="1:12" x14ac:dyDescent="0.35">
      <c r="A4" s="143" t="s">
        <v>125</v>
      </c>
      <c r="D4" s="353">
        <v>20</v>
      </c>
      <c r="E4" s="159"/>
      <c r="F4" s="152"/>
      <c r="G4" s="143" t="s">
        <v>125</v>
      </c>
      <c r="J4" s="158">
        <f>$D$4</f>
        <v>20</v>
      </c>
    </row>
    <row r="5" spans="1:12" x14ac:dyDescent="0.35">
      <c r="A5" s="143" t="s">
        <v>126</v>
      </c>
      <c r="D5" s="354">
        <f>+'Assumptions and Inputs'!C17</f>
        <v>5.1659999999999998E-2</v>
      </c>
      <c r="E5" s="157"/>
      <c r="F5" s="152"/>
      <c r="G5" s="143" t="s">
        <v>126</v>
      </c>
      <c r="J5" s="352">
        <f>$D$5</f>
        <v>5.1659999999999998E-2</v>
      </c>
    </row>
    <row r="6" spans="1:12" ht="15" thickBot="1" x14ac:dyDescent="0.4">
      <c r="A6" s="143" t="s">
        <v>127</v>
      </c>
      <c r="D6" s="151">
        <f>PMT(D5/12,D4*12,D3)</f>
        <v>-406385.33198468166</v>
      </c>
      <c r="E6" s="156"/>
      <c r="F6" s="152"/>
      <c r="G6" s="143" t="s">
        <v>127</v>
      </c>
      <c r="J6" s="151">
        <f>PMT(J5/12,J4*12,J3)</f>
        <v>-73427.953505758458</v>
      </c>
    </row>
    <row r="7" spans="1:12" ht="15" thickBot="1" x14ac:dyDescent="0.4">
      <c r="A7" s="150" t="s">
        <v>128</v>
      </c>
      <c r="B7" s="150"/>
      <c r="C7" s="150"/>
      <c r="D7" s="149">
        <f>NPV(D5/12,C11:C250)</f>
        <v>26094164.492559377</v>
      </c>
      <c r="E7" s="155"/>
      <c r="F7" s="152"/>
      <c r="G7" s="150" t="s">
        <v>128</v>
      </c>
      <c r="H7" s="150"/>
      <c r="I7" s="150"/>
      <c r="J7" s="149">
        <f>NPV(J5/12,I11:I250)</f>
        <v>4714838.2245339202</v>
      </c>
      <c r="L7" s="154">
        <f>D7+J7</f>
        <v>30809002.717093296</v>
      </c>
    </row>
    <row r="8" spans="1:12" x14ac:dyDescent="0.35">
      <c r="E8" s="153"/>
      <c r="F8" s="152"/>
    </row>
    <row r="9" spans="1:12" x14ac:dyDescent="0.35">
      <c r="A9" s="148" t="s">
        <v>129</v>
      </c>
      <c r="C9" s="147"/>
      <c r="E9" s="153"/>
      <c r="F9" s="152"/>
      <c r="G9" s="148" t="s">
        <v>129</v>
      </c>
      <c r="I9" s="147"/>
    </row>
    <row r="10" spans="1:12" x14ac:dyDescent="0.35">
      <c r="A10" s="146" t="s">
        <v>130</v>
      </c>
      <c r="B10" s="146" t="s">
        <v>131</v>
      </c>
      <c r="C10" s="146" t="s">
        <v>132</v>
      </c>
      <c r="E10" s="153"/>
      <c r="F10" s="152"/>
      <c r="G10" s="146" t="s">
        <v>130</v>
      </c>
      <c r="H10" s="146" t="s">
        <v>131</v>
      </c>
      <c r="I10" s="146" t="s">
        <v>132</v>
      </c>
    </row>
    <row r="11" spans="1:12" x14ac:dyDescent="0.35">
      <c r="A11" s="145">
        <v>45108</v>
      </c>
      <c r="B11" s="144">
        <f>D3</f>
        <v>60730638.475500003</v>
      </c>
      <c r="C11" s="144">
        <f t="shared" ref="C11:C74" si="0">B11*$D$5/12</f>
        <v>261445.39863702748</v>
      </c>
      <c r="E11" s="153"/>
      <c r="F11" s="152"/>
      <c r="G11" s="145">
        <v>45108</v>
      </c>
      <c r="H11" s="144">
        <f>J3</f>
        <v>10973148.259500001</v>
      </c>
      <c r="I11" s="144">
        <f t="shared" ref="I11:I74" si="1">H11*$J$5/12</f>
        <v>47239.403257147496</v>
      </c>
    </row>
    <row r="12" spans="1:12" x14ac:dyDescent="0.35">
      <c r="A12" s="145">
        <f t="shared" ref="A12:A75" si="2">EOMONTH(A11,0)+1</f>
        <v>45139</v>
      </c>
      <c r="B12" s="144">
        <f t="shared" ref="B12:B75" si="3">B11+C11+$D$6</f>
        <v>60585698.542152345</v>
      </c>
      <c r="C12" s="144">
        <f t="shared" si="0"/>
        <v>260821.43222396585</v>
      </c>
      <c r="E12" s="153"/>
      <c r="F12" s="152"/>
      <c r="G12" s="145">
        <f t="shared" ref="G12:G75" si="4">EOMONTH(G11,0)+1</f>
        <v>45139</v>
      </c>
      <c r="H12" s="144">
        <f t="shared" ref="H12:H75" si="5">H11+I11+$J$6</f>
        <v>10946959.709251391</v>
      </c>
      <c r="I12" s="144">
        <f t="shared" si="1"/>
        <v>47126.66154832724</v>
      </c>
    </row>
    <row r="13" spans="1:12" x14ac:dyDescent="0.35">
      <c r="A13" s="145">
        <f t="shared" si="2"/>
        <v>45170</v>
      </c>
      <c r="B13" s="144">
        <f t="shared" si="3"/>
        <v>60440134.64239163</v>
      </c>
      <c r="C13" s="144">
        <f t="shared" si="0"/>
        <v>260194.77963549597</v>
      </c>
      <c r="E13" s="153"/>
      <c r="F13" s="152"/>
      <c r="G13" s="145">
        <f t="shared" si="4"/>
        <v>45170</v>
      </c>
      <c r="H13" s="144">
        <f t="shared" si="5"/>
        <v>10920658.41729396</v>
      </c>
      <c r="I13" s="144">
        <f t="shared" si="1"/>
        <v>47013.434486450504</v>
      </c>
    </row>
    <row r="14" spans="1:12" x14ac:dyDescent="0.35">
      <c r="A14" s="145">
        <f t="shared" si="2"/>
        <v>45200</v>
      </c>
      <c r="B14" s="144">
        <f t="shared" si="3"/>
        <v>60293944.090042442</v>
      </c>
      <c r="C14" s="144">
        <f t="shared" si="0"/>
        <v>259565.4293076327</v>
      </c>
      <c r="E14" s="153"/>
      <c r="F14" s="152"/>
      <c r="G14" s="145">
        <f t="shared" si="4"/>
        <v>45200</v>
      </c>
      <c r="H14" s="144">
        <f t="shared" si="5"/>
        <v>10894243.898274653</v>
      </c>
      <c r="I14" s="144">
        <f t="shared" si="1"/>
        <v>46899.719982072384</v>
      </c>
    </row>
    <row r="15" spans="1:12" x14ac:dyDescent="0.35">
      <c r="A15" s="145">
        <f t="shared" si="2"/>
        <v>45231</v>
      </c>
      <c r="B15" s="144">
        <f t="shared" si="3"/>
        <v>60147124.18736539</v>
      </c>
      <c r="C15" s="144">
        <f t="shared" si="0"/>
        <v>258933.36962660798</v>
      </c>
      <c r="E15" s="153"/>
      <c r="F15" s="152"/>
      <c r="G15" s="145">
        <f t="shared" si="4"/>
        <v>45231</v>
      </c>
      <c r="H15" s="144">
        <f t="shared" si="5"/>
        <v>10867715.664750967</v>
      </c>
      <c r="I15" s="144">
        <f t="shared" si="1"/>
        <v>46785.515936752905</v>
      </c>
    </row>
    <row r="16" spans="1:12" x14ac:dyDescent="0.35">
      <c r="A16" s="145">
        <f t="shared" si="2"/>
        <v>45261</v>
      </c>
      <c r="B16" s="144">
        <f t="shared" si="3"/>
        <v>59999672.225007318</v>
      </c>
      <c r="C16" s="144">
        <f t="shared" si="0"/>
        <v>258298.58892865651</v>
      </c>
      <c r="E16" s="153"/>
      <c r="F16" s="152"/>
      <c r="G16" s="145">
        <f t="shared" si="4"/>
        <v>45261</v>
      </c>
      <c r="H16" s="144">
        <f t="shared" si="5"/>
        <v>10841073.227181962</v>
      </c>
      <c r="I16" s="144">
        <f t="shared" si="1"/>
        <v>46670.820243018337</v>
      </c>
    </row>
    <row r="17" spans="1:9" x14ac:dyDescent="0.35">
      <c r="A17" s="145">
        <f t="shared" si="2"/>
        <v>45292</v>
      </c>
      <c r="B17" s="144">
        <f t="shared" si="3"/>
        <v>59851585.481951289</v>
      </c>
      <c r="C17" s="144">
        <f t="shared" si="0"/>
        <v>257661.0754998003</v>
      </c>
      <c r="E17" s="153"/>
      <c r="F17" s="152"/>
      <c r="G17" s="145">
        <f t="shared" si="4"/>
        <v>45292</v>
      </c>
      <c r="H17" s="144">
        <f t="shared" si="5"/>
        <v>10814316.093919221</v>
      </c>
      <c r="I17" s="144">
        <f t="shared" si="1"/>
        <v>46555.630784322246</v>
      </c>
    </row>
    <row r="18" spans="1:9" x14ac:dyDescent="0.35">
      <c r="A18" s="145">
        <f t="shared" si="2"/>
        <v>45323</v>
      </c>
      <c r="B18" s="144">
        <f t="shared" si="3"/>
        <v>59702861.225466408</v>
      </c>
      <c r="C18" s="144">
        <f t="shared" si="0"/>
        <v>257020.81757563286</v>
      </c>
      <c r="E18" s="153"/>
      <c r="F18" s="152"/>
      <c r="G18" s="145">
        <f t="shared" si="4"/>
        <v>45323</v>
      </c>
      <c r="H18" s="144">
        <f t="shared" si="5"/>
        <v>10787443.771197785</v>
      </c>
      <c r="I18" s="144">
        <f t="shared" si="1"/>
        <v>46439.945435006463</v>
      </c>
    </row>
    <row r="19" spans="1:9" x14ac:dyDescent="0.35">
      <c r="A19" s="145">
        <f t="shared" si="2"/>
        <v>45352</v>
      </c>
      <c r="B19" s="144">
        <f t="shared" si="3"/>
        <v>59553496.711057357</v>
      </c>
      <c r="C19" s="144">
        <f t="shared" si="0"/>
        <v>256377.80334110188</v>
      </c>
      <c r="E19" s="153"/>
      <c r="F19" s="152"/>
      <c r="G19" s="145">
        <f t="shared" si="4"/>
        <v>45352</v>
      </c>
      <c r="H19" s="144">
        <f t="shared" si="5"/>
        <v>10760455.763127033</v>
      </c>
      <c r="I19" s="144">
        <f t="shared" si="1"/>
        <v>46323.762060261877</v>
      </c>
    </row>
    <row r="20" spans="1:9" x14ac:dyDescent="0.35">
      <c r="A20" s="145">
        <f t="shared" si="2"/>
        <v>45383</v>
      </c>
      <c r="B20" s="144">
        <f t="shared" si="3"/>
        <v>59403489.182413779</v>
      </c>
      <c r="C20" s="144">
        <f t="shared" si="0"/>
        <v>255732.0209302913</v>
      </c>
      <c r="E20" s="153"/>
      <c r="F20" s="152"/>
      <c r="G20" s="145">
        <f t="shared" si="4"/>
        <v>45383</v>
      </c>
      <c r="H20" s="144">
        <f t="shared" si="5"/>
        <v>10733351.571681537</v>
      </c>
      <c r="I20" s="144">
        <f t="shared" si="1"/>
        <v>46207.078516089015</v>
      </c>
    </row>
    <row r="21" spans="1:9" x14ac:dyDescent="0.35">
      <c r="A21" s="145">
        <f t="shared" si="2"/>
        <v>45413</v>
      </c>
      <c r="B21" s="144">
        <f t="shared" si="3"/>
        <v>59252835.871359386</v>
      </c>
      <c r="C21" s="144">
        <f t="shared" si="0"/>
        <v>255083.45842620215</v>
      </c>
      <c r="E21" s="153"/>
      <c r="F21" s="152"/>
      <c r="G21" s="145">
        <f t="shared" si="4"/>
        <v>45413</v>
      </c>
      <c r="H21" s="144">
        <f t="shared" si="5"/>
        <v>10706130.696691867</v>
      </c>
      <c r="I21" s="144">
        <f t="shared" si="1"/>
        <v>46089.892649258487</v>
      </c>
    </row>
    <row r="22" spans="1:9" x14ac:dyDescent="0.35">
      <c r="A22" s="145">
        <f t="shared" si="2"/>
        <v>45444</v>
      </c>
      <c r="B22" s="144">
        <f t="shared" si="3"/>
        <v>59101533.997800902</v>
      </c>
      <c r="C22" s="144">
        <f t="shared" si="0"/>
        <v>254432.10386053286</v>
      </c>
      <c r="E22" s="153"/>
      <c r="F22" s="152"/>
      <c r="G22" s="145">
        <f t="shared" si="4"/>
        <v>45444</v>
      </c>
      <c r="H22" s="144">
        <f t="shared" si="5"/>
        <v>10678792.635835368</v>
      </c>
      <c r="I22" s="144">
        <f t="shared" si="1"/>
        <v>45972.202297271258</v>
      </c>
    </row>
    <row r="23" spans="1:9" x14ac:dyDescent="0.35">
      <c r="A23" s="145">
        <f t="shared" si="2"/>
        <v>45474</v>
      </c>
      <c r="B23" s="144">
        <f t="shared" si="3"/>
        <v>58949580.769676752</v>
      </c>
      <c r="C23" s="144">
        <f t="shared" si="0"/>
        <v>253777.94521345841</v>
      </c>
      <c r="E23" s="153"/>
      <c r="F23" s="152"/>
      <c r="G23" s="145">
        <f t="shared" si="4"/>
        <v>45474</v>
      </c>
      <c r="H23" s="144">
        <f t="shared" si="5"/>
        <v>10651336.884626882</v>
      </c>
      <c r="I23" s="144">
        <f t="shared" si="1"/>
        <v>45854.005288318724</v>
      </c>
    </row>
    <row r="24" spans="1:9" x14ac:dyDescent="0.35">
      <c r="A24" s="145">
        <f t="shared" si="2"/>
        <v>45505</v>
      </c>
      <c r="B24" s="144">
        <f t="shared" si="3"/>
        <v>58796973.382905528</v>
      </c>
      <c r="C24" s="144">
        <f t="shared" si="0"/>
        <v>253120.97041340827</v>
      </c>
      <c r="E24" s="153"/>
      <c r="F24" s="152"/>
      <c r="G24" s="145">
        <f t="shared" si="4"/>
        <v>45505</v>
      </c>
      <c r="H24" s="144">
        <f t="shared" si="5"/>
        <v>10623762.936409442</v>
      </c>
      <c r="I24" s="144">
        <f t="shared" si="1"/>
        <v>45735.299441242649</v>
      </c>
    </row>
    <row r="25" spans="1:9" x14ac:dyDescent="0.35">
      <c r="A25" s="145">
        <f t="shared" si="2"/>
        <v>45536</v>
      </c>
      <c r="B25" s="144">
        <f t="shared" si="3"/>
        <v>58643709.021334253</v>
      </c>
      <c r="C25" s="144">
        <f t="shared" si="0"/>
        <v>252461.16733684394</v>
      </c>
      <c r="E25" s="153"/>
      <c r="F25" s="152"/>
      <c r="G25" s="145">
        <f t="shared" si="4"/>
        <v>45536</v>
      </c>
      <c r="H25" s="144">
        <f t="shared" si="5"/>
        <v>10596070.282344926</v>
      </c>
      <c r="I25" s="144">
        <f t="shared" si="1"/>
        <v>45616.0825654949</v>
      </c>
    </row>
    <row r="26" spans="1:9" x14ac:dyDescent="0.35">
      <c r="A26" s="145">
        <f t="shared" si="2"/>
        <v>45566</v>
      </c>
      <c r="B26" s="144">
        <f t="shared" si="3"/>
        <v>58489784.856686413</v>
      </c>
      <c r="C26" s="144">
        <f t="shared" si="0"/>
        <v>251798.52380803498</v>
      </c>
      <c r="E26" s="153"/>
      <c r="F26" s="152"/>
      <c r="G26" s="145">
        <f t="shared" si="4"/>
        <v>45566</v>
      </c>
      <c r="H26" s="144">
        <f t="shared" si="5"/>
        <v>10568258.411404664</v>
      </c>
      <c r="I26" s="144">
        <f t="shared" si="1"/>
        <v>45496.352461097071</v>
      </c>
    </row>
    <row r="27" spans="1:9" x14ac:dyDescent="0.35">
      <c r="A27" s="145">
        <f t="shared" si="2"/>
        <v>45597</v>
      </c>
      <c r="B27" s="144">
        <f t="shared" si="3"/>
        <v>58335198.048509762</v>
      </c>
      <c r="C27" s="144">
        <f t="shared" si="0"/>
        <v>251133.02759883451</v>
      </c>
      <c r="E27" s="153"/>
      <c r="F27" s="152"/>
      <c r="G27" s="145">
        <f t="shared" si="4"/>
        <v>45597</v>
      </c>
      <c r="H27" s="144">
        <f t="shared" si="5"/>
        <v>10540326.810360003</v>
      </c>
      <c r="I27" s="144">
        <f t="shared" si="1"/>
        <v>45376.106918599813</v>
      </c>
    </row>
    <row r="28" spans="1:9" x14ac:dyDescent="0.35">
      <c r="A28" s="145">
        <f t="shared" si="2"/>
        <v>45627</v>
      </c>
      <c r="B28" s="144">
        <f t="shared" si="3"/>
        <v>58179945.744123913</v>
      </c>
      <c r="C28" s="144">
        <f t="shared" si="0"/>
        <v>250464.66642845343</v>
      </c>
      <c r="E28" s="153"/>
      <c r="F28" s="152"/>
      <c r="G28" s="145">
        <f t="shared" si="4"/>
        <v>45627</v>
      </c>
      <c r="H28" s="144">
        <f t="shared" si="5"/>
        <v>10512274.963772845</v>
      </c>
      <c r="I28" s="144">
        <f t="shared" si="1"/>
        <v>45255.343719042088</v>
      </c>
    </row>
    <row r="29" spans="1:9" x14ac:dyDescent="0.35">
      <c r="A29" s="145">
        <f t="shared" si="2"/>
        <v>45658</v>
      </c>
      <c r="B29" s="144">
        <f t="shared" si="3"/>
        <v>58024025.078567684</v>
      </c>
      <c r="C29" s="144">
        <f t="shared" si="0"/>
        <v>249793.42796323387</v>
      </c>
      <c r="E29" s="153"/>
      <c r="F29" s="152"/>
      <c r="G29" s="145">
        <f t="shared" si="4"/>
        <v>45658</v>
      </c>
      <c r="H29" s="144">
        <f t="shared" si="5"/>
        <v>10484102.353986129</v>
      </c>
      <c r="I29" s="144">
        <f t="shared" si="1"/>
        <v>45134.060633910289</v>
      </c>
    </row>
    <row r="30" spans="1:9" x14ac:dyDescent="0.35">
      <c r="A30" s="145">
        <f t="shared" si="2"/>
        <v>45689</v>
      </c>
      <c r="B30" s="144">
        <f t="shared" si="3"/>
        <v>57867433.174546234</v>
      </c>
      <c r="C30" s="144">
        <f t="shared" si="0"/>
        <v>249119.29981642155</v>
      </c>
      <c r="E30" s="153"/>
      <c r="F30" s="152"/>
      <c r="G30" s="145">
        <f t="shared" si="4"/>
        <v>45689</v>
      </c>
      <c r="H30" s="144">
        <f t="shared" si="5"/>
        <v>10455808.461114282</v>
      </c>
      <c r="I30" s="144">
        <f t="shared" si="1"/>
        <v>45012.255425096984</v>
      </c>
    </row>
    <row r="31" spans="1:9" x14ac:dyDescent="0.35">
      <c r="A31" s="145">
        <f t="shared" si="2"/>
        <v>45717</v>
      </c>
      <c r="B31" s="144">
        <f t="shared" si="3"/>
        <v>57710167.142377973</v>
      </c>
      <c r="C31" s="144">
        <f t="shared" si="0"/>
        <v>248442.26954793718</v>
      </c>
      <c r="E31" s="153"/>
      <c r="F31" s="152"/>
      <c r="G31" s="145">
        <f t="shared" si="4"/>
        <v>45717</v>
      </c>
      <c r="H31" s="144">
        <f t="shared" si="5"/>
        <v>10427392.763033621</v>
      </c>
      <c r="I31" s="144">
        <f t="shared" si="1"/>
        <v>44889.925844859739</v>
      </c>
    </row>
    <row r="32" spans="1:9" x14ac:dyDescent="0.35">
      <c r="A32" s="145">
        <f t="shared" si="2"/>
        <v>45748</v>
      </c>
      <c r="B32" s="144">
        <f t="shared" si="3"/>
        <v>57552224.079941228</v>
      </c>
      <c r="C32" s="144">
        <f t="shared" si="0"/>
        <v>247762.32466414699</v>
      </c>
      <c r="E32" s="153"/>
      <c r="F32" s="152"/>
      <c r="G32" s="145">
        <f t="shared" si="4"/>
        <v>45748</v>
      </c>
      <c r="H32" s="144">
        <f t="shared" si="5"/>
        <v>10398854.735372722</v>
      </c>
      <c r="I32" s="144">
        <f t="shared" si="1"/>
        <v>44767.069635779568</v>
      </c>
    </row>
    <row r="33" spans="1:9" x14ac:dyDescent="0.35">
      <c r="A33" s="145">
        <f t="shared" si="2"/>
        <v>45778</v>
      </c>
      <c r="B33" s="144">
        <f t="shared" si="3"/>
        <v>57393601.07262069</v>
      </c>
      <c r="C33" s="144">
        <f t="shared" si="0"/>
        <v>247079.45261763208</v>
      </c>
      <c r="E33" s="153"/>
      <c r="F33" s="152"/>
      <c r="G33" s="145">
        <f t="shared" si="4"/>
        <v>45778</v>
      </c>
      <c r="H33" s="144">
        <f t="shared" si="5"/>
        <v>10370193.851502743</v>
      </c>
      <c r="I33" s="144">
        <f t="shared" si="1"/>
        <v>44643.684530719307</v>
      </c>
    </row>
    <row r="34" spans="1:9" x14ac:dyDescent="0.35">
      <c r="A34" s="145">
        <f t="shared" si="2"/>
        <v>45809</v>
      </c>
      <c r="B34" s="144">
        <f t="shared" si="3"/>
        <v>57234295.193253636</v>
      </c>
      <c r="C34" s="144">
        <f t="shared" si="0"/>
        <v>246393.64080695689</v>
      </c>
      <c r="E34" s="153"/>
      <c r="F34" s="152"/>
      <c r="G34" s="145">
        <f t="shared" si="4"/>
        <v>45809</v>
      </c>
      <c r="H34" s="144">
        <f t="shared" si="5"/>
        <v>10341409.582527705</v>
      </c>
      <c r="I34" s="144">
        <f t="shared" si="1"/>
        <v>44519.768252781767</v>
      </c>
    </row>
    <row r="35" spans="1:9" x14ac:dyDescent="0.35">
      <c r="A35" s="145">
        <f t="shared" si="2"/>
        <v>45839</v>
      </c>
      <c r="B35" s="144">
        <f t="shared" si="3"/>
        <v>57074303.502075911</v>
      </c>
      <c r="C35" s="144">
        <f t="shared" si="0"/>
        <v>245704.8765764368</v>
      </c>
      <c r="E35" s="153"/>
      <c r="F35" s="152"/>
      <c r="G35" s="145">
        <f t="shared" si="4"/>
        <v>45839</v>
      </c>
      <c r="H35" s="144">
        <f t="shared" si="5"/>
        <v>10312501.397274729</v>
      </c>
      <c r="I35" s="144">
        <f t="shared" si="1"/>
        <v>44395.318515267711</v>
      </c>
    </row>
    <row r="36" spans="1:9" x14ac:dyDescent="0.35">
      <c r="A36" s="145">
        <f t="shared" si="2"/>
        <v>45870</v>
      </c>
      <c r="B36" s="144">
        <f t="shared" si="3"/>
        <v>56913623.046667665</v>
      </c>
      <c r="C36" s="144">
        <f t="shared" si="0"/>
        <v>245013.14721590429</v>
      </c>
      <c r="E36" s="153"/>
      <c r="F36" s="152"/>
      <c r="G36" s="145">
        <f t="shared" si="4"/>
        <v>45870</v>
      </c>
      <c r="H36" s="144">
        <f t="shared" si="5"/>
        <v>10283468.762284238</v>
      </c>
      <c r="I36" s="144">
        <f t="shared" si="1"/>
        <v>44270.33302163364</v>
      </c>
    </row>
    <row r="37" spans="1:9" x14ac:dyDescent="0.35">
      <c r="A37" s="145">
        <f t="shared" si="2"/>
        <v>45901</v>
      </c>
      <c r="B37" s="144">
        <f t="shared" si="3"/>
        <v>56752250.861898884</v>
      </c>
      <c r="C37" s="144">
        <f t="shared" si="0"/>
        <v>244318.4399604747</v>
      </c>
      <c r="E37" s="153"/>
      <c r="F37" s="152"/>
      <c r="G37" s="145">
        <f t="shared" si="4"/>
        <v>45901</v>
      </c>
      <c r="H37" s="144">
        <f t="shared" si="5"/>
        <v>10254311.141800113</v>
      </c>
      <c r="I37" s="144">
        <f t="shared" si="1"/>
        <v>44144.809465449485</v>
      </c>
    </row>
    <row r="38" spans="1:9" x14ac:dyDescent="0.35">
      <c r="A38" s="145">
        <f t="shared" si="2"/>
        <v>45931</v>
      </c>
      <c r="B38" s="144">
        <f t="shared" si="3"/>
        <v>56590183.969874673</v>
      </c>
      <c r="C38" s="144">
        <f t="shared" si="0"/>
        <v>243620.74199031046</v>
      </c>
      <c r="E38" s="153"/>
      <c r="F38" s="152"/>
      <c r="G38" s="145">
        <f t="shared" si="4"/>
        <v>45931</v>
      </c>
      <c r="H38" s="144">
        <f t="shared" si="5"/>
        <v>10225027.997759804</v>
      </c>
      <c r="I38" s="144">
        <f t="shared" si="1"/>
        <v>44018.745530355955</v>
      </c>
    </row>
    <row r="39" spans="1:9" x14ac:dyDescent="0.35">
      <c r="A39" s="145">
        <f t="shared" si="2"/>
        <v>45962</v>
      </c>
      <c r="B39" s="144">
        <f t="shared" si="3"/>
        <v>56427419.379880302</v>
      </c>
      <c r="C39" s="144">
        <f t="shared" si="0"/>
        <v>242920.04043038469</v>
      </c>
      <c r="E39" s="153"/>
      <c r="F39" s="152"/>
      <c r="G39" s="145">
        <f t="shared" si="4"/>
        <v>45962</v>
      </c>
      <c r="H39" s="144">
        <f t="shared" si="5"/>
        <v>10195618.789784402</v>
      </c>
      <c r="I39" s="144">
        <f t="shared" si="1"/>
        <v>43892.138890021852</v>
      </c>
    </row>
    <row r="40" spans="1:9" x14ac:dyDescent="0.35">
      <c r="A40" s="145">
        <f t="shared" si="2"/>
        <v>45992</v>
      </c>
      <c r="B40" s="144">
        <f t="shared" si="3"/>
        <v>56263954.088326</v>
      </c>
      <c r="C40" s="144">
        <f t="shared" si="0"/>
        <v>242216.32235024343</v>
      </c>
      <c r="E40" s="153"/>
      <c r="F40" s="152"/>
      <c r="G40" s="145">
        <f t="shared" si="4"/>
        <v>45992</v>
      </c>
      <c r="H40" s="144">
        <f t="shared" si="5"/>
        <v>10166082.975168666</v>
      </c>
      <c r="I40" s="144">
        <f t="shared" si="1"/>
        <v>43764.987208101105</v>
      </c>
    </row>
    <row r="41" spans="1:9" x14ac:dyDescent="0.35">
      <c r="A41" s="145">
        <f t="shared" si="2"/>
        <v>46023</v>
      </c>
      <c r="B41" s="144">
        <f t="shared" si="3"/>
        <v>56099785.078691557</v>
      </c>
      <c r="C41" s="144">
        <f t="shared" si="0"/>
        <v>241509.57476376716</v>
      </c>
      <c r="E41" s="153"/>
      <c r="F41" s="152"/>
      <c r="G41" s="145">
        <f t="shared" si="4"/>
        <v>46023</v>
      </c>
      <c r="H41" s="144">
        <f t="shared" si="5"/>
        <v>10136420.00887101</v>
      </c>
      <c r="I41" s="144">
        <f t="shared" si="1"/>
        <v>43637.288138189695</v>
      </c>
    </row>
    <row r="42" spans="1:9" x14ac:dyDescent="0.35">
      <c r="A42" s="145">
        <f t="shared" si="2"/>
        <v>46054</v>
      </c>
      <c r="B42" s="144">
        <f t="shared" si="3"/>
        <v>55934909.321470641</v>
      </c>
      <c r="C42" s="144">
        <f t="shared" si="0"/>
        <v>240799.78462893108</v>
      </c>
      <c r="E42" s="153"/>
      <c r="F42" s="152"/>
      <c r="G42" s="145">
        <f t="shared" si="4"/>
        <v>46054</v>
      </c>
      <c r="H42" s="144">
        <f t="shared" si="5"/>
        <v>10106629.343503442</v>
      </c>
      <c r="I42" s="144">
        <f t="shared" si="1"/>
        <v>43509.039323782315</v>
      </c>
    </row>
    <row r="43" spans="1:9" x14ac:dyDescent="0.35">
      <c r="A43" s="145">
        <f t="shared" si="2"/>
        <v>46082</v>
      </c>
      <c r="B43" s="144">
        <f t="shared" si="3"/>
        <v>55769323.774114884</v>
      </c>
      <c r="C43" s="144">
        <f t="shared" si="0"/>
        <v>240086.93884756454</v>
      </c>
      <c r="E43" s="153"/>
      <c r="F43" s="152"/>
      <c r="G43" s="145">
        <f t="shared" si="4"/>
        <v>46082</v>
      </c>
      <c r="H43" s="144">
        <f t="shared" si="5"/>
        <v>10076710.429321466</v>
      </c>
      <c r="I43" s="144">
        <f t="shared" si="1"/>
        <v>43380.23839822891</v>
      </c>
    </row>
    <row r="44" spans="1:9" x14ac:dyDescent="0.35">
      <c r="A44" s="145">
        <f t="shared" si="2"/>
        <v>46113</v>
      </c>
      <c r="B44" s="144">
        <f t="shared" si="3"/>
        <v>55603025.380977765</v>
      </c>
      <c r="C44" s="144">
        <f t="shared" si="0"/>
        <v>239371.02426510924</v>
      </c>
      <c r="E44" s="153"/>
      <c r="F44" s="152"/>
      <c r="G44" s="145">
        <f t="shared" si="4"/>
        <v>46113</v>
      </c>
      <c r="H44" s="144">
        <f t="shared" si="5"/>
        <v>10046662.714213938</v>
      </c>
      <c r="I44" s="144">
        <f t="shared" si="1"/>
        <v>43250.882984691001</v>
      </c>
    </row>
    <row r="45" spans="1:9" x14ac:dyDescent="0.35">
      <c r="A45" s="145">
        <f t="shared" si="2"/>
        <v>46143</v>
      </c>
      <c r="B45" s="144">
        <f t="shared" si="3"/>
        <v>55436011.073258191</v>
      </c>
      <c r="C45" s="144">
        <f t="shared" si="0"/>
        <v>238652.0276703765</v>
      </c>
      <c r="E45" s="153"/>
      <c r="F45" s="152"/>
      <c r="G45" s="145">
        <f t="shared" si="4"/>
        <v>46143</v>
      </c>
      <c r="H45" s="144">
        <f t="shared" si="5"/>
        <v>10016485.64369287</v>
      </c>
      <c r="I45" s="144">
        <f t="shared" si="1"/>
        <v>43120.9706960978</v>
      </c>
    </row>
    <row r="46" spans="1:9" x14ac:dyDescent="0.35">
      <c r="A46" s="145">
        <f t="shared" si="2"/>
        <v>46174</v>
      </c>
      <c r="B46" s="144">
        <f t="shared" si="3"/>
        <v>55268277.768943883</v>
      </c>
      <c r="C46" s="144">
        <f t="shared" si="0"/>
        <v>237929.93579530341</v>
      </c>
      <c r="E46" s="153"/>
      <c r="F46" s="152"/>
      <c r="G46" s="145">
        <f t="shared" si="4"/>
        <v>46174</v>
      </c>
      <c r="H46" s="144">
        <f t="shared" si="5"/>
        <v>9986178.6608832087</v>
      </c>
      <c r="I46" s="144">
        <f t="shared" si="1"/>
        <v>42990.499135102211</v>
      </c>
    </row>
    <row r="47" spans="1:9" x14ac:dyDescent="0.35">
      <c r="A47" s="145">
        <f t="shared" si="2"/>
        <v>46204</v>
      </c>
      <c r="B47" s="144">
        <f t="shared" si="3"/>
        <v>55099822.372754499</v>
      </c>
      <c r="C47" s="144">
        <f t="shared" si="0"/>
        <v>237204.73531470812</v>
      </c>
      <c r="E47" s="153"/>
      <c r="F47" s="152"/>
      <c r="G47" s="145">
        <f t="shared" si="4"/>
        <v>46204</v>
      </c>
      <c r="H47" s="144">
        <f t="shared" si="5"/>
        <v>9955741.2065125536</v>
      </c>
      <c r="I47" s="144">
        <f t="shared" si="1"/>
        <v>42859.465894036541</v>
      </c>
    </row>
    <row r="48" spans="1:9" x14ac:dyDescent="0.35">
      <c r="A48" s="145">
        <f t="shared" si="2"/>
        <v>46235</v>
      </c>
      <c r="B48" s="144">
        <f t="shared" si="3"/>
        <v>54930641.77608452</v>
      </c>
      <c r="C48" s="144">
        <f t="shared" si="0"/>
        <v>236476.41284604385</v>
      </c>
      <c r="E48" s="153"/>
      <c r="F48" s="152"/>
      <c r="G48" s="145">
        <f t="shared" si="4"/>
        <v>46235</v>
      </c>
      <c r="H48" s="144">
        <f t="shared" si="5"/>
        <v>9925172.7189008314</v>
      </c>
      <c r="I48" s="144">
        <f t="shared" si="1"/>
        <v>42727.868554868073</v>
      </c>
    </row>
    <row r="49" spans="1:9" x14ac:dyDescent="0.35">
      <c r="A49" s="145">
        <f t="shared" si="2"/>
        <v>46266</v>
      </c>
      <c r="B49" s="144">
        <f t="shared" si="3"/>
        <v>54760732.85694588</v>
      </c>
      <c r="C49" s="144">
        <f t="shared" si="0"/>
        <v>235744.95494915199</v>
      </c>
      <c r="E49" s="153"/>
      <c r="F49" s="152"/>
      <c r="G49" s="145">
        <f t="shared" si="4"/>
        <v>46266</v>
      </c>
      <c r="H49" s="144">
        <f t="shared" si="5"/>
        <v>9894472.633949941</v>
      </c>
      <c r="I49" s="144">
        <f t="shared" si="1"/>
        <v>42595.704689154496</v>
      </c>
    </row>
    <row r="50" spans="1:9" x14ac:dyDescent="0.35">
      <c r="A50" s="145">
        <f t="shared" si="2"/>
        <v>46296</v>
      </c>
      <c r="B50" s="144">
        <f t="shared" si="3"/>
        <v>54590092.479910351</v>
      </c>
      <c r="C50" s="144">
        <f t="shared" si="0"/>
        <v>235010.34812601403</v>
      </c>
      <c r="E50" s="153"/>
      <c r="F50" s="152"/>
      <c r="G50" s="145">
        <f t="shared" si="4"/>
        <v>46296</v>
      </c>
      <c r="H50" s="144">
        <f t="shared" si="5"/>
        <v>9863640.3851333372</v>
      </c>
      <c r="I50" s="144">
        <f t="shared" si="1"/>
        <v>42462.971857999015</v>
      </c>
    </row>
    <row r="51" spans="1:9" x14ac:dyDescent="0.35">
      <c r="A51" s="145">
        <f t="shared" si="2"/>
        <v>46327</v>
      </c>
      <c r="B51" s="144">
        <f t="shared" si="3"/>
        <v>54418717.496051684</v>
      </c>
      <c r="C51" s="144">
        <f t="shared" si="0"/>
        <v>234272.5788205025</v>
      </c>
      <c r="E51" s="153"/>
      <c r="F51" s="152"/>
      <c r="G51" s="145">
        <f t="shared" si="4"/>
        <v>46327</v>
      </c>
      <c r="H51" s="144">
        <f t="shared" si="5"/>
        <v>9832675.4034855776</v>
      </c>
      <c r="I51" s="144">
        <f t="shared" si="1"/>
        <v>42329.667612005411</v>
      </c>
    </row>
    <row r="52" spans="1:9" x14ac:dyDescent="0.35">
      <c r="A52" s="145">
        <f t="shared" si="2"/>
        <v>46357</v>
      </c>
      <c r="B52" s="144">
        <f t="shared" si="3"/>
        <v>54246604.742887504</v>
      </c>
      <c r="C52" s="144">
        <f t="shared" si="0"/>
        <v>233531.63341813069</v>
      </c>
      <c r="E52" s="153"/>
      <c r="F52" s="152"/>
      <c r="G52" s="145">
        <f t="shared" si="4"/>
        <v>46357</v>
      </c>
      <c r="H52" s="144">
        <f t="shared" si="5"/>
        <v>9801577.1175918244</v>
      </c>
      <c r="I52" s="144">
        <f t="shared" si="1"/>
        <v>42195.789491232797</v>
      </c>
    </row>
    <row r="53" spans="1:9" x14ac:dyDescent="0.35">
      <c r="A53" s="145">
        <f t="shared" si="2"/>
        <v>46388</v>
      </c>
      <c r="B53" s="144">
        <f t="shared" si="3"/>
        <v>54073751.044320948</v>
      </c>
      <c r="C53" s="144">
        <f t="shared" si="0"/>
        <v>232787.49824580166</v>
      </c>
      <c r="E53" s="153"/>
      <c r="F53" s="152"/>
      <c r="G53" s="145">
        <f t="shared" si="4"/>
        <v>46388</v>
      </c>
      <c r="H53" s="144">
        <f t="shared" si="5"/>
        <v>9770344.9535772987</v>
      </c>
      <c r="I53" s="144">
        <f t="shared" si="1"/>
        <v>42061.335025150271</v>
      </c>
    </row>
    <row r="54" spans="1:9" x14ac:dyDescent="0.35">
      <c r="A54" s="145">
        <f t="shared" si="2"/>
        <v>46419</v>
      </c>
      <c r="B54" s="144">
        <f t="shared" si="3"/>
        <v>53900153.210582063</v>
      </c>
      <c r="C54" s="144">
        <f t="shared" si="0"/>
        <v>232040.15957155576</v>
      </c>
      <c r="E54" s="153"/>
      <c r="F54" s="152"/>
      <c r="G54" s="145">
        <f t="shared" si="4"/>
        <v>46419</v>
      </c>
      <c r="H54" s="144">
        <f t="shared" si="5"/>
        <v>9738978.3350966908</v>
      </c>
      <c r="I54" s="144">
        <f t="shared" si="1"/>
        <v>41926.301732591251</v>
      </c>
    </row>
    <row r="55" spans="1:9" x14ac:dyDescent="0.35">
      <c r="A55" s="145">
        <f t="shared" si="2"/>
        <v>46447</v>
      </c>
      <c r="B55" s="144">
        <f t="shared" si="3"/>
        <v>53725808.038168937</v>
      </c>
      <c r="C55" s="144">
        <f t="shared" si="0"/>
        <v>231289.60360431726</v>
      </c>
      <c r="E55" s="153"/>
      <c r="F55" s="152"/>
      <c r="G55" s="145">
        <f t="shared" si="4"/>
        <v>46447</v>
      </c>
      <c r="H55" s="144">
        <f t="shared" si="5"/>
        <v>9707476.683323523</v>
      </c>
      <c r="I55" s="144">
        <f t="shared" si="1"/>
        <v>41790.687121707764</v>
      </c>
    </row>
    <row r="56" spans="1:9" x14ac:dyDescent="0.35">
      <c r="A56" s="145">
        <f t="shared" si="2"/>
        <v>46478</v>
      </c>
      <c r="B56" s="144">
        <f t="shared" si="3"/>
        <v>53550712.30978857</v>
      </c>
      <c r="C56" s="144">
        <f t="shared" si="0"/>
        <v>230535.81649363981</v>
      </c>
      <c r="E56" s="153"/>
      <c r="F56" s="152"/>
      <c r="G56" s="145">
        <f t="shared" si="4"/>
        <v>46478</v>
      </c>
      <c r="H56" s="144">
        <f t="shared" si="5"/>
        <v>9675839.4169394728</v>
      </c>
      <c r="I56" s="144">
        <f t="shared" si="1"/>
        <v>41654.48868992443</v>
      </c>
    </row>
    <row r="57" spans="1:9" x14ac:dyDescent="0.35">
      <c r="A57" s="145">
        <f t="shared" si="2"/>
        <v>46508</v>
      </c>
      <c r="B57" s="144">
        <f t="shared" si="3"/>
        <v>53374862.794297524</v>
      </c>
      <c r="C57" s="144">
        <f t="shared" si="0"/>
        <v>229778.78432945083</v>
      </c>
      <c r="E57" s="153"/>
      <c r="F57" s="152"/>
      <c r="G57" s="145">
        <f t="shared" si="4"/>
        <v>46508</v>
      </c>
      <c r="H57" s="144">
        <f t="shared" si="5"/>
        <v>9644065.9521236382</v>
      </c>
      <c r="I57" s="144">
        <f t="shared" si="1"/>
        <v>41517.703923892259</v>
      </c>
    </row>
    <row r="58" spans="1:9" x14ac:dyDescent="0.35">
      <c r="A58" s="145">
        <f t="shared" si="2"/>
        <v>46539</v>
      </c>
      <c r="B58" s="144">
        <f t="shared" si="3"/>
        <v>53198256.246642292</v>
      </c>
      <c r="C58" s="144">
        <f t="shared" si="0"/>
        <v>229018.49314179504</v>
      </c>
      <c r="E58" s="153"/>
      <c r="F58" s="152"/>
      <c r="G58" s="145">
        <f t="shared" si="4"/>
        <v>46539</v>
      </c>
      <c r="H58" s="144">
        <f t="shared" si="5"/>
        <v>9612155.7025417723</v>
      </c>
      <c r="I58" s="144">
        <f t="shared" si="1"/>
        <v>41380.330299442328</v>
      </c>
    </row>
    <row r="59" spans="1:9" x14ac:dyDescent="0.35">
      <c r="A59" s="145">
        <f t="shared" si="2"/>
        <v>46569</v>
      </c>
      <c r="B59" s="144">
        <f t="shared" si="3"/>
        <v>53020889.4077994</v>
      </c>
      <c r="C59" s="144">
        <f t="shared" si="0"/>
        <v>228254.9289005764</v>
      </c>
      <c r="E59" s="153"/>
      <c r="F59" s="152"/>
      <c r="G59" s="145">
        <f t="shared" si="4"/>
        <v>46569</v>
      </c>
      <c r="H59" s="144">
        <f t="shared" si="5"/>
        <v>9580108.0793354567</v>
      </c>
      <c r="I59" s="144">
        <f t="shared" si="1"/>
        <v>41242.36528153914</v>
      </c>
    </row>
    <row r="60" spans="1:9" x14ac:dyDescent="0.35">
      <c r="A60" s="145">
        <f t="shared" si="2"/>
        <v>46600</v>
      </c>
      <c r="B60" s="144">
        <f t="shared" si="3"/>
        <v>52842759.004715294</v>
      </c>
      <c r="C60" s="144">
        <f t="shared" si="0"/>
        <v>227488.07751529932</v>
      </c>
      <c r="E60" s="153"/>
      <c r="F60" s="152"/>
      <c r="G60" s="145">
        <f t="shared" si="4"/>
        <v>46600</v>
      </c>
      <c r="H60" s="144">
        <f t="shared" si="5"/>
        <v>9547922.4911112376</v>
      </c>
      <c r="I60" s="144">
        <f t="shared" si="1"/>
        <v>41103.806324233876</v>
      </c>
    </row>
    <row r="61" spans="1:9" x14ac:dyDescent="0.35">
      <c r="A61" s="145">
        <f t="shared" si="2"/>
        <v>46631</v>
      </c>
      <c r="B61" s="144">
        <f t="shared" si="3"/>
        <v>52663861.750245906</v>
      </c>
      <c r="C61" s="144">
        <f t="shared" si="0"/>
        <v>226717.9248348086</v>
      </c>
      <c r="E61" s="153"/>
      <c r="F61" s="152"/>
      <c r="G61" s="145">
        <f t="shared" si="4"/>
        <v>46631</v>
      </c>
      <c r="H61" s="144">
        <f t="shared" si="5"/>
        <v>9515598.3439297136</v>
      </c>
      <c r="I61" s="144">
        <f t="shared" si="1"/>
        <v>40964.650870617414</v>
      </c>
    </row>
    <row r="62" spans="1:9" x14ac:dyDescent="0.35">
      <c r="A62" s="145">
        <f t="shared" si="2"/>
        <v>46661</v>
      </c>
      <c r="B62" s="144">
        <f t="shared" si="3"/>
        <v>52484194.343096033</v>
      </c>
      <c r="C62" s="144">
        <f t="shared" si="0"/>
        <v>225944.45664702842</v>
      </c>
      <c r="E62" s="153"/>
      <c r="F62" s="152"/>
      <c r="G62" s="145">
        <f t="shared" si="4"/>
        <v>46661</v>
      </c>
      <c r="H62" s="144">
        <f t="shared" si="5"/>
        <v>9483135.0412945729</v>
      </c>
      <c r="I62" s="144">
        <f t="shared" si="1"/>
        <v>40824.896352773132</v>
      </c>
    </row>
    <row r="63" spans="1:9" x14ac:dyDescent="0.35">
      <c r="A63" s="145">
        <f t="shared" si="2"/>
        <v>46692</v>
      </c>
      <c r="B63" s="144">
        <f t="shared" si="3"/>
        <v>52303753.46775838</v>
      </c>
      <c r="C63" s="144">
        <f t="shared" si="0"/>
        <v>225167.65867869984</v>
      </c>
      <c r="E63" s="153"/>
      <c r="F63" s="152"/>
      <c r="G63" s="145">
        <f t="shared" si="4"/>
        <v>46692</v>
      </c>
      <c r="H63" s="144">
        <f t="shared" si="5"/>
        <v>9450531.9841415882</v>
      </c>
      <c r="I63" s="144">
        <f t="shared" si="1"/>
        <v>40684.540191729531</v>
      </c>
    </row>
    <row r="64" spans="1:9" x14ac:dyDescent="0.35">
      <c r="A64" s="145">
        <f t="shared" si="2"/>
        <v>46722</v>
      </c>
      <c r="B64" s="144">
        <f t="shared" si="3"/>
        <v>52122535.794452399</v>
      </c>
      <c r="C64" s="144">
        <f t="shared" si="0"/>
        <v>224387.51659511754</v>
      </c>
      <c r="E64" s="153"/>
      <c r="F64" s="152"/>
      <c r="G64" s="145">
        <f t="shared" si="4"/>
        <v>46722</v>
      </c>
      <c r="H64" s="144">
        <f t="shared" si="5"/>
        <v>9417788.5708275586</v>
      </c>
      <c r="I64" s="144">
        <f t="shared" si="1"/>
        <v>40543.57979741264</v>
      </c>
    </row>
    <row r="65" spans="1:9" x14ac:dyDescent="0.35">
      <c r="A65" s="145">
        <f t="shared" si="2"/>
        <v>46753</v>
      </c>
      <c r="B65" s="144">
        <f t="shared" si="3"/>
        <v>51940537.979062833</v>
      </c>
      <c r="C65" s="144">
        <f t="shared" si="0"/>
        <v>223604.01599986549</v>
      </c>
      <c r="E65" s="153"/>
      <c r="F65" s="152"/>
      <c r="G65" s="145">
        <f t="shared" si="4"/>
        <v>46753</v>
      </c>
      <c r="H65" s="144">
        <f t="shared" si="5"/>
        <v>9384904.1971192136</v>
      </c>
      <c r="I65" s="144">
        <f t="shared" si="1"/>
        <v>40402.012568598213</v>
      </c>
    </row>
    <row r="66" spans="1:9" x14ac:dyDescent="0.35">
      <c r="A66" s="145">
        <f t="shared" si="2"/>
        <v>46784</v>
      </c>
      <c r="B66" s="144">
        <f t="shared" si="3"/>
        <v>51757756.663078018</v>
      </c>
      <c r="C66" s="144">
        <f t="shared" si="0"/>
        <v>222817.14243455083</v>
      </c>
      <c r="E66" s="153"/>
      <c r="F66" s="152"/>
      <c r="G66" s="145">
        <f t="shared" si="4"/>
        <v>46784</v>
      </c>
      <c r="H66" s="144">
        <f t="shared" si="5"/>
        <v>9351878.2561820541</v>
      </c>
      <c r="I66" s="144">
        <f t="shared" si="1"/>
        <v>40259.835892863739</v>
      </c>
    </row>
    <row r="67" spans="1:9" x14ac:dyDescent="0.35">
      <c r="A67" s="145">
        <f t="shared" si="2"/>
        <v>46813</v>
      </c>
      <c r="B67" s="144">
        <f t="shared" si="3"/>
        <v>51574188.473527886</v>
      </c>
      <c r="C67" s="144">
        <f t="shared" si="0"/>
        <v>222026.88137853754</v>
      </c>
      <c r="E67" s="153"/>
      <c r="F67" s="152"/>
      <c r="G67" s="145">
        <f t="shared" si="4"/>
        <v>46813</v>
      </c>
      <c r="H67" s="144">
        <f t="shared" si="5"/>
        <v>9318710.1385691594</v>
      </c>
      <c r="I67" s="144">
        <f t="shared" si="1"/>
        <v>40117.04714654023</v>
      </c>
    </row>
    <row r="68" spans="1:9" x14ac:dyDescent="0.35">
      <c r="A68" s="145">
        <f t="shared" si="2"/>
        <v>46844</v>
      </c>
      <c r="B68" s="144">
        <f t="shared" si="3"/>
        <v>51389830.022921741</v>
      </c>
      <c r="C68" s="144">
        <f t="shared" si="0"/>
        <v>221233.21824867811</v>
      </c>
      <c r="E68" s="153"/>
      <c r="F68" s="152"/>
      <c r="G68" s="145">
        <f t="shared" si="4"/>
        <v>46844</v>
      </c>
      <c r="H68" s="144">
        <f t="shared" si="5"/>
        <v>9285399.2322099414</v>
      </c>
      <c r="I68" s="144">
        <f t="shared" si="1"/>
        <v>39973.643694663791</v>
      </c>
    </row>
    <row r="69" spans="1:9" x14ac:dyDescent="0.35">
      <c r="A69" s="145">
        <f t="shared" si="2"/>
        <v>46874</v>
      </c>
      <c r="B69" s="144">
        <f t="shared" si="3"/>
        <v>51204677.909185737</v>
      </c>
      <c r="C69" s="144">
        <f t="shared" si="0"/>
        <v>220436.1383990446</v>
      </c>
      <c r="E69" s="153"/>
      <c r="F69" s="152"/>
      <c r="G69" s="145">
        <f t="shared" si="4"/>
        <v>46874</v>
      </c>
      <c r="H69" s="144">
        <f t="shared" si="5"/>
        <v>9251944.9223988466</v>
      </c>
      <c r="I69" s="144">
        <f t="shared" si="1"/>
        <v>39829.622890927036</v>
      </c>
    </row>
    <row r="70" spans="1:9" x14ac:dyDescent="0.35">
      <c r="A70" s="145">
        <f t="shared" si="2"/>
        <v>46905</v>
      </c>
      <c r="B70" s="144">
        <f t="shared" si="3"/>
        <v>51018728.715600096</v>
      </c>
      <c r="C70" s="144">
        <f t="shared" si="0"/>
        <v>219635.62712065841</v>
      </c>
      <c r="E70" s="153"/>
      <c r="F70" s="152"/>
      <c r="G70" s="145">
        <f t="shared" si="4"/>
        <v>46905</v>
      </c>
      <c r="H70" s="144">
        <f t="shared" si="5"/>
        <v>9218346.5917840153</v>
      </c>
      <c r="I70" s="144">
        <f t="shared" si="1"/>
        <v>39684.982077630186</v>
      </c>
    </row>
    <row r="71" spans="1:9" x14ac:dyDescent="0.35">
      <c r="A71" s="145">
        <f t="shared" si="2"/>
        <v>46935</v>
      </c>
      <c r="B71" s="144">
        <f t="shared" si="3"/>
        <v>50831979.010736071</v>
      </c>
      <c r="C71" s="144">
        <f t="shared" si="0"/>
        <v>218831.66964121876</v>
      </c>
      <c r="E71" s="153"/>
      <c r="F71" s="152"/>
      <c r="G71" s="145">
        <f t="shared" si="4"/>
        <v>46935</v>
      </c>
      <c r="H71" s="144">
        <f t="shared" si="5"/>
        <v>9184603.6203558873</v>
      </c>
      <c r="I71" s="144">
        <f t="shared" si="1"/>
        <v>39539.718585632094</v>
      </c>
    </row>
    <row r="72" spans="1:9" x14ac:dyDescent="0.35">
      <c r="A72" s="145">
        <f t="shared" si="2"/>
        <v>46966</v>
      </c>
      <c r="B72" s="144">
        <f t="shared" si="3"/>
        <v>50644425.348392606</v>
      </c>
      <c r="C72" s="144">
        <f t="shared" si="0"/>
        <v>218024.25112483013</v>
      </c>
      <c r="E72" s="153"/>
      <c r="F72" s="152"/>
      <c r="G72" s="145">
        <f t="shared" si="4"/>
        <v>46966</v>
      </c>
      <c r="H72" s="144">
        <f t="shared" si="5"/>
        <v>9150715.3854357619</v>
      </c>
      <c r="I72" s="144">
        <f t="shared" si="1"/>
        <v>39393.829734300954</v>
      </c>
    </row>
    <row r="73" spans="1:9" x14ac:dyDescent="0.35">
      <c r="A73" s="145">
        <f t="shared" si="2"/>
        <v>46997</v>
      </c>
      <c r="B73" s="144">
        <f t="shared" si="3"/>
        <v>50456064.267532751</v>
      </c>
      <c r="C73" s="144">
        <f t="shared" si="0"/>
        <v>217213.35667172846</v>
      </c>
      <c r="E73" s="153"/>
      <c r="F73" s="152"/>
      <c r="G73" s="145">
        <f t="shared" si="4"/>
        <v>46997</v>
      </c>
      <c r="H73" s="144">
        <f t="shared" si="5"/>
        <v>9116681.2616643049</v>
      </c>
      <c r="I73" s="144">
        <f t="shared" si="1"/>
        <v>39247.312831464827</v>
      </c>
    </row>
    <row r="74" spans="1:9" x14ac:dyDescent="0.35">
      <c r="A74" s="145">
        <f t="shared" si="2"/>
        <v>47027</v>
      </c>
      <c r="B74" s="144">
        <f t="shared" si="3"/>
        <v>50266892.292219795</v>
      </c>
      <c r="C74" s="144">
        <f t="shared" si="0"/>
        <v>216398.9713180062</v>
      </c>
      <c r="E74" s="153"/>
      <c r="F74" s="152"/>
      <c r="G74" s="145">
        <f t="shared" si="4"/>
        <v>47027</v>
      </c>
      <c r="H74" s="144">
        <f t="shared" si="5"/>
        <v>9082500.6209900118</v>
      </c>
      <c r="I74" s="144">
        <f t="shared" si="1"/>
        <v>39100.165173362002</v>
      </c>
    </row>
    <row r="75" spans="1:9" x14ac:dyDescent="0.35">
      <c r="A75" s="145">
        <f t="shared" si="2"/>
        <v>47058</v>
      </c>
      <c r="B75" s="144">
        <f t="shared" si="3"/>
        <v>50076905.931553118</v>
      </c>
      <c r="C75" s="144">
        <f t="shared" ref="C75:C138" si="6">B75*$D$5/12</f>
        <v>215581.08003533617</v>
      </c>
      <c r="E75" s="153"/>
      <c r="F75" s="152"/>
      <c r="G75" s="145">
        <f t="shared" si="4"/>
        <v>47058</v>
      </c>
      <c r="H75" s="144">
        <f t="shared" si="5"/>
        <v>9048172.8326576147</v>
      </c>
      <c r="I75" s="144">
        <f t="shared" ref="I75:I138" si="7">H75*$J$5/12</f>
        <v>38952.384044591032</v>
      </c>
    </row>
    <row r="76" spans="1:9" x14ac:dyDescent="0.35">
      <c r="A76" s="145">
        <f t="shared" ref="A76:A139" si="8">EOMONTH(A75,0)+1</f>
        <v>47088</v>
      </c>
      <c r="B76" s="144">
        <f t="shared" ref="B76:B139" si="9">B75+C75+$D$6</f>
        <v>49886101.67960377</v>
      </c>
      <c r="C76" s="144">
        <f t="shared" si="6"/>
        <v>214759.6677306942</v>
      </c>
      <c r="E76" s="153"/>
      <c r="F76" s="152"/>
      <c r="G76" s="145">
        <f t="shared" ref="G76:G139" si="10">EOMONTH(G75,0)+1</f>
        <v>47088</v>
      </c>
      <c r="H76" s="144">
        <f t="shared" ref="H76:H139" si="11">H75+I75+$J$6</f>
        <v>9013697.2631964479</v>
      </c>
      <c r="I76" s="144">
        <f t="shared" si="7"/>
        <v>38803.966718060707</v>
      </c>
    </row>
    <row r="77" spans="1:9" x14ac:dyDescent="0.35">
      <c r="A77" s="145">
        <f t="shared" si="8"/>
        <v>47119</v>
      </c>
      <c r="B77" s="144">
        <f t="shared" si="9"/>
        <v>49694476.015349783</v>
      </c>
      <c r="C77" s="144">
        <f t="shared" si="6"/>
        <v>213934.71924608081</v>
      </c>
      <c r="E77" s="153"/>
      <c r="F77" s="152"/>
      <c r="G77" s="145">
        <f t="shared" si="10"/>
        <v>47119</v>
      </c>
      <c r="H77" s="144">
        <f t="shared" si="11"/>
        <v>8979073.2764087506</v>
      </c>
      <c r="I77" s="144">
        <f t="shared" si="7"/>
        <v>38654.910454939665</v>
      </c>
    </row>
    <row r="78" spans="1:9" x14ac:dyDescent="0.35">
      <c r="A78" s="145">
        <f t="shared" si="8"/>
        <v>47150</v>
      </c>
      <c r="B78" s="144">
        <f t="shared" si="9"/>
        <v>49502025.402611181</v>
      </c>
      <c r="C78" s="144">
        <f t="shared" si="6"/>
        <v>213106.2193582411</v>
      </c>
      <c r="E78" s="153"/>
      <c r="F78" s="152"/>
      <c r="G78" s="145">
        <f t="shared" si="10"/>
        <v>47150</v>
      </c>
      <c r="H78" s="144">
        <f t="shared" si="11"/>
        <v>8944300.2333579324</v>
      </c>
      <c r="I78" s="144">
        <f t="shared" si="7"/>
        <v>38505.212504605901</v>
      </c>
    </row>
    <row r="79" spans="1:9" x14ac:dyDescent="0.35">
      <c r="A79" s="145">
        <f t="shared" si="8"/>
        <v>47178</v>
      </c>
      <c r="B79" s="144">
        <f t="shared" si="9"/>
        <v>49308746.28998474</v>
      </c>
      <c r="C79" s="144">
        <f t="shared" si="6"/>
        <v>212274.1527783843</v>
      </c>
      <c r="E79" s="153"/>
      <c r="F79" s="152"/>
      <c r="G79" s="145">
        <f t="shared" si="10"/>
        <v>47178</v>
      </c>
      <c r="H79" s="144">
        <f t="shared" si="11"/>
        <v>8909377.4923567809</v>
      </c>
      <c r="I79" s="144">
        <f t="shared" si="7"/>
        <v>38354.870104595939</v>
      </c>
    </row>
    <row r="80" spans="1:9" x14ac:dyDescent="0.35">
      <c r="A80" s="145">
        <f t="shared" si="8"/>
        <v>47209</v>
      </c>
      <c r="B80" s="144">
        <f t="shared" si="9"/>
        <v>49114635.110778444</v>
      </c>
      <c r="C80" s="144">
        <f t="shared" si="6"/>
        <v>211438.5041519012</v>
      </c>
      <c r="E80" s="153"/>
      <c r="F80" s="152"/>
      <c r="G80" s="145">
        <f t="shared" si="10"/>
        <v>47209</v>
      </c>
      <c r="H80" s="144">
        <f t="shared" si="11"/>
        <v>8874304.4089556187</v>
      </c>
      <c r="I80" s="144">
        <f t="shared" si="7"/>
        <v>38203.880480553933</v>
      </c>
    </row>
    <row r="81" spans="1:9" x14ac:dyDescent="0.35">
      <c r="A81" s="145">
        <f t="shared" si="8"/>
        <v>47239</v>
      </c>
      <c r="B81" s="144">
        <f t="shared" si="9"/>
        <v>48919688.282945663</v>
      </c>
      <c r="C81" s="144">
        <f t="shared" si="6"/>
        <v>210599.25805808106</v>
      </c>
      <c r="E81" s="153"/>
      <c r="F81" s="152"/>
      <c r="G81" s="145">
        <f t="shared" si="10"/>
        <v>47239</v>
      </c>
      <c r="H81" s="144">
        <f t="shared" si="11"/>
        <v>8839080.3359304145</v>
      </c>
      <c r="I81" s="144">
        <f t="shared" si="7"/>
        <v>38052.240846180437</v>
      </c>
    </row>
    <row r="82" spans="1:9" x14ac:dyDescent="0.35">
      <c r="A82" s="145">
        <f t="shared" si="8"/>
        <v>47270</v>
      </c>
      <c r="B82" s="144">
        <f t="shared" si="9"/>
        <v>48723902.209019057</v>
      </c>
      <c r="C82" s="144">
        <f t="shared" si="6"/>
        <v>209756.39900982703</v>
      </c>
      <c r="E82" s="153"/>
      <c r="F82" s="152"/>
      <c r="G82" s="145">
        <f t="shared" si="10"/>
        <v>47270</v>
      </c>
      <c r="H82" s="144">
        <f t="shared" si="11"/>
        <v>8803704.6232708376</v>
      </c>
      <c r="I82" s="144">
        <f t="shared" si="7"/>
        <v>37899.948403180955</v>
      </c>
    </row>
    <row r="83" spans="1:9" x14ac:dyDescent="0.35">
      <c r="A83" s="145">
        <f t="shared" si="8"/>
        <v>47300</v>
      </c>
      <c r="B83" s="144">
        <f t="shared" si="9"/>
        <v>48527273.276044197</v>
      </c>
      <c r="C83" s="144">
        <f t="shared" si="6"/>
        <v>208909.91145337027</v>
      </c>
      <c r="E83" s="153"/>
      <c r="F83" s="152"/>
      <c r="G83" s="145">
        <f t="shared" si="10"/>
        <v>47300</v>
      </c>
      <c r="H83" s="144">
        <f t="shared" si="11"/>
        <v>8768176.6181682609</v>
      </c>
      <c r="I83" s="144">
        <f t="shared" si="7"/>
        <v>37747.000341214363</v>
      </c>
    </row>
    <row r="84" spans="1:9" x14ac:dyDescent="0.35">
      <c r="A84" s="145">
        <f t="shared" si="8"/>
        <v>47331</v>
      </c>
      <c r="B84" s="144">
        <f t="shared" si="9"/>
        <v>48329797.855512887</v>
      </c>
      <c r="C84" s="144">
        <f t="shared" si="6"/>
        <v>208059.77976798298</v>
      </c>
      <c r="E84" s="153"/>
      <c r="F84" s="152"/>
      <c r="G84" s="145">
        <f t="shared" si="10"/>
        <v>47331</v>
      </c>
      <c r="H84" s="144">
        <f t="shared" si="11"/>
        <v>8732495.6650037169</v>
      </c>
      <c r="I84" s="144">
        <f t="shared" si="7"/>
        <v>37593.393837841002</v>
      </c>
    </row>
    <row r="85" spans="1:9" x14ac:dyDescent="0.35">
      <c r="A85" s="145">
        <f t="shared" si="8"/>
        <v>47362</v>
      </c>
      <c r="B85" s="144">
        <f t="shared" si="9"/>
        <v>48131472.303296186</v>
      </c>
      <c r="C85" s="144">
        <f t="shared" si="6"/>
        <v>207205.98826569007</v>
      </c>
      <c r="E85" s="153"/>
      <c r="F85" s="152"/>
      <c r="G85" s="145">
        <f t="shared" si="10"/>
        <v>47362</v>
      </c>
      <c r="H85" s="144">
        <f t="shared" si="11"/>
        <v>8696661.1053358</v>
      </c>
      <c r="I85" s="144">
        <f t="shared" si="7"/>
        <v>37439.126058470618</v>
      </c>
    </row>
    <row r="86" spans="1:9" x14ac:dyDescent="0.35">
      <c r="A86" s="145">
        <f t="shared" si="8"/>
        <v>47392</v>
      </c>
      <c r="B86" s="144">
        <f t="shared" si="9"/>
        <v>47932292.959577195</v>
      </c>
      <c r="C86" s="144">
        <f t="shared" si="6"/>
        <v>206348.52119097984</v>
      </c>
      <c r="E86" s="153"/>
      <c r="F86" s="152"/>
      <c r="G86" s="145">
        <f t="shared" si="10"/>
        <v>47392</v>
      </c>
      <c r="H86" s="144">
        <f t="shared" si="11"/>
        <v>8660672.2778885122</v>
      </c>
      <c r="I86" s="144">
        <f t="shared" si="7"/>
        <v>37284.194156310048</v>
      </c>
    </row>
    <row r="87" spans="1:9" x14ac:dyDescent="0.35">
      <c r="A87" s="145">
        <f t="shared" si="8"/>
        <v>47423</v>
      </c>
      <c r="B87" s="144">
        <f t="shared" si="9"/>
        <v>47732256.14878349</v>
      </c>
      <c r="C87" s="144">
        <f t="shared" si="6"/>
        <v>205487.3627205129</v>
      </c>
      <c r="E87" s="153"/>
      <c r="F87" s="152"/>
      <c r="G87" s="145">
        <f t="shared" si="10"/>
        <v>47423</v>
      </c>
      <c r="H87" s="144">
        <f t="shared" si="11"/>
        <v>8624528.5185390636</v>
      </c>
      <c r="I87" s="144">
        <f t="shared" si="7"/>
        <v>37128.595272310667</v>
      </c>
    </row>
    <row r="88" spans="1:9" x14ac:dyDescent="0.35">
      <c r="A88" s="145">
        <f t="shared" si="8"/>
        <v>47453</v>
      </c>
      <c r="B88" s="144">
        <f t="shared" si="9"/>
        <v>47531358.179519318</v>
      </c>
      <c r="C88" s="144">
        <f t="shared" si="6"/>
        <v>204622.49696283066</v>
      </c>
      <c r="E88" s="153"/>
      <c r="F88" s="152"/>
      <c r="G88" s="145">
        <f t="shared" si="10"/>
        <v>47453</v>
      </c>
      <c r="H88" s="144">
        <f t="shared" si="11"/>
        <v>8588229.1603056155</v>
      </c>
      <c r="I88" s="144">
        <f t="shared" si="7"/>
        <v>36972.326535115673</v>
      </c>
    </row>
    <row r="89" spans="1:9" x14ac:dyDescent="0.35">
      <c r="A89" s="145">
        <f t="shared" si="8"/>
        <v>47484</v>
      </c>
      <c r="B89" s="144">
        <f t="shared" si="9"/>
        <v>47329595.344497465</v>
      </c>
      <c r="C89" s="144">
        <f t="shared" si="6"/>
        <v>203753.90795806158</v>
      </c>
      <c r="E89" s="153"/>
      <c r="F89" s="152"/>
      <c r="G89" s="145">
        <f t="shared" si="10"/>
        <v>47484</v>
      </c>
      <c r="H89" s="144">
        <f t="shared" si="11"/>
        <v>8551773.5333349723</v>
      </c>
      <c r="I89" s="144">
        <f t="shared" si="7"/>
        <v>36815.385061007059</v>
      </c>
    </row>
    <row r="90" spans="1:9" x14ac:dyDescent="0.35">
      <c r="A90" s="145">
        <f t="shared" si="8"/>
        <v>47515</v>
      </c>
      <c r="B90" s="144">
        <f t="shared" si="9"/>
        <v>47126963.920470841</v>
      </c>
      <c r="C90" s="144">
        <f t="shared" si="6"/>
        <v>202881.57967762696</v>
      </c>
      <c r="E90" s="153"/>
      <c r="F90" s="152"/>
      <c r="G90" s="145">
        <f t="shared" si="10"/>
        <v>47515</v>
      </c>
      <c r="H90" s="144">
        <f t="shared" si="11"/>
        <v>8515160.9648902211</v>
      </c>
      <c r="I90" s="144">
        <f t="shared" si="7"/>
        <v>36657.767953852403</v>
      </c>
    </row>
    <row r="91" spans="1:9" x14ac:dyDescent="0.35">
      <c r="A91" s="145">
        <f t="shared" si="8"/>
        <v>47543</v>
      </c>
      <c r="B91" s="144">
        <f t="shared" si="9"/>
        <v>46923460.168163784</v>
      </c>
      <c r="C91" s="144">
        <f t="shared" si="6"/>
        <v>202005.49602394507</v>
      </c>
      <c r="E91" s="153"/>
      <c r="F91" s="152"/>
      <c r="G91" s="145">
        <f t="shared" si="10"/>
        <v>47543</v>
      </c>
      <c r="H91" s="144">
        <f t="shared" si="11"/>
        <v>8478390.7793383151</v>
      </c>
      <c r="I91" s="144">
        <f t="shared" si="7"/>
        <v>36499.472305051444</v>
      </c>
    </row>
    <row r="92" spans="1:9" x14ac:dyDescent="0.35">
      <c r="A92" s="145">
        <f t="shared" si="8"/>
        <v>47574</v>
      </c>
      <c r="B92" s="144">
        <f t="shared" si="9"/>
        <v>46719080.332203045</v>
      </c>
      <c r="C92" s="144">
        <f t="shared" si="6"/>
        <v>201125.64083013413</v>
      </c>
      <c r="E92" s="153"/>
      <c r="F92" s="152"/>
      <c r="G92" s="145">
        <f t="shared" si="10"/>
        <v>47574</v>
      </c>
      <c r="H92" s="144">
        <f t="shared" si="11"/>
        <v>8441462.2981376089</v>
      </c>
      <c r="I92" s="144">
        <f t="shared" si="7"/>
        <v>36340.495193482406</v>
      </c>
    </row>
    <row r="93" spans="1:9" x14ac:dyDescent="0.35">
      <c r="A93" s="145">
        <f t="shared" si="8"/>
        <v>47604</v>
      </c>
      <c r="B93" s="144">
        <f t="shared" si="9"/>
        <v>46513820.641048498</v>
      </c>
      <c r="C93" s="144">
        <f t="shared" si="6"/>
        <v>200241.99785971377</v>
      </c>
      <c r="E93" s="153"/>
      <c r="F93" s="152"/>
      <c r="G93" s="145">
        <f t="shared" si="10"/>
        <v>47604</v>
      </c>
      <c r="H93" s="144">
        <f t="shared" si="11"/>
        <v>8404374.839825334</v>
      </c>
      <c r="I93" s="144">
        <f t="shared" si="7"/>
        <v>36180.833685448066</v>
      </c>
    </row>
    <row r="94" spans="1:9" x14ac:dyDescent="0.35">
      <c r="A94" s="145">
        <f t="shared" si="8"/>
        <v>47635</v>
      </c>
      <c r="B94" s="144">
        <f t="shared" si="9"/>
        <v>46307677.306923531</v>
      </c>
      <c r="C94" s="144">
        <f t="shared" si="6"/>
        <v>199354.55080630581</v>
      </c>
      <c r="E94" s="153"/>
      <c r="F94" s="152"/>
      <c r="G94" s="145">
        <f t="shared" si="10"/>
        <v>47635</v>
      </c>
      <c r="H94" s="144">
        <f t="shared" si="11"/>
        <v>8367127.7200050242</v>
      </c>
      <c r="I94" s="144">
        <f t="shared" si="7"/>
        <v>36020.484834621624</v>
      </c>
    </row>
    <row r="95" spans="1:9" x14ac:dyDescent="0.35">
      <c r="A95" s="145">
        <f t="shared" si="8"/>
        <v>47665</v>
      </c>
      <c r="B95" s="144">
        <f t="shared" si="9"/>
        <v>46100646.525745153</v>
      </c>
      <c r="C95" s="144">
        <f t="shared" si="6"/>
        <v>198463.28329333288</v>
      </c>
      <c r="E95" s="153"/>
      <c r="F95" s="152"/>
      <c r="G95" s="145">
        <f t="shared" si="10"/>
        <v>47665</v>
      </c>
      <c r="H95" s="144">
        <f t="shared" si="11"/>
        <v>8329720.2513338868</v>
      </c>
      <c r="I95" s="144">
        <f t="shared" si="7"/>
        <v>35859.44568199238</v>
      </c>
    </row>
    <row r="96" spans="1:9" x14ac:dyDescent="0.35">
      <c r="A96" s="145">
        <f t="shared" si="8"/>
        <v>47696</v>
      </c>
      <c r="B96" s="144">
        <f t="shared" si="9"/>
        <v>45892724.477053799</v>
      </c>
      <c r="C96" s="144">
        <f t="shared" si="6"/>
        <v>197568.17887371659</v>
      </c>
      <c r="E96" s="153"/>
      <c r="F96" s="152"/>
      <c r="G96" s="145">
        <f t="shared" si="10"/>
        <v>47696</v>
      </c>
      <c r="H96" s="144">
        <f t="shared" si="11"/>
        <v>8292151.7435101205</v>
      </c>
      <c r="I96" s="144">
        <f t="shared" si="7"/>
        <v>35697.713255811068</v>
      </c>
    </row>
    <row r="97" spans="1:9" x14ac:dyDescent="0.35">
      <c r="A97" s="145">
        <f t="shared" si="8"/>
        <v>47727</v>
      </c>
      <c r="B97" s="144">
        <f t="shared" si="9"/>
        <v>45683907.323942833</v>
      </c>
      <c r="C97" s="144">
        <f t="shared" si="6"/>
        <v>196669.22102957391</v>
      </c>
      <c r="E97" s="153"/>
      <c r="F97" s="152"/>
      <c r="G97" s="145">
        <f t="shared" si="10"/>
        <v>47727</v>
      </c>
      <c r="H97" s="144">
        <f t="shared" si="11"/>
        <v>8254421.5032601738</v>
      </c>
      <c r="I97" s="144">
        <f t="shared" si="7"/>
        <v>35535.284571535049</v>
      </c>
    </row>
    <row r="98" spans="1:9" x14ac:dyDescent="0.35">
      <c r="A98" s="145">
        <f t="shared" si="8"/>
        <v>47757</v>
      </c>
      <c r="B98" s="144">
        <f t="shared" si="9"/>
        <v>45474191.212987721</v>
      </c>
      <c r="C98" s="144">
        <f t="shared" si="6"/>
        <v>195766.39317191215</v>
      </c>
      <c r="E98" s="153"/>
      <c r="F98" s="152"/>
      <c r="G98" s="145">
        <f t="shared" si="10"/>
        <v>47757</v>
      </c>
      <c r="H98" s="144">
        <f t="shared" si="11"/>
        <v>8216528.8343259506</v>
      </c>
      <c r="I98" s="144">
        <f t="shared" si="7"/>
        <v>35372.156631773214</v>
      </c>
    </row>
    <row r="99" spans="1:9" x14ac:dyDescent="0.35">
      <c r="A99" s="145">
        <f t="shared" si="8"/>
        <v>47788</v>
      </c>
      <c r="B99" s="144">
        <f t="shared" si="9"/>
        <v>45263572.274174951</v>
      </c>
      <c r="C99" s="144">
        <f t="shared" si="6"/>
        <v>194859.67864032314</v>
      </c>
      <c r="E99" s="153"/>
      <c r="F99" s="152"/>
      <c r="G99" s="145">
        <f t="shared" si="10"/>
        <v>47788</v>
      </c>
      <c r="H99" s="144">
        <f t="shared" si="11"/>
        <v>8178473.0374519657</v>
      </c>
      <c r="I99" s="144">
        <f t="shared" si="7"/>
        <v>35208.326426230713</v>
      </c>
    </row>
    <row r="100" spans="1:9" x14ac:dyDescent="0.35">
      <c r="A100" s="145">
        <f t="shared" si="8"/>
        <v>47818</v>
      </c>
      <c r="B100" s="144">
        <f t="shared" si="9"/>
        <v>45052046.620830588</v>
      </c>
      <c r="C100" s="144">
        <f t="shared" si="6"/>
        <v>193949.06070267569</v>
      </c>
      <c r="E100" s="153"/>
      <c r="F100" s="152"/>
      <c r="G100" s="145">
        <f t="shared" si="10"/>
        <v>47818</v>
      </c>
      <c r="H100" s="144">
        <f t="shared" si="11"/>
        <v>8140253.4103724379</v>
      </c>
      <c r="I100" s="144">
        <f t="shared" si="7"/>
        <v>35043.790931653341</v>
      </c>
    </row>
    <row r="101" spans="1:9" x14ac:dyDescent="0.35">
      <c r="A101" s="145">
        <f t="shared" si="8"/>
        <v>47849</v>
      </c>
      <c r="B101" s="144">
        <f t="shared" si="9"/>
        <v>44839610.349548578</v>
      </c>
      <c r="C101" s="144">
        <f t="shared" si="6"/>
        <v>193034.52255480664</v>
      </c>
      <c r="E101" s="153"/>
      <c r="F101" s="152"/>
      <c r="G101" s="145">
        <f t="shared" si="10"/>
        <v>47849</v>
      </c>
      <c r="H101" s="144">
        <f t="shared" si="11"/>
        <v>8101869.2477983329</v>
      </c>
      <c r="I101" s="144">
        <f t="shared" si="7"/>
        <v>34878.547111771819</v>
      </c>
    </row>
    <row r="102" spans="1:9" x14ac:dyDescent="0.35">
      <c r="A102" s="145">
        <f t="shared" si="8"/>
        <v>47880</v>
      </c>
      <c r="B102" s="144">
        <f t="shared" si="9"/>
        <v>44626259.540118702</v>
      </c>
      <c r="C102" s="144">
        <f t="shared" si="6"/>
        <v>192116.04732021099</v>
      </c>
      <c r="E102" s="153"/>
      <c r="F102" s="152"/>
      <c r="G102" s="145">
        <f t="shared" si="10"/>
        <v>47880</v>
      </c>
      <c r="H102" s="144">
        <f t="shared" si="11"/>
        <v>8063319.8414043467</v>
      </c>
      <c r="I102" s="144">
        <f t="shared" si="7"/>
        <v>34712.591917245714</v>
      </c>
    </row>
    <row r="103" spans="1:9" x14ac:dyDescent="0.35">
      <c r="A103" s="145">
        <f t="shared" si="8"/>
        <v>47908</v>
      </c>
      <c r="B103" s="144">
        <f t="shared" si="9"/>
        <v>44411990.255454227</v>
      </c>
      <c r="C103" s="144">
        <f t="shared" si="6"/>
        <v>191193.61804973043</v>
      </c>
      <c r="E103" s="153"/>
      <c r="F103" s="152"/>
      <c r="G103" s="145">
        <f t="shared" si="10"/>
        <v>47908</v>
      </c>
      <c r="H103" s="144">
        <f t="shared" si="11"/>
        <v>8024604.4798158342</v>
      </c>
      <c r="I103" s="144">
        <f t="shared" si="7"/>
        <v>34545.922285607165</v>
      </c>
    </row>
    <row r="104" spans="1:9" x14ac:dyDescent="0.35">
      <c r="A104" s="145">
        <f t="shared" si="8"/>
        <v>47939</v>
      </c>
      <c r="B104" s="144">
        <f t="shared" si="9"/>
        <v>44196798.541519277</v>
      </c>
      <c r="C104" s="144">
        <f t="shared" si="6"/>
        <v>190267.21772124048</v>
      </c>
      <c r="E104" s="153"/>
      <c r="F104" s="152"/>
      <c r="G104" s="145">
        <f t="shared" si="10"/>
        <v>47939</v>
      </c>
      <c r="H104" s="144">
        <f t="shared" si="11"/>
        <v>7985722.4485956831</v>
      </c>
      <c r="I104" s="144">
        <f t="shared" si="7"/>
        <v>34378.535141204418</v>
      </c>
    </row>
    <row r="105" spans="1:9" x14ac:dyDescent="0.35">
      <c r="A105" s="145">
        <f t="shared" si="8"/>
        <v>47969</v>
      </c>
      <c r="B105" s="144">
        <f t="shared" si="9"/>
        <v>43980680.427255832</v>
      </c>
      <c r="C105" s="144">
        <f t="shared" si="6"/>
        <v>189336.82923933634</v>
      </c>
      <c r="E105" s="153"/>
      <c r="F105" s="152"/>
      <c r="G105" s="145">
        <f t="shared" si="10"/>
        <v>47969</v>
      </c>
      <c r="H105" s="144">
        <f t="shared" si="11"/>
        <v>7946673.0302311294</v>
      </c>
      <c r="I105" s="144">
        <f t="shared" si="7"/>
        <v>34210.427395145009</v>
      </c>
    </row>
    <row r="106" spans="1:9" x14ac:dyDescent="0.35">
      <c r="A106" s="145">
        <f t="shared" si="8"/>
        <v>48000</v>
      </c>
      <c r="B106" s="144">
        <f t="shared" si="9"/>
        <v>43763631.924510486</v>
      </c>
      <c r="C106" s="144">
        <f t="shared" si="6"/>
        <v>188402.43543501766</v>
      </c>
      <c r="E106" s="153"/>
      <c r="F106" s="152"/>
      <c r="G106" s="145">
        <f t="shared" si="10"/>
        <v>48000</v>
      </c>
      <c r="H106" s="144">
        <f t="shared" si="11"/>
        <v>7907455.5041205166</v>
      </c>
      <c r="I106" s="144">
        <f t="shared" si="7"/>
        <v>34041.595945238827</v>
      </c>
    </row>
    <row r="107" spans="1:9" x14ac:dyDescent="0.35">
      <c r="A107" s="145">
        <f t="shared" si="8"/>
        <v>48030</v>
      </c>
      <c r="B107" s="144">
        <f t="shared" si="9"/>
        <v>43545649.027960822</v>
      </c>
      <c r="C107" s="144">
        <f t="shared" si="6"/>
        <v>187464.01906537134</v>
      </c>
      <c r="E107" s="153"/>
      <c r="F107" s="152"/>
      <c r="G107" s="145">
        <f t="shared" si="10"/>
        <v>48030</v>
      </c>
      <c r="H107" s="144">
        <f t="shared" si="11"/>
        <v>7868069.1465599975</v>
      </c>
      <c r="I107" s="144">
        <f t="shared" si="7"/>
        <v>33872.037675940788</v>
      </c>
    </row>
    <row r="108" spans="1:9" x14ac:dyDescent="0.35">
      <c r="A108" s="145">
        <f t="shared" si="8"/>
        <v>48061</v>
      </c>
      <c r="B108" s="144">
        <f t="shared" si="9"/>
        <v>43326727.715041511</v>
      </c>
      <c r="C108" s="144">
        <f t="shared" si="6"/>
        <v>186521.56281325369</v>
      </c>
      <c r="E108" s="153"/>
      <c r="F108" s="152"/>
      <c r="G108" s="145">
        <f t="shared" si="10"/>
        <v>48061</v>
      </c>
      <c r="H108" s="144">
        <f t="shared" si="11"/>
        <v>7828513.2307301797</v>
      </c>
      <c r="I108" s="144">
        <f t="shared" si="7"/>
        <v>33701.749458293423</v>
      </c>
    </row>
    <row r="109" spans="1:9" x14ac:dyDescent="0.35">
      <c r="A109" s="145">
        <f t="shared" si="8"/>
        <v>48092</v>
      </c>
      <c r="B109" s="144">
        <f t="shared" si="9"/>
        <v>43106863.945870079</v>
      </c>
      <c r="C109" s="144">
        <f t="shared" si="6"/>
        <v>185575.04928697066</v>
      </c>
      <c r="E109" s="153"/>
      <c r="F109" s="152"/>
      <c r="G109" s="145">
        <f t="shared" si="10"/>
        <v>48092</v>
      </c>
      <c r="H109" s="144">
        <f t="shared" si="11"/>
        <v>7788787.0266827149</v>
      </c>
      <c r="I109" s="144">
        <f t="shared" si="7"/>
        <v>33530.728149869086</v>
      </c>
    </row>
    <row r="110" spans="1:9" x14ac:dyDescent="0.35">
      <c r="A110" s="145">
        <f t="shared" si="8"/>
        <v>48122</v>
      </c>
      <c r="B110" s="144">
        <f t="shared" si="9"/>
        <v>42886053.663172364</v>
      </c>
      <c r="C110" s="144">
        <f t="shared" si="6"/>
        <v>184624.461019957</v>
      </c>
      <c r="E110" s="153"/>
      <c r="F110" s="152"/>
      <c r="G110" s="145">
        <f t="shared" si="10"/>
        <v>48122</v>
      </c>
      <c r="H110" s="144">
        <f t="shared" si="11"/>
        <v>7748889.8013268262</v>
      </c>
      <c r="I110" s="144">
        <f t="shared" si="7"/>
        <v>33358.970594711987</v>
      </c>
    </row>
    <row r="111" spans="1:9" x14ac:dyDescent="0.35">
      <c r="A111" s="145">
        <f t="shared" si="8"/>
        <v>48153</v>
      </c>
      <c r="B111" s="144">
        <f t="shared" si="9"/>
        <v>42664292.792207636</v>
      </c>
      <c r="C111" s="144">
        <f t="shared" si="6"/>
        <v>183669.78047045387</v>
      </c>
      <c r="E111" s="153"/>
      <c r="F111" s="152"/>
      <c r="G111" s="145">
        <f t="shared" si="10"/>
        <v>48153</v>
      </c>
      <c r="H111" s="144">
        <f t="shared" si="11"/>
        <v>7708820.8184157796</v>
      </c>
      <c r="I111" s="144">
        <f t="shared" si="7"/>
        <v>33186.473623279926</v>
      </c>
    </row>
    <row r="112" spans="1:9" x14ac:dyDescent="0.35">
      <c r="A112" s="145">
        <f t="shared" si="8"/>
        <v>48183</v>
      </c>
      <c r="B112" s="144">
        <f t="shared" si="9"/>
        <v>42441577.240693405</v>
      </c>
      <c r="C112" s="144">
        <f t="shared" si="6"/>
        <v>182710.99002118511</v>
      </c>
      <c r="E112" s="153"/>
      <c r="F112" s="152"/>
      <c r="G112" s="145">
        <f t="shared" si="10"/>
        <v>48183</v>
      </c>
      <c r="H112" s="144">
        <f t="shared" si="11"/>
        <v>7668579.3385333009</v>
      </c>
      <c r="I112" s="144">
        <f t="shared" si="7"/>
        <v>33013.234052385858</v>
      </c>
    </row>
    <row r="113" spans="1:9" x14ac:dyDescent="0.35">
      <c r="A113" s="145">
        <f t="shared" si="8"/>
        <v>48214</v>
      </c>
      <c r="B113" s="144">
        <f t="shared" si="9"/>
        <v>42217902.898729905</v>
      </c>
      <c r="C113" s="144">
        <f t="shared" si="6"/>
        <v>181748.07197903225</v>
      </c>
      <c r="E113" s="153"/>
      <c r="F113" s="152"/>
      <c r="G113" s="145">
        <f t="shared" si="10"/>
        <v>48214</v>
      </c>
      <c r="H113" s="144">
        <f t="shared" si="11"/>
        <v>7628164.6190799288</v>
      </c>
      <c r="I113" s="144">
        <f t="shared" si="7"/>
        <v>32839.248685139093</v>
      </c>
    </row>
    <row r="114" spans="1:9" x14ac:dyDescent="0.35">
      <c r="A114" s="145">
        <f t="shared" si="8"/>
        <v>48245</v>
      </c>
      <c r="B114" s="144">
        <f t="shared" si="9"/>
        <v>41993265.638724253</v>
      </c>
      <c r="C114" s="144">
        <f t="shared" si="6"/>
        <v>180781.0085747079</v>
      </c>
      <c r="E114" s="153"/>
      <c r="F114" s="152"/>
      <c r="G114" s="145">
        <f t="shared" si="10"/>
        <v>48245</v>
      </c>
      <c r="H114" s="144">
        <f t="shared" si="11"/>
        <v>7587575.9142593099</v>
      </c>
      <c r="I114" s="144">
        <f t="shared" si="7"/>
        <v>32664.514310886327</v>
      </c>
    </row>
    <row r="115" spans="1:9" x14ac:dyDescent="0.35">
      <c r="A115" s="145">
        <f t="shared" si="8"/>
        <v>48274</v>
      </c>
      <c r="B115" s="144">
        <f t="shared" si="9"/>
        <v>41767661.315314278</v>
      </c>
      <c r="C115" s="144">
        <f t="shared" si="6"/>
        <v>179809.78196242798</v>
      </c>
      <c r="E115" s="153"/>
      <c r="F115" s="152"/>
      <c r="G115" s="145">
        <f t="shared" si="10"/>
        <v>48274</v>
      </c>
      <c r="H115" s="144">
        <f t="shared" si="11"/>
        <v>7546812.4750644378</v>
      </c>
      <c r="I115" s="144">
        <f t="shared" si="7"/>
        <v>32489.027705152403</v>
      </c>
    </row>
    <row r="116" spans="1:9" x14ac:dyDescent="0.35">
      <c r="A116" s="145">
        <f t="shared" si="8"/>
        <v>48305</v>
      </c>
      <c r="B116" s="144">
        <f t="shared" si="9"/>
        <v>41541085.765292019</v>
      </c>
      <c r="C116" s="144">
        <f t="shared" si="6"/>
        <v>178834.37421958215</v>
      </c>
      <c r="E116" s="153"/>
      <c r="F116" s="152"/>
      <c r="G116" s="145">
        <f t="shared" si="10"/>
        <v>48305</v>
      </c>
      <c r="H116" s="144">
        <f t="shared" si="11"/>
        <v>7505873.5492638322</v>
      </c>
      <c r="I116" s="144">
        <f t="shared" si="7"/>
        <v>32312.785629580798</v>
      </c>
    </row>
    <row r="117" spans="1:9" x14ac:dyDescent="0.35">
      <c r="A117" s="145">
        <f t="shared" si="8"/>
        <v>48335</v>
      </c>
      <c r="B117" s="144">
        <f t="shared" si="9"/>
        <v>41313534.807526916</v>
      </c>
      <c r="C117" s="144">
        <f t="shared" si="6"/>
        <v>177854.76734640336</v>
      </c>
      <c r="E117" s="153"/>
      <c r="F117" s="152"/>
      <c r="G117" s="145">
        <f t="shared" si="10"/>
        <v>48335</v>
      </c>
      <c r="H117" s="144">
        <f t="shared" si="11"/>
        <v>7464758.3813876547</v>
      </c>
      <c r="I117" s="144">
        <f t="shared" si="7"/>
        <v>32135.784831873854</v>
      </c>
    </row>
    <row r="118" spans="1:9" x14ac:dyDescent="0.35">
      <c r="A118" s="145">
        <f t="shared" si="8"/>
        <v>48366</v>
      </c>
      <c r="B118" s="144">
        <f t="shared" si="9"/>
        <v>41085004.242888637</v>
      </c>
      <c r="C118" s="144">
        <f t="shared" si="6"/>
        <v>176870.94326563555</v>
      </c>
      <c r="E118" s="153"/>
      <c r="F118" s="152"/>
      <c r="G118" s="145">
        <f t="shared" si="10"/>
        <v>48366</v>
      </c>
      <c r="H118" s="144">
        <f t="shared" si="11"/>
        <v>7423466.2127137706</v>
      </c>
      <c r="I118" s="144">
        <f t="shared" si="7"/>
        <v>31958.022045732781</v>
      </c>
    </row>
    <row r="119" spans="1:9" x14ac:dyDescent="0.35">
      <c r="A119" s="145">
        <f t="shared" si="8"/>
        <v>48396</v>
      </c>
      <c r="B119" s="144">
        <f t="shared" si="9"/>
        <v>40855489.854169592</v>
      </c>
      <c r="C119" s="144">
        <f t="shared" si="6"/>
        <v>175882.88382220009</v>
      </c>
      <c r="E119" s="153"/>
      <c r="F119" s="152"/>
      <c r="G119" s="145">
        <f t="shared" si="10"/>
        <v>48396</v>
      </c>
      <c r="H119" s="144">
        <f t="shared" si="11"/>
        <v>7381996.2812537448</v>
      </c>
      <c r="I119" s="144">
        <f t="shared" si="7"/>
        <v>31779.493990797371</v>
      </c>
    </row>
    <row r="120" spans="1:9" x14ac:dyDescent="0.35">
      <c r="A120" s="145">
        <f t="shared" si="8"/>
        <v>48427</v>
      </c>
      <c r="B120" s="144">
        <f t="shared" si="9"/>
        <v>40624987.406007111</v>
      </c>
      <c r="C120" s="144">
        <f t="shared" si="6"/>
        <v>174890.5707828606</v>
      </c>
      <c r="E120" s="153"/>
      <c r="F120" s="152"/>
      <c r="G120" s="145">
        <f t="shared" si="10"/>
        <v>48427</v>
      </c>
      <c r="H120" s="144">
        <f t="shared" si="11"/>
        <v>7340347.8217387842</v>
      </c>
      <c r="I120" s="144">
        <f t="shared" si="7"/>
        <v>31600.197372585462</v>
      </c>
    </row>
    <row r="121" spans="1:9" x14ac:dyDescent="0.35">
      <c r="A121" s="145">
        <f t="shared" si="8"/>
        <v>48458</v>
      </c>
      <c r="B121" s="144">
        <f t="shared" si="9"/>
        <v>40393492.64480529</v>
      </c>
      <c r="C121" s="144">
        <f t="shared" si="6"/>
        <v>173893.98583588676</v>
      </c>
      <c r="E121" s="153"/>
      <c r="F121" s="152"/>
      <c r="G121" s="145">
        <f t="shared" si="10"/>
        <v>48458</v>
      </c>
      <c r="H121" s="144">
        <f t="shared" si="11"/>
        <v>7298520.0656056115</v>
      </c>
      <c r="I121" s="144">
        <f t="shared" si="7"/>
        <v>31420.128882432156</v>
      </c>
    </row>
    <row r="122" spans="1:9" x14ac:dyDescent="0.35">
      <c r="A122" s="145">
        <f t="shared" si="8"/>
        <v>48488</v>
      </c>
      <c r="B122" s="144">
        <f t="shared" si="9"/>
        <v>40161001.298656493</v>
      </c>
      <c r="C122" s="144">
        <f t="shared" si="6"/>
        <v>172893.11059071621</v>
      </c>
      <c r="E122" s="153"/>
      <c r="F122" s="152"/>
      <c r="G122" s="145">
        <f t="shared" si="10"/>
        <v>48488</v>
      </c>
      <c r="H122" s="144">
        <f t="shared" si="11"/>
        <v>7256512.2409822857</v>
      </c>
      <c r="I122" s="144">
        <f t="shared" si="7"/>
        <v>31239.285197428737</v>
      </c>
    </row>
    <row r="123" spans="1:9" x14ac:dyDescent="0.35">
      <c r="A123" s="145">
        <f t="shared" si="8"/>
        <v>48519</v>
      </c>
      <c r="B123" s="144">
        <f t="shared" si="9"/>
        <v>39927509.077262528</v>
      </c>
      <c r="C123" s="144">
        <f t="shared" si="6"/>
        <v>171887.92657761517</v>
      </c>
      <c r="E123" s="153"/>
      <c r="F123" s="152"/>
      <c r="G123" s="145">
        <f t="shared" si="10"/>
        <v>48519</v>
      </c>
      <c r="H123" s="144">
        <f t="shared" si="11"/>
        <v>7214323.5726739559</v>
      </c>
      <c r="I123" s="144">
        <f t="shared" si="7"/>
        <v>31057.66298036138</v>
      </c>
    </row>
    <row r="124" spans="1:9" x14ac:dyDescent="0.35">
      <c r="A124" s="145">
        <f t="shared" si="8"/>
        <v>48549</v>
      </c>
      <c r="B124" s="144">
        <f t="shared" si="9"/>
        <v>39693011.671855457</v>
      </c>
      <c r="C124" s="144">
        <f t="shared" si="6"/>
        <v>170878.41524733775</v>
      </c>
      <c r="E124" s="153"/>
      <c r="F124" s="152"/>
      <c r="G124" s="145">
        <f t="shared" si="10"/>
        <v>48549</v>
      </c>
      <c r="H124" s="144">
        <f t="shared" si="11"/>
        <v>7171953.2821485596</v>
      </c>
      <c r="I124" s="144">
        <f t="shared" si="7"/>
        <v>30875.258879649551</v>
      </c>
    </row>
    <row r="125" spans="1:9" x14ac:dyDescent="0.35">
      <c r="A125" s="145">
        <f t="shared" si="8"/>
        <v>48580</v>
      </c>
      <c r="B125" s="144">
        <f t="shared" si="9"/>
        <v>39457504.755118109</v>
      </c>
      <c r="C125" s="144">
        <f t="shared" si="6"/>
        <v>169864.55797078347</v>
      </c>
      <c r="E125" s="153"/>
      <c r="F125" s="152"/>
      <c r="G125" s="145">
        <f t="shared" si="10"/>
        <v>48580</v>
      </c>
      <c r="H125" s="144">
        <f t="shared" si="11"/>
        <v>7129400.5875224508</v>
      </c>
      <c r="I125" s="144">
        <f t="shared" si="7"/>
        <v>30692.069529284152</v>
      </c>
    </row>
    <row r="126" spans="1:9" x14ac:dyDescent="0.35">
      <c r="A126" s="145">
        <f t="shared" si="8"/>
        <v>48611</v>
      </c>
      <c r="B126" s="144">
        <f t="shared" si="9"/>
        <v>39220983.98110421</v>
      </c>
      <c r="C126" s="144">
        <f t="shared" si="6"/>
        <v>168846.33603865362</v>
      </c>
      <c r="E126" s="153"/>
      <c r="F126" s="152"/>
      <c r="G126" s="145">
        <f t="shared" si="10"/>
        <v>48611</v>
      </c>
      <c r="H126" s="144">
        <f t="shared" si="11"/>
        <v>7086664.7035459764</v>
      </c>
      <c r="I126" s="144">
        <f t="shared" si="7"/>
        <v>30508.091548765427</v>
      </c>
    </row>
    <row r="127" spans="1:9" x14ac:dyDescent="0.35">
      <c r="A127" s="145">
        <f t="shared" si="8"/>
        <v>48639</v>
      </c>
      <c r="B127" s="144">
        <f t="shared" si="9"/>
        <v>38983444.985158183</v>
      </c>
      <c r="C127" s="144">
        <f t="shared" si="6"/>
        <v>167823.73066110598</v>
      </c>
      <c r="E127" s="153"/>
      <c r="F127" s="152"/>
      <c r="G127" s="145">
        <f t="shared" si="10"/>
        <v>48639</v>
      </c>
      <c r="H127" s="144">
        <f t="shared" si="11"/>
        <v>7043744.8415889833</v>
      </c>
      <c r="I127" s="144">
        <f t="shared" si="7"/>
        <v>30323.321543040573</v>
      </c>
    </row>
    <row r="128" spans="1:9" x14ac:dyDescent="0.35">
      <c r="A128" s="145">
        <f t="shared" si="8"/>
        <v>48670</v>
      </c>
      <c r="B128" s="144">
        <f t="shared" si="9"/>
        <v>38744883.383834608</v>
      </c>
      <c r="C128" s="144">
        <f t="shared" si="6"/>
        <v>166796.72296740799</v>
      </c>
      <c r="E128" s="153"/>
      <c r="F128" s="152"/>
      <c r="G128" s="145">
        <f t="shared" si="10"/>
        <v>48670</v>
      </c>
      <c r="H128" s="144">
        <f t="shared" si="11"/>
        <v>7000640.2096262658</v>
      </c>
      <c r="I128" s="144">
        <f t="shared" si="7"/>
        <v>30137.756102441072</v>
      </c>
    </row>
    <row r="129" spans="1:9" x14ac:dyDescent="0.35">
      <c r="A129" s="145">
        <f t="shared" si="8"/>
        <v>48700</v>
      </c>
      <c r="B129" s="144">
        <f t="shared" si="9"/>
        <v>38505294.774817333</v>
      </c>
      <c r="C129" s="144">
        <f t="shared" si="6"/>
        <v>165765.2940055886</v>
      </c>
      <c r="E129" s="153"/>
      <c r="F129" s="152"/>
      <c r="G129" s="145">
        <f t="shared" si="10"/>
        <v>48700</v>
      </c>
      <c r="H129" s="144">
        <f t="shared" si="11"/>
        <v>6957350.0122229485</v>
      </c>
      <c r="I129" s="144">
        <f t="shared" si="7"/>
        <v>29951.391802619793</v>
      </c>
    </row>
    <row r="130" spans="1:9" x14ac:dyDescent="0.35">
      <c r="A130" s="145">
        <f t="shared" si="8"/>
        <v>48731</v>
      </c>
      <c r="B130" s="144">
        <f t="shared" si="9"/>
        <v>38264674.736838236</v>
      </c>
      <c r="C130" s="144">
        <f t="shared" si="6"/>
        <v>164729.42474208859</v>
      </c>
      <c r="E130" s="153"/>
      <c r="F130" s="152"/>
      <c r="G130" s="145">
        <f t="shared" si="10"/>
        <v>48731</v>
      </c>
      <c r="H130" s="144">
        <f t="shared" si="11"/>
        <v>6913873.4505198104</v>
      </c>
      <c r="I130" s="144">
        <f t="shared" si="7"/>
        <v>29764.225204487782</v>
      </c>
    </row>
    <row r="131" spans="1:9" x14ac:dyDescent="0.35">
      <c r="A131" s="145">
        <f t="shared" si="8"/>
        <v>48761</v>
      </c>
      <c r="B131" s="144">
        <f t="shared" si="9"/>
        <v>38023018.82959564</v>
      </c>
      <c r="C131" s="144">
        <f t="shared" si="6"/>
        <v>163689.09606140922</v>
      </c>
      <c r="E131" s="153"/>
      <c r="F131" s="152"/>
      <c r="G131" s="145">
        <f t="shared" si="10"/>
        <v>48761</v>
      </c>
      <c r="H131" s="144">
        <f t="shared" si="11"/>
        <v>6870209.7222185396</v>
      </c>
      <c r="I131" s="144">
        <f t="shared" si="7"/>
        <v>29576.252854150811</v>
      </c>
    </row>
    <row r="132" spans="1:9" x14ac:dyDescent="0.35">
      <c r="A132" s="145">
        <f t="shared" si="8"/>
        <v>48792</v>
      </c>
      <c r="B132" s="144">
        <f t="shared" si="9"/>
        <v>37780322.593672365</v>
      </c>
      <c r="C132" s="144">
        <f t="shared" si="6"/>
        <v>162644.28876575953</v>
      </c>
      <c r="E132" s="153"/>
      <c r="F132" s="152"/>
      <c r="G132" s="145">
        <f t="shared" si="10"/>
        <v>48792</v>
      </c>
      <c r="H132" s="144">
        <f t="shared" si="11"/>
        <v>6826358.0215669321</v>
      </c>
      <c r="I132" s="144">
        <f t="shared" si="7"/>
        <v>29387.47128284564</v>
      </c>
    </row>
    <row r="133" spans="1:9" x14ac:dyDescent="0.35">
      <c r="A133" s="145">
        <f t="shared" si="8"/>
        <v>48823</v>
      </c>
      <c r="B133" s="144">
        <f t="shared" si="9"/>
        <v>37536581.550453439</v>
      </c>
      <c r="C133" s="144">
        <f t="shared" si="6"/>
        <v>161594.98357470206</v>
      </c>
      <c r="E133" s="153"/>
      <c r="F133" s="152"/>
      <c r="G133" s="145">
        <f t="shared" si="10"/>
        <v>48823</v>
      </c>
      <c r="H133" s="144">
        <f t="shared" si="11"/>
        <v>6782317.5393440193</v>
      </c>
      <c r="I133" s="144">
        <f t="shared" si="7"/>
        <v>29197.877006876002</v>
      </c>
    </row>
    <row r="134" spans="1:9" x14ac:dyDescent="0.35">
      <c r="A134" s="145">
        <f t="shared" si="8"/>
        <v>48853</v>
      </c>
      <c r="B134" s="144">
        <f t="shared" si="9"/>
        <v>37291791.202043459</v>
      </c>
      <c r="C134" s="144">
        <f t="shared" si="6"/>
        <v>160541.1611247971</v>
      </c>
      <c r="E134" s="153"/>
      <c r="F134" s="152"/>
      <c r="G134" s="145">
        <f t="shared" si="10"/>
        <v>48853</v>
      </c>
      <c r="H134" s="144">
        <f t="shared" si="11"/>
        <v>6738087.4628451373</v>
      </c>
      <c r="I134" s="144">
        <f t="shared" si="7"/>
        <v>29007.466527548313</v>
      </c>
    </row>
    <row r="135" spans="1:9" x14ac:dyDescent="0.35">
      <c r="A135" s="145">
        <f t="shared" si="8"/>
        <v>48884</v>
      </c>
      <c r="B135" s="144">
        <f t="shared" si="9"/>
        <v>37045947.031183571</v>
      </c>
      <c r="C135" s="144">
        <f t="shared" si="6"/>
        <v>159482.80196924528</v>
      </c>
      <c r="E135" s="153"/>
      <c r="F135" s="152"/>
      <c r="G135" s="145">
        <f t="shared" si="10"/>
        <v>48884</v>
      </c>
      <c r="H135" s="144">
        <f t="shared" si="11"/>
        <v>6693666.9758669278</v>
      </c>
      <c r="I135" s="144">
        <f t="shared" si="7"/>
        <v>28816.236331107124</v>
      </c>
    </row>
    <row r="136" spans="1:9" x14ac:dyDescent="0.35">
      <c r="A136" s="145">
        <f t="shared" si="8"/>
        <v>48914</v>
      </c>
      <c r="B136" s="144">
        <f t="shared" si="9"/>
        <v>36799044.501168132</v>
      </c>
      <c r="C136" s="144">
        <f t="shared" si="6"/>
        <v>158419.88657752881</v>
      </c>
      <c r="E136" s="153"/>
      <c r="F136" s="152"/>
      <c r="G136" s="145">
        <f t="shared" si="10"/>
        <v>48914</v>
      </c>
      <c r="H136" s="144">
        <f t="shared" si="11"/>
        <v>6649055.2586922767</v>
      </c>
      <c r="I136" s="144">
        <f t="shared" si="7"/>
        <v>28624.182888670253</v>
      </c>
    </row>
    <row r="137" spans="1:9" x14ac:dyDescent="0.35">
      <c r="A137" s="145">
        <f t="shared" si="8"/>
        <v>48945</v>
      </c>
      <c r="B137" s="144">
        <f t="shared" si="9"/>
        <v>36551079.05576098</v>
      </c>
      <c r="C137" s="144">
        <f t="shared" si="6"/>
        <v>157352.39533505103</v>
      </c>
      <c r="E137" s="153"/>
      <c r="F137" s="152"/>
      <c r="G137" s="145">
        <f t="shared" si="10"/>
        <v>48945</v>
      </c>
      <c r="H137" s="144">
        <f t="shared" si="11"/>
        <v>6604251.4880751884</v>
      </c>
      <c r="I137" s="144">
        <f t="shared" si="7"/>
        <v>28431.302656163683</v>
      </c>
    </row>
    <row r="138" spans="1:9" x14ac:dyDescent="0.35">
      <c r="A138" s="145">
        <f t="shared" si="8"/>
        <v>48976</v>
      </c>
      <c r="B138" s="144">
        <f t="shared" si="9"/>
        <v>36302046.119111344</v>
      </c>
      <c r="C138" s="144">
        <f t="shared" si="6"/>
        <v>156280.30854277432</v>
      </c>
      <c r="E138" s="153"/>
      <c r="F138" s="152"/>
      <c r="G138" s="145">
        <f t="shared" si="10"/>
        <v>48976</v>
      </c>
      <c r="H138" s="144">
        <f t="shared" si="11"/>
        <v>6559254.8372255936</v>
      </c>
      <c r="I138" s="144">
        <f t="shared" si="7"/>
        <v>28237.592074256176</v>
      </c>
    </row>
    <row r="139" spans="1:9" x14ac:dyDescent="0.35">
      <c r="A139" s="145">
        <f t="shared" si="8"/>
        <v>49004</v>
      </c>
      <c r="B139" s="144">
        <f t="shared" si="9"/>
        <v>36051941.095669433</v>
      </c>
      <c r="C139" s="144">
        <f t="shared" ref="C139:C202" si="12">B139*$D$5/12</f>
        <v>155203.6064168569</v>
      </c>
      <c r="E139" s="153"/>
      <c r="F139" s="152"/>
      <c r="G139" s="145">
        <f t="shared" si="10"/>
        <v>49004</v>
      </c>
      <c r="H139" s="144">
        <f t="shared" si="11"/>
        <v>6514064.4757940918</v>
      </c>
      <c r="I139" s="144">
        <f t="shared" ref="I139:I202" si="13">H139*$J$5/12</f>
        <v>28043.047568293565</v>
      </c>
    </row>
    <row r="140" spans="1:9" x14ac:dyDescent="0.35">
      <c r="A140" s="145">
        <f t="shared" ref="A140:A203" si="14">EOMONTH(A139,0)+1</f>
        <v>49035</v>
      </c>
      <c r="B140" s="144">
        <f t="shared" ref="B140:B203" si="15">B139+C139+$D$6</f>
        <v>35800759.370101608</v>
      </c>
      <c r="C140" s="144">
        <f t="shared" si="12"/>
        <v>154122.2690882874</v>
      </c>
      <c r="E140" s="153"/>
      <c r="F140" s="152"/>
      <c r="G140" s="145">
        <f t="shared" ref="G140:G203" si="16">EOMONTH(G139,0)+1</f>
        <v>49035</v>
      </c>
      <c r="H140" s="144">
        <f t="shared" ref="H140:H203" si="17">H139+I139+$J$6</f>
        <v>6468679.5698566269</v>
      </c>
      <c r="I140" s="144">
        <f t="shared" si="13"/>
        <v>27847.665548232777</v>
      </c>
    </row>
    <row r="141" spans="1:9" x14ac:dyDescent="0.35">
      <c r="A141" s="145">
        <f t="shared" si="14"/>
        <v>49065</v>
      </c>
      <c r="B141" s="144">
        <f t="shared" si="15"/>
        <v>35548496.307205215</v>
      </c>
      <c r="C141" s="144">
        <f t="shared" si="12"/>
        <v>153036.27660251842</v>
      </c>
      <c r="E141" s="153"/>
      <c r="F141" s="152"/>
      <c r="G141" s="145">
        <f t="shared" si="16"/>
        <v>49065</v>
      </c>
      <c r="H141" s="144">
        <f t="shared" si="17"/>
        <v>6423099.2818991011</v>
      </c>
      <c r="I141" s="144">
        <f t="shared" si="13"/>
        <v>27651.442408575629</v>
      </c>
    </row>
    <row r="142" spans="1:9" x14ac:dyDescent="0.35">
      <c r="A142" s="145">
        <f t="shared" si="14"/>
        <v>49096</v>
      </c>
      <c r="B142" s="144">
        <f t="shared" si="15"/>
        <v>35295147.251823053</v>
      </c>
      <c r="C142" s="144">
        <f t="shared" si="12"/>
        <v>151945.60891909825</v>
      </c>
      <c r="E142" s="153"/>
      <c r="F142" s="152"/>
      <c r="G142" s="145">
        <f t="shared" si="16"/>
        <v>49096</v>
      </c>
      <c r="H142" s="144">
        <f t="shared" si="17"/>
        <v>6377322.7708019186</v>
      </c>
      <c r="I142" s="144">
        <f t="shared" si="13"/>
        <v>27454.374528302258</v>
      </c>
    </row>
    <row r="143" spans="1:9" x14ac:dyDescent="0.35">
      <c r="A143" s="145">
        <f t="shared" si="14"/>
        <v>49126</v>
      </c>
      <c r="B143" s="144">
        <f t="shared" si="15"/>
        <v>35040707.528757468</v>
      </c>
      <c r="C143" s="144">
        <f t="shared" si="12"/>
        <v>150850.24591130091</v>
      </c>
      <c r="E143" s="153"/>
      <c r="F143" s="152"/>
      <c r="G143" s="145">
        <f t="shared" si="16"/>
        <v>49126</v>
      </c>
      <c r="H143" s="144">
        <f t="shared" si="17"/>
        <v>6331349.1918244623</v>
      </c>
      <c r="I143" s="144">
        <f t="shared" si="13"/>
        <v>27256.458270804305</v>
      </c>
    </row>
    <row r="144" spans="1:9" x14ac:dyDescent="0.35">
      <c r="A144" s="145">
        <f t="shared" si="14"/>
        <v>49157</v>
      </c>
      <c r="B144" s="144">
        <f t="shared" si="15"/>
        <v>34785172.442684084</v>
      </c>
      <c r="C144" s="144">
        <f t="shared" si="12"/>
        <v>149750.16736575498</v>
      </c>
      <c r="E144" s="153"/>
      <c r="F144" s="152"/>
      <c r="G144" s="145">
        <f t="shared" si="16"/>
        <v>49157</v>
      </c>
      <c r="H144" s="144">
        <f t="shared" si="17"/>
        <v>6285177.6965895081</v>
      </c>
      <c r="I144" s="144">
        <f t="shared" si="13"/>
        <v>27057.689983817832</v>
      </c>
    </row>
    <row r="145" spans="1:9" x14ac:dyDescent="0.35">
      <c r="A145" s="145">
        <f t="shared" si="14"/>
        <v>49188</v>
      </c>
      <c r="B145" s="144">
        <f t="shared" si="15"/>
        <v>34528537.278065152</v>
      </c>
      <c r="C145" s="144">
        <f t="shared" si="12"/>
        <v>148645.35298207047</v>
      </c>
      <c r="E145" s="153"/>
      <c r="F145" s="152"/>
      <c r="G145" s="145">
        <f t="shared" si="16"/>
        <v>49188</v>
      </c>
      <c r="H145" s="144">
        <f t="shared" si="17"/>
        <v>6238807.4330675676</v>
      </c>
      <c r="I145" s="144">
        <f t="shared" si="13"/>
        <v>26858.065999355877</v>
      </c>
    </row>
    <row r="146" spans="1:9" x14ac:dyDescent="0.35">
      <c r="A146" s="145">
        <f t="shared" si="14"/>
        <v>49218</v>
      </c>
      <c r="B146" s="144">
        <f t="shared" si="15"/>
        <v>34270797.299062543</v>
      </c>
      <c r="C146" s="144">
        <f t="shared" si="12"/>
        <v>147535.78237246422</v>
      </c>
      <c r="E146" s="153"/>
      <c r="F146" s="152"/>
      <c r="G146" s="145">
        <f t="shared" si="16"/>
        <v>49218</v>
      </c>
      <c r="H146" s="144">
        <f t="shared" si="17"/>
        <v>6192237.5455611655</v>
      </c>
      <c r="I146" s="144">
        <f t="shared" si="13"/>
        <v>26657.582633640817</v>
      </c>
    </row>
    <row r="147" spans="1:9" x14ac:dyDescent="0.35">
      <c r="A147" s="145">
        <f t="shared" si="14"/>
        <v>49249</v>
      </c>
      <c r="B147" s="144">
        <f t="shared" si="15"/>
        <v>34011947.749450326</v>
      </c>
      <c r="C147" s="144">
        <f t="shared" si="12"/>
        <v>146421.43506138364</v>
      </c>
      <c r="E147" s="153"/>
      <c r="F147" s="152"/>
      <c r="G147" s="145">
        <f t="shared" si="16"/>
        <v>49249</v>
      </c>
      <c r="H147" s="144">
        <f t="shared" si="17"/>
        <v>6145467.174689048</v>
      </c>
      <c r="I147" s="144">
        <f t="shared" si="13"/>
        <v>26456.236187036349</v>
      </c>
    </row>
    <row r="148" spans="1:9" x14ac:dyDescent="0.35">
      <c r="A148" s="145">
        <f t="shared" si="14"/>
        <v>49279</v>
      </c>
      <c r="B148" s="144">
        <f t="shared" si="15"/>
        <v>33751983.852527022</v>
      </c>
      <c r="C148" s="144">
        <f t="shared" si="12"/>
        <v>145302.29048512882</v>
      </c>
      <c r="E148" s="153"/>
      <c r="F148" s="152"/>
      <c r="G148" s="145">
        <f t="shared" si="16"/>
        <v>49279</v>
      </c>
      <c r="H148" s="144">
        <f t="shared" si="17"/>
        <v>6098495.4573703259</v>
      </c>
      <c r="I148" s="144">
        <f t="shared" si="13"/>
        <v>26254.022943979249</v>
      </c>
    </row>
    <row r="149" spans="1:9" x14ac:dyDescent="0.35">
      <c r="A149" s="145">
        <f t="shared" si="14"/>
        <v>49310</v>
      </c>
      <c r="B149" s="144">
        <f t="shared" si="15"/>
        <v>33490900.811027471</v>
      </c>
      <c r="C149" s="144">
        <f t="shared" si="12"/>
        <v>144178.32799147326</v>
      </c>
      <c r="E149" s="153"/>
      <c r="F149" s="152"/>
      <c r="G149" s="145">
        <f t="shared" si="16"/>
        <v>49310</v>
      </c>
      <c r="H149" s="144">
        <f t="shared" si="17"/>
        <v>6051321.5268085469</v>
      </c>
      <c r="I149" s="144">
        <f t="shared" si="13"/>
        <v>26050.939172910792</v>
      </c>
    </row>
    <row r="150" spans="1:9" x14ac:dyDescent="0.35">
      <c r="A150" s="145">
        <f t="shared" si="14"/>
        <v>49341</v>
      </c>
      <c r="B150" s="144">
        <f t="shared" si="15"/>
        <v>33228693.807034265</v>
      </c>
      <c r="C150" s="144">
        <f t="shared" si="12"/>
        <v>143049.52683928251</v>
      </c>
      <c r="E150" s="153"/>
      <c r="F150" s="152"/>
      <c r="G150" s="145">
        <f t="shared" si="16"/>
        <v>49341</v>
      </c>
      <c r="H150" s="144">
        <f t="shared" si="17"/>
        <v>6003944.5124756992</v>
      </c>
      <c r="I150" s="144">
        <f t="shared" si="13"/>
        <v>25846.981126207884</v>
      </c>
    </row>
    <row r="151" spans="1:9" x14ac:dyDescent="0.35">
      <c r="A151" s="145">
        <f t="shared" si="14"/>
        <v>49369</v>
      </c>
      <c r="B151" s="144">
        <f t="shared" si="15"/>
        <v>32965358.001888867</v>
      </c>
      <c r="C151" s="144">
        <f t="shared" si="12"/>
        <v>141915.86619813155</v>
      </c>
      <c r="E151" s="153"/>
      <c r="F151" s="152"/>
      <c r="G151" s="145">
        <f t="shared" si="16"/>
        <v>49369</v>
      </c>
      <c r="H151" s="144">
        <f t="shared" si="17"/>
        <v>5956363.5400961488</v>
      </c>
      <c r="I151" s="144">
        <f t="shared" si="13"/>
        <v>25642.145040113919</v>
      </c>
    </row>
    <row r="152" spans="1:9" x14ac:dyDescent="0.35">
      <c r="A152" s="145">
        <f t="shared" si="14"/>
        <v>49400</v>
      </c>
      <c r="B152" s="144">
        <f t="shared" si="15"/>
        <v>32700888.536102317</v>
      </c>
      <c r="C152" s="144">
        <f t="shared" si="12"/>
        <v>140777.32514792046</v>
      </c>
      <c r="E152" s="153"/>
      <c r="F152" s="152"/>
      <c r="G152" s="145">
        <f t="shared" si="16"/>
        <v>49400</v>
      </c>
      <c r="H152" s="144">
        <f t="shared" si="17"/>
        <v>5908577.7316305041</v>
      </c>
      <c r="I152" s="144">
        <f t="shared" si="13"/>
        <v>25436.427134669317</v>
      </c>
    </row>
    <row r="153" spans="1:9" x14ac:dyDescent="0.35">
      <c r="A153" s="145">
        <f t="shared" si="14"/>
        <v>49430</v>
      </c>
      <c r="B153" s="144">
        <f t="shared" si="15"/>
        <v>32435280.529265556</v>
      </c>
      <c r="C153" s="144">
        <f t="shared" si="12"/>
        <v>139633.88267848821</v>
      </c>
      <c r="E153" s="153"/>
      <c r="F153" s="152"/>
      <c r="G153" s="145">
        <f t="shared" si="16"/>
        <v>49430</v>
      </c>
      <c r="H153" s="144">
        <f t="shared" si="17"/>
        <v>5860586.2052594153</v>
      </c>
      <c r="I153" s="144">
        <f t="shared" si="13"/>
        <v>25229.823613641784</v>
      </c>
    </row>
    <row r="154" spans="1:9" x14ac:dyDescent="0.35">
      <c r="A154" s="145">
        <f t="shared" si="14"/>
        <v>49461</v>
      </c>
      <c r="B154" s="144">
        <f t="shared" si="15"/>
        <v>32168529.079959363</v>
      </c>
      <c r="C154" s="144">
        <f t="shared" si="12"/>
        <v>138485.51768922506</v>
      </c>
      <c r="E154" s="153"/>
      <c r="F154" s="152"/>
      <c r="G154" s="145">
        <f t="shared" si="16"/>
        <v>49461</v>
      </c>
      <c r="H154" s="144">
        <f t="shared" si="17"/>
        <v>5812388.0753672989</v>
      </c>
      <c r="I154" s="144">
        <f t="shared" si="13"/>
        <v>25022.330664456222</v>
      </c>
    </row>
    <row r="155" spans="1:9" x14ac:dyDescent="0.35">
      <c r="A155" s="145">
        <f t="shared" si="14"/>
        <v>49491</v>
      </c>
      <c r="B155" s="144">
        <f t="shared" si="15"/>
        <v>31900629.265663907</v>
      </c>
      <c r="C155" s="144">
        <f t="shared" si="12"/>
        <v>137332.20898868309</v>
      </c>
      <c r="E155" s="153"/>
      <c r="F155" s="152"/>
      <c r="G155" s="145">
        <f t="shared" si="16"/>
        <v>49491</v>
      </c>
      <c r="H155" s="144">
        <f t="shared" si="17"/>
        <v>5763982.4525259966</v>
      </c>
      <c r="I155" s="144">
        <f t="shared" si="13"/>
        <v>24813.944458124413</v>
      </c>
    </row>
    <row r="156" spans="1:9" x14ac:dyDescent="0.35">
      <c r="A156" s="145">
        <f t="shared" si="14"/>
        <v>49522</v>
      </c>
      <c r="B156" s="144">
        <f t="shared" si="15"/>
        <v>31631576.142667908</v>
      </c>
      <c r="C156" s="144">
        <f t="shared" si="12"/>
        <v>136173.93529418533</v>
      </c>
      <c r="E156" s="153"/>
      <c r="F156" s="152"/>
      <c r="G156" s="145">
        <f t="shared" si="16"/>
        <v>49522</v>
      </c>
      <c r="H156" s="144">
        <f t="shared" si="17"/>
        <v>5715368.4434783626</v>
      </c>
      <c r="I156" s="144">
        <f t="shared" si="13"/>
        <v>24604.66114917435</v>
      </c>
    </row>
    <row r="157" spans="1:9" x14ac:dyDescent="0.35">
      <c r="A157" s="145">
        <f t="shared" si="14"/>
        <v>49553</v>
      </c>
      <c r="B157" s="144">
        <f t="shared" si="15"/>
        <v>31361364.745977413</v>
      </c>
      <c r="C157" s="144">
        <f t="shared" si="12"/>
        <v>135010.67523143275</v>
      </c>
      <c r="E157" s="153"/>
      <c r="F157" s="152"/>
      <c r="G157" s="145">
        <f t="shared" si="16"/>
        <v>49553</v>
      </c>
      <c r="H157" s="144">
        <f t="shared" si="17"/>
        <v>5666545.1511217784</v>
      </c>
      <c r="I157" s="144">
        <f t="shared" si="13"/>
        <v>24394.476875579257</v>
      </c>
    </row>
    <row r="158" spans="1:9" x14ac:dyDescent="0.35">
      <c r="A158" s="145">
        <f t="shared" si="14"/>
        <v>49583</v>
      </c>
      <c r="B158" s="144">
        <f t="shared" si="15"/>
        <v>31089990.089224167</v>
      </c>
      <c r="C158" s="144">
        <f t="shared" si="12"/>
        <v>133842.40733411003</v>
      </c>
      <c r="E158" s="153"/>
      <c r="F158" s="152"/>
      <c r="G158" s="145">
        <f t="shared" si="16"/>
        <v>49583</v>
      </c>
      <c r="H158" s="144">
        <f t="shared" si="17"/>
        <v>5617511.6744915992</v>
      </c>
      <c r="I158" s="144">
        <f t="shared" si="13"/>
        <v>24183.387758686335</v>
      </c>
    </row>
    <row r="159" spans="1:9" x14ac:dyDescent="0.35">
      <c r="A159" s="145">
        <f t="shared" si="14"/>
        <v>49614</v>
      </c>
      <c r="B159" s="144">
        <f t="shared" si="15"/>
        <v>30817447.164573599</v>
      </c>
      <c r="C159" s="144">
        <f t="shared" si="12"/>
        <v>132669.11004348935</v>
      </c>
      <c r="E159" s="153"/>
      <c r="F159" s="152"/>
      <c r="G159" s="145">
        <f t="shared" si="16"/>
        <v>49614</v>
      </c>
      <c r="H159" s="144">
        <f t="shared" si="17"/>
        <v>5568267.1087445272</v>
      </c>
      <c r="I159" s="144">
        <f t="shared" si="13"/>
        <v>23971.389903145187</v>
      </c>
    </row>
    <row r="160" spans="1:9" x14ac:dyDescent="0.35">
      <c r="A160" s="145">
        <f t="shared" si="14"/>
        <v>49644</v>
      </c>
      <c r="B160" s="144">
        <f t="shared" si="15"/>
        <v>30543730.942632407</v>
      </c>
      <c r="C160" s="144">
        <f t="shared" si="12"/>
        <v>131490.76170803251</v>
      </c>
      <c r="E160" s="153"/>
      <c r="F160" s="152"/>
      <c r="G160" s="145">
        <f t="shared" si="16"/>
        <v>49644</v>
      </c>
      <c r="H160" s="144">
        <f t="shared" si="17"/>
        <v>5518810.5451419139</v>
      </c>
      <c r="I160" s="144">
        <f t="shared" si="13"/>
        <v>23758.479396835941</v>
      </c>
    </row>
    <row r="161" spans="1:9" x14ac:dyDescent="0.35">
      <c r="A161" s="145">
        <f t="shared" si="14"/>
        <v>49675</v>
      </c>
      <c r="B161" s="144">
        <f t="shared" si="15"/>
        <v>30268836.372355759</v>
      </c>
      <c r="C161" s="144">
        <f t="shared" si="12"/>
        <v>130307.34058299154</v>
      </c>
      <c r="E161" s="153"/>
      <c r="F161" s="152"/>
      <c r="G161" s="145">
        <f t="shared" si="16"/>
        <v>49675</v>
      </c>
      <c r="H161" s="144">
        <f t="shared" si="17"/>
        <v>5469141.0710329916</v>
      </c>
      <c r="I161" s="144">
        <f t="shared" si="13"/>
        <v>23544.652310797028</v>
      </c>
    </row>
    <row r="162" spans="1:9" x14ac:dyDescent="0.35">
      <c r="A162" s="145">
        <f t="shared" si="14"/>
        <v>49706</v>
      </c>
      <c r="B162" s="144">
        <f t="shared" si="15"/>
        <v>29992758.380954072</v>
      </c>
      <c r="C162" s="144">
        <f t="shared" si="12"/>
        <v>129118.82483000727</v>
      </c>
      <c r="E162" s="153"/>
      <c r="F162" s="152"/>
      <c r="G162" s="145">
        <f t="shared" si="16"/>
        <v>49706</v>
      </c>
      <c r="H162" s="144">
        <f t="shared" si="17"/>
        <v>5419257.7698380305</v>
      </c>
      <c r="I162" s="144">
        <f t="shared" si="13"/>
        <v>23329.904699152718</v>
      </c>
    </row>
    <row r="163" spans="1:9" x14ac:dyDescent="0.35">
      <c r="A163" s="145">
        <f t="shared" si="14"/>
        <v>49735</v>
      </c>
      <c r="B163" s="144">
        <f t="shared" si="15"/>
        <v>29715491.873799399</v>
      </c>
      <c r="C163" s="144">
        <f t="shared" si="12"/>
        <v>127925.1925167064</v>
      </c>
      <c r="E163" s="153"/>
      <c r="F163" s="152"/>
      <c r="G163" s="145">
        <f t="shared" si="16"/>
        <v>49735</v>
      </c>
      <c r="H163" s="144">
        <f t="shared" si="17"/>
        <v>5369159.7210314246</v>
      </c>
      <c r="I163" s="144">
        <f t="shared" si="13"/>
        <v>23114.232599040279</v>
      </c>
    </row>
    <row r="164" spans="1:9" x14ac:dyDescent="0.35">
      <c r="A164" s="145">
        <f t="shared" si="14"/>
        <v>49766</v>
      </c>
      <c r="B164" s="144">
        <f t="shared" si="15"/>
        <v>29437031.734331425</v>
      </c>
      <c r="C164" s="144">
        <f t="shared" si="12"/>
        <v>126726.42161629679</v>
      </c>
      <c r="E164" s="153"/>
      <c r="F164" s="152"/>
      <c r="G164" s="145">
        <f t="shared" si="16"/>
        <v>49766</v>
      </c>
      <c r="H164" s="144">
        <f t="shared" si="17"/>
        <v>5318846.0001247069</v>
      </c>
      <c r="I164" s="144">
        <f t="shared" si="13"/>
        <v>22897.632030536861</v>
      </c>
    </row>
    <row r="165" spans="1:9" x14ac:dyDescent="0.35">
      <c r="A165" s="145">
        <f t="shared" si="14"/>
        <v>49796</v>
      </c>
      <c r="B165" s="144">
        <f t="shared" si="15"/>
        <v>29157372.823963042</v>
      </c>
      <c r="C165" s="144">
        <f t="shared" si="12"/>
        <v>125522.49000716089</v>
      </c>
      <c r="E165" s="153"/>
      <c r="F165" s="152"/>
      <c r="G165" s="145">
        <f t="shared" si="16"/>
        <v>49796</v>
      </c>
      <c r="H165" s="144">
        <f t="shared" si="17"/>
        <v>5268315.6786494851</v>
      </c>
      <c r="I165" s="144">
        <f t="shared" si="13"/>
        <v>22680.098996586032</v>
      </c>
    </row>
    <row r="166" spans="1:9" x14ac:dyDescent="0.35">
      <c r="A166" s="145">
        <f t="shared" si="14"/>
        <v>49827</v>
      </c>
      <c r="B166" s="144">
        <f t="shared" si="15"/>
        <v>28876509.981985524</v>
      </c>
      <c r="C166" s="144">
        <f t="shared" si="12"/>
        <v>124313.37547244767</v>
      </c>
      <c r="E166" s="153"/>
      <c r="F166" s="152"/>
      <c r="G166" s="145">
        <f t="shared" si="16"/>
        <v>49827</v>
      </c>
      <c r="H166" s="144">
        <f t="shared" si="17"/>
        <v>5217567.8241403131</v>
      </c>
      <c r="I166" s="144">
        <f t="shared" si="13"/>
        <v>22461.629482924047</v>
      </c>
    </row>
    <row r="167" spans="1:9" x14ac:dyDescent="0.35">
      <c r="A167" s="145">
        <f t="shared" si="14"/>
        <v>49857</v>
      </c>
      <c r="B167" s="144">
        <f t="shared" si="15"/>
        <v>28594438.025473293</v>
      </c>
      <c r="C167" s="144">
        <f t="shared" si="12"/>
        <v>123099.05569966252</v>
      </c>
      <c r="E167" s="153"/>
      <c r="F167" s="152"/>
      <c r="G167" s="145">
        <f t="shared" si="16"/>
        <v>49857</v>
      </c>
      <c r="H167" s="144">
        <f t="shared" si="17"/>
        <v>5166601.5001174789</v>
      </c>
      <c r="I167" s="144">
        <f t="shared" si="13"/>
        <v>22242.219458005744</v>
      </c>
    </row>
    <row r="168" spans="1:9" x14ac:dyDescent="0.35">
      <c r="A168" s="145">
        <f t="shared" si="14"/>
        <v>49888</v>
      </c>
      <c r="B168" s="144">
        <f t="shared" si="15"/>
        <v>28311151.749188274</v>
      </c>
      <c r="C168" s="144">
        <f t="shared" si="12"/>
        <v>121879.50828025553</v>
      </c>
      <c r="E168" s="153"/>
      <c r="F168" s="152"/>
      <c r="G168" s="145">
        <f t="shared" si="16"/>
        <v>49888</v>
      </c>
      <c r="H168" s="144">
        <f t="shared" si="17"/>
        <v>5115415.7660697261</v>
      </c>
      <c r="I168" s="144">
        <f t="shared" si="13"/>
        <v>22021.864872930168</v>
      </c>
    </row>
    <row r="169" spans="1:9" x14ac:dyDescent="0.35">
      <c r="A169" s="145">
        <f t="shared" si="14"/>
        <v>49919</v>
      </c>
      <c r="B169" s="144">
        <f t="shared" si="15"/>
        <v>28026645.925483849</v>
      </c>
      <c r="C169" s="144">
        <f t="shared" si="12"/>
        <v>120654.71070920797</v>
      </c>
      <c r="E169" s="153"/>
      <c r="F169" s="152"/>
      <c r="G169" s="145">
        <f t="shared" si="16"/>
        <v>49919</v>
      </c>
      <c r="H169" s="144">
        <f t="shared" si="17"/>
        <v>5064009.6774368985</v>
      </c>
      <c r="I169" s="144">
        <f t="shared" si="13"/>
        <v>21800.561661365846</v>
      </c>
    </row>
    <row r="170" spans="1:9" x14ac:dyDescent="0.35">
      <c r="A170" s="145">
        <f t="shared" si="14"/>
        <v>49949</v>
      </c>
      <c r="B170" s="144">
        <f t="shared" si="15"/>
        <v>27740915.304208376</v>
      </c>
      <c r="C170" s="144">
        <f t="shared" si="12"/>
        <v>119424.64038461704</v>
      </c>
      <c r="E170" s="153"/>
      <c r="F170" s="152"/>
      <c r="G170" s="145">
        <f t="shared" si="16"/>
        <v>49949</v>
      </c>
      <c r="H170" s="144">
        <f t="shared" si="17"/>
        <v>5012382.2855925057</v>
      </c>
      <c r="I170" s="144">
        <f t="shared" si="13"/>
        <v>21578.305739475738</v>
      </c>
    </row>
    <row r="171" spans="1:9" x14ac:dyDescent="0.35">
      <c r="A171" s="145">
        <f t="shared" si="14"/>
        <v>49980</v>
      </c>
      <c r="B171" s="144">
        <f t="shared" si="15"/>
        <v>27453954.612608314</v>
      </c>
      <c r="C171" s="144">
        <f t="shared" si="12"/>
        <v>118189.27460727877</v>
      </c>
      <c r="E171" s="153"/>
      <c r="F171" s="152"/>
      <c r="G171" s="145">
        <f t="shared" si="16"/>
        <v>49980</v>
      </c>
      <c r="H171" s="144">
        <f t="shared" si="17"/>
        <v>4960532.6378262229</v>
      </c>
      <c r="I171" s="144">
        <f t="shared" si="13"/>
        <v>21355.093005841889</v>
      </c>
    </row>
    <row r="172" spans="1:9" x14ac:dyDescent="0.35">
      <c r="A172" s="145">
        <f t="shared" si="14"/>
        <v>50010</v>
      </c>
      <c r="B172" s="144">
        <f t="shared" si="15"/>
        <v>27165758.555230912</v>
      </c>
      <c r="C172" s="144">
        <f t="shared" si="12"/>
        <v>116948.59058026907</v>
      </c>
      <c r="E172" s="153"/>
      <c r="F172" s="152"/>
      <c r="G172" s="145">
        <f t="shared" si="16"/>
        <v>50010</v>
      </c>
      <c r="H172" s="144">
        <f t="shared" si="17"/>
        <v>4908459.7773263063</v>
      </c>
      <c r="I172" s="144">
        <f t="shared" si="13"/>
        <v>21130.919341389748</v>
      </c>
    </row>
    <row r="173" spans="1:9" x14ac:dyDescent="0.35">
      <c r="A173" s="145">
        <f t="shared" si="14"/>
        <v>50041</v>
      </c>
      <c r="B173" s="144">
        <f t="shared" si="15"/>
        <v>26876321.813826501</v>
      </c>
      <c r="C173" s="144">
        <f t="shared" si="12"/>
        <v>115702.56540852308</v>
      </c>
      <c r="E173" s="153"/>
      <c r="F173" s="152"/>
      <c r="G173" s="145">
        <f t="shared" si="16"/>
        <v>50041</v>
      </c>
      <c r="H173" s="144">
        <f t="shared" si="17"/>
        <v>4856162.7431619382</v>
      </c>
      <c r="I173" s="144">
        <f t="shared" si="13"/>
        <v>20905.780609312143</v>
      </c>
    </row>
    <row r="174" spans="1:9" x14ac:dyDescent="0.35">
      <c r="A174" s="145">
        <f t="shared" si="14"/>
        <v>50072</v>
      </c>
      <c r="B174" s="144">
        <f t="shared" si="15"/>
        <v>26585639.047250345</v>
      </c>
      <c r="C174" s="144">
        <f t="shared" si="12"/>
        <v>114451.17609841273</v>
      </c>
      <c r="E174" s="153"/>
      <c r="F174" s="152"/>
      <c r="G174" s="145">
        <f t="shared" si="16"/>
        <v>50072</v>
      </c>
      <c r="H174" s="144">
        <f t="shared" si="17"/>
        <v>4803640.5702654924</v>
      </c>
      <c r="I174" s="144">
        <f t="shared" si="13"/>
        <v>20679.672654992944</v>
      </c>
    </row>
    <row r="175" spans="1:9" x14ac:dyDescent="0.35">
      <c r="A175" s="145">
        <f t="shared" si="14"/>
        <v>50100</v>
      </c>
      <c r="B175" s="144">
        <f t="shared" si="15"/>
        <v>26293704.891364079</v>
      </c>
      <c r="C175" s="144">
        <f t="shared" si="12"/>
        <v>113194.39955732237</v>
      </c>
      <c r="E175" s="153"/>
      <c r="F175" s="152"/>
      <c r="G175" s="145">
        <f t="shared" si="16"/>
        <v>50100</v>
      </c>
      <c r="H175" s="144">
        <f t="shared" si="17"/>
        <v>4750892.2894147271</v>
      </c>
      <c r="I175" s="144">
        <f t="shared" si="13"/>
        <v>20452.5913059304</v>
      </c>
    </row>
    <row r="176" spans="1:9" x14ac:dyDescent="0.35">
      <c r="A176" s="145">
        <f t="shared" si="14"/>
        <v>50131</v>
      </c>
      <c r="B176" s="144">
        <f t="shared" si="15"/>
        <v>26000513.958936721</v>
      </c>
      <c r="C176" s="144">
        <f t="shared" si="12"/>
        <v>111932.21259322258</v>
      </c>
      <c r="E176" s="153"/>
      <c r="F176" s="152"/>
      <c r="G176" s="145">
        <f t="shared" si="16"/>
        <v>50131</v>
      </c>
      <c r="H176" s="144">
        <f t="shared" si="17"/>
        <v>4697916.9272148991</v>
      </c>
      <c r="I176" s="144">
        <f t="shared" si="13"/>
        <v>20224.532371660138</v>
      </c>
    </row>
    <row r="177" spans="1:9" x14ac:dyDescent="0.35">
      <c r="A177" s="145">
        <f t="shared" si="14"/>
        <v>50161</v>
      </c>
      <c r="B177" s="144">
        <f t="shared" si="15"/>
        <v>25706060.839545265</v>
      </c>
      <c r="C177" s="144">
        <f t="shared" si="12"/>
        <v>110664.59191424237</v>
      </c>
      <c r="E177" s="153"/>
      <c r="F177" s="152"/>
      <c r="G177" s="145">
        <f t="shared" si="16"/>
        <v>50161</v>
      </c>
      <c r="H177" s="144">
        <f t="shared" si="17"/>
        <v>4644713.5060808007</v>
      </c>
      <c r="I177" s="144">
        <f t="shared" si="13"/>
        <v>19995.491643677848</v>
      </c>
    </row>
    <row r="178" spans="1:9" x14ac:dyDescent="0.35">
      <c r="A178" s="145">
        <f t="shared" si="14"/>
        <v>50192</v>
      </c>
      <c r="B178" s="144">
        <f t="shared" si="15"/>
        <v>25410340.099474829</v>
      </c>
      <c r="C178" s="144">
        <f t="shared" si="12"/>
        <v>109391.51412823913</v>
      </c>
      <c r="E178" s="153"/>
      <c r="F178" s="152"/>
      <c r="G178" s="145">
        <f t="shared" si="16"/>
        <v>50192</v>
      </c>
      <c r="H178" s="144">
        <f t="shared" si="17"/>
        <v>4591281.0442187199</v>
      </c>
      <c r="I178" s="144">
        <f t="shared" si="13"/>
        <v>19765.464895361587</v>
      </c>
    </row>
    <row r="179" spans="1:9" x14ac:dyDescent="0.35">
      <c r="A179" s="145">
        <f t="shared" si="14"/>
        <v>50222</v>
      </c>
      <c r="B179" s="144">
        <f t="shared" si="15"/>
        <v>25113346.281618387</v>
      </c>
      <c r="C179" s="144">
        <f t="shared" si="12"/>
        <v>108112.95574236715</v>
      </c>
      <c r="E179" s="153"/>
      <c r="F179" s="152"/>
      <c r="G179" s="145">
        <f t="shared" si="16"/>
        <v>50222</v>
      </c>
      <c r="H179" s="144">
        <f t="shared" si="17"/>
        <v>4537618.5556083238</v>
      </c>
      <c r="I179" s="144">
        <f t="shared" si="13"/>
        <v>19534.447881893833</v>
      </c>
    </row>
    <row r="180" spans="1:9" x14ac:dyDescent="0.35">
      <c r="A180" s="145">
        <f t="shared" si="14"/>
        <v>50253</v>
      </c>
      <c r="B180" s="144">
        <f t="shared" si="15"/>
        <v>24815073.905376073</v>
      </c>
      <c r="C180" s="144">
        <f t="shared" si="12"/>
        <v>106828.89316264399</v>
      </c>
      <c r="E180" s="153"/>
      <c r="F180" s="152"/>
      <c r="G180" s="145">
        <f t="shared" si="16"/>
        <v>50253</v>
      </c>
      <c r="H180" s="144">
        <f t="shared" si="17"/>
        <v>4483725.0499844598</v>
      </c>
      <c r="I180" s="144">
        <f t="shared" si="13"/>
        <v>19302.436340183096</v>
      </c>
    </row>
    <row r="181" spans="1:9" x14ac:dyDescent="0.35">
      <c r="A181" s="145">
        <f t="shared" si="14"/>
        <v>50284</v>
      </c>
      <c r="B181" s="144">
        <f t="shared" si="15"/>
        <v>24515517.466554038</v>
      </c>
      <c r="C181" s="144">
        <f t="shared" si="12"/>
        <v>105539.30269351513</v>
      </c>
      <c r="E181" s="153"/>
      <c r="F181" s="152"/>
      <c r="G181" s="145">
        <f t="shared" si="16"/>
        <v>50284</v>
      </c>
      <c r="H181" s="144">
        <f t="shared" si="17"/>
        <v>4429599.5328188846</v>
      </c>
      <c r="I181" s="144">
        <f t="shared" si="13"/>
        <v>19069.425988785297</v>
      </c>
    </row>
    <row r="182" spans="1:9" x14ac:dyDescent="0.35">
      <c r="A182" s="145">
        <f t="shared" si="14"/>
        <v>50314</v>
      </c>
      <c r="B182" s="144">
        <f t="shared" si="15"/>
        <v>24214671.437262874</v>
      </c>
      <c r="C182" s="144">
        <f t="shared" si="12"/>
        <v>104244.16053741665</v>
      </c>
      <c r="E182" s="153"/>
      <c r="F182" s="152"/>
      <c r="G182" s="145">
        <f t="shared" si="16"/>
        <v>50314</v>
      </c>
      <c r="H182" s="144">
        <f t="shared" si="17"/>
        <v>4375241.0053019114</v>
      </c>
      <c r="I182" s="144">
        <f t="shared" si="13"/>
        <v>18835.412527824727</v>
      </c>
    </row>
    <row r="183" spans="1:9" x14ac:dyDescent="0.35">
      <c r="A183" s="145">
        <f t="shared" si="14"/>
        <v>50345</v>
      </c>
      <c r="B183" s="144">
        <f t="shared" si="15"/>
        <v>23912530.265815612</v>
      </c>
      <c r="C183" s="144">
        <f t="shared" si="12"/>
        <v>102943.4427943362</v>
      </c>
      <c r="E183" s="153"/>
      <c r="F183" s="152"/>
      <c r="G183" s="145">
        <f t="shared" si="16"/>
        <v>50345</v>
      </c>
      <c r="H183" s="144">
        <f t="shared" si="17"/>
        <v>4320648.4643239779</v>
      </c>
      <c r="I183" s="144">
        <f t="shared" si="13"/>
        <v>18600.391638914723</v>
      </c>
    </row>
    <row r="184" spans="1:9" x14ac:dyDescent="0.35">
      <c r="A184" s="145">
        <f t="shared" si="14"/>
        <v>50375</v>
      </c>
      <c r="B184" s="144">
        <f t="shared" si="15"/>
        <v>23609088.37662527</v>
      </c>
      <c r="C184" s="144">
        <f t="shared" si="12"/>
        <v>101637.12546137179</v>
      </c>
      <c r="E184" s="153"/>
      <c r="F184" s="152"/>
      <c r="G184" s="145">
        <f t="shared" si="16"/>
        <v>50375</v>
      </c>
      <c r="H184" s="144">
        <f t="shared" si="17"/>
        <v>4265820.9024571348</v>
      </c>
      <c r="I184" s="144">
        <f t="shared" si="13"/>
        <v>18364.358985077964</v>
      </c>
    </row>
    <row r="185" spans="1:9" x14ac:dyDescent="0.35">
      <c r="A185" s="145">
        <f t="shared" si="14"/>
        <v>50406</v>
      </c>
      <c r="B185" s="144">
        <f t="shared" si="15"/>
        <v>23304340.170101963</v>
      </c>
      <c r="C185" s="144">
        <f t="shared" si="12"/>
        <v>100325.18443228894</v>
      </c>
      <c r="E185" s="153"/>
      <c r="F185" s="152"/>
      <c r="G185" s="145">
        <f t="shared" si="16"/>
        <v>50406</v>
      </c>
      <c r="H185" s="144">
        <f t="shared" si="17"/>
        <v>4210757.3079364542</v>
      </c>
      <c r="I185" s="144">
        <f t="shared" si="13"/>
        <v>18127.310210666434</v>
      </c>
    </row>
    <row r="186" spans="1:9" x14ac:dyDescent="0.35">
      <c r="A186" s="145">
        <f t="shared" si="14"/>
        <v>50437</v>
      </c>
      <c r="B186" s="144">
        <f t="shared" si="15"/>
        <v>22998280.022549573</v>
      </c>
      <c r="C186" s="144">
        <f t="shared" si="12"/>
        <v>99007.595497075919</v>
      </c>
      <c r="E186" s="153"/>
      <c r="F186" s="152"/>
      <c r="G186" s="145">
        <f t="shared" si="16"/>
        <v>50437</v>
      </c>
      <c r="H186" s="144">
        <f t="shared" si="17"/>
        <v>4155456.6646413621</v>
      </c>
      <c r="I186" s="144">
        <f t="shared" si="13"/>
        <v>17889.240941281063</v>
      </c>
    </row>
    <row r="187" spans="1:9" x14ac:dyDescent="0.35">
      <c r="A187" s="145">
        <f t="shared" si="14"/>
        <v>50465</v>
      </c>
      <c r="B187" s="144">
        <f t="shared" si="15"/>
        <v>22690902.286061969</v>
      </c>
      <c r="C187" s="144">
        <f t="shared" si="12"/>
        <v>97684.334341496768</v>
      </c>
      <c r="E187" s="153"/>
      <c r="F187" s="152"/>
      <c r="G187" s="145">
        <f t="shared" si="16"/>
        <v>50465</v>
      </c>
      <c r="H187" s="144">
        <f t="shared" si="17"/>
        <v>4099917.9520768845</v>
      </c>
      <c r="I187" s="144">
        <f t="shared" si="13"/>
        <v>17650.146783690987</v>
      </c>
    </row>
    <row r="188" spans="1:9" x14ac:dyDescent="0.35">
      <c r="A188" s="145">
        <f t="shared" si="14"/>
        <v>50496</v>
      </c>
      <c r="B188" s="144">
        <f t="shared" si="15"/>
        <v>22382201.288418785</v>
      </c>
      <c r="C188" s="144">
        <f t="shared" si="12"/>
        <v>96355.376546642859</v>
      </c>
      <c r="E188" s="153"/>
      <c r="F188" s="152"/>
      <c r="G188" s="145">
        <f t="shared" si="16"/>
        <v>50496</v>
      </c>
      <c r="H188" s="144">
        <f t="shared" si="17"/>
        <v>4044140.1453548167</v>
      </c>
      <c r="I188" s="144">
        <f t="shared" si="13"/>
        <v>17410.023325752485</v>
      </c>
    </row>
    <row r="189" spans="1:9" x14ac:dyDescent="0.35">
      <c r="A189" s="145">
        <f t="shared" si="14"/>
        <v>50526</v>
      </c>
      <c r="B189" s="144">
        <f t="shared" si="15"/>
        <v>22072171.332980748</v>
      </c>
      <c r="C189" s="144">
        <f t="shared" si="12"/>
        <v>95020.697588482115</v>
      </c>
      <c r="E189" s="153"/>
      <c r="F189" s="152"/>
      <c r="G189" s="145">
        <f t="shared" si="16"/>
        <v>50526</v>
      </c>
      <c r="H189" s="144">
        <f t="shared" si="17"/>
        <v>3988122.2151748105</v>
      </c>
      <c r="I189" s="144">
        <f t="shared" si="13"/>
        <v>17168.866136327557</v>
      </c>
    </row>
    <row r="190" spans="1:9" x14ac:dyDescent="0.35">
      <c r="A190" s="145">
        <f t="shared" si="14"/>
        <v>50557</v>
      </c>
      <c r="B190" s="144">
        <f t="shared" si="15"/>
        <v>21760806.698584549</v>
      </c>
      <c r="C190" s="144">
        <f t="shared" si="12"/>
        <v>93680.272837406475</v>
      </c>
      <c r="E190" s="153"/>
      <c r="F190" s="152"/>
      <c r="G190" s="145">
        <f t="shared" si="16"/>
        <v>50557</v>
      </c>
      <c r="H190" s="144">
        <f t="shared" si="17"/>
        <v>3931863.1278053792</v>
      </c>
      <c r="I190" s="144">
        <f t="shared" si="13"/>
        <v>16926.670765202158</v>
      </c>
    </row>
    <row r="191" spans="1:9" x14ac:dyDescent="0.35">
      <c r="A191" s="145">
        <f t="shared" si="14"/>
        <v>50587</v>
      </c>
      <c r="B191" s="144">
        <f t="shared" si="15"/>
        <v>21448101.639437277</v>
      </c>
      <c r="C191" s="144">
        <f t="shared" si="12"/>
        <v>92334.077557777477</v>
      </c>
      <c r="E191" s="153"/>
      <c r="F191" s="152"/>
      <c r="G191" s="145">
        <f t="shared" si="16"/>
        <v>50587</v>
      </c>
      <c r="H191" s="144">
        <f t="shared" si="17"/>
        <v>3875361.8450648226</v>
      </c>
      <c r="I191" s="144">
        <f t="shared" si="13"/>
        <v>16683.432743004061</v>
      </c>
    </row>
    <row r="192" spans="1:9" x14ac:dyDescent="0.35">
      <c r="A192" s="145">
        <f t="shared" si="14"/>
        <v>50618</v>
      </c>
      <c r="B192" s="144">
        <f t="shared" si="15"/>
        <v>21134050.385010373</v>
      </c>
      <c r="C192" s="144">
        <f t="shared" si="12"/>
        <v>90982.086907469653</v>
      </c>
      <c r="E192" s="153"/>
      <c r="F192" s="152"/>
      <c r="G192" s="145">
        <f t="shared" si="16"/>
        <v>50618</v>
      </c>
      <c r="H192" s="144">
        <f t="shared" si="17"/>
        <v>3818617.324302068</v>
      </c>
      <c r="I192" s="144">
        <f t="shared" si="13"/>
        <v>16439.147581120404</v>
      </c>
    </row>
    <row r="193" spans="1:9" x14ac:dyDescent="0.35">
      <c r="A193" s="145">
        <f t="shared" si="14"/>
        <v>50649</v>
      </c>
      <c r="B193" s="144">
        <f t="shared" si="15"/>
        <v>20818647.139933161</v>
      </c>
      <c r="C193" s="144">
        <f t="shared" si="12"/>
        <v>89624.275937412269</v>
      </c>
      <c r="E193" s="153"/>
      <c r="F193" s="152"/>
      <c r="G193" s="145">
        <f t="shared" si="16"/>
        <v>50649</v>
      </c>
      <c r="H193" s="144">
        <f t="shared" si="17"/>
        <v>3761628.5183774298</v>
      </c>
      <c r="I193" s="144">
        <f t="shared" si="13"/>
        <v>16193.810771614835</v>
      </c>
    </row>
    <row r="194" spans="1:9" x14ac:dyDescent="0.35">
      <c r="A194" s="145">
        <f t="shared" si="14"/>
        <v>50679</v>
      </c>
      <c r="B194" s="144">
        <f t="shared" si="15"/>
        <v>20501886.083885893</v>
      </c>
      <c r="C194" s="144">
        <f t="shared" si="12"/>
        <v>88260.619591128765</v>
      </c>
      <c r="E194" s="153"/>
      <c r="F194" s="152"/>
      <c r="G194" s="145">
        <f t="shared" si="16"/>
        <v>50679</v>
      </c>
      <c r="H194" s="144">
        <f t="shared" si="17"/>
        <v>3704394.3756432859</v>
      </c>
      <c r="I194" s="144">
        <f t="shared" si="13"/>
        <v>15947.417787144346</v>
      </c>
    </row>
    <row r="195" spans="1:9" x14ac:dyDescent="0.35">
      <c r="A195" s="145">
        <f t="shared" si="14"/>
        <v>50710</v>
      </c>
      <c r="B195" s="144">
        <f t="shared" si="15"/>
        <v>20183761.371492341</v>
      </c>
      <c r="C195" s="144">
        <f t="shared" si="12"/>
        <v>86891.092704274532</v>
      </c>
      <c r="E195" s="153"/>
      <c r="F195" s="152"/>
      <c r="G195" s="145">
        <f t="shared" si="16"/>
        <v>50710</v>
      </c>
      <c r="H195" s="144">
        <f t="shared" si="17"/>
        <v>3646913.8399246717</v>
      </c>
      <c r="I195" s="144">
        <f t="shared" si="13"/>
        <v>15699.96408087571</v>
      </c>
    </row>
    <row r="196" spans="1:9" x14ac:dyDescent="0.35">
      <c r="A196" s="145">
        <f t="shared" si="14"/>
        <v>50740</v>
      </c>
      <c r="B196" s="144">
        <f t="shared" si="15"/>
        <v>19864267.132211935</v>
      </c>
      <c r="C196" s="144">
        <f t="shared" si="12"/>
        <v>85515.670004172382</v>
      </c>
      <c r="E196" s="153"/>
      <c r="F196" s="152"/>
      <c r="G196" s="145">
        <f t="shared" si="16"/>
        <v>50740</v>
      </c>
      <c r="H196" s="144">
        <f t="shared" si="17"/>
        <v>3589185.8504997888</v>
      </c>
      <c r="I196" s="144">
        <f t="shared" si="13"/>
        <v>15451.445086401589</v>
      </c>
    </row>
    <row r="197" spans="1:9" x14ac:dyDescent="0.35">
      <c r="A197" s="145">
        <f t="shared" si="14"/>
        <v>50771</v>
      </c>
      <c r="B197" s="144">
        <f t="shared" si="15"/>
        <v>19543397.470231429</v>
      </c>
      <c r="C197" s="144">
        <f t="shared" si="12"/>
        <v>84134.326109346293</v>
      </c>
      <c r="E197" s="153"/>
      <c r="F197" s="152"/>
      <c r="G197" s="145">
        <f t="shared" si="16"/>
        <v>50771</v>
      </c>
      <c r="H197" s="144">
        <f t="shared" si="17"/>
        <v>3531209.3420804315</v>
      </c>
      <c r="I197" s="144">
        <f t="shared" si="13"/>
        <v>15201.856217656257</v>
      </c>
    </row>
    <row r="198" spans="1:9" x14ac:dyDescent="0.35">
      <c r="A198" s="145">
        <f t="shared" si="14"/>
        <v>50802</v>
      </c>
      <c r="B198" s="144">
        <f t="shared" si="15"/>
        <v>19221146.464356095</v>
      </c>
      <c r="C198" s="144">
        <f t="shared" si="12"/>
        <v>82747.035529052984</v>
      </c>
      <c r="E198" s="153"/>
      <c r="F198" s="152"/>
      <c r="G198" s="145">
        <f t="shared" si="16"/>
        <v>50802</v>
      </c>
      <c r="H198" s="144">
        <f t="shared" si="17"/>
        <v>3472983.2447923291</v>
      </c>
      <c r="I198" s="144">
        <f t="shared" si="13"/>
        <v>14951.192868830976</v>
      </c>
    </row>
    <row r="199" spans="1:9" x14ac:dyDescent="0.35">
      <c r="A199" s="145">
        <f t="shared" si="14"/>
        <v>50830</v>
      </c>
      <c r="B199" s="144">
        <f t="shared" si="15"/>
        <v>18897508.167900469</v>
      </c>
      <c r="C199" s="144">
        <f t="shared" si="12"/>
        <v>81353.77266281152</v>
      </c>
      <c r="E199" s="153"/>
      <c r="F199" s="152"/>
      <c r="G199" s="145">
        <f t="shared" si="16"/>
        <v>50830</v>
      </c>
      <c r="H199" s="144">
        <f t="shared" si="17"/>
        <v>3414506.4841554016</v>
      </c>
      <c r="I199" s="144">
        <f t="shared" si="13"/>
        <v>14699.450414289002</v>
      </c>
    </row>
    <row r="200" spans="1:9" x14ac:dyDescent="0.35">
      <c r="A200" s="145">
        <f t="shared" si="14"/>
        <v>50861</v>
      </c>
      <c r="B200" s="144">
        <f t="shared" si="15"/>
        <v>18572476.6085786</v>
      </c>
      <c r="C200" s="144">
        <f t="shared" si="12"/>
        <v>79954.511799930871</v>
      </c>
      <c r="E200" s="153"/>
      <c r="F200" s="152"/>
      <c r="G200" s="145">
        <f t="shared" si="16"/>
        <v>50861</v>
      </c>
      <c r="H200" s="144">
        <f t="shared" si="17"/>
        <v>3355777.9810639317</v>
      </c>
      <c r="I200" s="144">
        <f t="shared" si="13"/>
        <v>14446.624208480227</v>
      </c>
    </row>
    <row r="201" spans="1:9" x14ac:dyDescent="0.35">
      <c r="A201" s="145">
        <f t="shared" si="14"/>
        <v>50891</v>
      </c>
      <c r="B201" s="144">
        <f t="shared" si="15"/>
        <v>18246045.788393851</v>
      </c>
      <c r="C201" s="144">
        <f t="shared" si="12"/>
        <v>78549.227119035524</v>
      </c>
      <c r="E201" s="153"/>
      <c r="F201" s="152"/>
      <c r="G201" s="145">
        <f t="shared" si="16"/>
        <v>50891</v>
      </c>
      <c r="H201" s="144">
        <f t="shared" si="17"/>
        <v>3296796.6517666532</v>
      </c>
      <c r="I201" s="144">
        <f t="shared" si="13"/>
        <v>14192.70958585544</v>
      </c>
    </row>
    <row r="202" spans="1:9" x14ac:dyDescent="0.35">
      <c r="A202" s="145">
        <f t="shared" si="14"/>
        <v>50922</v>
      </c>
      <c r="B202" s="144">
        <f t="shared" si="15"/>
        <v>17918209.683528207</v>
      </c>
      <c r="C202" s="144">
        <f t="shared" si="12"/>
        <v>77137.89268758893</v>
      </c>
      <c r="E202" s="153"/>
      <c r="F202" s="152"/>
      <c r="G202" s="145">
        <f t="shared" si="16"/>
        <v>50922</v>
      </c>
      <c r="H202" s="144">
        <f t="shared" si="17"/>
        <v>3237561.4078467498</v>
      </c>
      <c r="I202" s="144">
        <f t="shared" si="13"/>
        <v>13937.701860780258</v>
      </c>
    </row>
    <row r="203" spans="1:9" x14ac:dyDescent="0.35">
      <c r="A203" s="145">
        <f t="shared" si="14"/>
        <v>50952</v>
      </c>
      <c r="B203" s="144">
        <f t="shared" si="15"/>
        <v>17588962.244231116</v>
      </c>
      <c r="C203" s="144">
        <f t="shared" ref="C203:C251" si="18">B203*$D$5/12</f>
        <v>75720.482461414955</v>
      </c>
      <c r="E203" s="153"/>
      <c r="F203" s="152"/>
      <c r="G203" s="145">
        <f t="shared" si="16"/>
        <v>50952</v>
      </c>
      <c r="H203" s="144">
        <f t="shared" si="17"/>
        <v>3178071.1562017715</v>
      </c>
      <c r="I203" s="144">
        <f t="shared" ref="I203:I251" si="19">H203*$J$5/12</f>
        <v>13681.596327448626</v>
      </c>
    </row>
    <row r="204" spans="1:9" x14ac:dyDescent="0.35">
      <c r="A204" s="145">
        <f t="shared" ref="A204:A251" si="20">EOMONTH(A203,0)+1</f>
        <v>50983</v>
      </c>
      <c r="B204" s="144">
        <f t="shared" ref="B204:B251" si="21">B203+C203+$D$6</f>
        <v>17258297.394707851</v>
      </c>
      <c r="C204" s="144">
        <f t="shared" si="18"/>
        <v>74296.970284217299</v>
      </c>
      <c r="E204" s="153"/>
      <c r="F204" s="152"/>
      <c r="G204" s="145">
        <f t="shared" ref="G204:G251" si="22">EOMONTH(G203,0)+1</f>
        <v>50983</v>
      </c>
      <c r="H204" s="144">
        <f t="shared" ref="H204:H251" si="23">H203+I203+$J$6</f>
        <v>3118324.7990234615</v>
      </c>
      <c r="I204" s="144">
        <f t="shared" si="19"/>
        <v>13424.388259796002</v>
      </c>
    </row>
    <row r="205" spans="1:9" x14ac:dyDescent="0.35">
      <c r="A205" s="145">
        <f t="shared" si="20"/>
        <v>51014</v>
      </c>
      <c r="B205" s="144">
        <f t="shared" si="21"/>
        <v>16926209.033007387</v>
      </c>
      <c r="C205" s="144">
        <f t="shared" si="18"/>
        <v>72867.329887096799</v>
      </c>
      <c r="E205" s="153"/>
      <c r="F205" s="152"/>
      <c r="G205" s="145">
        <f t="shared" si="22"/>
        <v>51014</v>
      </c>
      <c r="H205" s="144">
        <f t="shared" si="23"/>
        <v>3058321.2337774988</v>
      </c>
      <c r="I205" s="144">
        <f t="shared" si="19"/>
        <v>13166.072911412133</v>
      </c>
    </row>
    <row r="206" spans="1:9" x14ac:dyDescent="0.35">
      <c r="A206" s="145">
        <f t="shared" si="20"/>
        <v>51044</v>
      </c>
      <c r="B206" s="144">
        <f t="shared" si="21"/>
        <v>16592691.030909801</v>
      </c>
      <c r="C206" s="144">
        <f t="shared" si="18"/>
        <v>71431.534888066686</v>
      </c>
      <c r="E206" s="153"/>
      <c r="F206" s="152"/>
      <c r="G206" s="145">
        <f t="shared" si="22"/>
        <v>51044</v>
      </c>
      <c r="H206" s="144">
        <f t="shared" si="23"/>
        <v>2998059.3531831522</v>
      </c>
      <c r="I206" s="144">
        <f t="shared" si="19"/>
        <v>12906.645515453471</v>
      </c>
    </row>
    <row r="207" spans="1:9" x14ac:dyDescent="0.35">
      <c r="A207" s="145">
        <f t="shared" si="20"/>
        <v>51075</v>
      </c>
      <c r="B207" s="144">
        <f t="shared" si="21"/>
        <v>16257737.233813185</v>
      </c>
      <c r="C207" s="144">
        <f t="shared" si="18"/>
        <v>69989.558791565752</v>
      </c>
      <c r="E207" s="153"/>
      <c r="F207" s="152"/>
      <c r="G207" s="145">
        <f t="shared" si="22"/>
        <v>51075</v>
      </c>
      <c r="H207" s="144">
        <f t="shared" si="23"/>
        <v>2937538.045192847</v>
      </c>
      <c r="I207" s="144">
        <f t="shared" si="19"/>
        <v>12646.101284555205</v>
      </c>
    </row>
    <row r="208" spans="1:9" x14ac:dyDescent="0.35">
      <c r="A208" s="145">
        <f t="shared" si="20"/>
        <v>51105</v>
      </c>
      <c r="B208" s="144">
        <f t="shared" si="21"/>
        <v>15921341.46062007</v>
      </c>
      <c r="C208" s="144">
        <f t="shared" si="18"/>
        <v>68541.374987969393</v>
      </c>
      <c r="E208" s="153"/>
      <c r="F208" s="152"/>
      <c r="G208" s="145">
        <f t="shared" si="22"/>
        <v>51105</v>
      </c>
      <c r="H208" s="144">
        <f t="shared" si="23"/>
        <v>2876756.1929716435</v>
      </c>
      <c r="I208" s="144">
        <f t="shared" si="19"/>
        <v>12384.435410742924</v>
      </c>
    </row>
    <row r="209" spans="1:9" x14ac:dyDescent="0.35">
      <c r="A209" s="145">
        <f t="shared" si="20"/>
        <v>51136</v>
      </c>
      <c r="B209" s="144">
        <f t="shared" si="21"/>
        <v>15583497.503623357</v>
      </c>
      <c r="C209" s="144">
        <f t="shared" si="18"/>
        <v>67086.956753098551</v>
      </c>
      <c r="E209" s="153"/>
      <c r="F209" s="152"/>
      <c r="G209" s="145">
        <f t="shared" si="22"/>
        <v>51136</v>
      </c>
      <c r="H209" s="144">
        <f t="shared" si="23"/>
        <v>2815712.674876628</v>
      </c>
      <c r="I209" s="144">
        <f t="shared" si="19"/>
        <v>12121.643065343882</v>
      </c>
    </row>
    <row r="210" spans="1:9" x14ac:dyDescent="0.35">
      <c r="A210" s="145">
        <f t="shared" si="20"/>
        <v>51167</v>
      </c>
      <c r="B210" s="144">
        <f t="shared" si="21"/>
        <v>15244199.128391774</v>
      </c>
      <c r="C210" s="144">
        <f t="shared" si="18"/>
        <v>65626.277247726583</v>
      </c>
      <c r="E210" s="153"/>
      <c r="F210" s="152"/>
      <c r="G210" s="145">
        <f t="shared" si="22"/>
        <v>51167</v>
      </c>
      <c r="H210" s="144">
        <f t="shared" si="23"/>
        <v>2754406.3644362134</v>
      </c>
      <c r="I210" s="144">
        <f t="shared" si="19"/>
        <v>11857.719398897898</v>
      </c>
    </row>
    <row r="211" spans="1:9" x14ac:dyDescent="0.35">
      <c r="A211" s="145">
        <f t="shared" si="20"/>
        <v>51196</v>
      </c>
      <c r="B211" s="144">
        <f t="shared" si="21"/>
        <v>14903440.073654819</v>
      </c>
      <c r="C211" s="144">
        <f t="shared" si="18"/>
        <v>64159.309517083988</v>
      </c>
      <c r="E211" s="153"/>
      <c r="F211" s="152"/>
      <c r="G211" s="145">
        <f t="shared" si="22"/>
        <v>51196</v>
      </c>
      <c r="H211" s="144">
        <f t="shared" si="23"/>
        <v>2692836.1303293528</v>
      </c>
      <c r="I211" s="144">
        <f t="shared" si="19"/>
        <v>11592.659541067864</v>
      </c>
    </row>
    <row r="212" spans="1:9" x14ac:dyDescent="0.35">
      <c r="A212" s="145">
        <f t="shared" si="20"/>
        <v>51227</v>
      </c>
      <c r="B212" s="144">
        <f t="shared" si="21"/>
        <v>14561214.051187221</v>
      </c>
      <c r="C212" s="144">
        <f t="shared" si="18"/>
        <v>62686.026490360986</v>
      </c>
      <c r="E212" s="153"/>
      <c r="F212" s="152"/>
      <c r="G212" s="145">
        <f t="shared" si="22"/>
        <v>51227</v>
      </c>
      <c r="H212" s="144">
        <f t="shared" si="23"/>
        <v>2631000.8363646618</v>
      </c>
      <c r="I212" s="144">
        <f t="shared" si="19"/>
        <v>11326.45860054987</v>
      </c>
    </row>
    <row r="213" spans="1:9" x14ac:dyDescent="0.35">
      <c r="A213" s="145">
        <f t="shared" si="20"/>
        <v>51257</v>
      </c>
      <c r="B213" s="144">
        <f t="shared" si="21"/>
        <v>14217514.745692899</v>
      </c>
      <c r="C213" s="144">
        <f t="shared" si="18"/>
        <v>61206.400980207931</v>
      </c>
      <c r="E213" s="153"/>
      <c r="F213" s="152"/>
      <c r="G213" s="145">
        <f t="shared" si="22"/>
        <v>51257</v>
      </c>
      <c r="H213" s="144">
        <f t="shared" si="23"/>
        <v>2568899.3414594531</v>
      </c>
      <c r="I213" s="144">
        <f t="shared" si="19"/>
        <v>11059.111664982944</v>
      </c>
    </row>
    <row r="214" spans="1:9" x14ac:dyDescent="0.35">
      <c r="A214" s="145">
        <f t="shared" si="20"/>
        <v>51288</v>
      </c>
      <c r="B214" s="144">
        <f t="shared" si="21"/>
        <v>13872335.814688426</v>
      </c>
      <c r="C214" s="144">
        <f t="shared" si="18"/>
        <v>59720.405682233664</v>
      </c>
      <c r="E214" s="153"/>
      <c r="F214" s="152"/>
      <c r="G214" s="145">
        <f t="shared" si="22"/>
        <v>51288</v>
      </c>
      <c r="H214" s="144">
        <f t="shared" si="23"/>
        <v>2506530.4996186774</v>
      </c>
      <c r="I214" s="144">
        <f t="shared" si="19"/>
        <v>10790.613800858406</v>
      </c>
    </row>
    <row r="215" spans="1:9" x14ac:dyDescent="0.35">
      <c r="A215" s="145">
        <f t="shared" si="20"/>
        <v>51318</v>
      </c>
      <c r="B215" s="144">
        <f t="shared" si="21"/>
        <v>13525670.888385978</v>
      </c>
      <c r="C215" s="144">
        <f t="shared" si="18"/>
        <v>58228.013174501626</v>
      </c>
      <c r="E215" s="153"/>
      <c r="F215" s="152"/>
      <c r="G215" s="145">
        <f t="shared" si="22"/>
        <v>51318</v>
      </c>
      <c r="H215" s="144">
        <f t="shared" si="23"/>
        <v>2443893.1599137774</v>
      </c>
      <c r="I215" s="144">
        <f t="shared" si="19"/>
        <v>10520.960053428811</v>
      </c>
    </row>
    <row r="216" spans="1:9" x14ac:dyDescent="0.35">
      <c r="A216" s="145">
        <f t="shared" si="20"/>
        <v>51349</v>
      </c>
      <c r="B216" s="144">
        <f t="shared" si="21"/>
        <v>13177513.569575798</v>
      </c>
      <c r="C216" s="144">
        <f t="shared" si="18"/>
        <v>56729.195917023811</v>
      </c>
      <c r="E216" s="153"/>
      <c r="F216" s="152"/>
      <c r="G216" s="145">
        <f t="shared" si="22"/>
        <v>51349</v>
      </c>
      <c r="H216" s="144">
        <f t="shared" si="23"/>
        <v>2380986.1664614477</v>
      </c>
      <c r="I216" s="144">
        <f t="shared" si="19"/>
        <v>10250.145446616532</v>
      </c>
    </row>
    <row r="217" spans="1:9" x14ac:dyDescent="0.35">
      <c r="A217" s="145">
        <f t="shared" si="20"/>
        <v>51380</v>
      </c>
      <c r="B217" s="144">
        <f t="shared" si="21"/>
        <v>12827857.433508139</v>
      </c>
      <c r="C217" s="144">
        <f t="shared" si="18"/>
        <v>55223.926251252538</v>
      </c>
      <c r="E217" s="153"/>
      <c r="F217" s="152"/>
      <c r="G217" s="145">
        <f t="shared" si="22"/>
        <v>51380</v>
      </c>
      <c r="H217" s="144">
        <f t="shared" si="23"/>
        <v>2317808.3584023057</v>
      </c>
      <c r="I217" s="144">
        <f t="shared" si="19"/>
        <v>9978.1649829219259</v>
      </c>
    </row>
    <row r="218" spans="1:9" x14ac:dyDescent="0.35">
      <c r="A218" s="145">
        <f t="shared" si="20"/>
        <v>51410</v>
      </c>
      <c r="B218" s="144">
        <f t="shared" si="21"/>
        <v>12476696.02777471</v>
      </c>
      <c r="C218" s="144">
        <f t="shared" si="18"/>
        <v>53712.176399570126</v>
      </c>
      <c r="E218" s="153"/>
      <c r="F218" s="152"/>
      <c r="G218" s="145">
        <f t="shared" si="22"/>
        <v>51410</v>
      </c>
      <c r="H218" s="144">
        <f t="shared" si="23"/>
        <v>2254358.569879469</v>
      </c>
      <c r="I218" s="144">
        <f t="shared" si="19"/>
        <v>9705.0136433311145</v>
      </c>
    </row>
    <row r="219" spans="1:9" x14ac:dyDescent="0.35">
      <c r="A219" s="145">
        <f t="shared" si="20"/>
        <v>51441</v>
      </c>
      <c r="B219" s="144">
        <f t="shared" si="21"/>
        <v>12124022.872189598</v>
      </c>
      <c r="C219" s="144">
        <f t="shared" si="18"/>
        <v>52193.918464776216</v>
      </c>
      <c r="E219" s="153"/>
      <c r="F219" s="152"/>
      <c r="G219" s="145">
        <f t="shared" si="22"/>
        <v>51441</v>
      </c>
      <c r="H219" s="144">
        <f t="shared" si="23"/>
        <v>2190635.6300170412</v>
      </c>
      <c r="I219" s="144">
        <f t="shared" si="19"/>
        <v>9430.6863872233625</v>
      </c>
    </row>
    <row r="220" spans="1:9" x14ac:dyDescent="0.35">
      <c r="A220" s="145">
        <f t="shared" si="20"/>
        <v>51471</v>
      </c>
      <c r="B220" s="144">
        <f t="shared" si="21"/>
        <v>11769831.458669692</v>
      </c>
      <c r="C220" s="144">
        <f t="shared" si="18"/>
        <v>50669.124429573021</v>
      </c>
      <c r="E220" s="153"/>
      <c r="F220" s="152"/>
      <c r="G220" s="145">
        <f t="shared" si="22"/>
        <v>51471</v>
      </c>
      <c r="H220" s="144">
        <f t="shared" si="23"/>
        <v>2126638.3628985058</v>
      </c>
      <c r="I220" s="144">
        <f t="shared" si="19"/>
        <v>9155.1781522780675</v>
      </c>
    </row>
    <row r="221" spans="1:9" x14ac:dyDescent="0.35">
      <c r="A221" s="145">
        <f t="shared" si="20"/>
        <v>51502</v>
      </c>
      <c r="B221" s="144">
        <f t="shared" si="21"/>
        <v>11414115.251114583</v>
      </c>
      <c r="C221" s="144">
        <f t="shared" si="18"/>
        <v>49137.766156048274</v>
      </c>
      <c r="E221" s="153"/>
      <c r="F221" s="152"/>
      <c r="G221" s="145">
        <f t="shared" si="22"/>
        <v>51502</v>
      </c>
      <c r="H221" s="144">
        <f t="shared" si="23"/>
        <v>2062365.5875450254</v>
      </c>
      <c r="I221" s="144">
        <f t="shared" si="19"/>
        <v>8878.483854381333</v>
      </c>
    </row>
    <row r="222" spans="1:9" x14ac:dyDescent="0.35">
      <c r="A222" s="145">
        <f t="shared" si="20"/>
        <v>51533</v>
      </c>
      <c r="B222" s="144">
        <f t="shared" si="21"/>
        <v>11056867.685285948</v>
      </c>
      <c r="C222" s="144">
        <f t="shared" si="18"/>
        <v>47599.815385155998</v>
      </c>
      <c r="E222" s="153"/>
      <c r="F222" s="152"/>
      <c r="G222" s="145">
        <f t="shared" si="22"/>
        <v>51533</v>
      </c>
      <c r="H222" s="144">
        <f t="shared" si="23"/>
        <v>1997816.1178936483</v>
      </c>
      <c r="I222" s="144">
        <f t="shared" si="19"/>
        <v>8600.5983875321563</v>
      </c>
    </row>
    <row r="223" spans="1:9" x14ac:dyDescent="0.35">
      <c r="A223" s="145">
        <f t="shared" si="20"/>
        <v>51561</v>
      </c>
      <c r="B223" s="144">
        <f t="shared" si="21"/>
        <v>10698082.168686422</v>
      </c>
      <c r="C223" s="144">
        <f t="shared" si="18"/>
        <v>46055.243736195036</v>
      </c>
      <c r="E223" s="153"/>
      <c r="F223" s="152"/>
      <c r="G223" s="145">
        <f t="shared" si="22"/>
        <v>51561</v>
      </c>
      <c r="H223" s="144">
        <f t="shared" si="23"/>
        <v>1932988.7627754221</v>
      </c>
      <c r="I223" s="144">
        <f t="shared" si="19"/>
        <v>8321.5166237481917</v>
      </c>
    </row>
    <row r="224" spans="1:9" x14ac:dyDescent="0.35">
      <c r="A224" s="145">
        <f t="shared" si="20"/>
        <v>51592</v>
      </c>
      <c r="B224" s="144">
        <f t="shared" si="21"/>
        <v>10337752.080437934</v>
      </c>
      <c r="C224" s="144">
        <f t="shared" si="18"/>
        <v>44504.022706285301</v>
      </c>
      <c r="E224" s="153"/>
      <c r="F224" s="152"/>
      <c r="G224" s="145">
        <f t="shared" si="22"/>
        <v>51592</v>
      </c>
      <c r="H224" s="144">
        <f t="shared" si="23"/>
        <v>1867882.3258934119</v>
      </c>
      <c r="I224" s="144">
        <f t="shared" si="19"/>
        <v>8041.233412971138</v>
      </c>
    </row>
    <row r="225" spans="1:9" x14ac:dyDescent="0.35">
      <c r="A225" s="145">
        <f t="shared" si="20"/>
        <v>51622</v>
      </c>
      <c r="B225" s="144">
        <f t="shared" si="21"/>
        <v>9975870.7711595371</v>
      </c>
      <c r="C225" s="144">
        <f t="shared" si="18"/>
        <v>42946.123669841807</v>
      </c>
      <c r="E225" s="153"/>
      <c r="F225" s="152"/>
      <c r="G225" s="145">
        <f t="shared" si="22"/>
        <v>51622</v>
      </c>
      <c r="H225" s="144">
        <f t="shared" si="23"/>
        <v>1802495.6058006247</v>
      </c>
      <c r="I225" s="144">
        <f t="shared" si="19"/>
        <v>7759.7435829716887</v>
      </c>
    </row>
    <row r="226" spans="1:9" x14ac:dyDescent="0.35">
      <c r="A226" s="145">
        <f t="shared" si="20"/>
        <v>51653</v>
      </c>
      <c r="B226" s="144">
        <f t="shared" si="21"/>
        <v>9612431.5628446974</v>
      </c>
      <c r="C226" s="144">
        <f t="shared" si="18"/>
        <v>41381.517878046419</v>
      </c>
      <c r="E226" s="153"/>
      <c r="F226" s="152"/>
      <c r="G226" s="145">
        <f t="shared" si="22"/>
        <v>51653</v>
      </c>
      <c r="H226" s="144">
        <f t="shared" si="23"/>
        <v>1736827.3958778379</v>
      </c>
      <c r="I226" s="144">
        <f t="shared" si="19"/>
        <v>7477.0419392540925</v>
      </c>
    </row>
    <row r="227" spans="1:9" x14ac:dyDescent="0.35">
      <c r="A227" s="145">
        <f t="shared" si="20"/>
        <v>51683</v>
      </c>
      <c r="B227" s="144">
        <f t="shared" si="21"/>
        <v>9247427.7487380616</v>
      </c>
      <c r="C227" s="144">
        <f t="shared" si="18"/>
        <v>39810.176458317357</v>
      </c>
      <c r="E227" s="153"/>
      <c r="F227" s="152"/>
      <c r="G227" s="145">
        <f t="shared" si="22"/>
        <v>51683</v>
      </c>
      <c r="H227" s="144">
        <f t="shared" si="23"/>
        <v>1670876.4843113336</v>
      </c>
      <c r="I227" s="144">
        <f t="shared" si="19"/>
        <v>7193.1232649602907</v>
      </c>
    </row>
    <row r="228" spans="1:9" x14ac:dyDescent="0.35">
      <c r="A228" s="145">
        <f t="shared" si="20"/>
        <v>51714</v>
      </c>
      <c r="B228" s="144">
        <f t="shared" si="21"/>
        <v>8880852.5932116974</v>
      </c>
      <c r="C228" s="144">
        <f t="shared" si="18"/>
        <v>38232.070413776353</v>
      </c>
      <c r="E228" s="153"/>
      <c r="F228" s="152"/>
      <c r="G228" s="145">
        <f t="shared" si="22"/>
        <v>51714</v>
      </c>
      <c r="H228" s="144">
        <f t="shared" si="23"/>
        <v>1604641.6540705354</v>
      </c>
      <c r="I228" s="144">
        <f t="shared" si="19"/>
        <v>6907.9823207736545</v>
      </c>
    </row>
    <row r="229" spans="1:9" x14ac:dyDescent="0.35">
      <c r="A229" s="145">
        <f t="shared" si="20"/>
        <v>51745</v>
      </c>
      <c r="B229" s="144">
        <f t="shared" si="21"/>
        <v>8512699.3316407911</v>
      </c>
      <c r="C229" s="144">
        <f t="shared" si="18"/>
        <v>36647.170622713602</v>
      </c>
      <c r="E229" s="153"/>
      <c r="F229" s="152"/>
      <c r="G229" s="145">
        <f t="shared" si="22"/>
        <v>51745</v>
      </c>
      <c r="H229" s="144">
        <f t="shared" si="23"/>
        <v>1538121.6828855507</v>
      </c>
      <c r="I229" s="144">
        <f t="shared" si="19"/>
        <v>6621.6138448222955</v>
      </c>
    </row>
    <row r="230" spans="1:9" x14ac:dyDescent="0.35">
      <c r="A230" s="145">
        <f t="shared" si="20"/>
        <v>51775</v>
      </c>
      <c r="B230" s="144">
        <f t="shared" si="21"/>
        <v>8142961.170278823</v>
      </c>
      <c r="C230" s="144">
        <f t="shared" si="18"/>
        <v>35055.447838050335</v>
      </c>
      <c r="E230" s="153"/>
      <c r="F230" s="152"/>
      <c r="G230" s="145">
        <f t="shared" si="22"/>
        <v>51775</v>
      </c>
      <c r="H230" s="144">
        <f t="shared" si="23"/>
        <v>1471315.3432246146</v>
      </c>
      <c r="I230" s="144">
        <f t="shared" si="19"/>
        <v>6334.0125525819649</v>
      </c>
    </row>
    <row r="231" spans="1:9" x14ac:dyDescent="0.35">
      <c r="A231" s="145">
        <f t="shared" si="20"/>
        <v>51806</v>
      </c>
      <c r="B231" s="144">
        <f t="shared" si="21"/>
        <v>7771631.2861321913</v>
      </c>
      <c r="C231" s="144">
        <f t="shared" si="18"/>
        <v>33456.872686799084</v>
      </c>
      <c r="E231" s="153"/>
      <c r="F231" s="152"/>
      <c r="G231" s="145">
        <f t="shared" si="22"/>
        <v>51806</v>
      </c>
      <c r="H231" s="144">
        <f t="shared" si="23"/>
        <v>1404221.4022714382</v>
      </c>
      <c r="I231" s="144">
        <f t="shared" si="19"/>
        <v>6045.1731367785405</v>
      </c>
    </row>
    <row r="232" spans="1:9" x14ac:dyDescent="0.35">
      <c r="A232" s="145">
        <f t="shared" si="20"/>
        <v>51836</v>
      </c>
      <c r="B232" s="144">
        <f t="shared" si="21"/>
        <v>7398702.826834308</v>
      </c>
      <c r="C232" s="144">
        <f t="shared" si="18"/>
        <v>31851.415669521695</v>
      </c>
      <c r="E232" s="153"/>
      <c r="F232" s="152"/>
      <c r="G232" s="145">
        <f t="shared" si="22"/>
        <v>51836</v>
      </c>
      <c r="H232" s="144">
        <f t="shared" si="23"/>
        <v>1336838.6219024584</v>
      </c>
      <c r="I232" s="144">
        <f t="shared" si="19"/>
        <v>5755.0902672900838</v>
      </c>
    </row>
    <row r="233" spans="1:9" x14ac:dyDescent="0.35">
      <c r="A233" s="145">
        <f t="shared" si="20"/>
        <v>51867</v>
      </c>
      <c r="B233" s="144">
        <f t="shared" si="21"/>
        <v>7024168.9105191473</v>
      </c>
      <c r="C233" s="144">
        <f t="shared" si="18"/>
        <v>30239.047159784928</v>
      </c>
      <c r="E233" s="153"/>
      <c r="F233" s="152"/>
      <c r="G233" s="145">
        <f t="shared" si="22"/>
        <v>51867</v>
      </c>
      <c r="H233" s="144">
        <f t="shared" si="23"/>
        <v>1269165.7586639901</v>
      </c>
      <c r="I233" s="144">
        <f t="shared" si="19"/>
        <v>5463.7585910484768</v>
      </c>
    </row>
    <row r="234" spans="1:9" x14ac:dyDescent="0.35">
      <c r="A234" s="145">
        <f t="shared" si="20"/>
        <v>51898</v>
      </c>
      <c r="B234" s="144">
        <f t="shared" si="21"/>
        <v>6648022.6256942498</v>
      </c>
      <c r="C234" s="144">
        <f t="shared" si="18"/>
        <v>28619.737403613744</v>
      </c>
      <c r="E234" s="153"/>
      <c r="F234" s="152"/>
      <c r="G234" s="145">
        <f t="shared" si="22"/>
        <v>51898</v>
      </c>
      <c r="H234" s="144">
        <f t="shared" si="23"/>
        <v>1201201.5637492801</v>
      </c>
      <c r="I234" s="144">
        <f t="shared" si="19"/>
        <v>5171.17273194065</v>
      </c>
    </row>
    <row r="235" spans="1:9" x14ac:dyDescent="0.35">
      <c r="A235" s="145">
        <f t="shared" si="20"/>
        <v>51926</v>
      </c>
      <c r="B235" s="144">
        <f t="shared" si="21"/>
        <v>6270257.0311131813</v>
      </c>
      <c r="C235" s="144">
        <f t="shared" si="18"/>
        <v>26993.456518942243</v>
      </c>
      <c r="E235" s="153"/>
      <c r="F235" s="152"/>
      <c r="G235" s="145">
        <f t="shared" si="22"/>
        <v>51926</v>
      </c>
      <c r="H235" s="144">
        <f t="shared" si="23"/>
        <v>1132944.7829754623</v>
      </c>
      <c r="I235" s="144">
        <f t="shared" si="19"/>
        <v>4877.3272907093651</v>
      </c>
    </row>
    <row r="236" spans="1:9" x14ac:dyDescent="0.35">
      <c r="A236" s="145">
        <f t="shared" si="20"/>
        <v>51957</v>
      </c>
      <c r="B236" s="144">
        <f t="shared" si="21"/>
        <v>5890865.1556474417</v>
      </c>
      <c r="C236" s="144">
        <f t="shared" si="18"/>
        <v>25360.174495062238</v>
      </c>
      <c r="E236" s="153"/>
      <c r="F236" s="152"/>
      <c r="G236" s="145">
        <f t="shared" si="22"/>
        <v>51957</v>
      </c>
      <c r="H236" s="144">
        <f t="shared" si="23"/>
        <v>1064394.1567604132</v>
      </c>
      <c r="I236" s="144">
        <f t="shared" si="19"/>
        <v>4582.2168448535786</v>
      </c>
    </row>
    <row r="237" spans="1:9" x14ac:dyDescent="0.35">
      <c r="A237" s="145">
        <f t="shared" si="20"/>
        <v>51987</v>
      </c>
      <c r="B237" s="144">
        <f t="shared" si="21"/>
        <v>5509839.9981578216</v>
      </c>
      <c r="C237" s="144">
        <f t="shared" si="18"/>
        <v>23719.86119206942</v>
      </c>
      <c r="E237" s="153"/>
      <c r="F237" s="152"/>
      <c r="G237" s="145">
        <f t="shared" si="22"/>
        <v>51987</v>
      </c>
      <c r="H237" s="144">
        <f t="shared" si="23"/>
        <v>995548.42009950825</v>
      </c>
      <c r="I237" s="144">
        <f t="shared" si="19"/>
        <v>4285.8359485283827</v>
      </c>
    </row>
    <row r="238" spans="1:9" x14ac:dyDescent="0.35">
      <c r="A238" s="145">
        <f t="shared" si="20"/>
        <v>52018</v>
      </c>
      <c r="B238" s="144">
        <f t="shared" si="21"/>
        <v>5127174.5273652086</v>
      </c>
      <c r="C238" s="144">
        <f t="shared" si="18"/>
        <v>22072.486340307223</v>
      </c>
      <c r="E238" s="153"/>
      <c r="F238" s="152"/>
      <c r="G238" s="145">
        <f t="shared" si="22"/>
        <v>52018</v>
      </c>
      <c r="H238" s="144">
        <f t="shared" si="23"/>
        <v>926406.30254227819</v>
      </c>
      <c r="I238" s="144">
        <f t="shared" si="19"/>
        <v>3988.1791324445076</v>
      </c>
    </row>
    <row r="239" spans="1:9" x14ac:dyDescent="0.35">
      <c r="A239" s="145">
        <f t="shared" si="20"/>
        <v>52048</v>
      </c>
      <c r="B239" s="144">
        <f t="shared" si="21"/>
        <v>4742861.6817208342</v>
      </c>
      <c r="C239" s="144">
        <f t="shared" si="18"/>
        <v>20418.019539808189</v>
      </c>
      <c r="E239" s="153"/>
      <c r="F239" s="152"/>
      <c r="G239" s="145">
        <f t="shared" si="22"/>
        <v>52048</v>
      </c>
      <c r="H239" s="144">
        <f t="shared" si="23"/>
        <v>856966.52816896432</v>
      </c>
      <c r="I239" s="144">
        <f t="shared" si="19"/>
        <v>3689.2409037673915</v>
      </c>
    </row>
    <row r="240" spans="1:9" x14ac:dyDescent="0.35">
      <c r="A240" s="145">
        <f t="shared" si="20"/>
        <v>52079</v>
      </c>
      <c r="B240" s="144">
        <f t="shared" si="21"/>
        <v>4356894.3692759601</v>
      </c>
      <c r="C240" s="144">
        <f t="shared" si="18"/>
        <v>18756.430259733006</v>
      </c>
      <c r="E240" s="153"/>
      <c r="F240" s="152"/>
      <c r="G240" s="145">
        <f t="shared" si="22"/>
        <v>52079</v>
      </c>
      <c r="H240" s="144">
        <f t="shared" si="23"/>
        <v>787227.8155669733</v>
      </c>
      <c r="I240" s="144">
        <f t="shared" si="19"/>
        <v>3389.0157460158202</v>
      </c>
    </row>
    <row r="241" spans="1:9" x14ac:dyDescent="0.35">
      <c r="A241" s="145">
        <f t="shared" si="20"/>
        <v>52110</v>
      </c>
      <c r="B241" s="144">
        <f t="shared" si="21"/>
        <v>3969265.4675510121</v>
      </c>
      <c r="C241" s="144">
        <f t="shared" si="18"/>
        <v>17087.687837807105</v>
      </c>
      <c r="E241" s="153"/>
      <c r="F241" s="152"/>
      <c r="G241" s="145">
        <f t="shared" si="22"/>
        <v>52110</v>
      </c>
      <c r="H241" s="144">
        <f t="shared" si="23"/>
        <v>717188.87780723069</v>
      </c>
      <c r="I241" s="144">
        <f t="shared" si="19"/>
        <v>3087.4981189601281</v>
      </c>
    </row>
    <row r="242" spans="1:9" x14ac:dyDescent="0.35">
      <c r="A242" s="145">
        <f t="shared" si="20"/>
        <v>52140</v>
      </c>
      <c r="B242" s="144">
        <f t="shared" si="21"/>
        <v>3579967.8234041375</v>
      </c>
      <c r="C242" s="144">
        <f t="shared" si="18"/>
        <v>15411.76147975481</v>
      </c>
      <c r="E242" s="153"/>
      <c r="F242" s="152"/>
      <c r="G242" s="145">
        <f t="shared" si="22"/>
        <v>52140</v>
      </c>
      <c r="H242" s="144">
        <f t="shared" si="23"/>
        <v>646848.42242043244</v>
      </c>
      <c r="I242" s="144">
        <f t="shared" si="19"/>
        <v>2784.6824585199615</v>
      </c>
    </row>
    <row r="243" spans="1:9" x14ac:dyDescent="0.35">
      <c r="A243" s="145">
        <f t="shared" si="20"/>
        <v>52171</v>
      </c>
      <c r="B243" s="144">
        <f t="shared" si="21"/>
        <v>3188994.2528992109</v>
      </c>
      <c r="C243" s="144">
        <f t="shared" si="18"/>
        <v>13728.620258731104</v>
      </c>
      <c r="E243" s="153"/>
      <c r="F243" s="152"/>
      <c r="G243" s="145">
        <f t="shared" si="22"/>
        <v>52171</v>
      </c>
      <c r="H243" s="144">
        <f t="shared" si="23"/>
        <v>576205.15137319395</v>
      </c>
      <c r="I243" s="144">
        <f t="shared" si="19"/>
        <v>2480.5631766615998</v>
      </c>
    </row>
    <row r="244" spans="1:9" x14ac:dyDescent="0.35">
      <c r="A244" s="145">
        <f t="shared" si="20"/>
        <v>52201</v>
      </c>
      <c r="B244" s="144">
        <f t="shared" si="21"/>
        <v>2796337.5411732607</v>
      </c>
      <c r="C244" s="144">
        <f t="shared" si="18"/>
        <v>12038.233114750887</v>
      </c>
      <c r="E244" s="153"/>
      <c r="F244" s="152"/>
      <c r="G244" s="145">
        <f t="shared" si="22"/>
        <v>52201</v>
      </c>
      <c r="H244" s="144">
        <f t="shared" si="23"/>
        <v>505257.76104409713</v>
      </c>
      <c r="I244" s="144">
        <f t="shared" si="19"/>
        <v>2175.1346612948378</v>
      </c>
    </row>
    <row r="245" spans="1:9" x14ac:dyDescent="0.35">
      <c r="A245" s="145">
        <f t="shared" si="20"/>
        <v>52232</v>
      </c>
      <c r="B245" s="144">
        <f t="shared" si="21"/>
        <v>2401990.4423033302</v>
      </c>
      <c r="C245" s="144">
        <f t="shared" si="18"/>
        <v>10340.568854115836</v>
      </c>
      <c r="E245" s="153"/>
      <c r="F245" s="152"/>
      <c r="G245" s="145">
        <f t="shared" si="22"/>
        <v>52232</v>
      </c>
      <c r="H245" s="144">
        <f t="shared" si="23"/>
        <v>434004.94219963346</v>
      </c>
      <c r="I245" s="144">
        <f t="shared" si="19"/>
        <v>1868.3912761694219</v>
      </c>
    </row>
    <row r="246" spans="1:9" x14ac:dyDescent="0.35">
      <c r="A246" s="145">
        <f t="shared" si="20"/>
        <v>52263</v>
      </c>
      <c r="B246" s="144">
        <f t="shared" si="21"/>
        <v>2005945.6791727645</v>
      </c>
      <c r="C246" s="144">
        <f t="shared" si="18"/>
        <v>8635.5961488387511</v>
      </c>
      <c r="E246" s="153"/>
      <c r="F246" s="152"/>
      <c r="G246" s="145">
        <f t="shared" si="22"/>
        <v>52263</v>
      </c>
      <c r="H246" s="144">
        <f t="shared" si="23"/>
        <v>362445.37997004436</v>
      </c>
      <c r="I246" s="144">
        <f t="shared" si="19"/>
        <v>1560.327360771041</v>
      </c>
    </row>
    <row r="247" spans="1:9" x14ac:dyDescent="0.35">
      <c r="A247" s="145">
        <f t="shared" si="20"/>
        <v>52291</v>
      </c>
      <c r="B247" s="144">
        <f t="shared" si="21"/>
        <v>1608195.9433369217</v>
      </c>
      <c r="C247" s="144">
        <f t="shared" si="18"/>
        <v>6923.2835360654472</v>
      </c>
      <c r="E247" s="153"/>
      <c r="F247" s="152"/>
      <c r="G247" s="145">
        <f t="shared" si="22"/>
        <v>52291</v>
      </c>
      <c r="H247" s="144">
        <f t="shared" si="23"/>
        <v>290577.75382505695</v>
      </c>
      <c r="I247" s="144">
        <f t="shared" si="19"/>
        <v>1250.9372302168701</v>
      </c>
    </row>
    <row r="248" spans="1:9" x14ac:dyDescent="0.35">
      <c r="A248" s="145">
        <f t="shared" si="20"/>
        <v>52322</v>
      </c>
      <c r="B248" s="144">
        <f t="shared" si="21"/>
        <v>1208733.8948883056</v>
      </c>
      <c r="C248" s="144">
        <f t="shared" si="18"/>
        <v>5203.5994174941552</v>
      </c>
      <c r="E248" s="153"/>
      <c r="F248" s="152"/>
      <c r="G248" s="145">
        <f t="shared" si="22"/>
        <v>52322</v>
      </c>
      <c r="H248" s="144">
        <f t="shared" si="23"/>
        <v>218400.73754951535</v>
      </c>
      <c r="I248" s="144">
        <f t="shared" si="19"/>
        <v>940.21517515066353</v>
      </c>
    </row>
    <row r="249" spans="1:9" x14ac:dyDescent="0.35">
      <c r="A249" s="145">
        <f t="shared" si="20"/>
        <v>52352</v>
      </c>
      <c r="B249" s="144">
        <f t="shared" si="21"/>
        <v>807552.16232111806</v>
      </c>
      <c r="C249" s="144">
        <f t="shared" si="18"/>
        <v>3476.5120587924134</v>
      </c>
      <c r="E249" s="153"/>
      <c r="F249" s="152"/>
      <c r="G249" s="145">
        <f t="shared" si="22"/>
        <v>52352</v>
      </c>
      <c r="H249" s="144">
        <f t="shared" si="23"/>
        <v>145912.99921890756</v>
      </c>
      <c r="I249" s="144">
        <f t="shared" si="19"/>
        <v>628.15546163739702</v>
      </c>
    </row>
    <row r="250" spans="1:9" x14ac:dyDescent="0.35">
      <c r="A250" s="145">
        <f t="shared" si="20"/>
        <v>52383</v>
      </c>
      <c r="B250" s="144">
        <f t="shared" si="21"/>
        <v>404643.3423952288</v>
      </c>
      <c r="C250" s="144">
        <f t="shared" si="18"/>
        <v>1741.9895890114601</v>
      </c>
      <c r="E250" s="153"/>
      <c r="F250" s="152"/>
      <c r="G250" s="145">
        <f t="shared" si="22"/>
        <v>52383</v>
      </c>
      <c r="H250" s="144">
        <f t="shared" si="23"/>
        <v>73113.201174786489</v>
      </c>
      <c r="I250" s="144">
        <f t="shared" si="19"/>
        <v>314.75233105745582</v>
      </c>
    </row>
    <row r="251" spans="1:9" x14ac:dyDescent="0.35">
      <c r="A251" s="145">
        <f t="shared" si="20"/>
        <v>52413</v>
      </c>
      <c r="B251" s="144">
        <f t="shared" si="21"/>
        <v>-4.4138869270682335E-7</v>
      </c>
      <c r="C251" s="144">
        <f t="shared" si="18"/>
        <v>-1.9001783221028746E-9</v>
      </c>
      <c r="E251" s="153"/>
      <c r="F251" s="152"/>
      <c r="G251" s="145">
        <f t="shared" si="22"/>
        <v>52413</v>
      </c>
      <c r="H251" s="144">
        <f t="shared" si="23"/>
        <v>8.5492501966655254E-8</v>
      </c>
      <c r="I251" s="144">
        <f t="shared" si="19"/>
        <v>3.6804522096645088E-10</v>
      </c>
    </row>
  </sheetData>
  <mergeCells count="2">
    <mergeCell ref="A1:D1"/>
    <mergeCell ref="G1:J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3AAA-A2EB-4E8A-8FB9-5B973AB54753}">
  <sheetPr>
    <pageSetUpPr fitToPage="1"/>
  </sheetPr>
  <dimension ref="A1:O51"/>
  <sheetViews>
    <sheetView zoomScaleNormal="100" workbookViewId="0">
      <selection activeCell="D6" sqref="D6"/>
    </sheetView>
  </sheetViews>
  <sheetFormatPr defaultColWidth="9.1796875" defaultRowHeight="12.5" x14ac:dyDescent="0.25"/>
  <cols>
    <col min="1" max="1" width="4.7265625" style="31" customWidth="1"/>
    <col min="2" max="2" width="3.1796875" style="63" customWidth="1"/>
    <col min="3" max="3" width="15.453125" style="31" bestFit="1" customWidth="1"/>
    <col min="4" max="4" width="2.7265625" style="31" customWidth="1"/>
    <col min="5" max="5" width="15.54296875" style="31" bestFit="1" customWidth="1"/>
    <col min="6" max="6" width="2.7265625" style="31" customWidth="1"/>
    <col min="7" max="7" width="12.7265625" style="31" customWidth="1"/>
    <col min="8" max="8" width="2.7265625" style="31" customWidth="1"/>
    <col min="9" max="9" width="12.7265625" style="63" customWidth="1"/>
    <col min="10" max="10" width="2.7265625" style="63" customWidth="1"/>
    <col min="11" max="11" width="12.7265625" style="31" customWidth="1"/>
    <col min="12" max="12" width="2.7265625" style="31" customWidth="1"/>
    <col min="13" max="13" width="12.7265625" style="31" customWidth="1"/>
    <col min="14" max="14" width="2.7265625" style="31" customWidth="1"/>
    <col min="15" max="15" width="12.7265625" style="31" customWidth="1"/>
    <col min="16" max="16384" width="9.1796875" style="31"/>
  </cols>
  <sheetData>
    <row r="1" spans="1:15" x14ac:dyDescent="0.25">
      <c r="A1" s="30" t="s">
        <v>94</v>
      </c>
      <c r="B1" s="30"/>
      <c r="C1" s="30"/>
      <c r="D1" s="30"/>
      <c r="E1" s="30"/>
      <c r="F1" s="30"/>
      <c r="G1" s="30"/>
      <c r="H1" s="30"/>
      <c r="I1" s="30"/>
      <c r="J1" s="30"/>
      <c r="K1" s="30"/>
      <c r="L1" s="30"/>
      <c r="M1" s="30"/>
      <c r="N1" s="30"/>
      <c r="O1" s="30"/>
    </row>
    <row r="2" spans="1:15" x14ac:dyDescent="0.25">
      <c r="A2" s="30" t="s">
        <v>136</v>
      </c>
      <c r="B2" s="30"/>
      <c r="C2" s="30"/>
      <c r="D2" s="30"/>
      <c r="E2" s="30"/>
      <c r="F2" s="30"/>
      <c r="G2" s="30"/>
      <c r="H2" s="30"/>
      <c r="I2" s="30"/>
      <c r="J2" s="30"/>
      <c r="K2" s="30"/>
      <c r="L2" s="30"/>
      <c r="M2" s="30"/>
      <c r="N2" s="30"/>
      <c r="O2" s="30"/>
    </row>
    <row r="3" spans="1:15" x14ac:dyDescent="0.25">
      <c r="A3" s="30" t="s">
        <v>95</v>
      </c>
      <c r="B3" s="30"/>
      <c r="C3" s="30"/>
      <c r="D3" s="30"/>
      <c r="E3" s="30"/>
      <c r="F3" s="30"/>
      <c r="G3" s="30"/>
      <c r="H3" s="30"/>
      <c r="I3" s="30"/>
      <c r="J3" s="30"/>
      <c r="K3" s="30"/>
      <c r="L3" s="30"/>
      <c r="M3" s="30"/>
      <c r="N3" s="30"/>
      <c r="O3" s="30"/>
    </row>
    <row r="4" spans="1:15" x14ac:dyDescent="0.25">
      <c r="B4" s="31"/>
      <c r="I4" s="31"/>
      <c r="J4" s="31"/>
    </row>
    <row r="5" spans="1:15" x14ac:dyDescent="0.25">
      <c r="O5" s="63" t="s">
        <v>137</v>
      </c>
    </row>
    <row r="6" spans="1:15" x14ac:dyDescent="0.25">
      <c r="E6" s="63" t="s">
        <v>97</v>
      </c>
      <c r="I6" s="63" t="s">
        <v>32</v>
      </c>
      <c r="K6" s="63" t="s">
        <v>98</v>
      </c>
      <c r="M6" s="63" t="s">
        <v>138</v>
      </c>
      <c r="O6" s="63" t="s">
        <v>98</v>
      </c>
    </row>
    <row r="7" spans="1:15" x14ac:dyDescent="0.25">
      <c r="A7" s="63"/>
      <c r="C7" s="63"/>
      <c r="D7" s="63"/>
      <c r="E7" s="63" t="s">
        <v>99</v>
      </c>
      <c r="F7" s="63"/>
      <c r="G7" s="63" t="s">
        <v>100</v>
      </c>
      <c r="H7" s="63"/>
      <c r="I7" s="63" t="s">
        <v>101</v>
      </c>
      <c r="K7" s="63" t="s">
        <v>102</v>
      </c>
      <c r="L7" s="63"/>
      <c r="M7" s="63" t="s">
        <v>139</v>
      </c>
      <c r="N7" s="63"/>
      <c r="O7" s="63" t="s">
        <v>102</v>
      </c>
    </row>
    <row r="8" spans="1:15" x14ac:dyDescent="0.25">
      <c r="A8" s="63" t="s">
        <v>5</v>
      </c>
      <c r="C8" s="63"/>
      <c r="D8" s="63"/>
      <c r="E8" s="63" t="s">
        <v>103</v>
      </c>
      <c r="F8" s="63"/>
      <c r="G8" s="63" t="s">
        <v>104</v>
      </c>
      <c r="H8" s="63"/>
      <c r="I8" s="63" t="s">
        <v>100</v>
      </c>
      <c r="K8" s="63" t="s">
        <v>101</v>
      </c>
      <c r="L8" s="63"/>
      <c r="M8" s="63" t="s">
        <v>140</v>
      </c>
      <c r="N8" s="63"/>
      <c r="O8" s="63" t="s">
        <v>101</v>
      </c>
    </row>
    <row r="9" spans="1:15" x14ac:dyDescent="0.25">
      <c r="A9" s="32" t="s">
        <v>9</v>
      </c>
      <c r="B9" s="32"/>
      <c r="C9" s="32" t="s">
        <v>96</v>
      </c>
      <c r="D9" s="32"/>
      <c r="E9" s="32" t="s">
        <v>105</v>
      </c>
      <c r="F9" s="32"/>
      <c r="G9" s="32" t="s">
        <v>141</v>
      </c>
      <c r="H9" s="32"/>
      <c r="I9" s="32" t="s">
        <v>142</v>
      </c>
      <c r="J9" s="32"/>
      <c r="K9" s="32" t="s">
        <v>143</v>
      </c>
      <c r="L9" s="32"/>
      <c r="M9" s="32" t="s">
        <v>144</v>
      </c>
      <c r="N9" s="33"/>
      <c r="O9" s="32" t="s">
        <v>107</v>
      </c>
    </row>
    <row r="10" spans="1:15" x14ac:dyDescent="0.25">
      <c r="A10" s="34">
        <v>-1</v>
      </c>
      <c r="B10" s="34"/>
      <c r="C10" s="34">
        <v>-2</v>
      </c>
      <c r="D10" s="34"/>
      <c r="E10" s="34">
        <v>-3</v>
      </c>
      <c r="F10" s="34"/>
      <c r="G10" s="34">
        <v>-4</v>
      </c>
      <c r="H10" s="34"/>
      <c r="I10" s="34">
        <v>-5</v>
      </c>
      <c r="J10" s="34"/>
      <c r="K10" s="35" t="s">
        <v>108</v>
      </c>
      <c r="L10" s="34"/>
      <c r="M10" s="36" t="s">
        <v>145</v>
      </c>
      <c r="O10" s="35" t="s">
        <v>146</v>
      </c>
    </row>
    <row r="11" spans="1:15" x14ac:dyDescent="0.25">
      <c r="A11" s="37"/>
      <c r="B11" s="34"/>
      <c r="C11" s="37"/>
      <c r="D11" s="37"/>
      <c r="E11" s="37"/>
      <c r="F11" s="37"/>
      <c r="G11" s="37"/>
      <c r="H11" s="37"/>
      <c r="I11" s="34"/>
      <c r="J11" s="34"/>
      <c r="K11" s="37"/>
      <c r="L11" s="37"/>
      <c r="M11" s="38"/>
      <c r="N11" s="38"/>
      <c r="O11" s="38"/>
    </row>
    <row r="12" spans="1:15" x14ac:dyDescent="0.25">
      <c r="A12" s="63">
        <v>1</v>
      </c>
      <c r="C12" s="31" t="s">
        <v>109</v>
      </c>
      <c r="E12" s="39">
        <v>962401698.74372435</v>
      </c>
      <c r="F12" s="39"/>
      <c r="G12" s="40">
        <f>ROUND(E12/$E$18,4)</f>
        <v>0.53100000000000003</v>
      </c>
      <c r="H12" s="39"/>
      <c r="I12" s="41">
        <v>4.9099999999999998E-2</v>
      </c>
      <c r="J12" s="42" t="s">
        <v>110</v>
      </c>
      <c r="K12" s="40">
        <f>ROUND(G12*I12,4)</f>
        <v>2.6100000000000002E-2</v>
      </c>
      <c r="L12" s="39"/>
      <c r="M12" s="43">
        <v>1</v>
      </c>
      <c r="N12" s="44"/>
      <c r="O12" s="45">
        <f>ROUND((K12*M12),4)</f>
        <v>2.6100000000000002E-2</v>
      </c>
    </row>
    <row r="13" spans="1:15" x14ac:dyDescent="0.25">
      <c r="A13" s="63"/>
      <c r="E13" s="39"/>
      <c r="F13" s="39"/>
      <c r="G13" s="40"/>
      <c r="H13" s="39"/>
      <c r="I13" s="41"/>
      <c r="J13" s="42"/>
      <c r="K13" s="40"/>
      <c r="L13" s="39"/>
      <c r="M13" s="43"/>
      <c r="N13" s="44"/>
      <c r="O13" s="25"/>
    </row>
    <row r="14" spans="1:15" x14ac:dyDescent="0.25">
      <c r="A14" s="63">
        <v>2</v>
      </c>
      <c r="C14" s="31" t="s">
        <v>111</v>
      </c>
      <c r="E14" s="39">
        <v>95743647.998314917</v>
      </c>
      <c r="F14" s="46"/>
      <c r="G14" s="40">
        <f>ROUND(E14/$E$18,4)</f>
        <v>5.28E-2</v>
      </c>
      <c r="H14" s="46"/>
      <c r="I14" s="41">
        <v>3.73E-2</v>
      </c>
      <c r="J14" s="42" t="s">
        <v>112</v>
      </c>
      <c r="K14" s="40">
        <f>ROUND(G14*I14,4)</f>
        <v>2E-3</v>
      </c>
      <c r="L14" s="46"/>
      <c r="M14" s="43">
        <v>1</v>
      </c>
      <c r="N14" s="47"/>
      <c r="O14" s="45">
        <f>ROUND((K14*M14),4)</f>
        <v>2E-3</v>
      </c>
    </row>
    <row r="15" spans="1:15" x14ac:dyDescent="0.25">
      <c r="A15" s="63"/>
      <c r="E15" s="39"/>
      <c r="F15" s="46"/>
      <c r="G15" s="40"/>
      <c r="H15" s="46"/>
      <c r="I15" s="64"/>
      <c r="J15" s="42"/>
      <c r="K15" s="40"/>
      <c r="L15" s="46"/>
      <c r="M15" s="47"/>
      <c r="N15" s="47"/>
      <c r="O15" s="25"/>
    </row>
    <row r="16" spans="1:15" x14ac:dyDescent="0.25">
      <c r="A16" s="63">
        <v>4</v>
      </c>
      <c r="C16" s="31" t="s">
        <v>113</v>
      </c>
      <c r="E16" s="39">
        <v>754394228.05464816</v>
      </c>
      <c r="F16" s="46"/>
      <c r="G16" s="40">
        <f>ROUND(E16/$E$18,4)</f>
        <v>0.41620000000000001</v>
      </c>
      <c r="H16" s="46"/>
      <c r="I16" s="41">
        <v>9.9000000000000005E-2</v>
      </c>
      <c r="J16" s="42" t="s">
        <v>114</v>
      </c>
      <c r="K16" s="40">
        <f>ROUND(G16*I16,4)</f>
        <v>4.1200000000000001E-2</v>
      </c>
      <c r="L16" s="46"/>
      <c r="M16" s="48">
        <f>M46</f>
        <v>1.33253559</v>
      </c>
      <c r="N16" s="42" t="s">
        <v>110</v>
      </c>
      <c r="O16" s="45">
        <f>ROUND((K16*M16),4)</f>
        <v>5.4899999999999997E-2</v>
      </c>
    </row>
    <row r="17" spans="1:15" x14ac:dyDescent="0.25">
      <c r="A17" s="63"/>
      <c r="E17" s="42" t="s">
        <v>147</v>
      </c>
      <c r="F17" s="49"/>
      <c r="G17" s="42" t="s">
        <v>115</v>
      </c>
      <c r="H17" s="49"/>
      <c r="I17" s="42"/>
      <c r="J17" s="42"/>
      <c r="K17" s="50" t="s">
        <v>115</v>
      </c>
      <c r="L17" s="49"/>
      <c r="M17" s="51"/>
      <c r="N17" s="52"/>
      <c r="O17" s="50" t="s">
        <v>115</v>
      </c>
    </row>
    <row r="18" spans="1:15" ht="13" x14ac:dyDescent="0.3">
      <c r="A18" s="63">
        <v>5</v>
      </c>
      <c r="C18" s="31" t="s">
        <v>106</v>
      </c>
      <c r="E18" s="39">
        <f>SUM(E12:E16)</f>
        <v>1812539574.7966874</v>
      </c>
      <c r="F18" s="46"/>
      <c r="G18" s="40">
        <f>SUM(G12:G17)</f>
        <v>1</v>
      </c>
      <c r="H18" s="46"/>
      <c r="I18" s="64"/>
      <c r="J18" s="42"/>
      <c r="K18" s="40">
        <f>SUM(K12:K16)</f>
        <v>6.93E-2</v>
      </c>
      <c r="L18" s="46"/>
      <c r="M18" s="161"/>
      <c r="N18" s="47"/>
      <c r="O18" s="53">
        <f>SUM(O12:O16)</f>
        <v>8.299999999999999E-2</v>
      </c>
    </row>
    <row r="19" spans="1:15" x14ac:dyDescent="0.25">
      <c r="A19" s="63"/>
      <c r="E19" s="42" t="s">
        <v>148</v>
      </c>
      <c r="F19" s="46"/>
      <c r="G19" s="42" t="s">
        <v>116</v>
      </c>
      <c r="H19" s="46"/>
      <c r="I19" s="64"/>
      <c r="J19" s="42"/>
      <c r="K19" s="42" t="s">
        <v>116</v>
      </c>
      <c r="L19" s="46"/>
      <c r="M19" s="46"/>
      <c r="N19" s="46"/>
      <c r="O19" s="42" t="s">
        <v>116</v>
      </c>
    </row>
    <row r="20" spans="1:15" x14ac:dyDescent="0.25">
      <c r="A20" s="63"/>
      <c r="E20" s="46"/>
      <c r="F20" s="46"/>
      <c r="G20" s="40"/>
      <c r="H20" s="46"/>
      <c r="I20" s="64"/>
      <c r="J20" s="64"/>
      <c r="K20" s="46"/>
      <c r="L20" s="46"/>
      <c r="M20" s="46"/>
      <c r="N20" s="46"/>
      <c r="O20" s="46"/>
    </row>
    <row r="21" spans="1:15" x14ac:dyDescent="0.25">
      <c r="A21" s="63"/>
      <c r="B21" s="42" t="s">
        <v>117</v>
      </c>
      <c r="C21" s="31" t="s">
        <v>149</v>
      </c>
      <c r="E21" s="39"/>
      <c r="F21" s="39"/>
      <c r="G21" s="54"/>
      <c r="H21" s="39"/>
      <c r="I21" s="49"/>
      <c r="J21" s="49"/>
      <c r="K21" s="39"/>
      <c r="L21" s="39"/>
      <c r="M21" s="39"/>
      <c r="N21" s="39"/>
      <c r="O21" s="39"/>
    </row>
    <row r="22" spans="1:15" x14ac:dyDescent="0.25">
      <c r="A22" s="63"/>
      <c r="B22" s="42" t="s">
        <v>110</v>
      </c>
      <c r="C22" s="31" t="s">
        <v>150</v>
      </c>
    </row>
    <row r="23" spans="1:15" x14ac:dyDescent="0.25">
      <c r="A23" s="63"/>
      <c r="B23" s="42"/>
    </row>
    <row r="24" spans="1:15" x14ac:dyDescent="0.25">
      <c r="A24" s="63"/>
      <c r="B24" s="42"/>
    </row>
    <row r="25" spans="1:15" x14ac:dyDescent="0.25">
      <c r="A25" s="55" t="s">
        <v>151</v>
      </c>
      <c r="B25" s="55"/>
      <c r="C25" s="55"/>
      <c r="D25" s="55"/>
      <c r="E25" s="55"/>
      <c r="F25" s="55"/>
      <c r="G25" s="55"/>
      <c r="H25" s="55"/>
      <c r="I25" s="55"/>
      <c r="J25" s="55"/>
      <c r="K25" s="55"/>
      <c r="L25" s="55"/>
      <c r="M25" s="55"/>
      <c r="N25" s="55"/>
      <c r="O25" s="55"/>
    </row>
    <row r="26" spans="1:15" x14ac:dyDescent="0.25">
      <c r="A26" s="63"/>
      <c r="B26" s="31"/>
    </row>
    <row r="27" spans="1:15" ht="50" x14ac:dyDescent="0.25">
      <c r="A27" s="35" t="s">
        <v>152</v>
      </c>
      <c r="B27" s="31"/>
      <c r="C27" s="378" t="s">
        <v>96</v>
      </c>
      <c r="D27" s="378"/>
      <c r="E27" s="378"/>
      <c r="F27" s="378"/>
      <c r="G27" s="378"/>
      <c r="M27" s="35" t="s">
        <v>153</v>
      </c>
    </row>
    <row r="28" spans="1:15" x14ac:dyDescent="0.25">
      <c r="A28" s="56">
        <v>-1</v>
      </c>
      <c r="B28" s="31"/>
      <c r="C28" s="379">
        <f>+A28-1</f>
        <v>-2</v>
      </c>
      <c r="D28" s="379"/>
      <c r="E28" s="379"/>
      <c r="F28" s="379"/>
      <c r="G28" s="379"/>
      <c r="M28" s="64">
        <f>+C28-1</f>
        <v>-3</v>
      </c>
    </row>
    <row r="29" spans="1:15" x14ac:dyDescent="0.25">
      <c r="A29" s="64"/>
      <c r="B29" s="31"/>
    </row>
    <row r="30" spans="1:15" x14ac:dyDescent="0.25">
      <c r="A30" s="64">
        <v>6</v>
      </c>
      <c r="B30" s="31"/>
      <c r="C30" s="31" t="s">
        <v>154</v>
      </c>
      <c r="D30" s="39"/>
      <c r="M30" s="40">
        <v>1</v>
      </c>
    </row>
    <row r="31" spans="1:15" x14ac:dyDescent="0.25">
      <c r="A31" s="64"/>
      <c r="B31" s="31"/>
      <c r="D31" s="39"/>
      <c r="M31" s="40"/>
    </row>
    <row r="32" spans="1:15" x14ac:dyDescent="0.25">
      <c r="A32" s="64">
        <f>+A30+1</f>
        <v>7</v>
      </c>
      <c r="B32" s="31"/>
      <c r="C32" s="31" t="s">
        <v>155</v>
      </c>
      <c r="D32" s="39"/>
      <c r="M32" s="57">
        <v>0</v>
      </c>
      <c r="N32" s="42" t="s">
        <v>112</v>
      </c>
    </row>
    <row r="33" spans="1:14" x14ac:dyDescent="0.25">
      <c r="A33" s="64">
        <f>+A32+1</f>
        <v>8</v>
      </c>
      <c r="B33" s="31"/>
      <c r="C33" s="31" t="s">
        <v>156</v>
      </c>
      <c r="D33" s="39"/>
      <c r="M33" s="57">
        <v>0</v>
      </c>
      <c r="N33" s="42" t="s">
        <v>112</v>
      </c>
    </row>
    <row r="34" spans="1:14" x14ac:dyDescent="0.25">
      <c r="A34" s="64"/>
      <c r="B34" s="31"/>
      <c r="D34" s="39"/>
      <c r="M34" s="58" t="s">
        <v>147</v>
      </c>
    </row>
    <row r="35" spans="1:14" x14ac:dyDescent="0.25">
      <c r="A35" s="64">
        <f>+A33+1</f>
        <v>9</v>
      </c>
      <c r="B35" s="31"/>
      <c r="C35" s="31" t="s">
        <v>157</v>
      </c>
      <c r="D35" s="39"/>
      <c r="M35" s="57">
        <f>+M30-M32-M33</f>
        <v>1</v>
      </c>
    </row>
    <row r="36" spans="1:14" x14ac:dyDescent="0.25">
      <c r="A36" s="64"/>
      <c r="B36" s="31"/>
      <c r="D36" s="59"/>
      <c r="M36" s="58"/>
    </row>
    <row r="37" spans="1:14" x14ac:dyDescent="0.25">
      <c r="A37" s="64">
        <f>+A35+1</f>
        <v>10</v>
      </c>
      <c r="B37" s="31"/>
      <c r="C37" s="31" t="s">
        <v>158</v>
      </c>
      <c r="I37" s="57">
        <v>5.0065000000000005E-2</v>
      </c>
      <c r="J37" s="42" t="s">
        <v>114</v>
      </c>
      <c r="M37" s="57">
        <f>ROUND(M35*I37,6)</f>
        <v>5.0064999999999998E-2</v>
      </c>
    </row>
    <row r="38" spans="1:14" x14ac:dyDescent="0.25">
      <c r="A38" s="64"/>
      <c r="B38" s="31"/>
      <c r="D38" s="59"/>
      <c r="M38" s="58" t="s">
        <v>147</v>
      </c>
    </row>
    <row r="39" spans="1:14" x14ac:dyDescent="0.25">
      <c r="A39" s="64"/>
      <c r="B39" s="31"/>
      <c r="D39" s="59"/>
      <c r="M39" s="58"/>
    </row>
    <row r="40" spans="1:14" x14ac:dyDescent="0.25">
      <c r="A40" s="64">
        <f>+A37+1</f>
        <v>11</v>
      </c>
      <c r="B40" s="31"/>
      <c r="C40" s="31" t="s">
        <v>159</v>
      </c>
      <c r="D40" s="39"/>
      <c r="M40" s="57">
        <f>+M35-M37</f>
        <v>0.94993499999999997</v>
      </c>
    </row>
    <row r="41" spans="1:14" x14ac:dyDescent="0.25">
      <c r="A41" s="64"/>
      <c r="B41" s="31"/>
      <c r="D41" s="59"/>
      <c r="M41" s="58"/>
    </row>
    <row r="42" spans="1:14" x14ac:dyDescent="0.25">
      <c r="A42" s="64">
        <f>+A40+1</f>
        <v>12</v>
      </c>
      <c r="B42" s="31"/>
      <c r="C42" s="31" t="s">
        <v>160</v>
      </c>
      <c r="I42" s="40">
        <v>0.21</v>
      </c>
      <c r="M42" s="57">
        <f>ROUND(M40*I42,6)</f>
        <v>0.199486</v>
      </c>
    </row>
    <row r="43" spans="1:14" x14ac:dyDescent="0.25">
      <c r="A43" s="64"/>
      <c r="B43" s="31"/>
      <c r="D43" s="39"/>
      <c r="M43" s="40"/>
    </row>
    <row r="44" spans="1:14" x14ac:dyDescent="0.25">
      <c r="A44" s="64">
        <f>+A42+1</f>
        <v>13</v>
      </c>
      <c r="B44" s="31"/>
      <c r="C44" s="31" t="s">
        <v>161</v>
      </c>
      <c r="D44" s="39"/>
      <c r="M44" s="57">
        <f>+M40-M42</f>
        <v>0.75044899999999992</v>
      </c>
    </row>
    <row r="45" spans="1:14" x14ac:dyDescent="0.25">
      <c r="A45" s="64"/>
      <c r="B45" s="31"/>
      <c r="D45" s="39"/>
      <c r="M45" s="58" t="s">
        <v>147</v>
      </c>
    </row>
    <row r="46" spans="1:14" ht="13" x14ac:dyDescent="0.3">
      <c r="A46" s="64">
        <f>+A44+1</f>
        <v>14</v>
      </c>
      <c r="B46" s="31"/>
      <c r="C46" s="31" t="s">
        <v>162</v>
      </c>
      <c r="D46" s="39"/>
      <c r="M46" s="60">
        <f>ROUND(1/M44,8)</f>
        <v>1.33253559</v>
      </c>
    </row>
    <row r="47" spans="1:14" x14ac:dyDescent="0.25">
      <c r="A47" s="64"/>
      <c r="B47" s="31"/>
      <c r="D47" s="39"/>
      <c r="M47" s="58" t="s">
        <v>163</v>
      </c>
    </row>
    <row r="48" spans="1:14" x14ac:dyDescent="0.25">
      <c r="A48" s="64"/>
      <c r="B48" s="31"/>
      <c r="D48" s="39"/>
    </row>
    <row r="49" spans="1:4" x14ac:dyDescent="0.25">
      <c r="A49" s="64"/>
      <c r="B49" s="31"/>
      <c r="D49" s="39"/>
    </row>
    <row r="50" spans="1:4" x14ac:dyDescent="0.25">
      <c r="A50" s="64"/>
      <c r="B50" s="31"/>
      <c r="C50" s="31" t="s">
        <v>164</v>
      </c>
      <c r="D50" s="39"/>
    </row>
    <row r="51" spans="1:4" x14ac:dyDescent="0.25">
      <c r="A51" s="64"/>
      <c r="B51" s="31"/>
      <c r="C51" s="31" t="s">
        <v>165</v>
      </c>
      <c r="D51" s="39"/>
    </row>
  </sheetData>
  <mergeCells count="2">
    <mergeCell ref="C27:G27"/>
    <mergeCell ref="C28:G28"/>
  </mergeCells>
  <printOptions horizontalCentered="1"/>
  <pageMargins left="0.75" right="0.25" top="1" bottom="0.5" header="0" footer="0"/>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ED95-51EA-4654-8F59-397F92660C1C}">
  <sheetPr>
    <pageSetUpPr fitToPage="1"/>
  </sheetPr>
  <dimension ref="A1:G47"/>
  <sheetViews>
    <sheetView tabSelected="1" topLeftCell="A13" zoomScale="85" zoomScaleNormal="85" workbookViewId="0">
      <selection activeCell="E3" sqref="E3:E8"/>
    </sheetView>
  </sheetViews>
  <sheetFormatPr defaultRowHeight="14.5" x14ac:dyDescent="0.35"/>
  <cols>
    <col min="1" max="1" width="4.7265625" style="244" bestFit="1" customWidth="1"/>
    <col min="2" max="2" width="50.54296875" customWidth="1"/>
    <col min="3" max="3" width="13.81640625" customWidth="1"/>
    <col min="4" max="4" width="13.453125" customWidth="1"/>
    <col min="5" max="5" width="15.7265625" customWidth="1"/>
    <col min="6" max="6" width="2" customWidth="1"/>
    <col min="7" max="7" width="54.1796875" customWidth="1"/>
  </cols>
  <sheetData>
    <row r="1" spans="1:7" s="211" customFormat="1" ht="43.5" x14ac:dyDescent="0.35">
      <c r="A1" s="207" t="s">
        <v>64</v>
      </c>
      <c r="B1" s="208" t="s">
        <v>65</v>
      </c>
      <c r="C1" s="207" t="s">
        <v>66</v>
      </c>
      <c r="D1" s="207" t="s">
        <v>67</v>
      </c>
      <c r="E1" s="207" t="s">
        <v>197</v>
      </c>
      <c r="F1" s="209"/>
      <c r="G1" s="210" t="s">
        <v>68</v>
      </c>
    </row>
    <row r="2" spans="1:7" s="211" customFormat="1" ht="5.25" customHeight="1" x14ac:dyDescent="0.35">
      <c r="A2" s="212"/>
      <c r="B2" s="213"/>
      <c r="C2" s="214"/>
      <c r="D2" s="214"/>
      <c r="E2" s="215"/>
      <c r="F2" s="209"/>
    </row>
    <row r="3" spans="1:7" x14ac:dyDescent="0.35">
      <c r="A3" s="216">
        <v>1</v>
      </c>
      <c r="B3" s="380" t="s">
        <v>69</v>
      </c>
      <c r="C3" s="381" t="s">
        <v>198</v>
      </c>
      <c r="D3" s="217" t="s">
        <v>70</v>
      </c>
      <c r="E3" s="382">
        <v>289193516.55000001</v>
      </c>
      <c r="F3" s="218"/>
      <c r="G3" s="383" t="s">
        <v>175</v>
      </c>
    </row>
    <row r="4" spans="1:7" x14ac:dyDescent="0.35">
      <c r="A4" s="216">
        <f>A3+1</f>
        <v>2</v>
      </c>
      <c r="B4" s="380"/>
      <c r="C4" s="381"/>
      <c r="D4" s="217" t="s">
        <v>71</v>
      </c>
      <c r="E4" s="382"/>
      <c r="F4" s="218"/>
      <c r="G4" s="383"/>
    </row>
    <row r="5" spans="1:7" x14ac:dyDescent="0.35">
      <c r="A5" s="216">
        <f t="shared" ref="A5:A8" si="0">A4+1</f>
        <v>3</v>
      </c>
      <c r="B5" s="380"/>
      <c r="C5" s="381"/>
      <c r="D5" s="217" t="s">
        <v>72</v>
      </c>
      <c r="E5" s="382"/>
      <c r="F5" s="218"/>
      <c r="G5" s="383"/>
    </row>
    <row r="6" spans="1:7" x14ac:dyDescent="0.35">
      <c r="A6" s="216">
        <f t="shared" si="0"/>
        <v>4</v>
      </c>
      <c r="B6" s="380"/>
      <c r="C6" s="381"/>
      <c r="D6" s="217" t="s">
        <v>73</v>
      </c>
      <c r="E6" s="382"/>
      <c r="F6" s="218"/>
      <c r="G6" s="383"/>
    </row>
    <row r="7" spans="1:7" x14ac:dyDescent="0.35">
      <c r="A7" s="216">
        <f t="shared" si="0"/>
        <v>5</v>
      </c>
      <c r="B7" s="380"/>
      <c r="C7" s="381"/>
      <c r="D7" s="217" t="s">
        <v>74</v>
      </c>
      <c r="E7" s="382"/>
      <c r="F7" s="218"/>
      <c r="G7" s="383"/>
    </row>
    <row r="8" spans="1:7" x14ac:dyDescent="0.35">
      <c r="A8" s="216">
        <f t="shared" si="0"/>
        <v>6</v>
      </c>
      <c r="B8" s="380"/>
      <c r="C8" s="381"/>
      <c r="D8" s="217" t="s">
        <v>75</v>
      </c>
      <c r="E8" s="382"/>
      <c r="F8" s="218"/>
      <c r="G8" s="383"/>
    </row>
    <row r="9" spans="1:7" ht="5.25" customHeight="1" x14ac:dyDescent="0.35">
      <c r="A9" s="219"/>
      <c r="B9" s="220"/>
      <c r="C9" s="212"/>
      <c r="D9" s="212"/>
      <c r="E9" s="221"/>
      <c r="F9" s="218"/>
      <c r="G9" s="222"/>
    </row>
    <row r="10" spans="1:7" x14ac:dyDescent="0.35">
      <c r="A10" s="216">
        <f>A8+1</f>
        <v>7</v>
      </c>
      <c r="B10" s="223" t="s">
        <v>199</v>
      </c>
      <c r="C10" s="381" t="s">
        <v>76</v>
      </c>
      <c r="D10" s="384">
        <v>1823620</v>
      </c>
      <c r="E10" s="224">
        <v>646479</v>
      </c>
      <c r="F10" s="218"/>
      <c r="G10" s="385" t="s">
        <v>77</v>
      </c>
    </row>
    <row r="11" spans="1:7" x14ac:dyDescent="0.35">
      <c r="A11" s="216">
        <f>A10+1</f>
        <v>8</v>
      </c>
      <c r="B11" s="223" t="s">
        <v>200</v>
      </c>
      <c r="C11" s="381"/>
      <c r="D11" s="384"/>
      <c r="E11" s="224">
        <v>474856</v>
      </c>
      <c r="F11" s="218"/>
      <c r="G11" s="385"/>
    </row>
    <row r="12" spans="1:7" x14ac:dyDescent="0.35">
      <c r="A12" s="216">
        <f t="shared" ref="A12:A16" si="1">A11+1</f>
        <v>9</v>
      </c>
      <c r="B12" s="223" t="s">
        <v>201</v>
      </c>
      <c r="C12" s="381"/>
      <c r="D12" s="384"/>
      <c r="E12" s="225">
        <v>9843199</v>
      </c>
      <c r="F12" s="218"/>
      <c r="G12" s="385"/>
    </row>
    <row r="13" spans="1:7" x14ac:dyDescent="0.35">
      <c r="A13" s="216">
        <f t="shared" si="1"/>
        <v>10</v>
      </c>
      <c r="B13" s="223" t="s">
        <v>202</v>
      </c>
      <c r="C13" s="217" t="s">
        <v>78</v>
      </c>
      <c r="D13" s="384"/>
      <c r="E13" s="225">
        <v>1043892</v>
      </c>
      <c r="F13" s="218"/>
      <c r="G13" s="385"/>
    </row>
    <row r="14" spans="1:7" x14ac:dyDescent="0.35">
      <c r="A14" s="216">
        <f t="shared" si="1"/>
        <v>11</v>
      </c>
      <c r="B14" s="223" t="s">
        <v>203</v>
      </c>
      <c r="C14" s="226"/>
      <c r="D14" s="384"/>
      <c r="E14" s="225">
        <f>SUM(E10:E13)</f>
        <v>12008426</v>
      </c>
      <c r="F14" s="218"/>
      <c r="G14" s="385"/>
    </row>
    <row r="15" spans="1:7" x14ac:dyDescent="0.35">
      <c r="A15" s="216">
        <f t="shared" si="1"/>
        <v>12</v>
      </c>
      <c r="B15" s="223" t="s">
        <v>204</v>
      </c>
      <c r="C15" s="226"/>
      <c r="D15" s="384"/>
      <c r="E15" s="225">
        <v>-1498582</v>
      </c>
      <c r="F15" s="218"/>
      <c r="G15" s="385"/>
    </row>
    <row r="16" spans="1:7" x14ac:dyDescent="0.35">
      <c r="A16" s="216">
        <f t="shared" si="1"/>
        <v>13</v>
      </c>
      <c r="B16" s="227" t="s">
        <v>205</v>
      </c>
      <c r="C16" s="226"/>
      <c r="D16" s="384"/>
      <c r="E16" s="228">
        <f>E14+E15</f>
        <v>10509844</v>
      </c>
      <c r="F16" s="218"/>
      <c r="G16" s="385"/>
    </row>
    <row r="17" spans="1:7" ht="5.25" customHeight="1" x14ac:dyDescent="0.35">
      <c r="A17" s="219"/>
      <c r="B17" s="229"/>
      <c r="C17" s="212"/>
      <c r="D17" s="219"/>
      <c r="E17" s="230"/>
      <c r="F17" s="218"/>
      <c r="G17" s="231"/>
    </row>
    <row r="18" spans="1:7" x14ac:dyDescent="0.35">
      <c r="A18" s="216">
        <f>A16+1</f>
        <v>14</v>
      </c>
      <c r="B18" s="223" t="s">
        <v>206</v>
      </c>
      <c r="C18" s="217" t="s">
        <v>79</v>
      </c>
      <c r="D18" s="381">
        <v>1823623</v>
      </c>
      <c r="E18" s="225">
        <v>46199297.119999997</v>
      </c>
      <c r="F18" s="218"/>
      <c r="G18" s="385" t="s">
        <v>77</v>
      </c>
    </row>
    <row r="19" spans="1:7" x14ac:dyDescent="0.35">
      <c r="A19" s="216">
        <f>A18+1</f>
        <v>15</v>
      </c>
      <c r="B19" s="223" t="s">
        <v>207</v>
      </c>
      <c r="C19" s="217" t="s">
        <v>80</v>
      </c>
      <c r="D19" s="381"/>
      <c r="E19" s="225">
        <v>826494.69</v>
      </c>
      <c r="F19" s="218"/>
      <c r="G19" s="385"/>
    </row>
    <row r="20" spans="1:7" x14ac:dyDescent="0.35">
      <c r="A20" s="216">
        <f t="shared" ref="A20:A22" si="2">A19+1</f>
        <v>16</v>
      </c>
      <c r="B20" s="223" t="s">
        <v>208</v>
      </c>
      <c r="C20" s="226"/>
      <c r="D20" s="381"/>
      <c r="E20" s="225">
        <f>SUM(E18:E19)</f>
        <v>47025791.809999995</v>
      </c>
      <c r="F20" s="218"/>
      <c r="G20" s="385"/>
    </row>
    <row r="21" spans="1:7" x14ac:dyDescent="0.35">
      <c r="A21" s="216">
        <f t="shared" si="2"/>
        <v>17</v>
      </c>
      <c r="B21" s="223" t="s">
        <v>204</v>
      </c>
      <c r="C21" s="226"/>
      <c r="D21" s="381"/>
      <c r="E21" s="225">
        <v>-1029788.89</v>
      </c>
      <c r="F21" s="218"/>
      <c r="G21" s="385"/>
    </row>
    <row r="22" spans="1:7" x14ac:dyDescent="0.35">
      <c r="A22" s="216">
        <f t="shared" si="2"/>
        <v>18</v>
      </c>
      <c r="B22" s="227" t="s">
        <v>209</v>
      </c>
      <c r="C22" s="226"/>
      <c r="D22" s="381"/>
      <c r="E22" s="228">
        <f>E20+E21</f>
        <v>45996002.919999994</v>
      </c>
      <c r="F22" s="218"/>
      <c r="G22" s="385"/>
    </row>
    <row r="23" spans="1:7" ht="5.25" customHeight="1" x14ac:dyDescent="0.35">
      <c r="A23" s="219"/>
      <c r="B23" s="229"/>
      <c r="C23" s="212"/>
      <c r="D23" s="212"/>
      <c r="E23" s="230"/>
      <c r="F23" s="218"/>
      <c r="G23" s="231"/>
    </row>
    <row r="24" spans="1:7" x14ac:dyDescent="0.35">
      <c r="A24" s="216">
        <f>A22+1</f>
        <v>19</v>
      </c>
      <c r="B24" s="223" t="s">
        <v>210</v>
      </c>
      <c r="C24" s="381" t="s">
        <v>81</v>
      </c>
      <c r="D24" s="381">
        <v>1823698</v>
      </c>
      <c r="E24" s="225">
        <v>3401582.43</v>
      </c>
      <c r="F24" s="218"/>
      <c r="G24" s="385" t="s">
        <v>77</v>
      </c>
    </row>
    <row r="25" spans="1:7" x14ac:dyDescent="0.35">
      <c r="A25" s="216">
        <f>A24+1</f>
        <v>20</v>
      </c>
      <c r="B25" s="223" t="s">
        <v>211</v>
      </c>
      <c r="C25" s="381"/>
      <c r="D25" s="381"/>
      <c r="E25" s="224">
        <v>11449177.050000001</v>
      </c>
      <c r="F25" s="218"/>
      <c r="G25" s="385"/>
    </row>
    <row r="26" spans="1:7" x14ac:dyDescent="0.35">
      <c r="A26" s="216">
        <f t="shared" ref="A26:A27" si="3">A25+1</f>
        <v>21</v>
      </c>
      <c r="B26" s="223" t="s">
        <v>212</v>
      </c>
      <c r="C26" s="226"/>
      <c r="D26" s="381"/>
      <c r="E26" s="224">
        <f>E24+E25</f>
        <v>14850759.48</v>
      </c>
      <c r="F26" s="218"/>
      <c r="G26" s="385"/>
    </row>
    <row r="27" spans="1:7" x14ac:dyDescent="0.35">
      <c r="A27" s="216">
        <f t="shared" si="3"/>
        <v>22</v>
      </c>
      <c r="B27" s="223" t="s">
        <v>204</v>
      </c>
      <c r="C27" s="226"/>
      <c r="D27" s="381"/>
      <c r="E27" s="224">
        <v>-1012476</v>
      </c>
      <c r="F27" s="218"/>
      <c r="G27" s="385"/>
    </row>
    <row r="28" spans="1:7" x14ac:dyDescent="0.35">
      <c r="A28" s="216">
        <f>A27+1</f>
        <v>23</v>
      </c>
      <c r="B28" s="227" t="s">
        <v>213</v>
      </c>
      <c r="C28" s="226"/>
      <c r="D28" s="381"/>
      <c r="E28" s="228">
        <f>E26+E27</f>
        <v>13838283.48</v>
      </c>
      <c r="F28" s="218"/>
      <c r="G28" s="385"/>
    </row>
    <row r="29" spans="1:7" ht="5.25" customHeight="1" x14ac:dyDescent="0.35">
      <c r="A29" s="219"/>
      <c r="B29" s="229"/>
      <c r="C29" s="212"/>
      <c r="D29" s="212"/>
      <c r="E29" s="232"/>
      <c r="F29" s="218"/>
      <c r="G29" s="222"/>
    </row>
    <row r="30" spans="1:7" x14ac:dyDescent="0.35">
      <c r="A30" s="216">
        <f>A28+1</f>
        <v>24</v>
      </c>
      <c r="B30" s="223" t="s">
        <v>214</v>
      </c>
      <c r="C30" s="381" t="s">
        <v>82</v>
      </c>
      <c r="D30" s="381">
        <v>1823722</v>
      </c>
      <c r="E30" s="224">
        <v>3295454.548186521</v>
      </c>
      <c r="F30" s="218"/>
      <c r="G30" s="383" t="s">
        <v>215</v>
      </c>
    </row>
    <row r="31" spans="1:7" x14ac:dyDescent="0.35">
      <c r="A31" s="216">
        <f>A30+1</f>
        <v>25</v>
      </c>
      <c r="B31" s="223" t="s">
        <v>216</v>
      </c>
      <c r="C31" s="381"/>
      <c r="D31" s="381"/>
      <c r="E31" s="224">
        <v>1028325.7668435914</v>
      </c>
      <c r="F31" s="218"/>
      <c r="G31" s="383"/>
    </row>
    <row r="32" spans="1:7" x14ac:dyDescent="0.35">
      <c r="A32" s="216">
        <f t="shared" ref="A32:A35" si="4">A31+1</f>
        <v>26</v>
      </c>
      <c r="B32" s="223" t="s">
        <v>217</v>
      </c>
      <c r="C32" s="381"/>
      <c r="D32" s="381"/>
      <c r="E32" s="224">
        <v>5643197.3850833103</v>
      </c>
      <c r="F32" s="218"/>
      <c r="G32" s="383"/>
    </row>
    <row r="33" spans="1:7" x14ac:dyDescent="0.35">
      <c r="A33" s="216">
        <f t="shared" si="4"/>
        <v>27</v>
      </c>
      <c r="B33" s="223" t="s">
        <v>218</v>
      </c>
      <c r="C33" s="381"/>
      <c r="D33" s="381"/>
      <c r="E33" s="224">
        <f>SUM(E30:E32)</f>
        <v>9966977.7001134232</v>
      </c>
      <c r="F33" s="218"/>
      <c r="G33" s="383"/>
    </row>
    <row r="34" spans="1:7" x14ac:dyDescent="0.35">
      <c r="A34" s="216">
        <f t="shared" si="4"/>
        <v>28</v>
      </c>
      <c r="B34" s="223" t="s">
        <v>204</v>
      </c>
      <c r="C34" s="381"/>
      <c r="D34" s="381"/>
      <c r="E34" s="224">
        <v>-1012476</v>
      </c>
      <c r="F34" s="218"/>
      <c r="G34" s="383"/>
    </row>
    <row r="35" spans="1:7" x14ac:dyDescent="0.35">
      <c r="A35" s="216">
        <f t="shared" si="4"/>
        <v>29</v>
      </c>
      <c r="B35" s="227" t="s">
        <v>219</v>
      </c>
      <c r="C35" s="381"/>
      <c r="D35" s="381"/>
      <c r="E35" s="233">
        <f>E33+E34</f>
        <v>8954501.7001134232</v>
      </c>
      <c r="F35" s="218"/>
      <c r="G35" s="383"/>
    </row>
    <row r="36" spans="1:7" ht="5.25" customHeight="1" x14ac:dyDescent="0.35">
      <c r="A36" s="219"/>
      <c r="B36" s="229"/>
      <c r="C36" s="212"/>
      <c r="D36" s="212"/>
      <c r="E36" s="234"/>
      <c r="F36" s="218"/>
      <c r="G36" s="222"/>
    </row>
    <row r="37" spans="1:7" ht="43.5" x14ac:dyDescent="0.35">
      <c r="A37" s="216">
        <f>A35+1</f>
        <v>30</v>
      </c>
      <c r="B37" s="227" t="s">
        <v>83</v>
      </c>
      <c r="C37" s="217" t="s">
        <v>84</v>
      </c>
      <c r="D37" s="217" t="s">
        <v>85</v>
      </c>
      <c r="E37" s="235">
        <v>52253086.950000003</v>
      </c>
      <c r="F37" s="218"/>
      <c r="G37" s="231" t="s">
        <v>77</v>
      </c>
    </row>
    <row r="38" spans="1:7" ht="5.25" customHeight="1" x14ac:dyDescent="0.35">
      <c r="A38" s="219"/>
      <c r="B38" s="229"/>
      <c r="C38" s="212"/>
      <c r="D38" s="212"/>
      <c r="E38" s="234"/>
      <c r="F38" s="218"/>
      <c r="G38" s="222"/>
    </row>
    <row r="39" spans="1:7" ht="45" customHeight="1" x14ac:dyDescent="0.35">
      <c r="A39" s="216">
        <f>A37+1</f>
        <v>31</v>
      </c>
      <c r="B39" s="227" t="s">
        <v>220</v>
      </c>
      <c r="C39" s="217" t="s">
        <v>221</v>
      </c>
      <c r="D39" s="217">
        <v>1823557</v>
      </c>
      <c r="E39" s="235">
        <v>50453564.491999999</v>
      </c>
      <c r="F39" s="218"/>
      <c r="G39" s="236" t="s">
        <v>222</v>
      </c>
    </row>
    <row r="40" spans="1:7" ht="5.25" customHeight="1" thickBot="1" x14ac:dyDescent="0.4">
      <c r="A40" s="219"/>
      <c r="B40" s="209"/>
      <c r="C40" s="209"/>
      <c r="D40" s="209"/>
      <c r="E40" s="237"/>
      <c r="F40" s="218"/>
    </row>
    <row r="41" spans="1:7" s="178" customFormat="1" ht="15" thickBot="1" x14ac:dyDescent="0.4">
      <c r="A41" s="216">
        <f>A39+1</f>
        <v>32</v>
      </c>
      <c r="B41" s="238" t="s">
        <v>86</v>
      </c>
      <c r="C41" s="239"/>
      <c r="D41" s="239"/>
      <c r="E41" s="240">
        <f>E3+E16+E22+E28+E35+E37+E39</f>
        <v>471198800.09211344</v>
      </c>
      <c r="F41" s="241"/>
      <c r="G41" s="242"/>
    </row>
    <row r="42" spans="1:7" x14ac:dyDescent="0.35">
      <c r="A42" s="219"/>
      <c r="B42" s="218"/>
      <c r="C42" s="218"/>
      <c r="D42" s="218"/>
      <c r="E42" s="218"/>
      <c r="F42" s="218"/>
      <c r="G42" s="2"/>
    </row>
    <row r="43" spans="1:7" ht="48.75" customHeight="1" x14ac:dyDescent="0.35">
      <c r="A43" s="243" t="s">
        <v>223</v>
      </c>
      <c r="B43" s="386" t="s">
        <v>224</v>
      </c>
      <c r="C43" s="386"/>
      <c r="D43" s="386"/>
      <c r="E43" s="386"/>
      <c r="F43" s="218"/>
      <c r="G43" s="2"/>
    </row>
    <row r="44" spans="1:7" ht="50.25" customHeight="1" x14ac:dyDescent="0.35">
      <c r="A44" s="243" t="s">
        <v>225</v>
      </c>
      <c r="B44" s="386" t="s">
        <v>226</v>
      </c>
      <c r="C44" s="386"/>
      <c r="D44" s="386"/>
      <c r="E44" s="386"/>
      <c r="F44" s="218"/>
    </row>
    <row r="45" spans="1:7" ht="49.5" customHeight="1" x14ac:dyDescent="0.35">
      <c r="A45" s="243"/>
      <c r="B45" s="386"/>
      <c r="C45" s="386"/>
      <c r="D45" s="386"/>
      <c r="E45" s="386"/>
      <c r="F45" s="218"/>
    </row>
    <row r="46" spans="1:7" x14ac:dyDescent="0.35">
      <c r="A46" s="219"/>
      <c r="B46" s="218"/>
      <c r="C46" s="218"/>
      <c r="D46" s="218"/>
      <c r="E46" s="218"/>
      <c r="F46" s="218"/>
    </row>
    <row r="47" spans="1:7" x14ac:dyDescent="0.35">
      <c r="B47" s="218"/>
      <c r="C47" s="218"/>
      <c r="D47" s="218"/>
      <c r="E47" s="218"/>
      <c r="F47" s="218"/>
    </row>
  </sheetData>
  <mergeCells count="18">
    <mergeCell ref="B43:E43"/>
    <mergeCell ref="B44:E44"/>
    <mergeCell ref="B45:E45"/>
    <mergeCell ref="D18:D22"/>
    <mergeCell ref="G18:G22"/>
    <mergeCell ref="C24:C25"/>
    <mergeCell ref="D24:D28"/>
    <mergeCell ref="G24:G28"/>
    <mergeCell ref="C30:C35"/>
    <mergeCell ref="D30:D35"/>
    <mergeCell ref="G30:G35"/>
    <mergeCell ref="B3:B8"/>
    <mergeCell ref="C3:C8"/>
    <mergeCell ref="E3:E8"/>
    <mergeCell ref="G3:G8"/>
    <mergeCell ref="C10:C12"/>
    <mergeCell ref="D10:D16"/>
    <mergeCell ref="G10:G16"/>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640fb8-5a34-41c1-9307-1b790ff29a8b">
      <Terms xmlns="http://schemas.microsoft.com/office/infopath/2007/PartnerControls"/>
    </lcf76f155ced4ddcb4097134ff3c332f>
    <TaxCatchAll xmlns="51831b8d-857f-44dd-949b-652450d1a5df" xsi:nil="true"/>
    <Operating_x0020_Company xmlns="a1040523-5304-4b09-b6d4-64a124c994e2">AEP Ohio</Operating_x0020_Company>
    <_Flow_SignoffStatus xmlns="5b640fb8-5a34-41c1-9307-1b790ff29a8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DAzNjM0PC9Vc2VyTmFtZT48RGF0ZVRpbWU+NC8yMi8yMDIyIDc6NDM6MTMgUE08L0RhdGVUaW1lPjxMYWJlbFN0cmluZz5VbmNhdGVnb3JpemVkPC9MYWJlbFN0cmluZz48L2l0ZW0+PC9sYWJlbEhpc3Rvcnk+</Value>
</WrappedLabelHistor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F764AEDF-BAFF-49E9-9A02-9E33F06C10EF}">
  <ds:schemaRefs>
    <ds:schemaRef ds:uri="http://schemas.microsoft.com/office/2006/documentManagement/types"/>
    <ds:schemaRef ds:uri="http://schemas.microsoft.com/sharepoint/v3"/>
    <ds:schemaRef ds:uri="http://purl.org/dc/terms/"/>
    <ds:schemaRef ds:uri="http://schemas.microsoft.com/office/2006/metadata/properties"/>
    <ds:schemaRef ds:uri="a1040523-5304-4b09-b6d4-64a124c994e2"/>
    <ds:schemaRef ds:uri="http://purl.org/dc/elements/1.1/"/>
    <ds:schemaRef ds:uri="http://schemas.microsoft.com/office/infopath/2007/PartnerControls"/>
    <ds:schemaRef ds:uri="http://www.w3.org/XML/1998/namespace"/>
    <ds:schemaRef ds:uri="51831b8d-857f-44dd-949b-652450d1a5df"/>
    <ds:schemaRef ds:uri="http://schemas.openxmlformats.org/package/2006/metadata/core-properties"/>
    <ds:schemaRef ds:uri="5b640fb8-5a34-41c1-9307-1b790ff29a8b"/>
    <ds:schemaRef ds:uri="http://purl.org/dc/dcmitype/"/>
  </ds:schemaRefs>
</ds:datastoreItem>
</file>

<file path=customXml/itemProps2.xml><?xml version="1.0" encoding="utf-8"?>
<ds:datastoreItem xmlns:ds="http://schemas.openxmlformats.org/officeDocument/2006/customXml" ds:itemID="{3D40B411-CA13-4451-81E5-614B35E450AA}">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46188DE0-021C-42CA-A0EF-D6F660D8D810}">
  <ds:schemaRefs>
    <ds:schemaRef ds:uri="http://schemas.microsoft.com/sharepoint/v3/contenttype/forms"/>
  </ds:schemaRefs>
</ds:datastoreItem>
</file>

<file path=customXml/itemProps4.xml><?xml version="1.0" encoding="utf-8"?>
<ds:datastoreItem xmlns:ds="http://schemas.openxmlformats.org/officeDocument/2006/customXml" ds:itemID="{7C9FECF8-8DE8-46C7-8EC3-9028ED9AB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040523-5304-4b09-b6d4-64a124c994e2"/>
    <ds:schemaRef ds:uri="5b640fb8-5a34-41c1-9307-1b790ff29a8b"/>
    <ds:schemaRef ds:uri="51831b8d-857f-44dd-949b-652450d1a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887139F-C38B-4966-A9DE-0051B34F6E5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Assumptions and Inputs</vt:lpstr>
      <vt:lpstr>Results</vt:lpstr>
      <vt:lpstr>Conventional Big Sandy</vt:lpstr>
      <vt:lpstr>Conventional All Other</vt:lpstr>
      <vt:lpstr>Upfront &amp; Ongoing Costs</vt:lpstr>
      <vt:lpstr>20 Yr Securitization</vt:lpstr>
      <vt:lpstr>LDS</vt:lpstr>
      <vt:lpstr>ADIT Offset -WACC </vt:lpstr>
      <vt:lpstr>ADIT Offset -Secur</vt:lpstr>
      <vt:lpstr>Pre-Tax WACC</vt:lpstr>
      <vt:lpstr>Summary</vt:lpstr>
      <vt:lpstr>Results!Print_Area</vt:lpstr>
      <vt:lpstr>'Upfront &amp; Ongoing Costs'!Print_Area</vt:lpstr>
      <vt:lpstr>'Conventional All Other'!Print_Titles</vt:lpstr>
      <vt:lpstr>'Conventional Big Sandy'!Print_Titles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s131320</dc:creator>
  <cp:keywords/>
  <cp:lastModifiedBy>Michelle Caldwell</cp:lastModifiedBy>
  <cp:lastPrinted>2023-06-28T14:35:39Z</cp:lastPrinted>
  <dcterms:created xsi:type="dcterms:W3CDTF">2021-07-09T15:56:31Z</dcterms:created>
  <dcterms:modified xsi:type="dcterms:W3CDTF">2023-08-28T13:51:30Z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0d5a80a5-776b-44b3-88e2-093eae2c0ba8</vt:lpwstr>
  </property>
  <property fmtid="{D5CDD505-2E9C-101B-9397-08002B2CF9AE}" pid="3" name="bjDocumentSecurityLabel">
    <vt:lpwstr>Uncategorized</vt:lpwstr>
  </property>
  <property fmtid="{D5CDD505-2E9C-101B-9397-08002B2CF9AE}" pid="4" name="bjSaver">
    <vt:lpwstr>ofQn1lhuzeoa/TMXeHIoFAQqm4KY7pMA</vt:lpwstr>
  </property>
  <property fmtid="{D5CDD505-2E9C-101B-9397-08002B2CF9AE}" pid="5" name="bjClsUserRVM">
    <vt:lpwstr>[]</vt:lpwstr>
  </property>
  <property fmtid="{D5CDD505-2E9C-101B-9397-08002B2CF9AE}" pid="6" name="bjLabelHistoryID">
    <vt:lpwstr>{3D40B411-CA13-4451-81E5-614B35E450AA}</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origin="defaultValue"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0x01010001136CE24ED5F449BD16740FFC7FAF6F</vt:lpwstr>
  </property>
  <property fmtid="{D5CDD505-2E9C-101B-9397-08002B2CF9AE}" pid="13" name="MediaServiceImageTags">
    <vt:lpwstr/>
  </property>
</Properties>
</file>